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mex-my.sharepoint.com/personal/fvfentanes_finamex_com_mx/Documents/"/>
    </mc:Choice>
  </mc:AlternateContent>
  <xr:revisionPtr revIDLastSave="508" documentId="8_{7C8A8955-3D49-4140-9E80-FCF2D19ACA81}" xr6:coauthVersionLast="47" xr6:coauthVersionMax="47" xr10:uidLastSave="{8B63910E-2D2C-4A1C-B89E-7B7C4183ACAA}"/>
  <bookViews>
    <workbookView xWindow="-120" yWindow="-120" windowWidth="24240" windowHeight="13020" firstSheet="1" activeTab="1" xr2:uid="{C3DF4868-CC77-4E64-9A90-29196DD830AD}"/>
  </bookViews>
  <sheets>
    <sheet name="COVER" sheetId="1" r:id="rId1"/>
    <sheet name="Hoja1" sheetId="6" r:id="rId2"/>
    <sheet name="I.S" sheetId="3" r:id="rId3"/>
    <sheet name="WORKING CAPITAL" sheetId="2" r:id="rId4"/>
    <sheet name="FCF CALCULATION" sheetId="4" r:id="rId5"/>
    <sheet name="FV CALCULATION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6" l="1"/>
  <c r="D17" i="6"/>
  <c r="C17" i="6"/>
  <c r="C14" i="6"/>
  <c r="C3" i="6"/>
  <c r="C10" i="6"/>
  <c r="C4" i="6"/>
  <c r="C1" i="6"/>
  <c r="C6" i="6"/>
  <c r="E11" i="6"/>
  <c r="E12" i="6"/>
  <c r="C9" i="6"/>
  <c r="C7" i="6"/>
  <c r="K11" i="6"/>
  <c r="L11" i="6"/>
  <c r="M11" i="6"/>
  <c r="N11" i="6"/>
  <c r="O11" i="6"/>
  <c r="P11" i="6"/>
  <c r="N2" i="6"/>
  <c r="M2" i="6"/>
  <c r="L2" i="6"/>
  <c r="K2" i="6"/>
  <c r="J2" i="6"/>
  <c r="I2" i="6"/>
  <c r="H2" i="6"/>
  <c r="G2" i="6"/>
  <c r="F2" i="6"/>
  <c r="E2" i="6"/>
  <c r="J11" i="6"/>
  <c r="I11" i="6"/>
  <c r="H11" i="6"/>
  <c r="G11" i="6"/>
  <c r="F11" i="6"/>
  <c r="M3" i="6"/>
  <c r="L3" i="6"/>
  <c r="K3" i="6"/>
  <c r="J3" i="6"/>
  <c r="I3" i="6"/>
  <c r="H3" i="6"/>
  <c r="G3" i="6"/>
  <c r="F3" i="6"/>
  <c r="F13" i="6"/>
  <c r="C7" i="3"/>
  <c r="C15" i="3"/>
  <c r="C13" i="3"/>
  <c r="D16" i="1"/>
  <c r="D15" i="1"/>
  <c r="D14" i="1"/>
  <c r="J7" i="3"/>
  <c r="J13" i="3" s="1"/>
  <c r="J17" i="3" s="1"/>
  <c r="J22" i="3" s="1"/>
  <c r="N3" i="6" l="1"/>
  <c r="O2" i="6"/>
  <c r="C17" i="3"/>
  <c r="C22" i="3" s="1"/>
  <c r="J29" i="3"/>
  <c r="J28" i="3"/>
  <c r="K22" i="3"/>
  <c r="O3" i="6" l="1"/>
  <c r="P2" i="6"/>
  <c r="P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tc={13FF37B9-0C7B-45AE-B810-7D425BB43679}</author>
    <author>tc={D7651FF8-F974-4854-A105-78DB702555C2}</author>
    <author>tc={86E2C574-0455-408A-B3BC-0E4EE0756910}</author>
    <author>tc={F081CEDF-FA39-447B-8421-21928EFE0481}</author>
    <author>tc={BC98F5E3-CC9B-4035-B1FF-668655104D94}</author>
    <author>tc={F50969C0-415A-4BEA-A1B5-1A385ACE6167}</author>
    <author>tc={E905779F-378C-406E-A833-34E7E3EE9C78}</author>
  </authors>
  <commentList>
    <comment ref="B7" authorId="0" shapeId="0" xr:uid="{13FF37B9-0C7B-45AE-B810-7D425BB436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Gross Profit Margin
</t>
      </text>
    </comment>
    <comment ref="C10" authorId="1" shapeId="0" xr:uid="{D7651FF8-F974-4854-A105-78DB702555C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Este lo calsifican como General Expenses</t>
      </text>
    </comment>
    <comment ref="B15" authorId="2" shapeId="0" xr:uid="{86E2C574-0455-408A-B3BC-0E4EE0756910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Ingresos financieros??</t>
      </text>
    </comment>
    <comment ref="B16" authorId="3" shapeId="0" xr:uid="{F081CEDF-FA39-447B-8421-21928EFE0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 gastos?
</t>
      </text>
    </comment>
    <comment ref="B17" authorId="4" shapeId="0" xr:uid="{BC98F5E3-CC9B-4035-B1FF-668655104D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EARNINGS BEFORE TAXES
</t>
      </text>
    </comment>
    <comment ref="B19" authorId="5" shapeId="0" xr:uid="{F50969C0-415A-4BEA-A1B5-1A385ACE61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¿¿¿Negativo???
</t>
      </text>
    </comment>
    <comment ref="B24" authorId="6" shapeId="0" xr:uid="{E905779F-378C-406E-A833-34E7E3EE9C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¿Cómo obtener esto?
Net Profit/Total Controlling Number of shares
</t>
      </text>
    </comment>
  </commentList>
</comments>
</file>

<file path=xl/sharedStrings.xml><?xml version="1.0" encoding="utf-8"?>
<sst xmlns="http://schemas.openxmlformats.org/spreadsheetml/2006/main" count="91" uniqueCount="85">
  <si>
    <t>Name</t>
  </si>
  <si>
    <t>CADU</t>
  </si>
  <si>
    <t>Key Points</t>
  </si>
  <si>
    <t>Current Price</t>
  </si>
  <si>
    <t>Terminal Growth Rate</t>
  </si>
  <si>
    <t>Marker risk premium</t>
  </si>
  <si>
    <t>Risk-Free Rate</t>
  </si>
  <si>
    <t>WACC</t>
  </si>
  <si>
    <t>Fair Price</t>
  </si>
  <si>
    <t xml:space="preserve">Apreciation </t>
  </si>
  <si>
    <t>EV</t>
  </si>
  <si>
    <t>DCF</t>
  </si>
  <si>
    <t>Ownership:</t>
  </si>
  <si>
    <t>Investigar</t>
  </si>
  <si>
    <t>Acciones en circulacion</t>
  </si>
  <si>
    <t>Proporcion</t>
  </si>
  <si>
    <t>¿Ingresos financieros?</t>
  </si>
  <si>
    <t>Publico Inversionista</t>
  </si>
  <si>
    <t>¿Gastos Financieros?</t>
  </si>
  <si>
    <t>Fondo de recompra</t>
  </si>
  <si>
    <t>Mayoritarios</t>
  </si>
  <si>
    <t>Assets</t>
  </si>
  <si>
    <t>FY 15</t>
  </si>
  <si>
    <t>FY 16</t>
  </si>
  <si>
    <t>FY 17</t>
  </si>
  <si>
    <t>FY18</t>
  </si>
  <si>
    <t>FY19</t>
  </si>
  <si>
    <t>FY20</t>
  </si>
  <si>
    <t>FY21</t>
  </si>
  <si>
    <t>FY22</t>
  </si>
  <si>
    <t>FY23</t>
  </si>
  <si>
    <t>FY24 (est)</t>
  </si>
  <si>
    <t>FY25 (est)</t>
  </si>
  <si>
    <t>FY26 (est)</t>
  </si>
  <si>
    <t>Stock Price</t>
  </si>
  <si>
    <t>Net Income</t>
  </si>
  <si>
    <t>Market Cap</t>
  </si>
  <si>
    <t>Growth</t>
  </si>
  <si>
    <t>Debt</t>
  </si>
  <si>
    <t>EBIT</t>
  </si>
  <si>
    <t>Cash</t>
  </si>
  <si>
    <t>Margin</t>
  </si>
  <si>
    <t>D&amp;A</t>
  </si>
  <si>
    <t>Book Value</t>
  </si>
  <si>
    <t>Net Capex</t>
  </si>
  <si>
    <t>Mngmt. Ownership</t>
  </si>
  <si>
    <t>Minorities</t>
  </si>
  <si>
    <t>Price to book value</t>
  </si>
  <si>
    <t>Cash NOPAT</t>
  </si>
  <si>
    <t>Shares ost</t>
  </si>
  <si>
    <t>EV/NOPAT</t>
  </si>
  <si>
    <t>ROTC</t>
  </si>
  <si>
    <t>Dudas:</t>
  </si>
  <si>
    <t>Hay dos tipos de inventarios inmobiliarios</t>
  </si>
  <si>
    <t>Circulante</t>
  </si>
  <si>
    <t>No circulante</t>
  </si>
  <si>
    <t>¿En que cambia la calisifiacion de estos inventarios inmobiliarios?</t>
  </si>
  <si>
    <t>INCOME STATEMENT</t>
  </si>
  <si>
    <t>Historical</t>
  </si>
  <si>
    <t>Projected</t>
  </si>
  <si>
    <t>2023 Q1</t>
  </si>
  <si>
    <t>2023 Q2</t>
  </si>
  <si>
    <t>2023 Q3</t>
  </si>
  <si>
    <t>Comentarios</t>
  </si>
  <si>
    <t>Ingresos</t>
  </si>
  <si>
    <t>Consto de venta</t>
  </si>
  <si>
    <t>Utilidad bruta</t>
  </si>
  <si>
    <t>% Change</t>
  </si>
  <si>
    <t xml:space="preserve">Gastos de venta </t>
  </si>
  <si>
    <t>Gastos administrativos</t>
  </si>
  <si>
    <t>Otros Ingresos</t>
  </si>
  <si>
    <t>Otros Fastos</t>
  </si>
  <si>
    <t>Utilidad Operativa</t>
  </si>
  <si>
    <t>Ingresos Financieros</t>
  </si>
  <si>
    <t>Gastos Financieros</t>
  </si>
  <si>
    <t>EBT</t>
  </si>
  <si>
    <t>Impuestos a la utilidad</t>
  </si>
  <si>
    <t>Utilidad de operaciones continuas</t>
  </si>
  <si>
    <t>Utilidad de operaciones discontinuas</t>
  </si>
  <si>
    <t>Net Profit</t>
  </si>
  <si>
    <t>Utilidad atribuible a la participacion controladora</t>
  </si>
  <si>
    <t>Utilidad atribuible a la participacion NO controladora</t>
  </si>
  <si>
    <t xml:space="preserve"> </t>
  </si>
  <si>
    <t>Parte Controladora</t>
  </si>
  <si>
    <t>Parte no Controladora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</si>
</sst>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%"/>
    <numFmt numFmtId="165" formatCode="_-[$$-409]* #,##0.00_ ;_-[$$-409]* \-#,##0.00\ ;_-[$$-409]* &quot;-&quot;??_ ;_-@_ "/>
    <numFmt numFmtId="166" formatCode="&quot;$&quot;#,##0.00"/>
    <numFmt numFmtId="168" formatCode="_-[$$-409]* #,##0.000000_ ;_-[$$-409]* \-#,##0.000000\ ;_-[$$-409]* &quot;-&quot;??_ ;_-@_ "/>
    <numFmt numFmtId="172" formatCode="_-[$$-409]* #,##0_ ;_-[$$-409]* \-#,##0\ ;_-[$$-409]* &quot;-&quot;??_ ;_-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43" fontId="0" fillId="0" borderId="0" xfId="1" applyFont="1"/>
    <xf numFmtId="0" fontId="0" fillId="3" borderId="1" xfId="0" applyFill="1" applyBorder="1"/>
    <xf numFmtId="164" fontId="0" fillId="0" borderId="0" xfId="2" applyNumberFormat="1" applyFont="1"/>
    <xf numFmtId="0" fontId="0" fillId="4" borderId="4" xfId="0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5" borderId="1" xfId="0" applyFill="1" applyBorder="1" applyAlignment="1">
      <alignment vertical="top"/>
    </xf>
    <xf numFmtId="0" fontId="0" fillId="5" borderId="5" xfId="0" applyFill="1" applyBorder="1"/>
    <xf numFmtId="0" fontId="0" fillId="5" borderId="1" xfId="0" applyFill="1" applyBorder="1"/>
    <xf numFmtId="0" fontId="0" fillId="5" borderId="0" xfId="0" applyFill="1"/>
    <xf numFmtId="165" fontId="0" fillId="0" borderId="0" xfId="0" applyNumberFormat="1"/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3" borderId="0" xfId="0" applyNumberFormat="1" applyFill="1"/>
    <xf numFmtId="165" fontId="0" fillId="4" borderId="0" xfId="1" applyNumberFormat="1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165" fontId="0" fillId="0" borderId="6" xfId="0" applyNumberFormat="1" applyBorder="1"/>
    <xf numFmtId="165" fontId="0" fillId="0" borderId="6" xfId="0" applyNumberFormat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/>
    <xf numFmtId="9" fontId="0" fillId="0" borderId="0" xfId="0" applyNumberFormat="1"/>
    <xf numFmtId="10" fontId="0" fillId="0" borderId="0" xfId="0" applyNumberFormat="1" applyAlignment="1">
      <alignment horizontal="center"/>
    </xf>
    <xf numFmtId="166" fontId="0" fillId="4" borderId="0" xfId="0" applyNumberFormat="1" applyFill="1"/>
    <xf numFmtId="168" fontId="0" fillId="0" borderId="0" xfId="0" applyNumberFormat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172" fontId="0" fillId="0" borderId="0" xfId="0" applyNumberFormat="1" applyAlignment="1">
      <alignment horizontal="center"/>
    </xf>
    <xf numFmtId="172" fontId="2" fillId="0" borderId="0" xfId="0" applyNumberFormat="1" applyFont="1" applyAlignment="1">
      <alignment horizontal="center"/>
    </xf>
    <xf numFmtId="0" fontId="0" fillId="0" borderId="0" xfId="0" applyNumberFormat="1"/>
    <xf numFmtId="172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9525</xdr:rowOff>
    </xdr:from>
    <xdr:to>
      <xdr:col>5</xdr:col>
      <xdr:colOff>381000</xdr:colOff>
      <xdr:row>4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6A989B-5BB6-4FA3-B950-A82061B21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9450" y="200025"/>
          <a:ext cx="1905000" cy="6762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rancisco Javier Vargas Fentanes" id="{BE13E6E0-65EC-40A2-A0A2-6B86F5F03A33}" userId="S::fvfentanes@finamex.com.mx::169905d3-5917-40ba-8d1d-5fb8e3e9e6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3-12-13T17:43:21.53" personId="{BE13E6E0-65EC-40A2-A0A2-6B86F5F03A33}" id="{13FF37B9-0C7B-45AE-B810-7D425BB43679}">
    <text xml:space="preserve">Gross Profit Margin
</text>
  </threadedComment>
  <threadedComment ref="C10" dT="2023-12-14T17:50:21.24" personId="{BE13E6E0-65EC-40A2-A0A2-6B86F5F03A33}" id="{D7651FF8-F974-4854-A105-78DB702555C2}">
    <text>Este lo calsifican como General Expenses</text>
  </threadedComment>
  <threadedComment ref="B15" dT="2023-12-13T17:46:03.79" personId="{BE13E6E0-65EC-40A2-A0A2-6B86F5F03A33}" id="{86E2C574-0455-408A-B3BC-0E4EE0756910}">
    <text>Ingresos financieros??</text>
  </threadedComment>
  <threadedComment ref="B16" dT="2023-12-13T17:46:58.03" personId="{BE13E6E0-65EC-40A2-A0A2-6B86F5F03A33}" id="{F081CEDF-FA39-447B-8421-21928EFE0481}">
    <text xml:space="preserve">Que gastos?
</text>
  </threadedComment>
  <threadedComment ref="B17" dT="2023-12-13T17:47:21.90" personId="{BE13E6E0-65EC-40A2-A0A2-6B86F5F03A33}" id="{BC98F5E3-CC9B-4035-B1FF-668655104D94}">
    <text xml:space="preserve">EARNINGS BEFORE TAXES
</text>
  </threadedComment>
  <threadedComment ref="B19" dT="2023-12-13T17:49:25.63" personId="{BE13E6E0-65EC-40A2-A0A2-6B86F5F03A33}" id="{F50969C0-415A-4BEA-A1B5-1A385ACE6167}">
    <text xml:space="preserve">¿¿¿Negativo???
</text>
  </threadedComment>
  <threadedComment ref="B24" dT="2023-12-13T17:53:21.43" personId="{BE13E6E0-65EC-40A2-A0A2-6B86F5F03A33}" id="{E905779F-378C-406E-A833-34E7E3EE9C78}">
    <text xml:space="preserve">¿Cómo obtener esto?
Net Profit/Total Controlling Number of shares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525A-F8F5-4679-AEBE-1637D248599F}">
  <dimension ref="B2:K16"/>
  <sheetViews>
    <sheetView topLeftCell="A5" workbookViewId="0">
      <selection activeCell="B22" sqref="B22"/>
    </sheetView>
  </sheetViews>
  <sheetFormatPr defaultColWidth="11.42578125" defaultRowHeight="15"/>
  <cols>
    <col min="2" max="2" width="21.7109375" bestFit="1" customWidth="1"/>
    <col min="3" max="3" width="15.140625" bestFit="1" customWidth="1"/>
  </cols>
  <sheetData>
    <row r="2" spans="2:11">
      <c r="B2" s="14" t="s">
        <v>0</v>
      </c>
      <c r="C2" s="1" t="s">
        <v>1</v>
      </c>
      <c r="J2" s="5" t="s">
        <v>2</v>
      </c>
    </row>
    <row r="3" spans="2:11">
      <c r="B3" s="14" t="s">
        <v>3</v>
      </c>
      <c r="C3" s="1">
        <v>2.86</v>
      </c>
    </row>
    <row r="4" spans="2:11">
      <c r="B4" s="15" t="s">
        <v>4</v>
      </c>
    </row>
    <row r="5" spans="2:11">
      <c r="B5" s="15" t="s">
        <v>5</v>
      </c>
    </row>
    <row r="6" spans="2:11">
      <c r="B6" s="15" t="s">
        <v>6</v>
      </c>
    </row>
    <row r="7" spans="2:11">
      <c r="B7" s="15" t="s">
        <v>7</v>
      </c>
    </row>
    <row r="8" spans="2:11">
      <c r="B8" s="15" t="s">
        <v>8</v>
      </c>
    </row>
    <row r="9" spans="2:11">
      <c r="B9" s="15" t="s">
        <v>9</v>
      </c>
    </row>
    <row r="10" spans="2:11">
      <c r="B10" s="16" t="s">
        <v>10</v>
      </c>
    </row>
    <row r="11" spans="2:11">
      <c r="B11" s="16" t="s">
        <v>11</v>
      </c>
    </row>
    <row r="12" spans="2:11" ht="15.75" thickBot="1">
      <c r="B12" s="16" t="s">
        <v>12</v>
      </c>
      <c r="J12" t="s">
        <v>13</v>
      </c>
    </row>
    <row r="13" spans="2:11" ht="15.75" thickBot="1">
      <c r="B13" s="16" t="s">
        <v>14</v>
      </c>
      <c r="C13" s="6">
        <v>319172265</v>
      </c>
      <c r="D13" s="9" t="s">
        <v>15</v>
      </c>
      <c r="K13" t="s">
        <v>16</v>
      </c>
    </row>
    <row r="14" spans="2:11">
      <c r="B14" s="17" t="s">
        <v>17</v>
      </c>
      <c r="C14" s="6">
        <v>87714819</v>
      </c>
      <c r="D14" s="8">
        <f>C14/$C$13</f>
        <v>0.27481967770601873</v>
      </c>
      <c r="K14" t="s">
        <v>18</v>
      </c>
    </row>
    <row r="15" spans="2:11">
      <c r="B15" s="17" t="s">
        <v>19</v>
      </c>
      <c r="C15" s="6">
        <v>1720000</v>
      </c>
      <c r="D15" s="8">
        <f>C15/$C$13</f>
        <v>5.3889394180286938E-3</v>
      </c>
    </row>
    <row r="16" spans="2:11">
      <c r="B16" s="17" t="s">
        <v>20</v>
      </c>
      <c r="C16" s="6">
        <v>229737446</v>
      </c>
      <c r="D16" s="8">
        <f>C16/$C$13</f>
        <v>0.71979138287595257</v>
      </c>
    </row>
  </sheetData>
  <conditionalFormatting sqref="D14:D16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C583-7220-481F-A67F-A2FF859F78C0}">
  <dimension ref="B1:P23"/>
  <sheetViews>
    <sheetView tabSelected="1" topLeftCell="A2" workbookViewId="0">
      <selection activeCell="C13" sqref="C13"/>
    </sheetView>
  </sheetViews>
  <sheetFormatPr defaultRowHeight="15"/>
  <cols>
    <col min="2" max="2" width="18.28515625" bestFit="1" customWidth="1"/>
    <col min="3" max="3" width="19.7109375" bestFit="1" customWidth="1"/>
    <col min="5" max="10" width="16" bestFit="1" customWidth="1"/>
    <col min="11" max="11" width="16.5703125" bestFit="1" customWidth="1"/>
    <col min="12" max="16" width="16" bestFit="1" customWidth="1"/>
  </cols>
  <sheetData>
    <row r="1" spans="2:16" s="28" customFormat="1">
      <c r="B1" s="29" t="s">
        <v>21</v>
      </c>
      <c r="C1" s="40">
        <f>C4+C7</f>
        <v>11484000000</v>
      </c>
      <c r="E1" s="29" t="s">
        <v>22</v>
      </c>
      <c r="F1" s="29" t="s">
        <v>23</v>
      </c>
      <c r="G1" s="29" t="s">
        <v>24</v>
      </c>
      <c r="H1" s="29" t="s">
        <v>25</v>
      </c>
      <c r="I1" s="29" t="s">
        <v>26</v>
      </c>
      <c r="J1" s="29" t="s">
        <v>27</v>
      </c>
      <c r="K1" s="29" t="s">
        <v>28</v>
      </c>
      <c r="L1" s="29" t="s">
        <v>29</v>
      </c>
      <c r="M1" s="29" t="s">
        <v>30</v>
      </c>
      <c r="N1" s="29" t="s">
        <v>31</v>
      </c>
      <c r="O1" s="29" t="s">
        <v>32</v>
      </c>
      <c r="P1" s="29" t="s">
        <v>33</v>
      </c>
    </row>
    <row r="2" spans="2:16">
      <c r="B2" t="s">
        <v>34</v>
      </c>
      <c r="C2" s="28">
        <v>4.3</v>
      </c>
      <c r="D2" t="s">
        <v>35</v>
      </c>
      <c r="E2" s="30">
        <f>430029*1000</f>
        <v>430029000</v>
      </c>
      <c r="F2" s="30">
        <f>586587*1000</f>
        <v>586587000</v>
      </c>
      <c r="G2" s="30">
        <f>745521*1000</f>
        <v>745521000</v>
      </c>
      <c r="H2" s="30">
        <f>829562*1000</f>
        <v>829562000</v>
      </c>
      <c r="I2" s="30">
        <f>552253*1000</f>
        <v>552253000</v>
      </c>
      <c r="J2" s="33">
        <f>137698*1000</f>
        <v>137698000</v>
      </c>
      <c r="K2" s="30">
        <f>-100523*1000</f>
        <v>-100523000</v>
      </c>
      <c r="L2" s="33">
        <f>259276*1000</f>
        <v>259276000</v>
      </c>
      <c r="M2" s="30">
        <f>302000*1000</f>
        <v>302000000</v>
      </c>
      <c r="N2" s="30">
        <f>M2*(1+0.1)</f>
        <v>332200000</v>
      </c>
      <c r="O2" s="30">
        <f>N2*(1+0.1)</f>
        <v>365420000</v>
      </c>
      <c r="P2" s="30">
        <f>O2*(1+0.1)</f>
        <v>401962000.00000006</v>
      </c>
    </row>
    <row r="3" spans="2:16">
      <c r="B3" t="s">
        <v>36</v>
      </c>
      <c r="C3" s="41">
        <f>1481*1000000</f>
        <v>1481000000</v>
      </c>
      <c r="D3" t="s">
        <v>37</v>
      </c>
      <c r="E3" s="31"/>
      <c r="F3" s="31">
        <f>(F2-E2)/E2</f>
        <v>0.36406381895174511</v>
      </c>
      <c r="G3" s="31">
        <f>(G2-F2)/F2</f>
        <v>0.27094702064655368</v>
      </c>
      <c r="H3" s="31">
        <f>(H2-G2)/G2</f>
        <v>0.11272787755140365</v>
      </c>
      <c r="I3" s="31">
        <f>(I2-H2)/H2</f>
        <v>-0.33428363401409417</v>
      </c>
      <c r="J3" s="31">
        <f>(J2-I2)/I2</f>
        <v>-0.7506613816493527</v>
      </c>
      <c r="K3" s="31">
        <f>(K2-J2)/J2</f>
        <v>-1.7300251274528315</v>
      </c>
      <c r="L3" s="31">
        <f>-(L2-K2)/K2</f>
        <v>3.5792704157257544</v>
      </c>
      <c r="M3" s="31">
        <f>(M2-L2)/L2</f>
        <v>0.16478193122386955</v>
      </c>
      <c r="N3" s="31">
        <f>(N2-M2)/M2</f>
        <v>0.1</v>
      </c>
      <c r="O3" s="31">
        <f>(O2-N2)/N2</f>
        <v>0.1</v>
      </c>
      <c r="P3" s="31">
        <f>(P2-O2)/O2</f>
        <v>0.10000000000000016</v>
      </c>
    </row>
    <row r="4" spans="2:16">
      <c r="B4" t="s">
        <v>38</v>
      </c>
      <c r="C4" s="41">
        <f>6142*1000000</f>
        <v>6142000000</v>
      </c>
      <c r="D4" t="s">
        <v>39</v>
      </c>
    </row>
    <row r="5" spans="2:16">
      <c r="B5" t="s">
        <v>40</v>
      </c>
      <c r="C5" s="41">
        <v>431624</v>
      </c>
      <c r="D5" t="s">
        <v>41</v>
      </c>
    </row>
    <row r="6" spans="2:16">
      <c r="B6" t="s">
        <v>10</v>
      </c>
      <c r="C6" s="41">
        <f>C3+C4-C5</f>
        <v>7622568376</v>
      </c>
      <c r="D6" t="s">
        <v>42</v>
      </c>
    </row>
    <row r="7" spans="2:16">
      <c r="B7" t="s">
        <v>43</v>
      </c>
      <c r="C7" s="41">
        <f>5342*1000000</f>
        <v>5342000000</v>
      </c>
      <c r="D7" t="s">
        <v>44</v>
      </c>
    </row>
    <row r="8" spans="2:16">
      <c r="B8" t="s">
        <v>45</v>
      </c>
      <c r="C8" s="32">
        <v>0.7198</v>
      </c>
      <c r="D8" t="s">
        <v>46</v>
      </c>
    </row>
    <row r="9" spans="2:16">
      <c r="B9" t="s">
        <v>47</v>
      </c>
      <c r="C9" s="42">
        <f>C3/C7</f>
        <v>0.27723698989142642</v>
      </c>
      <c r="D9" t="s">
        <v>48</v>
      </c>
    </row>
    <row r="10" spans="2:16">
      <c r="B10" t="s">
        <v>49</v>
      </c>
      <c r="C10" s="43">
        <f>C3/C2</f>
        <v>344418604.6511628</v>
      </c>
      <c r="D10" s="35" t="s">
        <v>50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</row>
    <row r="11" spans="2:16">
      <c r="E11" s="34">
        <f>E2/$C$3</f>
        <v>0.29036394328156651</v>
      </c>
      <c r="F11" s="34">
        <f>F2/$C$3</f>
        <v>0.39607494935854154</v>
      </c>
      <c r="G11" s="34">
        <f>G2/$C$3</f>
        <v>0.50339027683997295</v>
      </c>
      <c r="H11" s="34">
        <f>H2/$C$3</f>
        <v>0.56013639432815665</v>
      </c>
      <c r="I11" s="34">
        <f>I2/$C$3</f>
        <v>0.37289196488858878</v>
      </c>
      <c r="J11" s="34">
        <f>J2/$C$3</f>
        <v>9.2976367319378792E-2</v>
      </c>
      <c r="K11" s="34">
        <f t="shared" ref="K11:P11" si="0">K2/$C$3</f>
        <v>-6.7875084402430785E-2</v>
      </c>
      <c r="L11" s="34">
        <f t="shared" si="0"/>
        <v>0.17506819716407832</v>
      </c>
      <c r="M11" s="34">
        <f t="shared" si="0"/>
        <v>0.20391627278865632</v>
      </c>
      <c r="N11" s="34">
        <f t="shared" si="0"/>
        <v>0.22430790006752194</v>
      </c>
      <c r="O11" s="34">
        <f t="shared" si="0"/>
        <v>0.24673869007427415</v>
      </c>
      <c r="P11" s="34">
        <f t="shared" si="0"/>
        <v>0.27141255908170159</v>
      </c>
    </row>
    <row r="12" spans="2:16">
      <c r="B12" t="s">
        <v>51</v>
      </c>
      <c r="E12" s="31">
        <f>0.29/17.45</f>
        <v>1.66189111747851E-2</v>
      </c>
    </row>
    <row r="13" spans="2:16">
      <c r="F13" s="30">
        <f>(F2-E2)/E2</f>
        <v>0.36406381895174511</v>
      </c>
    </row>
    <row r="14" spans="2:16">
      <c r="C14" s="43">
        <f>C3*2</f>
        <v>2962000000</v>
      </c>
    </row>
    <row r="15" spans="2:16">
      <c r="C15">
        <f>C14/C10</f>
        <v>8.6</v>
      </c>
    </row>
    <row r="17" spans="2:4">
      <c r="C17" s="31">
        <f>(8.6-4.3)/4.3</f>
        <v>1</v>
      </c>
      <c r="D17" s="31">
        <f>C17/5</f>
        <v>0.2</v>
      </c>
    </row>
    <row r="19" spans="2:4">
      <c r="B19" t="s">
        <v>52</v>
      </c>
    </row>
    <row r="20" spans="2:4">
      <c r="B20" t="s">
        <v>53</v>
      </c>
    </row>
    <row r="21" spans="2:4">
      <c r="B21" t="s">
        <v>54</v>
      </c>
    </row>
    <row r="22" spans="2:4">
      <c r="B22" t="s">
        <v>55</v>
      </c>
    </row>
    <row r="23" spans="2:4">
      <c r="B2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B6DB-A59F-4875-8CB0-3C12D39264D2}">
  <dimension ref="A1:S29"/>
  <sheetViews>
    <sheetView workbookViewId="0">
      <selection activeCell="C8" sqref="C8"/>
    </sheetView>
  </sheetViews>
  <sheetFormatPr defaultColWidth="11.42578125" defaultRowHeight="15"/>
  <cols>
    <col min="2" max="2" width="48.42578125" bestFit="1" customWidth="1"/>
    <col min="3" max="3" width="14.7109375" style="18" bestFit="1" customWidth="1"/>
    <col min="4" max="7" width="5.42578125" style="18" bestFit="1" customWidth="1"/>
    <col min="8" max="9" width="8.42578125" style="18" bestFit="1" customWidth="1"/>
    <col min="10" max="10" width="18.7109375" style="18" bestFit="1" customWidth="1"/>
  </cols>
  <sheetData>
    <row r="1" spans="1:19" s="17" customFormat="1">
      <c r="A1" s="38" t="s">
        <v>57</v>
      </c>
      <c r="B1" s="38"/>
    </row>
    <row r="2" spans="1:19" s="17" customFormat="1">
      <c r="A2" s="38"/>
      <c r="B2" s="38"/>
    </row>
    <row r="3" spans="1:19">
      <c r="B3" s="2"/>
      <c r="C3" s="10" t="s">
        <v>58</v>
      </c>
      <c r="D3"/>
      <c r="E3"/>
      <c r="F3"/>
      <c r="G3"/>
      <c r="H3"/>
      <c r="I3"/>
      <c r="J3"/>
      <c r="K3" s="10" t="s">
        <v>59</v>
      </c>
    </row>
    <row r="4" spans="1:19">
      <c r="A4" s="3"/>
      <c r="B4" s="4"/>
      <c r="C4" s="3">
        <v>2018</v>
      </c>
      <c r="D4" s="3">
        <v>2019</v>
      </c>
      <c r="E4" s="3">
        <v>2020</v>
      </c>
      <c r="F4" s="3">
        <v>2021</v>
      </c>
      <c r="G4" s="3">
        <v>2022</v>
      </c>
      <c r="H4" s="3" t="s">
        <v>60</v>
      </c>
      <c r="I4" s="3" t="s">
        <v>61</v>
      </c>
      <c r="J4" s="3" t="s">
        <v>60</v>
      </c>
      <c r="K4" s="3" t="s">
        <v>61</v>
      </c>
      <c r="L4" s="3" t="s">
        <v>62</v>
      </c>
      <c r="M4" s="3">
        <v>2024</v>
      </c>
      <c r="N4" s="3">
        <v>2025</v>
      </c>
      <c r="O4" s="3">
        <v>2026</v>
      </c>
      <c r="P4" s="3">
        <v>2027</v>
      </c>
      <c r="Q4" s="3">
        <v>2028</v>
      </c>
      <c r="R4" s="3"/>
      <c r="S4" s="11" t="s">
        <v>63</v>
      </c>
    </row>
    <row r="5" spans="1:19">
      <c r="B5" s="2" t="s">
        <v>64</v>
      </c>
      <c r="C5" s="18">
        <v>4625572</v>
      </c>
      <c r="J5" s="19">
        <v>1022559000</v>
      </c>
    </row>
    <row r="6" spans="1:19">
      <c r="B6" s="2" t="s">
        <v>65</v>
      </c>
      <c r="C6" s="18">
        <v>3163806</v>
      </c>
      <c r="J6" s="20">
        <v>743461000</v>
      </c>
    </row>
    <row r="7" spans="1:19">
      <c r="B7" s="7" t="s">
        <v>66</v>
      </c>
      <c r="C7" s="27">
        <f>C5-C6</f>
        <v>1461766</v>
      </c>
      <c r="D7" s="21"/>
      <c r="E7" s="21"/>
      <c r="F7" s="21"/>
      <c r="G7" s="21"/>
      <c r="H7" s="21"/>
      <c r="I7" s="21"/>
      <c r="J7" s="20">
        <f>J5-J6</f>
        <v>279098000</v>
      </c>
    </row>
    <row r="8" spans="1:19">
      <c r="B8" s="7" t="s">
        <v>67</v>
      </c>
      <c r="C8" s="21"/>
      <c r="D8" s="21"/>
      <c r="E8" s="21"/>
      <c r="F8" s="21"/>
      <c r="G8" s="21"/>
      <c r="H8" s="21"/>
      <c r="I8" s="21"/>
      <c r="J8" s="20"/>
    </row>
    <row r="9" spans="1:19">
      <c r="B9" s="2" t="s">
        <v>68</v>
      </c>
      <c r="J9" s="20">
        <v>86136000</v>
      </c>
    </row>
    <row r="10" spans="1:19">
      <c r="B10" s="2" t="s">
        <v>69</v>
      </c>
      <c r="C10" s="18">
        <v>521386</v>
      </c>
      <c r="J10" s="20">
        <v>103902000</v>
      </c>
    </row>
    <row r="11" spans="1:19">
      <c r="B11" s="2" t="s">
        <v>70</v>
      </c>
      <c r="J11" s="20">
        <v>0</v>
      </c>
    </row>
    <row r="12" spans="1:19">
      <c r="B12" s="2" t="s">
        <v>71</v>
      </c>
      <c r="J12" s="20">
        <v>0</v>
      </c>
    </row>
    <row r="13" spans="1:19">
      <c r="B13" s="7" t="s">
        <v>72</v>
      </c>
      <c r="C13" s="21">
        <f>C7-C10</f>
        <v>940380</v>
      </c>
      <c r="D13" s="21"/>
      <c r="E13" s="21"/>
      <c r="F13" s="21"/>
      <c r="G13" s="21"/>
      <c r="H13" s="21"/>
      <c r="I13" s="21"/>
      <c r="J13" s="20">
        <f>J7-J9-J10</f>
        <v>89060000</v>
      </c>
    </row>
    <row r="14" spans="1:19">
      <c r="B14" s="7" t="s">
        <v>67</v>
      </c>
      <c r="C14" s="21"/>
      <c r="D14" s="21"/>
      <c r="E14" s="21"/>
      <c r="F14" s="21"/>
      <c r="G14" s="21"/>
      <c r="H14" s="21"/>
      <c r="I14" s="21"/>
      <c r="J14" s="20"/>
    </row>
    <row r="15" spans="1:19">
      <c r="B15" s="2" t="s">
        <v>73</v>
      </c>
      <c r="C15" s="18">
        <f>1629+34753</f>
        <v>36382</v>
      </c>
      <c r="J15" s="19">
        <v>6866000</v>
      </c>
    </row>
    <row r="16" spans="1:19">
      <c r="B16" s="2" t="s">
        <v>74</v>
      </c>
      <c r="C16" s="18">
        <v>36316</v>
      </c>
      <c r="J16" s="19">
        <v>36961000</v>
      </c>
    </row>
    <row r="17" spans="2:11">
      <c r="B17" s="7" t="s">
        <v>75</v>
      </c>
      <c r="C17" s="21">
        <f>C15-C16+C13</f>
        <v>940446</v>
      </c>
      <c r="D17" s="21"/>
      <c r="E17" s="21"/>
      <c r="F17" s="21"/>
      <c r="G17" s="21"/>
      <c r="H17" s="21"/>
      <c r="I17" s="21"/>
      <c r="J17" s="19">
        <f>J13+J15-J16</f>
        <v>58965000</v>
      </c>
    </row>
    <row r="18" spans="2:11">
      <c r="B18" s="7" t="s">
        <v>67</v>
      </c>
      <c r="C18" s="21"/>
      <c r="D18" s="21"/>
      <c r="E18" s="21"/>
      <c r="F18" s="21"/>
      <c r="G18" s="21"/>
      <c r="H18" s="21"/>
      <c r="I18" s="21"/>
      <c r="J18" s="19"/>
    </row>
    <row r="19" spans="2:11">
      <c r="B19" s="2" t="s">
        <v>76</v>
      </c>
      <c r="C19" s="18">
        <v>110884</v>
      </c>
      <c r="J19" s="19">
        <v>-52970000</v>
      </c>
    </row>
    <row r="20" spans="2:11">
      <c r="B20" s="2" t="s">
        <v>77</v>
      </c>
      <c r="J20" s="22">
        <v>111935000</v>
      </c>
    </row>
    <row r="21" spans="2:11">
      <c r="B21" s="2" t="s">
        <v>78</v>
      </c>
      <c r="J21" s="19">
        <v>0</v>
      </c>
    </row>
    <row r="22" spans="2:11">
      <c r="B22" s="7" t="s">
        <v>79</v>
      </c>
      <c r="C22" s="21">
        <f>C17-C19</f>
        <v>829562</v>
      </c>
      <c r="D22" s="21"/>
      <c r="E22" s="21"/>
      <c r="F22" s="21"/>
      <c r="G22" s="21"/>
      <c r="H22" s="21"/>
      <c r="I22" s="21"/>
      <c r="J22" s="23">
        <f>J17-J19</f>
        <v>111935000</v>
      </c>
      <c r="K22">
        <f>J24/J22</f>
        <v>0.98106937061687582</v>
      </c>
    </row>
    <row r="23" spans="2:11">
      <c r="B23" s="7" t="s">
        <v>67</v>
      </c>
      <c r="C23" s="21"/>
      <c r="D23" s="21"/>
      <c r="E23" s="21"/>
      <c r="F23" s="21"/>
      <c r="G23" s="21"/>
      <c r="H23" s="21"/>
      <c r="I23" s="21"/>
      <c r="J23" s="23"/>
    </row>
    <row r="24" spans="2:11">
      <c r="B24" s="2" t="s">
        <v>80</v>
      </c>
      <c r="J24" s="24">
        <v>109816000</v>
      </c>
    </row>
    <row r="25" spans="2:11" s="12" customFormat="1">
      <c r="B25" s="13" t="s">
        <v>81</v>
      </c>
      <c r="C25" s="25"/>
      <c r="D25" s="25"/>
      <c r="E25" s="25"/>
      <c r="F25" s="25"/>
      <c r="G25" s="25"/>
      <c r="H25" s="25"/>
      <c r="I25" s="25"/>
      <c r="J25" s="26">
        <v>2119000</v>
      </c>
    </row>
    <row r="26" spans="2:11">
      <c r="B26" t="s">
        <v>82</v>
      </c>
    </row>
    <row r="28" spans="2:11">
      <c r="B28" t="s">
        <v>83</v>
      </c>
      <c r="J28" s="18">
        <f>J24/J22</f>
        <v>0.98106937061687582</v>
      </c>
    </row>
    <row r="29" spans="2:11">
      <c r="B29" t="s">
        <v>84</v>
      </c>
      <c r="J29" s="18">
        <f>J25/J22</f>
        <v>1.8930629383124134E-2</v>
      </c>
    </row>
  </sheetData>
  <mergeCells count="1">
    <mergeCell ref="A1:B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8924-E126-4566-A985-8B39D2DDF770}">
  <dimension ref="A1:B2"/>
  <sheetViews>
    <sheetView workbookViewId="0">
      <selection sqref="A1:B2"/>
    </sheetView>
  </sheetViews>
  <sheetFormatPr defaultColWidth="11.42578125" defaultRowHeight="15"/>
  <sheetData>
    <row r="1" spans="1:2" s="17" customFormat="1">
      <c r="A1" s="39"/>
      <c r="B1" s="39"/>
    </row>
    <row r="2" spans="1:2" s="17" customFormat="1">
      <c r="A2" s="39"/>
      <c r="B2" s="39"/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6E97-7A47-422B-B968-B404F3D45FAA}">
  <dimension ref="A1:B2"/>
  <sheetViews>
    <sheetView workbookViewId="0">
      <selection sqref="A1:B2"/>
    </sheetView>
  </sheetViews>
  <sheetFormatPr defaultColWidth="11.42578125" defaultRowHeight="15"/>
  <sheetData>
    <row r="1" spans="1:2" s="17" customFormat="1">
      <c r="A1" s="39"/>
      <c r="B1" s="39"/>
    </row>
    <row r="2" spans="1:2" s="17" customFormat="1">
      <c r="A2" s="39"/>
      <c r="B2" s="39"/>
    </row>
  </sheetData>
  <mergeCells count="1">
    <mergeCell ref="A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8B8-771F-4B23-BF75-C339BEA4BC41}">
  <dimension ref="A1:B2"/>
  <sheetViews>
    <sheetView workbookViewId="0">
      <selection sqref="A1:B2"/>
    </sheetView>
  </sheetViews>
  <sheetFormatPr defaultRowHeight="15"/>
  <sheetData>
    <row r="1" spans="1:2" s="17" customFormat="1">
      <c r="A1" s="39"/>
      <c r="B1" s="39"/>
    </row>
    <row r="2" spans="1:2" s="17" customFormat="1">
      <c r="A2" s="39"/>
      <c r="B2" s="39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Javier Vargas Fentanes</dc:creator>
  <cp:keywords/>
  <dc:description/>
  <cp:lastModifiedBy>Francisco Javier Vargas Fentanes</cp:lastModifiedBy>
  <cp:revision/>
  <dcterms:created xsi:type="dcterms:W3CDTF">2023-12-13T16:02:53Z</dcterms:created>
  <dcterms:modified xsi:type="dcterms:W3CDTF">2024-04-26T23:52:37Z</dcterms:modified>
  <cp:category/>
  <cp:contentStatus/>
</cp:coreProperties>
</file>