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amex-my.sharepoint.com/personal/fvfentanes_finamex_com_mx/Documents/"/>
    </mc:Choice>
  </mc:AlternateContent>
  <xr:revisionPtr revIDLastSave="2501" documentId="11_9248B46DC1CBB2E3ED7FF6F9903E8C1851038383" xr6:coauthVersionLast="47" xr6:coauthVersionMax="47" xr10:uidLastSave="{99F17DE3-1F30-4745-BE11-5832EA77A870}"/>
  <bookViews>
    <workbookView xWindow="23880" yWindow="-120" windowWidth="24240" windowHeight="13020" firstSheet="5" xr2:uid="{00000000-000D-0000-FFFF-FFFF00000000}"/>
  </bookViews>
  <sheets>
    <sheet name="FIXED INCOME" sheetId="4" r:id="rId1"/>
    <sheet name="INGRESOS" sheetId="3" r:id="rId2"/>
    <sheet name="TRADING" sheetId="5" r:id="rId3"/>
    <sheet name="Bonos" sheetId="6" r:id="rId4"/>
    <sheet name="Trading Journal" sheetId="9" r:id="rId5"/>
    <sheet name="CARTERA" sheetId="10" r:id="rId6"/>
    <sheet name="Graficas" sheetId="1" r:id="rId7"/>
    <sheet name="Hoja1" sheetId="7" r:id="rId8"/>
    <sheet name="Hoja2" sheetId="8" r:id="rId9"/>
    <sheet name="Hoja3" sheetId="1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5" i="9" l="1"/>
  <c r="N137" i="9"/>
  <c r="N119" i="9"/>
  <c r="K141" i="9"/>
  <c r="K140" i="9"/>
  <c r="K139" i="9"/>
  <c r="K138" i="9"/>
  <c r="K137" i="9"/>
  <c r="K136" i="9"/>
  <c r="K135" i="9"/>
  <c r="K134" i="9"/>
  <c r="G140" i="9"/>
  <c r="E140" i="9"/>
  <c r="E141" i="9"/>
  <c r="H138" i="9"/>
  <c r="G138" i="9"/>
  <c r="E138" i="9"/>
  <c r="H137" i="9"/>
  <c r="E137" i="9"/>
  <c r="N117" i="9"/>
  <c r="G132" i="9"/>
  <c r="E132" i="9"/>
  <c r="L117" i="9"/>
  <c r="L118" i="9"/>
  <c r="L119" i="9"/>
  <c r="L121" i="9"/>
  <c r="L122" i="9"/>
  <c r="L124" i="9"/>
  <c r="L125" i="9"/>
  <c r="L127" i="9"/>
  <c r="L128" i="9"/>
  <c r="L130" i="9"/>
  <c r="L131" i="9"/>
  <c r="L132" i="9"/>
  <c r="L116" i="9"/>
  <c r="E153" i="9"/>
  <c r="H153" i="9" s="1"/>
  <c r="K153" i="9" s="1"/>
  <c r="E152" i="9"/>
  <c r="H152" i="9"/>
  <c r="K152" i="9" s="1"/>
  <c r="E151" i="9"/>
  <c r="H151" i="9" s="1"/>
  <c r="K151" i="9" s="1"/>
  <c r="E150" i="9"/>
  <c r="H150" i="9"/>
  <c r="K150" i="9" s="1"/>
  <c r="H149" i="9"/>
  <c r="K149" i="9" s="1"/>
  <c r="E148" i="9"/>
  <c r="H148" i="9" s="1"/>
  <c r="K148" i="9" s="1"/>
  <c r="H146" i="9"/>
  <c r="K146" i="9" s="1"/>
  <c r="E147" i="9"/>
  <c r="H147" i="9" s="1"/>
  <c r="K147" i="9" s="1"/>
  <c r="H145" i="9"/>
  <c r="K145" i="9" s="1"/>
  <c r="H144" i="9"/>
  <c r="K144" i="9" s="1"/>
  <c r="H140" i="9"/>
  <c r="H139" i="9"/>
  <c r="H136" i="9"/>
  <c r="H135" i="9"/>
  <c r="H132" i="9"/>
  <c r="H134" i="9"/>
  <c r="H141" i="9"/>
  <c r="H142" i="9"/>
  <c r="K142" i="9" s="1"/>
  <c r="H143" i="9"/>
  <c r="K143" i="9" s="1"/>
  <c r="F5" i="4"/>
  <c r="G5" i="4"/>
  <c r="H6" i="4"/>
  <c r="H131" i="9"/>
  <c r="K131" i="9" s="1"/>
  <c r="H130" i="9"/>
  <c r="K130" i="9" s="1"/>
  <c r="E129" i="9"/>
  <c r="H128" i="9"/>
  <c r="K128" i="9" s="1"/>
  <c r="H127" i="9"/>
  <c r="K127" i="9" s="1"/>
  <c r="E126" i="9"/>
  <c r="H125" i="9"/>
  <c r="K125" i="9" s="1"/>
  <c r="E120" i="9"/>
  <c r="L120" i="9" s="1"/>
  <c r="H124" i="9"/>
  <c r="K124" i="9" s="1"/>
  <c r="E123" i="9"/>
  <c r="H122" i="9"/>
  <c r="K122" i="9" s="1"/>
  <c r="H121" i="9"/>
  <c r="K121" i="9" s="1"/>
  <c r="H120" i="9"/>
  <c r="K120" i="9" s="1"/>
  <c r="H119" i="9"/>
  <c r="K119" i="9" s="1"/>
  <c r="H118" i="9"/>
  <c r="K118" i="9" s="1"/>
  <c r="H117" i="9"/>
  <c r="K117" i="9" s="1"/>
  <c r="H116" i="9"/>
  <c r="K116" i="9" s="1"/>
  <c r="D132" i="9"/>
  <c r="D117" i="9"/>
  <c r="F117" i="9" s="1"/>
  <c r="D118" i="9"/>
  <c r="F118" i="9" s="1"/>
  <c r="D119" i="9"/>
  <c r="F119" i="9" s="1"/>
  <c r="D120" i="9"/>
  <c r="F120" i="9" s="1"/>
  <c r="D121" i="9"/>
  <c r="F121" i="9" s="1"/>
  <c r="D122" i="9"/>
  <c r="F122" i="9" s="1"/>
  <c r="D123" i="9"/>
  <c r="F123" i="9" s="1"/>
  <c r="D124" i="9"/>
  <c r="F124" i="9" s="1"/>
  <c r="D125" i="9"/>
  <c r="F125" i="9" s="1"/>
  <c r="D126" i="9"/>
  <c r="F126" i="9" s="1"/>
  <c r="D128" i="9"/>
  <c r="D129" i="9"/>
  <c r="D130" i="9"/>
  <c r="D131" i="9"/>
  <c r="D116" i="9"/>
  <c r="F116" i="9" s="1"/>
  <c r="L106" i="9"/>
  <c r="L107" i="9"/>
  <c r="L108" i="9"/>
  <c r="L109" i="9"/>
  <c r="L111" i="9"/>
  <c r="L113" i="9"/>
  <c r="L114" i="9"/>
  <c r="L98" i="9"/>
  <c r="L99" i="9"/>
  <c r="L100" i="9"/>
  <c r="L101" i="9"/>
  <c r="L102" i="9"/>
  <c r="L103" i="9"/>
  <c r="E112" i="9"/>
  <c r="H113" i="9"/>
  <c r="K113" i="9" s="1"/>
  <c r="H114" i="9"/>
  <c r="K114" i="9" s="1"/>
  <c r="H111" i="9"/>
  <c r="K111" i="9" s="1"/>
  <c r="E110" i="9"/>
  <c r="H109" i="9"/>
  <c r="K109" i="9" s="1"/>
  <c r="C19" i="10"/>
  <c r="C7" i="10"/>
  <c r="F7" i="10"/>
  <c r="E7" i="10"/>
  <c r="F9" i="10"/>
  <c r="F20" i="10"/>
  <c r="F16" i="10"/>
  <c r="D19" i="10"/>
  <c r="F19" i="10" s="1"/>
  <c r="E19" i="10"/>
  <c r="F8" i="10"/>
  <c r="F10" i="10"/>
  <c r="F11" i="10"/>
  <c r="F12" i="10"/>
  <c r="F13" i="10"/>
  <c r="F14" i="10"/>
  <c r="F15" i="10"/>
  <c r="F21" i="10"/>
  <c r="E9" i="10"/>
  <c r="E8" i="10"/>
  <c r="E10" i="10"/>
  <c r="E11" i="10"/>
  <c r="E12" i="10"/>
  <c r="E13" i="10"/>
  <c r="E14" i="10"/>
  <c r="E15" i="10"/>
  <c r="E16" i="10"/>
  <c r="E20" i="10"/>
  <c r="E21" i="10"/>
  <c r="F6" i="10"/>
  <c r="F5" i="10"/>
  <c r="E6" i="10"/>
  <c r="E5" i="10"/>
  <c r="H108" i="9"/>
  <c r="K108" i="9" s="1"/>
  <c r="H107" i="9"/>
  <c r="K107" i="9" s="1"/>
  <c r="E104" i="9"/>
  <c r="L104" i="9" s="1"/>
  <c r="H104" i="9"/>
  <c r="K104" i="9" s="1"/>
  <c r="G105" i="9"/>
  <c r="H103" i="9"/>
  <c r="K103" i="9" s="1"/>
  <c r="H102" i="9"/>
  <c r="K102" i="9" s="1"/>
  <c r="H98" i="9"/>
  <c r="H99" i="9"/>
  <c r="H100" i="9"/>
  <c r="K100" i="9" s="1"/>
  <c r="J3" i="4"/>
  <c r="H3" i="4"/>
  <c r="G3" i="4"/>
  <c r="D24" i="4"/>
  <c r="H106" i="9"/>
  <c r="K106" i="9" s="1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9" i="9"/>
  <c r="L70" i="9"/>
  <c r="L72" i="9"/>
  <c r="L77" i="9"/>
  <c r="L78" i="9"/>
  <c r="L81" i="9"/>
  <c r="L82" i="9"/>
  <c r="L84" i="9"/>
  <c r="L86" i="9"/>
  <c r="L88" i="9"/>
  <c r="L89" i="9"/>
  <c r="L91" i="9"/>
  <c r="L93" i="9"/>
  <c r="L94" i="9"/>
  <c r="L95" i="9"/>
  <c r="L96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2" i="9"/>
  <c r="H101" i="9"/>
  <c r="K101" i="9" s="1"/>
  <c r="K99" i="9"/>
  <c r="E97" i="9"/>
  <c r="H96" i="9"/>
  <c r="H95" i="9"/>
  <c r="H94" i="9"/>
  <c r="H93" i="9"/>
  <c r="G92" i="9"/>
  <c r="E92" i="9"/>
  <c r="H92" i="9"/>
  <c r="H91" i="9"/>
  <c r="H89" i="9"/>
  <c r="H88" i="9"/>
  <c r="G87" i="9"/>
  <c r="E87" i="9"/>
  <c r="H86" i="9"/>
  <c r="G85" i="9"/>
  <c r="E85" i="9"/>
  <c r="H84" i="9"/>
  <c r="E83" i="9"/>
  <c r="L83" i="9" s="1"/>
  <c r="H83" i="9"/>
  <c r="H82" i="9"/>
  <c r="H81" i="9"/>
  <c r="K81" i="9"/>
  <c r="K82" i="9"/>
  <c r="K83" i="9"/>
  <c r="K84" i="9"/>
  <c r="K86" i="9"/>
  <c r="K88" i="9"/>
  <c r="K89" i="9"/>
  <c r="K91" i="9"/>
  <c r="K92" i="9"/>
  <c r="K93" i="9"/>
  <c r="K94" i="9"/>
  <c r="K95" i="9"/>
  <c r="K96" i="9"/>
  <c r="K98" i="9"/>
  <c r="E80" i="9"/>
  <c r="L80" i="9" s="1"/>
  <c r="H80" i="9"/>
  <c r="K80" i="9" s="1"/>
  <c r="E79" i="9"/>
  <c r="H78" i="9"/>
  <c r="K78" i="9" s="1"/>
  <c r="H77" i="9"/>
  <c r="K77" i="9"/>
  <c r="E76" i="9"/>
  <c r="L76" i="9" s="1"/>
  <c r="H76" i="9"/>
  <c r="K76" i="9" s="1"/>
  <c r="E75" i="9"/>
  <c r="E74" i="9"/>
  <c r="L74" i="9" s="1"/>
  <c r="P64" i="9"/>
  <c r="H70" i="9"/>
  <c r="E73" i="9"/>
  <c r="H74" i="9"/>
  <c r="K74" i="9" s="1"/>
  <c r="H72" i="9"/>
  <c r="K72" i="9" s="1"/>
  <c r="E71" i="9"/>
  <c r="H69" i="9"/>
  <c r="K69" i="9" s="1"/>
  <c r="E68" i="9"/>
  <c r="M57" i="9"/>
  <c r="H66" i="9"/>
  <c r="K66" i="9" s="1"/>
  <c r="H65" i="9"/>
  <c r="K65" i="9" s="1"/>
  <c r="H64" i="9"/>
  <c r="K64" i="9" s="1"/>
  <c r="H63" i="9"/>
  <c r="K63" i="9" s="1"/>
  <c r="H62" i="9"/>
  <c r="K62" i="9" s="1"/>
  <c r="H61" i="9"/>
  <c r="K61" i="9" s="1"/>
  <c r="H60" i="9"/>
  <c r="K60" i="9" s="1"/>
  <c r="H59" i="9"/>
  <c r="K59" i="9" s="1"/>
  <c r="H58" i="9"/>
  <c r="K58" i="9"/>
  <c r="H56" i="9"/>
  <c r="K56" i="9" s="1"/>
  <c r="H53" i="9"/>
  <c r="K53" i="9" s="1"/>
  <c r="H54" i="9"/>
  <c r="K54" i="9" s="1"/>
  <c r="H52" i="9"/>
  <c r="K52" i="9" s="1"/>
  <c r="H51" i="9"/>
  <c r="H57" i="9"/>
  <c r="K57" i="9" s="1"/>
  <c r="H55" i="9"/>
  <c r="K55" i="9" s="1"/>
  <c r="H3" i="9"/>
  <c r="K3" i="9" s="1"/>
  <c r="H4" i="9"/>
  <c r="K4" i="9" s="1"/>
  <c r="H5" i="9"/>
  <c r="K5" i="9" s="1"/>
  <c r="H6" i="9"/>
  <c r="K6" i="9" s="1"/>
  <c r="H7" i="9"/>
  <c r="K7" i="9" s="1"/>
  <c r="H8" i="9"/>
  <c r="K8" i="9" s="1"/>
  <c r="H9" i="9"/>
  <c r="K9" i="9" s="1"/>
  <c r="H10" i="9"/>
  <c r="K10" i="9" s="1"/>
  <c r="H11" i="9"/>
  <c r="K11" i="9" s="1"/>
  <c r="H12" i="9"/>
  <c r="K12" i="9" s="1"/>
  <c r="H13" i="9"/>
  <c r="K13" i="9" s="1"/>
  <c r="H14" i="9"/>
  <c r="K14" i="9" s="1"/>
  <c r="H15" i="9"/>
  <c r="K15" i="9" s="1"/>
  <c r="H16" i="9"/>
  <c r="K16" i="9" s="1"/>
  <c r="H17" i="9"/>
  <c r="K17" i="9" s="1"/>
  <c r="H18" i="9"/>
  <c r="K18" i="9" s="1"/>
  <c r="H19" i="9"/>
  <c r="K19" i="9" s="1"/>
  <c r="H20" i="9"/>
  <c r="K20" i="9" s="1"/>
  <c r="H21" i="9"/>
  <c r="K21" i="9" s="1"/>
  <c r="H22" i="9"/>
  <c r="K22" i="9" s="1"/>
  <c r="H23" i="9"/>
  <c r="K23" i="9" s="1"/>
  <c r="H24" i="9"/>
  <c r="K24" i="9" s="1"/>
  <c r="H25" i="9"/>
  <c r="K25" i="9" s="1"/>
  <c r="H26" i="9"/>
  <c r="K26" i="9" s="1"/>
  <c r="H27" i="9"/>
  <c r="K27" i="9" s="1"/>
  <c r="H28" i="9"/>
  <c r="K28" i="9" s="1"/>
  <c r="H29" i="9"/>
  <c r="K29" i="9" s="1"/>
  <c r="H30" i="9"/>
  <c r="K30" i="9" s="1"/>
  <c r="H31" i="9"/>
  <c r="K31" i="9" s="1"/>
  <c r="H32" i="9"/>
  <c r="K32" i="9" s="1"/>
  <c r="H33" i="9"/>
  <c r="K33" i="9" s="1"/>
  <c r="H34" i="9"/>
  <c r="K34" i="9" s="1"/>
  <c r="H35" i="9"/>
  <c r="K35" i="9" s="1"/>
  <c r="H36" i="9"/>
  <c r="K36" i="9" s="1"/>
  <c r="H37" i="9"/>
  <c r="K37" i="9" s="1"/>
  <c r="H38" i="9"/>
  <c r="K38" i="9" s="1"/>
  <c r="H39" i="9"/>
  <c r="K39" i="9" s="1"/>
  <c r="H40" i="9"/>
  <c r="K40" i="9" s="1"/>
  <c r="H41" i="9"/>
  <c r="K41" i="9" s="1"/>
  <c r="H42" i="9"/>
  <c r="K42" i="9" s="1"/>
  <c r="H43" i="9"/>
  <c r="K43" i="9" s="1"/>
  <c r="H44" i="9"/>
  <c r="K44" i="9" s="1"/>
  <c r="H45" i="9"/>
  <c r="K45" i="9" s="1"/>
  <c r="H46" i="9"/>
  <c r="K46" i="9" s="1"/>
  <c r="H47" i="9"/>
  <c r="K47" i="9" s="1"/>
  <c r="H48" i="9"/>
  <c r="K48" i="9" s="1"/>
  <c r="H49" i="9"/>
  <c r="K49" i="9" s="1"/>
  <c r="H50" i="9"/>
  <c r="K50" i="9" s="1"/>
  <c r="H2" i="9"/>
  <c r="K2" i="9"/>
  <c r="J2" i="6"/>
  <c r="F24" i="6"/>
  <c r="F18" i="6"/>
  <c r="F19" i="6"/>
  <c r="F20" i="6"/>
  <c r="F21" i="6"/>
  <c r="F22" i="6"/>
  <c r="F23" i="6"/>
  <c r="F17" i="6"/>
  <c r="F8" i="6"/>
  <c r="F16" i="6"/>
  <c r="F15" i="6"/>
  <c r="F9" i="6"/>
  <c r="F10" i="6"/>
  <c r="F11" i="6"/>
  <c r="F12" i="6"/>
  <c r="F13" i="6"/>
  <c r="F14" i="6"/>
  <c r="F7" i="6"/>
  <c r="F6" i="6"/>
  <c r="F5" i="6"/>
  <c r="F4" i="6"/>
  <c r="F3" i="6"/>
  <c r="F2" i="6"/>
  <c r="G3" i="7"/>
  <c r="I8" i="7"/>
  <c r="I7" i="7"/>
  <c r="I6" i="7"/>
  <c r="I4" i="7"/>
  <c r="I5" i="7"/>
  <c r="G8" i="7"/>
  <c r="F6" i="4"/>
  <c r="F7" i="4"/>
  <c r="F8" i="4"/>
  <c r="F4" i="4"/>
  <c r="G2" i="4"/>
  <c r="D2" i="4"/>
  <c r="F16" i="4"/>
  <c r="G16" i="4"/>
  <c r="C5" i="5"/>
  <c r="C4" i="5"/>
  <c r="H123" i="9" l="1"/>
  <c r="K123" i="9" s="1"/>
  <c r="L123" i="9"/>
  <c r="H126" i="9"/>
  <c r="K126" i="9" s="1"/>
  <c r="L126" i="9"/>
  <c r="H129" i="9"/>
  <c r="K129" i="9" s="1"/>
  <c r="L129" i="9"/>
  <c r="K132" i="9"/>
  <c r="H105" i="9"/>
  <c r="K105" i="9" s="1"/>
  <c r="L105" i="9"/>
  <c r="H110" i="9"/>
  <c r="K110" i="9" s="1"/>
  <c r="L110" i="9"/>
  <c r="L112" i="9"/>
  <c r="H112" i="9"/>
  <c r="K112" i="9" s="1"/>
  <c r="H68" i="9"/>
  <c r="L68" i="9"/>
  <c r="H71" i="9"/>
  <c r="K71" i="9" s="1"/>
  <c r="L71" i="9"/>
  <c r="H73" i="9"/>
  <c r="K73" i="9" s="1"/>
  <c r="L73" i="9"/>
  <c r="H75" i="9"/>
  <c r="K75" i="9" s="1"/>
  <c r="L75" i="9"/>
  <c r="H79" i="9"/>
  <c r="K79" i="9" s="1"/>
  <c r="L79" i="9"/>
  <c r="L85" i="9"/>
  <c r="L87" i="9"/>
  <c r="L92" i="9"/>
  <c r="H97" i="9"/>
  <c r="N94" i="9" s="1"/>
  <c r="P94" i="9" s="1"/>
  <c r="L97" i="9"/>
  <c r="K68" i="9"/>
  <c r="H85" i="9"/>
  <c r="H87" i="9"/>
  <c r="K87" i="9" s="1"/>
  <c r="O2" i="9"/>
  <c r="K70" i="9"/>
  <c r="K97" i="9" l="1"/>
  <c r="N92" i="9" s="1"/>
  <c r="K85" i="9"/>
  <c r="M1" i="9" s="1"/>
  <c r="N73" i="9"/>
  <c r="N70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tc={2B4D0398-E850-4921-9529-E87E647C4770}</author>
  </authors>
  <commentList>
    <comment ref="D25" authorId="0" shapeId="0" xr:uid="{2B4D0398-E850-4921-9529-E87E647C4770}">
      <text>
        <t>[Threaded comment]
Your version of Excel allows you to read this threaded comment; however, any edits to it will get removed if the file is opened in a newer version of Excel. Learn more: https://go.microsoft.com/fwlink/?linkid=870924
Comment:
    Lo manejaste muy bien,  te tardaste en cobrarle y le cobraste bine, podrias haber dejado corriendo tu posicion un poquito mas</t>
      </text>
    </comment>
  </commentList>
</comments>
</file>

<file path=xl/sharedStrings.xml><?xml version="1.0" encoding="utf-8"?>
<sst xmlns="http://schemas.openxmlformats.org/spreadsheetml/2006/main" count="356" uniqueCount="174">
  <si>
    <t>Tipo</t>
  </si>
  <si>
    <t>Titulos</t>
  </si>
  <si>
    <t>Costo</t>
  </si>
  <si>
    <t>Monto</t>
  </si>
  <si>
    <t>Precio</t>
  </si>
  <si>
    <t>Valuacion</t>
  </si>
  <si>
    <t>Utilidad</t>
  </si>
  <si>
    <t>Nota estructurada</t>
  </si>
  <si>
    <t>Total</t>
  </si>
  <si>
    <t>Miembros</t>
  </si>
  <si>
    <t>Rendimiento</t>
  </si>
  <si>
    <t>Norma</t>
  </si>
  <si>
    <t>Eliseba</t>
  </si>
  <si>
    <t>Rogelio</t>
  </si>
  <si>
    <t>Anualizado</t>
  </si>
  <si>
    <t>Francisco</t>
  </si>
  <si>
    <t xml:space="preserve">Javier </t>
  </si>
  <si>
    <t xml:space="preserve">=EXP(1,16)	</t>
  </si>
  <si>
    <t>Monto total</t>
  </si>
  <si>
    <t>Cetes</t>
  </si>
  <si>
    <t>Bono</t>
  </si>
  <si>
    <t>Mes</t>
  </si>
  <si>
    <t>Motivo</t>
  </si>
  <si>
    <t>Enero</t>
  </si>
  <si>
    <t>Nomina</t>
  </si>
  <si>
    <t xml:space="preserve">Febrero </t>
  </si>
  <si>
    <t xml:space="preserve">Marzo 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</si>
  <si>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</si>
  <si>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</si>
  <si>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</si>
  <si>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</si>
  <si>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</si>
  <si>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</si>
  <si>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</si>
  <si>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</si>
  <si>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</si>
  <si>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Febrero</t>
  </si>
  <si>
    <t>Marzo</t>
  </si>
  <si>
    <t>Capital Inicial</t>
  </si>
  <si>
    <t>Bitcoin</t>
  </si>
  <si>
    <t>BTC/EUR</t>
  </si>
  <si>
    <t>TC</t>
  </si>
  <si>
    <t>Size</t>
  </si>
  <si>
    <t>CPA</t>
  </si>
  <si>
    <t>VENTA</t>
  </si>
  <si>
    <t>P&amp;L</t>
  </si>
  <si>
    <t>Overall P&amp;L</t>
  </si>
  <si>
    <t>IV FLUSH Netflix</t>
  </si>
  <si>
    <t>30 Seconds Model</t>
  </si>
  <si>
    <t>IV FLUSH GM</t>
  </si>
  <si>
    <t xml:space="preserve">AMX </t>
  </si>
  <si>
    <t>IV FLUSH GOOGL</t>
  </si>
  <si>
    <t>Put SPY</t>
  </si>
  <si>
    <t>Meta Puts</t>
  </si>
  <si>
    <t>AMZN</t>
  </si>
  <si>
    <t>SPY</t>
  </si>
  <si>
    <t xml:space="preserve">AMD </t>
  </si>
  <si>
    <t>AAPL</t>
  </si>
  <si>
    <t>EWW</t>
  </si>
  <si>
    <t>RIVN</t>
  </si>
  <si>
    <t>SPY CALL</t>
  </si>
  <si>
    <t>SPY (STRAGLE)</t>
  </si>
  <si>
    <t>SPY(CALL 1DTE)</t>
  </si>
  <si>
    <t>SPY (Call)</t>
  </si>
  <si>
    <t>Spy(Put 1DTE)</t>
  </si>
  <si>
    <t>Fecha</t>
  </si>
  <si>
    <t>Ticker</t>
  </si>
  <si>
    <t>Fecha Entrada</t>
  </si>
  <si>
    <t xml:space="preserve">Precio entrada </t>
  </si>
  <si>
    <t>Fecha Salida</t>
  </si>
  <si>
    <t>Precio Salida</t>
  </si>
  <si>
    <t>Estrategia</t>
  </si>
  <si>
    <t>Win Rate</t>
  </si>
  <si>
    <t>Return</t>
  </si>
  <si>
    <t>IV Flush</t>
  </si>
  <si>
    <t>TOTAL P&amp;L</t>
  </si>
  <si>
    <t>MOC Rebalance</t>
  </si>
  <si>
    <t xml:space="preserve">SPY </t>
  </si>
  <si>
    <t>Mean Reversion</t>
  </si>
  <si>
    <t>Trend Follow</t>
  </si>
  <si>
    <t>CRM</t>
  </si>
  <si>
    <t>TLEVISA</t>
  </si>
  <si>
    <t>Short Term Pull Back</t>
  </si>
  <si>
    <t>GME</t>
  </si>
  <si>
    <t>Scalping</t>
  </si>
  <si>
    <t xml:space="preserve">Trend Follow </t>
  </si>
  <si>
    <t>Event Data Trade</t>
  </si>
  <si>
    <t>Pre Earnings</t>
  </si>
  <si>
    <t>LULU</t>
  </si>
  <si>
    <t>M</t>
  </si>
  <si>
    <t>WBA</t>
  </si>
  <si>
    <t>ORCL</t>
  </si>
  <si>
    <t>Te dalta seguir el price action</t>
  </si>
  <si>
    <t>SPY 0DTE en FOMC MEETING</t>
  </si>
  <si>
    <t>COST</t>
  </si>
  <si>
    <t>TENEMOS QUE HABLAR</t>
  </si>
  <si>
    <t>POST EARNINGS</t>
  </si>
  <si>
    <t>BABA</t>
  </si>
  <si>
    <t>LONG</t>
  </si>
  <si>
    <t>No he liquidado mi posición</t>
  </si>
  <si>
    <t>IWM</t>
  </si>
  <si>
    <t>Me equivoque de lado</t>
  </si>
  <si>
    <t>FDX</t>
  </si>
  <si>
    <t>Post Earnings</t>
  </si>
  <si>
    <t>NKE</t>
  </si>
  <si>
    <t>Win rate Enero</t>
  </si>
  <si>
    <t>GBTC</t>
  </si>
  <si>
    <t>DWAC</t>
  </si>
  <si>
    <t>RVSN</t>
  </si>
  <si>
    <t>Short Squeze?</t>
  </si>
  <si>
    <t>NFLX</t>
  </si>
  <si>
    <t>IV FLUSH</t>
  </si>
  <si>
    <t>TSLA</t>
  </si>
  <si>
    <t>GOOGL</t>
  </si>
  <si>
    <t>FEBRERO</t>
  </si>
  <si>
    <t>NYCB</t>
  </si>
  <si>
    <t>Buy the rummor sell the news</t>
  </si>
  <si>
    <t>Win rate Febrero</t>
  </si>
  <si>
    <t>P&amp;L Febreo</t>
  </si>
  <si>
    <t>ARM</t>
  </si>
  <si>
    <t>BMR</t>
  </si>
  <si>
    <t>Index Trading</t>
  </si>
  <si>
    <t>LYFT</t>
  </si>
  <si>
    <t>PLCE</t>
  </si>
  <si>
    <t>GXAI</t>
  </si>
  <si>
    <t>LUNR</t>
  </si>
  <si>
    <t>SMCI</t>
  </si>
  <si>
    <t>AGRI</t>
  </si>
  <si>
    <t>NVDA</t>
  </si>
  <si>
    <t>MARZO</t>
  </si>
  <si>
    <t>BA</t>
  </si>
  <si>
    <t>GIL</t>
  </si>
  <si>
    <t>RDDT</t>
  </si>
  <si>
    <t>STOK</t>
  </si>
  <si>
    <t>ARIL</t>
  </si>
  <si>
    <t>CXAI</t>
  </si>
  <si>
    <t>GL</t>
  </si>
  <si>
    <t>spy</t>
  </si>
  <si>
    <t>TSM</t>
  </si>
  <si>
    <t>META</t>
  </si>
  <si>
    <t>Protafolio</t>
  </si>
  <si>
    <t>FX</t>
  </si>
  <si>
    <t>Inicio de estrategia</t>
  </si>
  <si>
    <t>Precio Actual</t>
  </si>
  <si>
    <t>Valuacion inicial</t>
  </si>
  <si>
    <t>Fecha de compra</t>
  </si>
  <si>
    <t>Rendimiento total</t>
  </si>
  <si>
    <t>ASURB*</t>
  </si>
  <si>
    <t>AXTELCPO</t>
  </si>
  <si>
    <t>CADUA</t>
  </si>
  <si>
    <t>COXA</t>
  </si>
  <si>
    <t>GFNORTE</t>
  </si>
  <si>
    <t>LABB</t>
  </si>
  <si>
    <t>MEDICAB</t>
  </si>
  <si>
    <t>MEGACPO</t>
  </si>
  <si>
    <t>NAFTRAC</t>
  </si>
  <si>
    <t>SHV</t>
  </si>
  <si>
    <t>USD</t>
  </si>
  <si>
    <t>CLW</t>
  </si>
  <si>
    <t>ASAI</t>
  </si>
  <si>
    <t>Derivados</t>
  </si>
  <si>
    <t>NOTA</t>
  </si>
  <si>
    <t>CASH  USD</t>
  </si>
  <si>
    <t>Compra</t>
  </si>
  <si>
    <t>Precio actual</t>
  </si>
  <si>
    <t>Precio Realizado</t>
  </si>
  <si>
    <t>Realized p&amp;l</t>
  </si>
  <si>
    <t>Unrealized P&amp;L</t>
  </si>
  <si>
    <t>Dividendos</t>
  </si>
  <si>
    <t>Objetivo</t>
  </si>
  <si>
    <t>Long run ?</t>
  </si>
  <si>
    <t>AXTEL CPO</t>
  </si>
  <si>
    <t xml:space="preserve">Arbitraje </t>
  </si>
  <si>
    <t>FIBRA 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</si>
</sst>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_-[$$-409]* #,##0.00_ ;_-[$$-409]* \-#,##0.00\ ;_-[$$-409]* &quot;-&quot;??_ ;_-@_ "/>
    <numFmt numFmtId="166" formatCode="0.00000%"/>
    <numFmt numFmtId="167" formatCode="_([$$-409]* #,##0.00_);_([$$-409]* \(#,##0.00\);_([$$-409]* &quot;-&quot;??_);_(@_)"/>
  </numFmts>
  <fonts count="13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Arial Black"/>
    </font>
    <font>
      <b/>
      <sz val="11"/>
      <color theme="1"/>
      <name val="Aptos Narrow"/>
    </font>
    <font>
      <b/>
      <sz val="11"/>
      <color rgb="FFFF0000"/>
      <name val="Aptos Narrow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11"/>
      <color theme="1"/>
      <name val="Aptos Narrow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/>
    <xf numFmtId="165" fontId="0" fillId="0" borderId="0" xfId="0" applyNumberFormat="1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164" fontId="0" fillId="3" borderId="0" xfId="0" applyNumberFormat="1" applyFill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10" fontId="0" fillId="0" borderId="0" xfId="0" applyNumberFormat="1"/>
    <xf numFmtId="0" fontId="2" fillId="4" borderId="1" xfId="0" applyFont="1" applyFill="1" applyBorder="1"/>
    <xf numFmtId="165" fontId="2" fillId="4" borderId="0" xfId="0" applyNumberFormat="1" applyFont="1" applyFill="1"/>
    <xf numFmtId="0" fontId="2" fillId="4" borderId="0" xfId="0" applyFont="1" applyFill="1"/>
    <xf numFmtId="0" fontId="0" fillId="5" borderId="2" xfId="0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4" fontId="6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14" fontId="6" fillId="6" borderId="0" xfId="0" applyNumberFormat="1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165" fontId="6" fillId="6" borderId="0" xfId="0" applyNumberFormat="1" applyFont="1" applyFill="1"/>
    <xf numFmtId="0" fontId="0" fillId="5" borderId="2" xfId="0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0" fontId="4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7" fillId="6" borderId="0" xfId="0" applyFont="1" applyFill="1"/>
    <xf numFmtId="0" fontId="8" fillId="0" borderId="0" xfId="0" applyFont="1"/>
    <xf numFmtId="14" fontId="9" fillId="6" borderId="0" xfId="0" applyNumberFormat="1" applyFont="1" applyFill="1" applyAlignment="1">
      <alignment horizontal="left" vertical="center"/>
    </xf>
    <xf numFmtId="0" fontId="8" fillId="6" borderId="0" xfId="0" applyFont="1" applyFill="1"/>
    <xf numFmtId="14" fontId="10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4" fontId="4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14" fontId="11" fillId="0" borderId="0" xfId="0" applyNumberFormat="1" applyFont="1"/>
    <xf numFmtId="9" fontId="0" fillId="0" borderId="0" xfId="0" applyNumberFormat="1" applyAlignment="1">
      <alignment horizontal="left"/>
    </xf>
    <xf numFmtId="0" fontId="4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8" fillId="7" borderId="0" xfId="0" applyFont="1" applyFill="1"/>
    <xf numFmtId="0" fontId="0" fillId="7" borderId="0" xfId="0" applyFill="1"/>
    <xf numFmtId="0" fontId="3" fillId="5" borderId="2" xfId="0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Crecimiento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Campo2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INGRESOS!$A$3:$A$14</c:f>
              <c:strCache>
                <c:ptCount val="12"/>
                <c:pt idx="0">
                  <c:v>Enero</c:v>
                </c:pt>
                <c:pt idx="1">
                  <c:v>Febrero </c:v>
                </c:pt>
                <c:pt idx="2">
                  <c:v>Marzo 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999DECA7-AF32-429F-9639-FDD8E21B1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05319"/>
        <c:axId val="513323559"/>
      </c:lineChart>
      <c:catAx>
        <c:axId val="513305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Campo1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3559"/>
        <c:crosses val="autoZero"/>
        <c:auto val="1"/>
        <c:lblAlgn val="ctr"/>
        <c:lblOffset val="100"/>
        <c:noMultiLvlLbl val="0"/>
      </c:catAx>
      <c:valAx>
        <c:axId val="513323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5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38100</xdr:rowOff>
    </xdr:from>
    <xdr:to>
      <xdr:col>15</xdr:col>
      <xdr:colOff>76200</xdr:colOff>
      <xdr:row>15</xdr:row>
      <xdr:rowOff>114300</xdr:rowOff>
    </xdr:to>
    <xdr:graphicFrame macro="">
      <xdr:nvGraphicFramePr>
        <xdr:cNvPr id="2" name="Gráfico 1" descr="Tipo de gráfico: Líneas. &quot;Campo2&quot;&#10;&#10;Descripción generada automáticamente">
          <a:extLst>
            <a:ext uri="{FF2B5EF4-FFF2-40B4-BE49-F238E27FC236}">
              <a16:creationId xmlns:a16="http://schemas.microsoft.com/office/drawing/2014/main" id="{0B6F94FA-59CF-79FC-480C-E5780A214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rancisco Javier Vargas Fentanes" id="{7DB8F202-1F79-420E-9038-A18C309558AF}" userId="S::fvfentanes@finamex.com.mx::169905d3-5917-40ba-8d1d-5fb8e3e9e6f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5" dT="2023-11-28T18:37:22.00" personId="{7DB8F202-1F79-420E-9038-A18C309558AF}" id="{2B4D0398-E850-4921-9529-E87E647C4770}">
    <text>Lo manejaste muy bien,  te tardaste en cobrarle y le cobraste bine, podrias haber dejado corriendo tu posicion un poquito mas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A0C1-A06C-47EC-9A0D-23FF518656ED}">
  <dimension ref="A1:L24"/>
  <sheetViews>
    <sheetView tabSelected="1" workbookViewId="0">
      <selection activeCell="F6" sqref="F6"/>
    </sheetView>
  </sheetViews>
  <sheetFormatPr defaultColWidth="9.140625" defaultRowHeight="15"/>
  <cols>
    <col min="1" max="1" width="16.5703125" customWidth="1"/>
    <col min="3" max="3" width="12.7109375" customWidth="1"/>
    <col min="4" max="4" width="16.28515625" customWidth="1"/>
    <col min="5" max="5" width="9.28515625" bestFit="1" customWidth="1"/>
    <col min="6" max="6" width="12.42578125" bestFit="1" customWidth="1"/>
    <col min="7" max="7" width="19.140625" customWidth="1"/>
    <col min="8" max="8" width="18.85546875" customWidth="1"/>
    <col min="9" max="9" width="21.140625" customWidth="1"/>
    <col min="10" max="10" width="15.4257812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2">
      <c r="A2" t="s">
        <v>7</v>
      </c>
      <c r="B2">
        <v>880</v>
      </c>
      <c r="C2">
        <v>100</v>
      </c>
      <c r="D2" s="1">
        <f>B2*C2</f>
        <v>88000</v>
      </c>
      <c r="E2">
        <v>100.63549999999999</v>
      </c>
      <c r="G2">
        <f>(E2-C2)*880</f>
        <v>559.2399999999941</v>
      </c>
      <c r="H2" t="s">
        <v>8</v>
      </c>
      <c r="I2" s="1"/>
    </row>
    <row r="3" spans="1:12">
      <c r="A3" t="s">
        <v>9</v>
      </c>
      <c r="F3" t="s">
        <v>10</v>
      </c>
      <c r="G3">
        <f>I3-1</f>
        <v>1.2445100000000098E-2</v>
      </c>
      <c r="H3">
        <f>G3*3</f>
        <v>3.7335300000000293E-2</v>
      </c>
      <c r="I3">
        <v>1.0124451000000001</v>
      </c>
      <c r="J3" s="4">
        <f>(I3*D2)*3</f>
        <v>267285.50640000007</v>
      </c>
    </row>
    <row r="4" spans="1:12" s="6" customFormat="1">
      <c r="A4" s="6" t="s">
        <v>11</v>
      </c>
      <c r="D4" s="7">
        <v>10000</v>
      </c>
      <c r="E4" s="6">
        <v>100.63549999999999</v>
      </c>
      <c r="F4" s="7">
        <f>D4*$H$3</f>
        <v>373.35300000000291</v>
      </c>
    </row>
    <row r="5" spans="1:12" s="5" customFormat="1">
      <c r="A5" s="5" t="s">
        <v>12</v>
      </c>
      <c r="D5" s="53">
        <v>30000</v>
      </c>
      <c r="E5" s="5">
        <v>100.63549999999999</v>
      </c>
      <c r="F5" s="53">
        <f>D5*$H$3</f>
        <v>1120.0590000000088</v>
      </c>
      <c r="G5" s="53">
        <f>D5+F5</f>
        <v>31120.059000000008</v>
      </c>
    </row>
    <row r="6" spans="1:12">
      <c r="A6" t="s">
        <v>13</v>
      </c>
      <c r="D6" s="1">
        <v>25000</v>
      </c>
      <c r="E6">
        <v>100.63549999999999</v>
      </c>
      <c r="F6" s="1">
        <f t="shared" ref="F5:F8" si="0">D6*$H$3</f>
        <v>933.38250000000733</v>
      </c>
      <c r="H6" s="1">
        <f>D6+F6</f>
        <v>25933.382500000007</v>
      </c>
      <c r="K6" s="3">
        <v>0.16</v>
      </c>
      <c r="L6" t="s">
        <v>14</v>
      </c>
    </row>
    <row r="7" spans="1:12">
      <c r="A7" t="s">
        <v>15</v>
      </c>
      <c r="D7" s="1">
        <v>18000</v>
      </c>
      <c r="E7">
        <v>100.63549999999999</v>
      </c>
      <c r="F7" s="1">
        <f t="shared" si="0"/>
        <v>672.03540000000532</v>
      </c>
      <c r="K7">
        <v>1.1599999999999999</v>
      </c>
    </row>
    <row r="8" spans="1:12">
      <c r="A8" t="s">
        <v>16</v>
      </c>
      <c r="D8" s="1">
        <v>5000</v>
      </c>
      <c r="E8">
        <v>100.63549999999999</v>
      </c>
      <c r="F8" s="1">
        <f t="shared" si="0"/>
        <v>186.67650000000145</v>
      </c>
      <c r="K8" t="s">
        <v>17</v>
      </c>
    </row>
    <row r="11" spans="1:12">
      <c r="A11" t="s">
        <v>18</v>
      </c>
    </row>
    <row r="13" spans="1:12">
      <c r="A13" t="s">
        <v>19</v>
      </c>
      <c r="C13">
        <v>13</v>
      </c>
    </row>
    <row r="15" spans="1:12">
      <c r="A15" t="s">
        <v>20</v>
      </c>
    </row>
    <row r="16" spans="1:12">
      <c r="A16">
        <v>270304</v>
      </c>
      <c r="B16">
        <v>56</v>
      </c>
      <c r="C16">
        <v>88.5</v>
      </c>
      <c r="E16">
        <v>90.4</v>
      </c>
      <c r="F16">
        <f>E16*B16</f>
        <v>5062.4000000000005</v>
      </c>
      <c r="G16">
        <f>B16*(E16-C16)</f>
        <v>106.40000000000032</v>
      </c>
    </row>
    <row r="24" spans="4:4">
      <c r="D24" s="35">
        <f>(32905.17/30000)-1</f>
        <v>9.6838999999999897E-2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C2FB-0536-4A0C-B851-82A57578104A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F3587-8047-486F-A08C-AD47CEB70C77}">
  <dimension ref="A1:C24"/>
  <sheetViews>
    <sheetView workbookViewId="0">
      <selection activeCell="B24" sqref="B24"/>
    </sheetView>
  </sheetViews>
  <sheetFormatPr defaultColWidth="9.140625" defaultRowHeight="15"/>
  <sheetData>
    <row r="1" spans="1:3">
      <c r="A1">
        <v>2023</v>
      </c>
    </row>
    <row r="2" spans="1:3">
      <c r="A2" t="s">
        <v>21</v>
      </c>
      <c r="B2" t="s">
        <v>3</v>
      </c>
      <c r="C2" t="s">
        <v>22</v>
      </c>
    </row>
    <row r="3" spans="1:3">
      <c r="A3" t="s">
        <v>23</v>
      </c>
      <c r="B3">
        <v>1</v>
      </c>
      <c r="C3" t="s">
        <v>24</v>
      </c>
    </row>
    <row r="4" spans="1:3">
      <c r="A4" t="s">
        <v>25</v>
      </c>
      <c r="B4">
        <v>2</v>
      </c>
      <c r="C4" t="s">
        <v>24</v>
      </c>
    </row>
    <row r="5" spans="1:3">
      <c r="A5" t="s">
        <v>26</v>
      </c>
      <c r="B5">
        <v>3</v>
      </c>
      <c r="C5" t="s">
        <v>24</v>
      </c>
    </row>
    <row r="6" spans="1:3">
      <c r="A6" t="s">
        <v>27</v>
      </c>
      <c r="B6">
        <v>4</v>
      </c>
      <c r="C6" t="s">
        <v>24</v>
      </c>
    </row>
    <row r="7" spans="1:3">
      <c r="A7" t="s">
        <v>28</v>
      </c>
      <c r="B7">
        <v>5</v>
      </c>
      <c r="C7" t="s">
        <v>24</v>
      </c>
    </row>
    <row r="8" spans="1:3">
      <c r="A8" t="s">
        <v>29</v>
      </c>
      <c r="B8">
        <v>6</v>
      </c>
      <c r="C8" t="s">
        <v>24</v>
      </c>
    </row>
    <row r="9" spans="1:3">
      <c r="A9" t="s">
        <v>30</v>
      </c>
      <c r="B9">
        <v>7</v>
      </c>
      <c r="C9" t="s">
        <v>24</v>
      </c>
    </row>
    <row r="10" spans="1:3">
      <c r="A10" t="s">
        <v>31</v>
      </c>
      <c r="B10">
        <v>8</v>
      </c>
      <c r="C10" t="s">
        <v>24</v>
      </c>
    </row>
    <row r="11" spans="1:3">
      <c r="A11" t="s">
        <v>32</v>
      </c>
      <c r="B11">
        <v>9</v>
      </c>
      <c r="C11" t="s">
        <v>24</v>
      </c>
    </row>
    <row r="12" spans="1:3">
      <c r="A12" t="s">
        <v>33</v>
      </c>
      <c r="B12">
        <v>10</v>
      </c>
      <c r="C12" t="s">
        <v>24</v>
      </c>
    </row>
    <row r="13" spans="1:3">
      <c r="A13" t="s">
        <v>34</v>
      </c>
      <c r="B13">
        <v>11</v>
      </c>
      <c r="C13" t="s">
        <v>24</v>
      </c>
    </row>
    <row r="14" spans="1:3">
      <c r="A14" t="s">
        <v>35</v>
      </c>
      <c r="B14">
        <v>12</v>
      </c>
      <c r="C14" t="s">
        <v>24</v>
      </c>
    </row>
    <row r="16" spans="1:3">
      <c r="A16">
        <v>2024</v>
      </c>
    </row>
    <row r="17" spans="1:3">
      <c r="A17" t="s">
        <v>23</v>
      </c>
      <c r="C17" t="s">
        <v>24</v>
      </c>
    </row>
    <row r="18" spans="1:3">
      <c r="A18" t="s">
        <v>36</v>
      </c>
      <c r="C18" t="s">
        <v>24</v>
      </c>
    </row>
    <row r="19" spans="1:3">
      <c r="A19" t="s">
        <v>37</v>
      </c>
      <c r="C19" t="s">
        <v>24</v>
      </c>
    </row>
    <row r="20" spans="1:3">
      <c r="A20" t="s">
        <v>27</v>
      </c>
      <c r="C20" t="s">
        <v>24</v>
      </c>
    </row>
    <row r="21" spans="1:3">
      <c r="A21" t="s">
        <v>28</v>
      </c>
      <c r="C21" t="s">
        <v>24</v>
      </c>
    </row>
    <row r="22" spans="1:3">
      <c r="A22" t="s">
        <v>29</v>
      </c>
      <c r="C22" t="s">
        <v>24</v>
      </c>
    </row>
    <row r="23" spans="1:3">
      <c r="A23" t="s">
        <v>30</v>
      </c>
      <c r="C23" t="s">
        <v>24</v>
      </c>
    </row>
    <row r="24" spans="1:3">
      <c r="A24" t="s">
        <v>31</v>
      </c>
      <c r="C24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299B1-F430-41AD-9286-33DB7EF5C7CF}">
  <dimension ref="A1:D5"/>
  <sheetViews>
    <sheetView workbookViewId="0">
      <selection activeCell="B5" sqref="B5"/>
    </sheetView>
  </sheetViews>
  <sheetFormatPr defaultColWidth="9.140625" defaultRowHeight="15"/>
  <cols>
    <col min="2" max="2" width="11.42578125" bestFit="1" customWidth="1"/>
  </cols>
  <sheetData>
    <row r="1" spans="1:4">
      <c r="A1" t="s">
        <v>38</v>
      </c>
    </row>
    <row r="2" spans="1:4">
      <c r="A2" t="s">
        <v>39</v>
      </c>
    </row>
    <row r="3" spans="1:4">
      <c r="A3" t="s">
        <v>40</v>
      </c>
      <c r="C3" t="s">
        <v>3</v>
      </c>
      <c r="D3" t="s">
        <v>41</v>
      </c>
    </row>
    <row r="4" spans="1:4">
      <c r="A4">
        <v>2.5999999999999999E-3</v>
      </c>
      <c r="B4" s="1">
        <v>27569.279999999999</v>
      </c>
      <c r="C4" s="1">
        <f>B4*A4</f>
        <v>71.680127999999996</v>
      </c>
    </row>
    <row r="5" spans="1:4">
      <c r="A5">
        <v>2.5999999999999999E-3</v>
      </c>
      <c r="B5" s="1"/>
      <c r="C5" s="1">
        <f>B5*A5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B5EE3-8985-40DA-8C06-801C6FCACB84}">
  <dimension ref="A1:J24"/>
  <sheetViews>
    <sheetView workbookViewId="0">
      <selection activeCell="E2" sqref="E2"/>
    </sheetView>
  </sheetViews>
  <sheetFormatPr defaultColWidth="9.140625" defaultRowHeight="15"/>
  <sheetData>
    <row r="1" spans="1:10">
      <c r="C1" t="s">
        <v>42</v>
      </c>
      <c r="D1" t="s">
        <v>43</v>
      </c>
      <c r="E1" t="s">
        <v>44</v>
      </c>
      <c r="F1" t="s">
        <v>45</v>
      </c>
      <c r="J1" t="s">
        <v>46</v>
      </c>
    </row>
    <row r="2" spans="1:10">
      <c r="A2" t="s">
        <v>47</v>
      </c>
      <c r="C2">
        <v>1</v>
      </c>
      <c r="D2">
        <v>50</v>
      </c>
      <c r="E2">
        <v>75</v>
      </c>
      <c r="F2">
        <f>(E2-D2)*C2</f>
        <v>25</v>
      </c>
      <c r="J2" s="8">
        <f>SUM(F2:F35)</f>
        <v>67.99785635359116</v>
      </c>
    </row>
    <row r="3" spans="1:10">
      <c r="A3" t="s">
        <v>48</v>
      </c>
      <c r="C3">
        <v>1</v>
      </c>
      <c r="D3">
        <v>50</v>
      </c>
      <c r="E3">
        <v>40</v>
      </c>
      <c r="F3">
        <f>(E3-D3)*C3</f>
        <v>-10</v>
      </c>
    </row>
    <row r="4" spans="1:10">
      <c r="A4" t="s">
        <v>49</v>
      </c>
      <c r="C4">
        <v>10</v>
      </c>
      <c r="D4">
        <v>3</v>
      </c>
      <c r="E4">
        <v>2</v>
      </c>
      <c r="F4">
        <f>(E4-D4)*C4</f>
        <v>-10</v>
      </c>
    </row>
    <row r="5" spans="1:10">
      <c r="A5" t="s">
        <v>50</v>
      </c>
      <c r="C5">
        <v>230</v>
      </c>
      <c r="D5">
        <v>15.36</v>
      </c>
      <c r="E5">
        <v>15.34</v>
      </c>
      <c r="F5">
        <f>(E5-D5)*C5/18.1</f>
        <v>-0.25414364640883436</v>
      </c>
    </row>
    <row r="6" spans="1:10">
      <c r="A6" t="s">
        <v>51</v>
      </c>
      <c r="C6">
        <v>1</v>
      </c>
      <c r="D6">
        <v>40</v>
      </c>
      <c r="E6">
        <v>25</v>
      </c>
      <c r="F6">
        <f>(E6-D6)</f>
        <v>-15</v>
      </c>
    </row>
    <row r="7" spans="1:10">
      <c r="A7" t="s">
        <v>52</v>
      </c>
      <c r="C7">
        <v>1</v>
      </c>
      <c r="D7">
        <v>55</v>
      </c>
      <c r="E7">
        <v>64</v>
      </c>
      <c r="F7">
        <f>(E7-D7)</f>
        <v>9</v>
      </c>
    </row>
    <row r="8" spans="1:10">
      <c r="A8" t="s">
        <v>53</v>
      </c>
      <c r="C8">
        <v>1</v>
      </c>
      <c r="D8">
        <v>7</v>
      </c>
      <c r="E8">
        <v>0</v>
      </c>
      <c r="F8">
        <f>(E8-D8)</f>
        <v>-7</v>
      </c>
    </row>
    <row r="9" spans="1:10">
      <c r="A9" t="s">
        <v>54</v>
      </c>
      <c r="C9">
        <v>1</v>
      </c>
      <c r="D9">
        <v>8</v>
      </c>
      <c r="E9">
        <v>4</v>
      </c>
      <c r="F9">
        <f t="shared" ref="F8:F24" si="0">(E9-D9)</f>
        <v>-4</v>
      </c>
    </row>
    <row r="10" spans="1:10">
      <c r="A10" t="s">
        <v>55</v>
      </c>
      <c r="C10">
        <v>1</v>
      </c>
      <c r="D10">
        <v>69</v>
      </c>
      <c r="E10">
        <v>45</v>
      </c>
      <c r="F10">
        <f t="shared" si="0"/>
        <v>-24</v>
      </c>
    </row>
    <row r="11" spans="1:10">
      <c r="A11" t="s">
        <v>55</v>
      </c>
      <c r="C11">
        <v>1</v>
      </c>
      <c r="D11">
        <v>56</v>
      </c>
      <c r="E11">
        <v>66</v>
      </c>
      <c r="F11">
        <f t="shared" si="0"/>
        <v>10</v>
      </c>
    </row>
    <row r="12" spans="1:10">
      <c r="A12" t="s">
        <v>55</v>
      </c>
      <c r="C12">
        <v>1</v>
      </c>
      <c r="D12">
        <v>76</v>
      </c>
      <c r="E12">
        <v>86</v>
      </c>
      <c r="F12">
        <f t="shared" si="0"/>
        <v>10</v>
      </c>
    </row>
    <row r="13" spans="1:10">
      <c r="A13" t="s">
        <v>55</v>
      </c>
      <c r="C13">
        <v>1</v>
      </c>
      <c r="D13">
        <v>50</v>
      </c>
      <c r="E13">
        <v>40</v>
      </c>
      <c r="F13">
        <f t="shared" si="0"/>
        <v>-10</v>
      </c>
    </row>
    <row r="14" spans="1:10">
      <c r="A14" t="s">
        <v>55</v>
      </c>
      <c r="C14">
        <v>1</v>
      </c>
      <c r="D14">
        <v>49</v>
      </c>
      <c r="E14">
        <v>39</v>
      </c>
      <c r="F14">
        <f t="shared" si="0"/>
        <v>-10</v>
      </c>
    </row>
    <row r="15" spans="1:10">
      <c r="A15" t="s">
        <v>56</v>
      </c>
      <c r="C15">
        <v>1</v>
      </c>
      <c r="D15">
        <v>65</v>
      </c>
      <c r="E15">
        <v>75</v>
      </c>
      <c r="F15">
        <f t="shared" si="0"/>
        <v>10</v>
      </c>
    </row>
    <row r="16" spans="1:10">
      <c r="A16" t="s">
        <v>57</v>
      </c>
      <c r="C16">
        <v>1</v>
      </c>
      <c r="D16">
        <v>2</v>
      </c>
      <c r="E16">
        <v>0</v>
      </c>
      <c r="F16">
        <f t="shared" si="0"/>
        <v>-2</v>
      </c>
    </row>
    <row r="17" spans="1:6">
      <c r="A17" t="s">
        <v>55</v>
      </c>
      <c r="C17">
        <v>1</v>
      </c>
      <c r="D17">
        <v>44</v>
      </c>
      <c r="E17">
        <v>55</v>
      </c>
      <c r="F17">
        <f t="shared" si="0"/>
        <v>11</v>
      </c>
    </row>
    <row r="18" spans="1:6">
      <c r="A18" t="s">
        <v>58</v>
      </c>
      <c r="C18">
        <v>5</v>
      </c>
      <c r="D18">
        <v>56.148000000000003</v>
      </c>
      <c r="E18">
        <v>60.4</v>
      </c>
      <c r="F18">
        <f t="shared" si="0"/>
        <v>4.2519999999999953</v>
      </c>
    </row>
    <row r="19" spans="1:6">
      <c r="A19" t="s">
        <v>59</v>
      </c>
      <c r="C19">
        <v>1</v>
      </c>
      <c r="D19">
        <v>55</v>
      </c>
      <c r="E19">
        <v>81</v>
      </c>
      <c r="F19">
        <f t="shared" si="0"/>
        <v>26</v>
      </c>
    </row>
    <row r="20" spans="1:6">
      <c r="A20" t="s">
        <v>60</v>
      </c>
      <c r="C20">
        <v>1</v>
      </c>
      <c r="D20">
        <v>46</v>
      </c>
      <c r="E20">
        <v>56</v>
      </c>
      <c r="F20">
        <f t="shared" si="0"/>
        <v>10</v>
      </c>
    </row>
    <row r="21" spans="1:6">
      <c r="A21" t="s">
        <v>61</v>
      </c>
      <c r="C21">
        <v>1</v>
      </c>
      <c r="D21">
        <v>22</v>
      </c>
      <c r="E21">
        <v>13</v>
      </c>
      <c r="F21">
        <f t="shared" si="0"/>
        <v>-9</v>
      </c>
    </row>
    <row r="22" spans="1:6">
      <c r="A22" t="s">
        <v>62</v>
      </c>
      <c r="C22">
        <v>1</v>
      </c>
      <c r="D22">
        <v>27</v>
      </c>
      <c r="E22">
        <v>13</v>
      </c>
      <c r="F22">
        <f t="shared" si="0"/>
        <v>-14</v>
      </c>
    </row>
    <row r="23" spans="1:6">
      <c r="A23" t="s">
        <v>63</v>
      </c>
      <c r="C23">
        <v>1</v>
      </c>
      <c r="D23">
        <v>67</v>
      </c>
      <c r="E23">
        <v>110</v>
      </c>
      <c r="F23">
        <f t="shared" si="0"/>
        <v>43</v>
      </c>
    </row>
    <row r="24" spans="1:6">
      <c r="A24" t="s">
        <v>64</v>
      </c>
      <c r="C24">
        <v>1</v>
      </c>
      <c r="D24">
        <v>37</v>
      </c>
      <c r="E24">
        <v>62</v>
      </c>
      <c r="F24">
        <f t="shared" si="0"/>
        <v>25</v>
      </c>
    </row>
  </sheetData>
  <conditionalFormatting sqref="J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{F16BA972-3E80-4A69-8F3E-75A1610C332C}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6BA972-3E80-4A69-8F3E-75A1610C33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4CD29-2013-4E42-A298-D87B3C2CE0E9}">
  <dimension ref="A1:P154"/>
  <sheetViews>
    <sheetView topLeftCell="A126" workbookViewId="0">
      <selection activeCell="N136" sqref="N136"/>
    </sheetView>
  </sheetViews>
  <sheetFormatPr defaultRowHeight="15"/>
  <cols>
    <col min="1" max="1" width="16.140625" style="17" bestFit="1" customWidth="1"/>
    <col min="2" max="2" width="17.42578125" style="22" bestFit="1" customWidth="1"/>
    <col min="3" max="3" width="9.140625" style="22"/>
    <col min="4" max="4" width="16.7109375" style="40" bestFit="1" customWidth="1"/>
    <col min="5" max="5" width="11.42578125" style="22" bestFit="1" customWidth="1"/>
    <col min="6" max="6" width="11.85546875" bestFit="1" customWidth="1"/>
    <col min="7" max="7" width="12.28515625" bestFit="1" customWidth="1"/>
    <col min="9" max="9" width="15.42578125" bestFit="1" customWidth="1"/>
    <col min="14" max="14" width="16.140625" style="22" bestFit="1" customWidth="1"/>
    <col min="16" max="16" width="11.85546875" bestFit="1" customWidth="1"/>
  </cols>
  <sheetData>
    <row r="1" spans="1:15">
      <c r="A1" s="17" t="s">
        <v>65</v>
      </c>
      <c r="B1" s="22" t="s">
        <v>66</v>
      </c>
      <c r="C1" s="22" t="s">
        <v>42</v>
      </c>
      <c r="D1" s="40" t="s">
        <v>67</v>
      </c>
      <c r="E1" s="22" t="s">
        <v>68</v>
      </c>
      <c r="F1" t="s">
        <v>69</v>
      </c>
      <c r="G1" t="s">
        <v>70</v>
      </c>
      <c r="H1" t="s">
        <v>45</v>
      </c>
      <c r="I1" t="s">
        <v>71</v>
      </c>
      <c r="K1" t="s">
        <v>72</v>
      </c>
      <c r="L1" t="s">
        <v>73</v>
      </c>
      <c r="M1" s="12">
        <f>SUM(K2:K158)/COUNT(K2:K158)</f>
        <v>0.45270270270270269</v>
      </c>
    </row>
    <row r="2" spans="1:15">
      <c r="A2" s="18">
        <v>45200</v>
      </c>
      <c r="B2" s="22" t="s">
        <v>47</v>
      </c>
      <c r="C2" s="22">
        <v>1</v>
      </c>
      <c r="E2" s="22">
        <v>50</v>
      </c>
      <c r="G2">
        <v>75</v>
      </c>
      <c r="H2" s="4">
        <f>(G2-E2)*C2</f>
        <v>25</v>
      </c>
      <c r="I2" t="s">
        <v>74</v>
      </c>
      <c r="K2">
        <f>IF(H2&lt; 0,0,1)</f>
        <v>1</v>
      </c>
      <c r="L2" s="3">
        <f>(G2/E2)-1</f>
        <v>0.5</v>
      </c>
      <c r="M2" t="s">
        <v>75</v>
      </c>
      <c r="O2" s="4">
        <f>SUM(H2:H173)</f>
        <v>-136.63300000000004</v>
      </c>
    </row>
    <row r="3" spans="1:15">
      <c r="A3" s="18">
        <v>45201</v>
      </c>
      <c r="B3" s="22" t="s">
        <v>48</v>
      </c>
      <c r="C3" s="22">
        <v>1</v>
      </c>
      <c r="E3" s="22">
        <v>50</v>
      </c>
      <c r="G3">
        <v>40</v>
      </c>
      <c r="H3" s="4">
        <f t="shared" ref="H3:H54" si="0">(G3-E3)*C3</f>
        <v>-10</v>
      </c>
      <c r="I3" t="s">
        <v>48</v>
      </c>
      <c r="K3">
        <f t="shared" ref="K3:K59" si="1">IF(H3&lt; 0,0,1)</f>
        <v>0</v>
      </c>
      <c r="L3" s="3">
        <f t="shared" ref="L3:L66" si="2">(G3/E3)-1</f>
        <v>-0.19999999999999996</v>
      </c>
      <c r="M3" t="s">
        <v>73</v>
      </c>
    </row>
    <row r="4" spans="1:15">
      <c r="A4" s="18">
        <v>45202</v>
      </c>
      <c r="B4" s="22" t="s">
        <v>49</v>
      </c>
      <c r="C4" s="22">
        <v>10</v>
      </c>
      <c r="E4" s="22">
        <v>3</v>
      </c>
      <c r="G4">
        <v>2</v>
      </c>
      <c r="H4" s="4">
        <f t="shared" si="0"/>
        <v>-10</v>
      </c>
      <c r="I4" t="s">
        <v>74</v>
      </c>
      <c r="K4">
        <f t="shared" si="1"/>
        <v>0</v>
      </c>
      <c r="L4" s="3">
        <f t="shared" si="2"/>
        <v>-0.33333333333333337</v>
      </c>
    </row>
    <row r="5" spans="1:15">
      <c r="A5" s="18">
        <v>45203</v>
      </c>
      <c r="B5" s="22" t="s">
        <v>50</v>
      </c>
      <c r="C5" s="22">
        <v>230</v>
      </c>
      <c r="E5" s="22">
        <v>15.36</v>
      </c>
      <c r="G5">
        <v>15.34</v>
      </c>
      <c r="H5" s="4">
        <f t="shared" si="0"/>
        <v>-4.5999999999999019</v>
      </c>
      <c r="I5" t="s">
        <v>76</v>
      </c>
      <c r="K5">
        <f t="shared" si="1"/>
        <v>0</v>
      </c>
      <c r="L5" s="3">
        <f t="shared" si="2"/>
        <v>-1.3020833333332593E-3</v>
      </c>
    </row>
    <row r="6" spans="1:15">
      <c r="A6" s="18">
        <v>45204</v>
      </c>
      <c r="B6" s="22" t="s">
        <v>51</v>
      </c>
      <c r="C6" s="22">
        <v>1</v>
      </c>
      <c r="E6" s="22">
        <v>40</v>
      </c>
      <c r="G6">
        <v>25</v>
      </c>
      <c r="H6" s="4">
        <f t="shared" si="0"/>
        <v>-15</v>
      </c>
      <c r="I6" t="s">
        <v>74</v>
      </c>
      <c r="K6">
        <f t="shared" si="1"/>
        <v>0</v>
      </c>
      <c r="L6" s="3">
        <f t="shared" si="2"/>
        <v>-0.375</v>
      </c>
    </row>
    <row r="7" spans="1:15">
      <c r="A7" s="18">
        <v>45205</v>
      </c>
      <c r="B7" s="22" t="s">
        <v>52</v>
      </c>
      <c r="C7" s="22">
        <v>1</v>
      </c>
      <c r="E7" s="22">
        <v>55</v>
      </c>
      <c r="G7">
        <v>64</v>
      </c>
      <c r="H7" s="4">
        <f t="shared" si="0"/>
        <v>9</v>
      </c>
      <c r="K7">
        <f t="shared" si="1"/>
        <v>1</v>
      </c>
      <c r="L7" s="3">
        <f t="shared" si="2"/>
        <v>0.16363636363636358</v>
      </c>
    </row>
    <row r="8" spans="1:15">
      <c r="A8" s="18">
        <v>45206</v>
      </c>
      <c r="B8" s="22" t="s">
        <v>53</v>
      </c>
      <c r="C8" s="22">
        <v>1</v>
      </c>
      <c r="E8" s="22">
        <v>7</v>
      </c>
      <c r="G8">
        <v>0</v>
      </c>
      <c r="H8" s="4">
        <f t="shared" si="0"/>
        <v>-7</v>
      </c>
      <c r="K8">
        <f t="shared" si="1"/>
        <v>0</v>
      </c>
      <c r="L8" s="3">
        <f t="shared" si="2"/>
        <v>-1</v>
      </c>
    </row>
    <row r="9" spans="1:15">
      <c r="A9" s="18">
        <v>45207</v>
      </c>
      <c r="B9" s="22" t="s">
        <v>54</v>
      </c>
      <c r="C9" s="22">
        <v>1</v>
      </c>
      <c r="E9" s="22">
        <v>8</v>
      </c>
      <c r="G9">
        <v>4</v>
      </c>
      <c r="H9" s="4">
        <f t="shared" si="0"/>
        <v>-4</v>
      </c>
      <c r="K9">
        <f t="shared" si="1"/>
        <v>0</v>
      </c>
      <c r="L9" s="3">
        <f t="shared" si="2"/>
        <v>-0.5</v>
      </c>
    </row>
    <row r="10" spans="1:15">
      <c r="A10" s="18">
        <v>45208</v>
      </c>
      <c r="B10" s="22" t="s">
        <v>55</v>
      </c>
      <c r="C10" s="22">
        <v>1</v>
      </c>
      <c r="E10" s="22">
        <v>69</v>
      </c>
      <c r="G10">
        <v>45</v>
      </c>
      <c r="H10" s="4">
        <f t="shared" si="0"/>
        <v>-24</v>
      </c>
      <c r="K10">
        <f t="shared" si="1"/>
        <v>0</v>
      </c>
      <c r="L10" s="3">
        <f t="shared" si="2"/>
        <v>-0.34782608695652173</v>
      </c>
    </row>
    <row r="11" spans="1:15">
      <c r="A11" s="18">
        <v>45209</v>
      </c>
      <c r="B11" s="22" t="s">
        <v>55</v>
      </c>
      <c r="C11" s="22">
        <v>1</v>
      </c>
      <c r="E11" s="22">
        <v>56</v>
      </c>
      <c r="G11">
        <v>66</v>
      </c>
      <c r="H11" s="4">
        <f t="shared" si="0"/>
        <v>10</v>
      </c>
      <c r="K11">
        <f t="shared" si="1"/>
        <v>1</v>
      </c>
      <c r="L11" s="3">
        <f t="shared" si="2"/>
        <v>0.1785714285714286</v>
      </c>
    </row>
    <row r="12" spans="1:15">
      <c r="A12" s="18">
        <v>45210</v>
      </c>
      <c r="B12" s="22" t="s">
        <v>55</v>
      </c>
      <c r="C12" s="22">
        <v>1</v>
      </c>
      <c r="E12" s="22">
        <v>76</v>
      </c>
      <c r="G12">
        <v>86</v>
      </c>
      <c r="H12" s="4">
        <f t="shared" si="0"/>
        <v>10</v>
      </c>
      <c r="K12">
        <f t="shared" si="1"/>
        <v>1</v>
      </c>
      <c r="L12" s="3">
        <f t="shared" si="2"/>
        <v>0.13157894736842102</v>
      </c>
    </row>
    <row r="13" spans="1:15">
      <c r="A13" s="18">
        <v>45211</v>
      </c>
      <c r="B13" s="22" t="s">
        <v>55</v>
      </c>
      <c r="C13" s="22">
        <v>1</v>
      </c>
      <c r="E13" s="22">
        <v>50</v>
      </c>
      <c r="G13">
        <v>40</v>
      </c>
      <c r="H13" s="4">
        <f t="shared" si="0"/>
        <v>-10</v>
      </c>
      <c r="K13">
        <f t="shared" si="1"/>
        <v>0</v>
      </c>
      <c r="L13" s="3">
        <f t="shared" si="2"/>
        <v>-0.19999999999999996</v>
      </c>
    </row>
    <row r="14" spans="1:15">
      <c r="A14" s="18">
        <v>45212</v>
      </c>
      <c r="B14" s="22" t="s">
        <v>55</v>
      </c>
      <c r="C14" s="22">
        <v>1</v>
      </c>
      <c r="E14" s="22">
        <v>49</v>
      </c>
      <c r="G14">
        <v>39</v>
      </c>
      <c r="H14" s="4">
        <f t="shared" si="0"/>
        <v>-10</v>
      </c>
      <c r="K14">
        <f t="shared" si="1"/>
        <v>0</v>
      </c>
      <c r="L14" s="3">
        <f t="shared" si="2"/>
        <v>-0.20408163265306123</v>
      </c>
    </row>
    <row r="15" spans="1:15">
      <c r="A15" s="18">
        <v>45213</v>
      </c>
      <c r="B15" s="22" t="s">
        <v>56</v>
      </c>
      <c r="C15" s="22">
        <v>1</v>
      </c>
      <c r="E15" s="22">
        <v>65</v>
      </c>
      <c r="G15">
        <v>75</v>
      </c>
      <c r="H15" s="4">
        <f t="shared" si="0"/>
        <v>10</v>
      </c>
      <c r="K15">
        <f t="shared" si="1"/>
        <v>1</v>
      </c>
      <c r="L15" s="3">
        <f t="shared" si="2"/>
        <v>0.15384615384615374</v>
      </c>
    </row>
    <row r="16" spans="1:15">
      <c r="A16" s="18">
        <v>45214</v>
      </c>
      <c r="B16" s="22" t="s">
        <v>57</v>
      </c>
      <c r="C16" s="22">
        <v>1</v>
      </c>
      <c r="E16" s="22">
        <v>2</v>
      </c>
      <c r="G16">
        <v>0</v>
      </c>
      <c r="H16" s="4">
        <f t="shared" si="0"/>
        <v>-2</v>
      </c>
      <c r="K16">
        <f t="shared" si="1"/>
        <v>0</v>
      </c>
      <c r="L16" s="3">
        <f t="shared" si="2"/>
        <v>-1</v>
      </c>
    </row>
    <row r="17" spans="1:14">
      <c r="A17" s="18">
        <v>45215</v>
      </c>
      <c r="B17" s="22" t="s">
        <v>55</v>
      </c>
      <c r="C17" s="22">
        <v>1</v>
      </c>
      <c r="E17" s="22">
        <v>44</v>
      </c>
      <c r="G17">
        <v>55</v>
      </c>
      <c r="H17" s="4">
        <f t="shared" si="0"/>
        <v>11</v>
      </c>
      <c r="K17">
        <f t="shared" si="1"/>
        <v>1</v>
      </c>
      <c r="L17" s="3">
        <f t="shared" si="2"/>
        <v>0.25</v>
      </c>
    </row>
    <row r="18" spans="1:14">
      <c r="A18" s="18">
        <v>45216</v>
      </c>
      <c r="B18" s="22" t="s">
        <v>58</v>
      </c>
      <c r="C18" s="22">
        <v>5</v>
      </c>
      <c r="E18" s="22">
        <v>56.148000000000003</v>
      </c>
      <c r="G18">
        <v>60.4</v>
      </c>
      <c r="H18" s="4">
        <f t="shared" si="0"/>
        <v>21.259999999999977</v>
      </c>
      <c r="K18">
        <f t="shared" si="1"/>
        <v>1</v>
      </c>
      <c r="L18" s="3">
        <f t="shared" si="2"/>
        <v>7.5728432001139767E-2</v>
      </c>
    </row>
    <row r="19" spans="1:14">
      <c r="A19" s="18">
        <v>45217</v>
      </c>
      <c r="B19" s="22" t="s">
        <v>59</v>
      </c>
      <c r="C19" s="22">
        <v>1</v>
      </c>
      <c r="E19" s="22">
        <v>55</v>
      </c>
      <c r="G19">
        <v>81</v>
      </c>
      <c r="H19" s="4">
        <f t="shared" si="0"/>
        <v>26</v>
      </c>
      <c r="K19">
        <f t="shared" si="1"/>
        <v>1</v>
      </c>
      <c r="L19" s="3">
        <f t="shared" si="2"/>
        <v>0.47272727272727266</v>
      </c>
    </row>
    <row r="20" spans="1:14">
      <c r="A20" s="18">
        <v>45218</v>
      </c>
      <c r="B20" s="22" t="s">
        <v>60</v>
      </c>
      <c r="C20" s="22">
        <v>1</v>
      </c>
      <c r="E20" s="22">
        <v>46</v>
      </c>
      <c r="G20">
        <v>56</v>
      </c>
      <c r="H20" s="4">
        <f t="shared" si="0"/>
        <v>10</v>
      </c>
      <c r="K20">
        <f t="shared" si="1"/>
        <v>1</v>
      </c>
      <c r="L20" s="3">
        <f t="shared" si="2"/>
        <v>0.21739130434782616</v>
      </c>
    </row>
    <row r="21" spans="1:14">
      <c r="A21" s="18">
        <v>45219</v>
      </c>
      <c r="B21" s="22" t="s">
        <v>61</v>
      </c>
      <c r="C21" s="22">
        <v>1</v>
      </c>
      <c r="E21" s="22">
        <v>22</v>
      </c>
      <c r="G21">
        <v>13</v>
      </c>
      <c r="H21" s="4">
        <f t="shared" si="0"/>
        <v>-9</v>
      </c>
      <c r="K21">
        <f t="shared" si="1"/>
        <v>0</v>
      </c>
      <c r="L21" s="3">
        <f t="shared" si="2"/>
        <v>-0.40909090909090906</v>
      </c>
    </row>
    <row r="22" spans="1:14">
      <c r="A22" s="18">
        <v>45220</v>
      </c>
      <c r="B22" s="22" t="s">
        <v>62</v>
      </c>
      <c r="C22" s="22">
        <v>1</v>
      </c>
      <c r="E22" s="22">
        <v>27</v>
      </c>
      <c r="G22">
        <v>13</v>
      </c>
      <c r="H22" s="4">
        <f t="shared" si="0"/>
        <v>-14</v>
      </c>
      <c r="K22">
        <f t="shared" si="1"/>
        <v>0</v>
      </c>
      <c r="L22" s="3">
        <f t="shared" si="2"/>
        <v>-0.5185185185185186</v>
      </c>
    </row>
    <row r="23" spans="1:14">
      <c r="A23" s="18">
        <v>45221</v>
      </c>
      <c r="B23" s="22" t="s">
        <v>63</v>
      </c>
      <c r="C23" s="22">
        <v>1</v>
      </c>
      <c r="E23" s="22">
        <v>67</v>
      </c>
      <c r="G23">
        <v>110</v>
      </c>
      <c r="H23" s="4">
        <f t="shared" si="0"/>
        <v>43</v>
      </c>
      <c r="K23">
        <f t="shared" si="1"/>
        <v>1</v>
      </c>
      <c r="L23" s="3">
        <f t="shared" si="2"/>
        <v>0.64179104477611948</v>
      </c>
    </row>
    <row r="24" spans="1:14">
      <c r="A24" s="18">
        <v>45222</v>
      </c>
      <c r="B24" s="22" t="s">
        <v>64</v>
      </c>
      <c r="C24" s="22">
        <v>1</v>
      </c>
      <c r="E24" s="22">
        <v>37</v>
      </c>
      <c r="G24">
        <v>62</v>
      </c>
      <c r="H24" s="4">
        <f t="shared" si="0"/>
        <v>25</v>
      </c>
      <c r="K24">
        <f t="shared" si="1"/>
        <v>1</v>
      </c>
      <c r="L24" s="3">
        <f t="shared" si="2"/>
        <v>0.67567567567567566</v>
      </c>
    </row>
    <row r="25" spans="1:14">
      <c r="A25" s="18">
        <v>45258</v>
      </c>
      <c r="B25" s="22" t="s">
        <v>77</v>
      </c>
      <c r="C25" s="22">
        <v>1</v>
      </c>
      <c r="D25" s="44">
        <v>45258</v>
      </c>
      <c r="E25" s="22">
        <v>37</v>
      </c>
      <c r="F25" s="9">
        <v>45258</v>
      </c>
      <c r="G25">
        <v>62</v>
      </c>
      <c r="H25" s="4">
        <f t="shared" si="0"/>
        <v>25</v>
      </c>
      <c r="I25" t="s">
        <v>78</v>
      </c>
      <c r="K25">
        <f t="shared" si="1"/>
        <v>1</v>
      </c>
      <c r="L25" s="3">
        <f t="shared" si="2"/>
        <v>0.67567567567567566</v>
      </c>
    </row>
    <row r="26" spans="1:14">
      <c r="A26" s="18">
        <v>45259</v>
      </c>
      <c r="B26" s="22" t="s">
        <v>77</v>
      </c>
      <c r="C26" s="22">
        <v>1</v>
      </c>
      <c r="D26" s="44">
        <v>45259</v>
      </c>
      <c r="E26" s="22">
        <v>45</v>
      </c>
      <c r="F26" s="9">
        <v>45259</v>
      </c>
      <c r="G26">
        <v>55</v>
      </c>
      <c r="H26" s="4">
        <f t="shared" si="0"/>
        <v>10</v>
      </c>
      <c r="I26" t="s">
        <v>79</v>
      </c>
      <c r="K26">
        <f t="shared" si="1"/>
        <v>1</v>
      </c>
      <c r="L26" s="3">
        <f t="shared" si="2"/>
        <v>0.22222222222222232</v>
      </c>
    </row>
    <row r="27" spans="1:14">
      <c r="A27" s="18">
        <v>45260</v>
      </c>
      <c r="B27" s="22" t="s">
        <v>80</v>
      </c>
      <c r="C27" s="22">
        <v>1</v>
      </c>
      <c r="D27" s="44">
        <v>45260</v>
      </c>
      <c r="E27" s="22">
        <v>27</v>
      </c>
      <c r="F27" s="9">
        <v>45260</v>
      </c>
      <c r="G27">
        <v>15</v>
      </c>
      <c r="H27" s="4">
        <f t="shared" si="0"/>
        <v>-12</v>
      </c>
      <c r="I27" t="s">
        <v>74</v>
      </c>
      <c r="K27">
        <f t="shared" si="1"/>
        <v>0</v>
      </c>
      <c r="L27" s="3">
        <f t="shared" si="2"/>
        <v>-0.44444444444444442</v>
      </c>
    </row>
    <row r="28" spans="1:14">
      <c r="A28" s="18">
        <v>45260</v>
      </c>
      <c r="B28" s="22" t="s">
        <v>77</v>
      </c>
      <c r="C28" s="22">
        <v>1</v>
      </c>
      <c r="D28" s="44">
        <v>45260</v>
      </c>
      <c r="E28" s="22">
        <v>57</v>
      </c>
      <c r="F28" s="9">
        <v>45260</v>
      </c>
      <c r="G28">
        <v>50</v>
      </c>
      <c r="H28" s="4">
        <f t="shared" si="0"/>
        <v>-7</v>
      </c>
      <c r="I28" t="s">
        <v>79</v>
      </c>
      <c r="K28">
        <f t="shared" si="1"/>
        <v>0</v>
      </c>
      <c r="L28" s="3">
        <f t="shared" si="2"/>
        <v>-0.1228070175438597</v>
      </c>
    </row>
    <row r="29" spans="1:14">
      <c r="A29" s="18">
        <v>45260</v>
      </c>
      <c r="B29" s="22" t="s">
        <v>81</v>
      </c>
      <c r="C29" s="22">
        <v>20</v>
      </c>
      <c r="D29" s="44">
        <v>45260</v>
      </c>
      <c r="E29" s="22">
        <v>10.95</v>
      </c>
      <c r="F29" s="9">
        <v>45264</v>
      </c>
      <c r="G29">
        <v>12</v>
      </c>
      <c r="H29" s="4">
        <f t="shared" si="0"/>
        <v>21.000000000000014</v>
      </c>
      <c r="I29" t="s">
        <v>82</v>
      </c>
      <c r="K29">
        <f t="shared" si="1"/>
        <v>1</v>
      </c>
      <c r="L29" s="3">
        <f t="shared" si="2"/>
        <v>9.5890410958904271E-2</v>
      </c>
    </row>
    <row r="30" spans="1:14">
      <c r="A30" s="18">
        <v>45231</v>
      </c>
      <c r="B30" s="22" t="s">
        <v>83</v>
      </c>
      <c r="C30" s="22">
        <v>1</v>
      </c>
      <c r="D30" s="44">
        <v>45231</v>
      </c>
      <c r="E30" s="22">
        <v>17</v>
      </c>
      <c r="F30" s="9">
        <v>45231</v>
      </c>
      <c r="G30">
        <v>30</v>
      </c>
      <c r="H30" s="4">
        <f t="shared" si="0"/>
        <v>13</v>
      </c>
      <c r="I30" t="s">
        <v>84</v>
      </c>
      <c r="K30">
        <f t="shared" si="1"/>
        <v>1</v>
      </c>
      <c r="L30" s="3">
        <f t="shared" si="2"/>
        <v>0.76470588235294112</v>
      </c>
    </row>
    <row r="31" spans="1:14" s="11" customFormat="1">
      <c r="A31" s="19">
        <v>45264</v>
      </c>
      <c r="B31" s="23" t="s">
        <v>55</v>
      </c>
      <c r="C31" s="23">
        <v>1</v>
      </c>
      <c r="D31" s="45">
        <v>45264</v>
      </c>
      <c r="E31" s="23">
        <v>50</v>
      </c>
      <c r="F31" s="10">
        <v>45264</v>
      </c>
      <c r="G31" s="11">
        <v>69</v>
      </c>
      <c r="H31" s="4">
        <f t="shared" si="0"/>
        <v>19</v>
      </c>
      <c r="I31" s="11" t="s">
        <v>85</v>
      </c>
      <c r="J31"/>
      <c r="K31">
        <f t="shared" si="1"/>
        <v>1</v>
      </c>
      <c r="L31" s="3">
        <f t="shared" si="2"/>
        <v>0.37999999999999989</v>
      </c>
      <c r="N31" s="23"/>
    </row>
    <row r="32" spans="1:14">
      <c r="A32" s="18">
        <v>45265</v>
      </c>
      <c r="B32" s="22" t="s">
        <v>55</v>
      </c>
      <c r="C32" s="22">
        <v>1</v>
      </c>
      <c r="D32" s="44">
        <v>45265</v>
      </c>
      <c r="E32" s="22">
        <v>65</v>
      </c>
      <c r="F32" s="9">
        <v>45265</v>
      </c>
      <c r="G32">
        <v>45</v>
      </c>
      <c r="H32" s="4">
        <f t="shared" si="0"/>
        <v>-20</v>
      </c>
      <c r="I32" t="s">
        <v>86</v>
      </c>
      <c r="K32">
        <f t="shared" si="1"/>
        <v>0</v>
      </c>
      <c r="L32" s="3">
        <f t="shared" si="2"/>
        <v>-0.30769230769230771</v>
      </c>
    </row>
    <row r="33" spans="1:14">
      <c r="A33" s="18">
        <v>45266</v>
      </c>
      <c r="B33" s="22" t="s">
        <v>55</v>
      </c>
      <c r="C33" s="22">
        <v>1</v>
      </c>
      <c r="D33" s="44">
        <v>45266</v>
      </c>
      <c r="E33" s="22">
        <v>65</v>
      </c>
      <c r="F33" s="9">
        <v>45266</v>
      </c>
      <c r="G33">
        <v>51</v>
      </c>
      <c r="H33" s="4">
        <f t="shared" si="0"/>
        <v>-14</v>
      </c>
      <c r="K33">
        <f t="shared" si="1"/>
        <v>0</v>
      </c>
      <c r="L33" s="3">
        <f t="shared" si="2"/>
        <v>-0.2153846153846154</v>
      </c>
    </row>
    <row r="34" spans="1:14">
      <c r="A34" s="18">
        <v>45266</v>
      </c>
      <c r="B34" s="22" t="s">
        <v>55</v>
      </c>
      <c r="C34" s="22">
        <v>1</v>
      </c>
      <c r="D34" s="44">
        <v>45266</v>
      </c>
      <c r="E34" s="22">
        <v>33</v>
      </c>
      <c r="F34" s="9">
        <v>45266</v>
      </c>
      <c r="G34">
        <v>25</v>
      </c>
      <c r="H34" s="4">
        <f t="shared" si="0"/>
        <v>-8</v>
      </c>
      <c r="K34">
        <f t="shared" si="1"/>
        <v>0</v>
      </c>
      <c r="L34" s="3">
        <f t="shared" si="2"/>
        <v>-0.24242424242424243</v>
      </c>
    </row>
    <row r="35" spans="1:14">
      <c r="A35" s="18">
        <v>45266</v>
      </c>
      <c r="B35" s="22" t="s">
        <v>83</v>
      </c>
      <c r="C35" s="22">
        <v>1</v>
      </c>
      <c r="D35" s="44">
        <v>45266</v>
      </c>
      <c r="E35" s="22">
        <v>41</v>
      </c>
      <c r="F35" s="9">
        <v>45266</v>
      </c>
      <c r="G35">
        <v>41</v>
      </c>
      <c r="H35" s="4">
        <f t="shared" si="0"/>
        <v>0</v>
      </c>
      <c r="I35" t="s">
        <v>87</v>
      </c>
      <c r="K35">
        <f t="shared" si="1"/>
        <v>1</v>
      </c>
      <c r="L35" s="3">
        <f t="shared" si="2"/>
        <v>0</v>
      </c>
    </row>
    <row r="36" spans="1:14">
      <c r="A36" s="18">
        <v>45267</v>
      </c>
      <c r="B36" s="22" t="s">
        <v>83</v>
      </c>
      <c r="C36" s="22">
        <v>1</v>
      </c>
      <c r="D36" s="44">
        <v>45267</v>
      </c>
      <c r="E36" s="22">
        <v>30</v>
      </c>
      <c r="F36" s="9">
        <v>45267</v>
      </c>
      <c r="G36">
        <v>15</v>
      </c>
      <c r="H36" s="4">
        <f t="shared" si="0"/>
        <v>-15</v>
      </c>
      <c r="K36">
        <f t="shared" si="1"/>
        <v>0</v>
      </c>
      <c r="L36" s="3">
        <f t="shared" si="2"/>
        <v>-0.5</v>
      </c>
    </row>
    <row r="37" spans="1:14">
      <c r="A37" s="18">
        <v>45267</v>
      </c>
      <c r="B37" s="22" t="s">
        <v>83</v>
      </c>
      <c r="C37" s="22">
        <v>1</v>
      </c>
      <c r="D37" s="44">
        <v>45267</v>
      </c>
      <c r="E37" s="22">
        <v>10</v>
      </c>
      <c r="F37" s="9">
        <v>45267</v>
      </c>
      <c r="G37">
        <v>7</v>
      </c>
      <c r="H37" s="4">
        <f t="shared" si="0"/>
        <v>-3</v>
      </c>
      <c r="K37">
        <f t="shared" si="1"/>
        <v>0</v>
      </c>
      <c r="L37" s="3">
        <f t="shared" si="2"/>
        <v>-0.30000000000000004</v>
      </c>
    </row>
    <row r="38" spans="1:14">
      <c r="A38" s="18">
        <v>45267</v>
      </c>
      <c r="B38" s="22" t="s">
        <v>55</v>
      </c>
      <c r="C38" s="22">
        <v>1</v>
      </c>
      <c r="D38" s="44">
        <v>45267</v>
      </c>
      <c r="E38" s="22">
        <v>51</v>
      </c>
      <c r="F38" s="9">
        <v>45267</v>
      </c>
      <c r="G38">
        <v>40</v>
      </c>
      <c r="H38" s="4">
        <f t="shared" si="0"/>
        <v>-11</v>
      </c>
      <c r="K38">
        <f t="shared" si="1"/>
        <v>0</v>
      </c>
      <c r="L38" s="3">
        <f t="shared" si="2"/>
        <v>-0.21568627450980393</v>
      </c>
    </row>
    <row r="39" spans="1:14">
      <c r="A39" s="18">
        <v>45267</v>
      </c>
      <c r="B39" s="22" t="s">
        <v>55</v>
      </c>
      <c r="C39" s="22">
        <v>1</v>
      </c>
      <c r="D39" s="44">
        <v>45267</v>
      </c>
      <c r="E39" s="22">
        <v>28</v>
      </c>
      <c r="F39" s="9">
        <v>45267</v>
      </c>
      <c r="G39">
        <v>52</v>
      </c>
      <c r="H39" s="4">
        <f t="shared" si="0"/>
        <v>24</v>
      </c>
      <c r="K39">
        <f t="shared" si="1"/>
        <v>1</v>
      </c>
      <c r="L39" s="3">
        <f t="shared" si="2"/>
        <v>0.85714285714285721</v>
      </c>
    </row>
    <row r="40" spans="1:14">
      <c r="A40" s="18">
        <v>45268</v>
      </c>
      <c r="B40" s="22" t="s">
        <v>88</v>
      </c>
      <c r="C40" s="22">
        <v>1</v>
      </c>
      <c r="D40" s="44">
        <v>45268</v>
      </c>
      <c r="E40" s="22">
        <v>110</v>
      </c>
      <c r="F40" s="9">
        <v>45268</v>
      </c>
      <c r="G40">
        <v>190</v>
      </c>
      <c r="H40" s="4">
        <f t="shared" si="0"/>
        <v>80</v>
      </c>
      <c r="I40" t="s">
        <v>74</v>
      </c>
      <c r="K40">
        <f t="shared" si="1"/>
        <v>1</v>
      </c>
      <c r="L40" s="3">
        <f t="shared" si="2"/>
        <v>0.72727272727272729</v>
      </c>
    </row>
    <row r="41" spans="1:14" s="11" customFormat="1">
      <c r="A41" s="19">
        <v>45271</v>
      </c>
      <c r="B41" s="23" t="s">
        <v>55</v>
      </c>
      <c r="C41" s="23">
        <v>1</v>
      </c>
      <c r="D41" s="45">
        <v>45271</v>
      </c>
      <c r="E41" s="23">
        <v>50</v>
      </c>
      <c r="F41" s="10">
        <v>45271</v>
      </c>
      <c r="G41" s="11">
        <v>35</v>
      </c>
      <c r="H41" s="4">
        <f t="shared" si="0"/>
        <v>-15</v>
      </c>
      <c r="I41" s="11" t="s">
        <v>85</v>
      </c>
      <c r="J41"/>
      <c r="K41">
        <f t="shared" si="1"/>
        <v>0</v>
      </c>
      <c r="L41" s="3">
        <f t="shared" si="2"/>
        <v>-0.30000000000000004</v>
      </c>
      <c r="N41" s="23"/>
    </row>
    <row r="42" spans="1:14">
      <c r="A42" s="18">
        <v>45271</v>
      </c>
      <c r="B42" s="22" t="s">
        <v>89</v>
      </c>
      <c r="C42" s="22">
        <v>1</v>
      </c>
      <c r="D42" s="44">
        <v>45271</v>
      </c>
      <c r="E42" s="22">
        <v>38</v>
      </c>
      <c r="F42" s="9">
        <v>45271</v>
      </c>
      <c r="G42">
        <v>43</v>
      </c>
      <c r="H42" s="4">
        <f t="shared" si="0"/>
        <v>5</v>
      </c>
      <c r="I42" t="s">
        <v>86</v>
      </c>
      <c r="K42">
        <f t="shared" si="1"/>
        <v>1</v>
      </c>
      <c r="L42" s="3">
        <f t="shared" si="2"/>
        <v>0.13157894736842102</v>
      </c>
    </row>
    <row r="43" spans="1:14">
      <c r="A43" s="18">
        <v>45271</v>
      </c>
      <c r="B43" s="22" t="s">
        <v>90</v>
      </c>
      <c r="C43" s="22">
        <v>1</v>
      </c>
      <c r="D43" s="44">
        <v>45271</v>
      </c>
      <c r="E43" s="22">
        <v>14</v>
      </c>
      <c r="F43" s="9">
        <v>45271</v>
      </c>
      <c r="G43">
        <v>0</v>
      </c>
      <c r="H43" s="4">
        <f t="shared" si="0"/>
        <v>-14</v>
      </c>
      <c r="I43" t="s">
        <v>86</v>
      </c>
      <c r="K43">
        <f t="shared" si="1"/>
        <v>0</v>
      </c>
      <c r="L43" s="3">
        <f t="shared" si="2"/>
        <v>-1</v>
      </c>
    </row>
    <row r="44" spans="1:14">
      <c r="A44" s="18">
        <v>45272</v>
      </c>
      <c r="B44" s="22" t="s">
        <v>91</v>
      </c>
      <c r="C44" s="22">
        <v>1</v>
      </c>
      <c r="D44" s="44">
        <v>45272</v>
      </c>
      <c r="E44" s="22">
        <v>18</v>
      </c>
      <c r="F44" s="9">
        <v>45272</v>
      </c>
      <c r="G44">
        <v>0</v>
      </c>
      <c r="H44" s="4">
        <f t="shared" si="0"/>
        <v>-18</v>
      </c>
      <c r="I44" t="s">
        <v>74</v>
      </c>
      <c r="J44" t="s">
        <v>92</v>
      </c>
      <c r="K44">
        <f t="shared" si="1"/>
        <v>0</v>
      </c>
      <c r="L44" s="3">
        <f t="shared" si="2"/>
        <v>-1</v>
      </c>
    </row>
    <row r="45" spans="1:14">
      <c r="A45" s="18">
        <v>45272</v>
      </c>
      <c r="B45" s="22" t="s">
        <v>91</v>
      </c>
      <c r="C45" s="22">
        <v>1</v>
      </c>
      <c r="D45" s="44">
        <v>45272</v>
      </c>
      <c r="E45" s="22">
        <v>46</v>
      </c>
      <c r="F45" s="9">
        <v>45272</v>
      </c>
      <c r="G45">
        <v>49</v>
      </c>
      <c r="H45" s="4">
        <f t="shared" si="0"/>
        <v>3</v>
      </c>
      <c r="I45" t="s">
        <v>74</v>
      </c>
      <c r="K45">
        <f t="shared" si="1"/>
        <v>1</v>
      </c>
      <c r="L45" s="3">
        <f t="shared" si="2"/>
        <v>6.5217391304347894E-2</v>
      </c>
    </row>
    <row r="46" spans="1:14">
      <c r="A46" s="18">
        <v>45273</v>
      </c>
      <c r="B46" s="22" t="s">
        <v>55</v>
      </c>
      <c r="C46" s="22">
        <v>1</v>
      </c>
      <c r="D46" s="44">
        <v>45273</v>
      </c>
      <c r="E46" s="22">
        <v>37</v>
      </c>
      <c r="F46" s="9">
        <v>45273</v>
      </c>
      <c r="G46">
        <v>28</v>
      </c>
      <c r="H46" s="4">
        <f t="shared" si="0"/>
        <v>-9</v>
      </c>
      <c r="I46" t="s">
        <v>93</v>
      </c>
      <c r="K46">
        <f t="shared" si="1"/>
        <v>0</v>
      </c>
      <c r="L46" s="3">
        <f t="shared" si="2"/>
        <v>-0.2432432432432432</v>
      </c>
    </row>
    <row r="47" spans="1:14">
      <c r="A47" s="18">
        <v>45273</v>
      </c>
      <c r="B47" s="22" t="s">
        <v>55</v>
      </c>
      <c r="C47" s="22">
        <v>1</v>
      </c>
      <c r="D47" s="44">
        <v>45273</v>
      </c>
      <c r="E47" s="22">
        <v>31</v>
      </c>
      <c r="F47" s="9">
        <v>45273</v>
      </c>
      <c r="G47">
        <v>17</v>
      </c>
      <c r="H47" s="4">
        <f t="shared" si="0"/>
        <v>-14</v>
      </c>
      <c r="I47" t="s">
        <v>93</v>
      </c>
      <c r="K47">
        <f t="shared" si="1"/>
        <v>0</v>
      </c>
      <c r="L47" s="3">
        <f t="shared" si="2"/>
        <v>-0.45161290322580649</v>
      </c>
    </row>
    <row r="48" spans="1:14">
      <c r="A48" s="18">
        <v>45273</v>
      </c>
      <c r="B48" s="22" t="s">
        <v>55</v>
      </c>
      <c r="C48" s="22">
        <v>1</v>
      </c>
      <c r="D48" s="44">
        <v>45273</v>
      </c>
      <c r="E48" s="22">
        <v>54</v>
      </c>
      <c r="F48" s="9">
        <v>45273</v>
      </c>
      <c r="G48">
        <v>38</v>
      </c>
      <c r="H48" s="4">
        <f t="shared" si="0"/>
        <v>-16</v>
      </c>
      <c r="I48" t="s">
        <v>93</v>
      </c>
      <c r="K48">
        <f t="shared" si="1"/>
        <v>0</v>
      </c>
      <c r="L48" s="3">
        <f t="shared" si="2"/>
        <v>-0.29629629629629628</v>
      </c>
    </row>
    <row r="49" spans="1:16">
      <c r="A49" s="18">
        <v>45275</v>
      </c>
      <c r="B49" s="22" t="s">
        <v>94</v>
      </c>
      <c r="C49" s="22">
        <v>1</v>
      </c>
      <c r="D49" s="44">
        <v>45275</v>
      </c>
      <c r="E49" s="22">
        <v>170</v>
      </c>
      <c r="F49" s="9">
        <v>45275</v>
      </c>
      <c r="G49">
        <v>210</v>
      </c>
      <c r="H49" s="4">
        <f t="shared" si="0"/>
        <v>40</v>
      </c>
      <c r="I49" t="s">
        <v>74</v>
      </c>
      <c r="K49">
        <f t="shared" si="1"/>
        <v>1</v>
      </c>
      <c r="L49" s="3">
        <f t="shared" si="2"/>
        <v>0.23529411764705888</v>
      </c>
      <c r="M49" t="s">
        <v>95</v>
      </c>
    </row>
    <row r="50" spans="1:16">
      <c r="A50" s="18">
        <v>45275</v>
      </c>
      <c r="B50" s="22" t="s">
        <v>94</v>
      </c>
      <c r="C50" s="22">
        <v>4</v>
      </c>
      <c r="D50" s="44">
        <v>45275</v>
      </c>
      <c r="E50" s="22">
        <v>71</v>
      </c>
      <c r="F50" s="9">
        <v>45275</v>
      </c>
      <c r="G50">
        <v>80</v>
      </c>
      <c r="H50" s="4">
        <f t="shared" si="0"/>
        <v>36</v>
      </c>
      <c r="I50" t="s">
        <v>96</v>
      </c>
      <c r="K50">
        <f t="shared" si="1"/>
        <v>1</v>
      </c>
      <c r="L50" s="3">
        <f t="shared" si="2"/>
        <v>0.12676056338028174</v>
      </c>
    </row>
    <row r="51" spans="1:16" s="13" customFormat="1">
      <c r="A51" s="20">
        <v>45278</v>
      </c>
      <c r="B51" s="24" t="s">
        <v>97</v>
      </c>
      <c r="C51" s="24">
        <v>1</v>
      </c>
      <c r="D51" s="46">
        <v>45278</v>
      </c>
      <c r="E51" s="24">
        <v>74.08</v>
      </c>
      <c r="G51" s="13">
        <v>72</v>
      </c>
      <c r="H51" s="14">
        <f t="shared" si="0"/>
        <v>-2.0799999999999983</v>
      </c>
      <c r="I51" s="13" t="s">
        <v>98</v>
      </c>
      <c r="K51" s="15">
        <v>1</v>
      </c>
      <c r="L51" s="3">
        <f t="shared" si="2"/>
        <v>-2.8077753779697567E-2</v>
      </c>
      <c r="M51" s="13" t="s">
        <v>99</v>
      </c>
      <c r="N51" s="24"/>
    </row>
    <row r="52" spans="1:16">
      <c r="A52" s="18">
        <v>45279</v>
      </c>
      <c r="B52" s="22" t="s">
        <v>58</v>
      </c>
      <c r="C52" s="22">
        <v>1</v>
      </c>
      <c r="D52" s="44">
        <v>45279</v>
      </c>
      <c r="E52" s="22">
        <v>69.48</v>
      </c>
      <c r="F52" s="9">
        <v>45280</v>
      </c>
      <c r="G52">
        <v>67.069999999999993</v>
      </c>
      <c r="H52" s="4">
        <f t="shared" si="0"/>
        <v>-2.4100000000000108</v>
      </c>
      <c r="K52">
        <f t="shared" si="1"/>
        <v>0</v>
      </c>
      <c r="L52" s="3">
        <f t="shared" si="2"/>
        <v>-3.4686240644789978E-2</v>
      </c>
    </row>
    <row r="53" spans="1:16">
      <c r="A53" s="18">
        <v>45279</v>
      </c>
      <c r="B53" s="22" t="s">
        <v>100</v>
      </c>
      <c r="C53" s="22">
        <v>1</v>
      </c>
      <c r="D53" s="44">
        <v>45279</v>
      </c>
      <c r="E53" s="22">
        <v>29</v>
      </c>
      <c r="F53" s="9">
        <v>45279</v>
      </c>
      <c r="G53">
        <v>27</v>
      </c>
      <c r="H53" s="4">
        <f t="shared" si="0"/>
        <v>-2</v>
      </c>
      <c r="I53" t="s">
        <v>101</v>
      </c>
      <c r="K53">
        <f t="shared" si="1"/>
        <v>0</v>
      </c>
      <c r="L53" s="3">
        <f t="shared" si="2"/>
        <v>-6.8965517241379337E-2</v>
      </c>
    </row>
    <row r="54" spans="1:16">
      <c r="A54" s="18">
        <v>45279</v>
      </c>
      <c r="B54" s="22" t="s">
        <v>100</v>
      </c>
      <c r="C54" s="22">
        <v>1</v>
      </c>
      <c r="D54" s="44">
        <v>45279</v>
      </c>
      <c r="E54" s="22">
        <v>33</v>
      </c>
      <c r="F54" s="9">
        <v>45279</v>
      </c>
      <c r="G54">
        <v>25</v>
      </c>
      <c r="H54" s="4">
        <f t="shared" si="0"/>
        <v>-8</v>
      </c>
      <c r="K54">
        <f t="shared" si="1"/>
        <v>0</v>
      </c>
      <c r="L54" s="3">
        <f t="shared" si="2"/>
        <v>-0.24242424242424243</v>
      </c>
    </row>
    <row r="55" spans="1:16">
      <c r="A55" s="18">
        <v>45280</v>
      </c>
      <c r="B55" s="22" t="s">
        <v>102</v>
      </c>
      <c r="C55" s="22">
        <v>4</v>
      </c>
      <c r="D55" s="44">
        <v>45280</v>
      </c>
      <c r="E55" s="22">
        <v>50</v>
      </c>
      <c r="F55" s="9">
        <v>45280</v>
      </c>
      <c r="G55">
        <v>58</v>
      </c>
      <c r="H55" s="4">
        <f t="shared" ref="H55:H93" si="3">(G55-E55)*C55</f>
        <v>32</v>
      </c>
      <c r="I55" t="s">
        <v>74</v>
      </c>
      <c r="J55" t="s">
        <v>103</v>
      </c>
      <c r="K55">
        <f t="shared" si="1"/>
        <v>1</v>
      </c>
      <c r="L55" s="3">
        <f t="shared" si="2"/>
        <v>0.15999999999999992</v>
      </c>
    </row>
    <row r="56" spans="1:16">
      <c r="A56" s="18">
        <v>45280</v>
      </c>
      <c r="B56" s="22" t="s">
        <v>55</v>
      </c>
      <c r="C56" s="22">
        <v>2</v>
      </c>
      <c r="D56" s="44">
        <v>45280</v>
      </c>
      <c r="E56" s="22">
        <v>56.5</v>
      </c>
      <c r="F56" s="9">
        <v>45280</v>
      </c>
      <c r="G56">
        <v>66</v>
      </c>
      <c r="H56" s="4">
        <f t="shared" si="3"/>
        <v>19</v>
      </c>
      <c r="K56">
        <f t="shared" si="1"/>
        <v>1</v>
      </c>
      <c r="L56" s="3">
        <f t="shared" si="2"/>
        <v>0.16814159292035402</v>
      </c>
    </row>
    <row r="57" spans="1:16">
      <c r="A57" s="18">
        <v>45281</v>
      </c>
      <c r="B57" s="22" t="s">
        <v>55</v>
      </c>
      <c r="C57" s="22">
        <v>4</v>
      </c>
      <c r="D57" s="44">
        <v>45280</v>
      </c>
      <c r="E57" s="22">
        <v>63.75</v>
      </c>
      <c r="F57" s="9">
        <v>45280</v>
      </c>
      <c r="G57">
        <v>40</v>
      </c>
      <c r="H57" s="4">
        <f t="shared" si="3"/>
        <v>-95</v>
      </c>
      <c r="K57">
        <f t="shared" si="1"/>
        <v>0</v>
      </c>
      <c r="L57" s="3">
        <f t="shared" si="2"/>
        <v>-0.37254901960784315</v>
      </c>
      <c r="M57">
        <f>IF(I57&lt; 0,0,1)</f>
        <v>1</v>
      </c>
    </row>
    <row r="58" spans="1:16">
      <c r="A58" s="18">
        <v>45282</v>
      </c>
      <c r="B58" s="22" t="s">
        <v>55</v>
      </c>
      <c r="C58" s="22">
        <v>1</v>
      </c>
      <c r="D58" s="44">
        <v>45282</v>
      </c>
      <c r="E58" s="22">
        <v>59</v>
      </c>
      <c r="F58" s="9">
        <v>45282</v>
      </c>
      <c r="G58">
        <v>49</v>
      </c>
      <c r="H58" s="4">
        <f t="shared" si="3"/>
        <v>-10</v>
      </c>
      <c r="K58">
        <f t="shared" si="1"/>
        <v>0</v>
      </c>
      <c r="L58" s="3">
        <f t="shared" si="2"/>
        <v>-0.16949152542372881</v>
      </c>
    </row>
    <row r="59" spans="1:16">
      <c r="A59" s="18">
        <v>45282</v>
      </c>
      <c r="B59" s="22" t="s">
        <v>104</v>
      </c>
      <c r="C59" s="22">
        <v>2</v>
      </c>
      <c r="D59" s="44">
        <v>45282</v>
      </c>
      <c r="E59" s="22">
        <v>21</v>
      </c>
      <c r="F59" s="9">
        <v>45282</v>
      </c>
      <c r="G59">
        <v>11</v>
      </c>
      <c r="H59" s="4">
        <f t="shared" si="3"/>
        <v>-20</v>
      </c>
      <c r="K59">
        <f t="shared" si="1"/>
        <v>0</v>
      </c>
      <c r="L59" s="3">
        <f t="shared" si="2"/>
        <v>-0.47619047619047616</v>
      </c>
    </row>
    <row r="60" spans="1:16">
      <c r="A60" s="18">
        <v>45282</v>
      </c>
      <c r="B60" s="22" t="s">
        <v>55</v>
      </c>
      <c r="C60" s="22">
        <v>2</v>
      </c>
      <c r="D60" s="44">
        <v>45282</v>
      </c>
      <c r="E60" s="22">
        <v>23</v>
      </c>
      <c r="F60" s="9">
        <v>45282</v>
      </c>
      <c r="G60">
        <v>29</v>
      </c>
      <c r="H60" s="4">
        <f t="shared" si="3"/>
        <v>12</v>
      </c>
      <c r="K60">
        <f t="shared" ref="K60:K123" si="4">IF(H60&lt; 0,0,1)</f>
        <v>1</v>
      </c>
      <c r="L60" s="3">
        <f t="shared" si="2"/>
        <v>0.26086956521739135</v>
      </c>
    </row>
    <row r="61" spans="1:16" s="11" customFormat="1">
      <c r="A61" s="19">
        <v>45286</v>
      </c>
      <c r="B61" s="23" t="s">
        <v>55</v>
      </c>
      <c r="C61" s="23">
        <v>1</v>
      </c>
      <c r="D61" s="45">
        <v>45286</v>
      </c>
      <c r="E61" s="23">
        <v>29</v>
      </c>
      <c r="F61" s="10">
        <v>45286</v>
      </c>
      <c r="G61" s="11">
        <v>29</v>
      </c>
      <c r="H61" s="4">
        <f t="shared" si="3"/>
        <v>0</v>
      </c>
      <c r="K61">
        <f t="shared" si="4"/>
        <v>1</v>
      </c>
      <c r="L61" s="3">
        <f t="shared" si="2"/>
        <v>0</v>
      </c>
      <c r="N61" s="23"/>
    </row>
    <row r="62" spans="1:16">
      <c r="A62" s="18">
        <v>45287</v>
      </c>
      <c r="B62" s="22" t="s">
        <v>55</v>
      </c>
      <c r="C62" s="22">
        <v>1</v>
      </c>
      <c r="D62" s="44">
        <v>45287</v>
      </c>
      <c r="E62" s="22">
        <v>36</v>
      </c>
      <c r="F62" s="9">
        <v>45287</v>
      </c>
      <c r="G62">
        <v>31</v>
      </c>
      <c r="H62" s="4">
        <f t="shared" si="3"/>
        <v>-5</v>
      </c>
      <c r="K62">
        <f t="shared" si="4"/>
        <v>0</v>
      </c>
      <c r="L62" s="3">
        <f t="shared" si="2"/>
        <v>-0.13888888888888884</v>
      </c>
    </row>
    <row r="63" spans="1:16">
      <c r="A63" s="18">
        <v>45287</v>
      </c>
      <c r="B63" s="22" t="s">
        <v>55</v>
      </c>
      <c r="C63" s="22">
        <v>2</v>
      </c>
      <c r="D63" s="44">
        <v>45287</v>
      </c>
      <c r="E63" s="22">
        <v>51</v>
      </c>
      <c r="F63" s="9">
        <v>45287</v>
      </c>
      <c r="G63">
        <v>50</v>
      </c>
      <c r="H63" s="4">
        <f t="shared" si="3"/>
        <v>-2</v>
      </c>
      <c r="K63">
        <f t="shared" si="4"/>
        <v>0</v>
      </c>
      <c r="L63" s="3">
        <f t="shared" si="2"/>
        <v>-1.9607843137254943E-2</v>
      </c>
    </row>
    <row r="64" spans="1:16">
      <c r="A64" s="18">
        <v>45287</v>
      </c>
      <c r="B64" s="22" t="s">
        <v>55</v>
      </c>
      <c r="C64" s="22">
        <v>1</v>
      </c>
      <c r="D64" s="44">
        <v>45287</v>
      </c>
      <c r="E64" s="22">
        <v>10</v>
      </c>
      <c r="F64" s="9">
        <v>45287</v>
      </c>
      <c r="G64">
        <v>4</v>
      </c>
      <c r="H64" s="4">
        <f t="shared" si="3"/>
        <v>-6</v>
      </c>
      <c r="K64">
        <f t="shared" si="4"/>
        <v>0</v>
      </c>
      <c r="L64" s="3">
        <f t="shared" si="2"/>
        <v>-0.6</v>
      </c>
      <c r="P64">
        <f>(38.12+38.23)/2</f>
        <v>38.174999999999997</v>
      </c>
    </row>
    <row r="65" spans="1:14">
      <c r="A65" s="18">
        <v>45288</v>
      </c>
      <c r="B65" s="22" t="s">
        <v>55</v>
      </c>
      <c r="C65" s="22">
        <v>4</v>
      </c>
      <c r="D65" s="44">
        <v>45287</v>
      </c>
      <c r="E65" s="22">
        <v>32.75</v>
      </c>
      <c r="F65" s="9">
        <v>45287</v>
      </c>
      <c r="G65">
        <v>50</v>
      </c>
      <c r="H65" s="4">
        <f t="shared" si="3"/>
        <v>69</v>
      </c>
      <c r="K65">
        <f t="shared" si="4"/>
        <v>1</v>
      </c>
      <c r="L65" s="3">
        <f t="shared" si="2"/>
        <v>0.5267175572519085</v>
      </c>
    </row>
    <row r="66" spans="1:14">
      <c r="A66" s="18">
        <v>45289</v>
      </c>
      <c r="B66" s="22" t="s">
        <v>55</v>
      </c>
      <c r="C66" s="22">
        <v>1</v>
      </c>
      <c r="D66" s="44">
        <v>45289</v>
      </c>
      <c r="E66" s="22">
        <v>33</v>
      </c>
      <c r="F66" s="9">
        <v>45289</v>
      </c>
      <c r="G66">
        <v>21</v>
      </c>
      <c r="H66" s="4">
        <f t="shared" si="3"/>
        <v>-12</v>
      </c>
      <c r="K66">
        <f t="shared" si="4"/>
        <v>0</v>
      </c>
      <c r="L66" s="3">
        <f t="shared" si="2"/>
        <v>-0.36363636363636365</v>
      </c>
    </row>
    <row r="67" spans="1:14" s="16" customFormat="1" ht="19.5">
      <c r="A67" s="60">
        <v>2024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3" t="e">
        <f t="shared" ref="L67:L117" si="5">(G67/E67)-1</f>
        <v>#DIV/0!</v>
      </c>
      <c r="N67" s="32"/>
    </row>
    <row r="68" spans="1:14">
      <c r="A68" s="18">
        <v>45294</v>
      </c>
      <c r="B68" s="22" t="s">
        <v>55</v>
      </c>
      <c r="C68" s="22">
        <v>4</v>
      </c>
      <c r="D68" s="44">
        <v>45020</v>
      </c>
      <c r="E68" s="22">
        <f>(42+35+28+25)/4</f>
        <v>32.5</v>
      </c>
      <c r="F68" s="9">
        <v>45386</v>
      </c>
      <c r="G68">
        <v>34</v>
      </c>
      <c r="H68" s="4">
        <f t="shared" si="3"/>
        <v>6</v>
      </c>
      <c r="K68" s="22">
        <f t="shared" si="4"/>
        <v>1</v>
      </c>
      <c r="L68" s="3">
        <f t="shared" si="5"/>
        <v>4.6153846153846212E-2</v>
      </c>
    </row>
    <row r="69" spans="1:14">
      <c r="A69" s="18">
        <v>45295</v>
      </c>
      <c r="B69" s="22" t="s">
        <v>55</v>
      </c>
      <c r="C69" s="22">
        <v>1</v>
      </c>
      <c r="D69" s="44">
        <v>44930</v>
      </c>
      <c r="E69" s="22">
        <v>61</v>
      </c>
      <c r="F69" s="9">
        <v>45295</v>
      </c>
      <c r="G69">
        <v>81</v>
      </c>
      <c r="H69" s="4">
        <f t="shared" si="3"/>
        <v>20</v>
      </c>
      <c r="K69" s="22">
        <f t="shared" si="4"/>
        <v>1</v>
      </c>
      <c r="L69" s="3">
        <f t="shared" si="5"/>
        <v>0.32786885245901631</v>
      </c>
      <c r="N69" s="22" t="s">
        <v>105</v>
      </c>
    </row>
    <row r="70" spans="1:14">
      <c r="A70" s="18">
        <v>45299</v>
      </c>
      <c r="B70" s="22" t="s">
        <v>106</v>
      </c>
      <c r="C70" s="22">
        <v>5</v>
      </c>
      <c r="D70" s="44">
        <v>45299</v>
      </c>
      <c r="E70" s="22">
        <v>38.174999999999997</v>
      </c>
      <c r="F70" s="9">
        <v>45299</v>
      </c>
      <c r="G70">
        <v>38.25</v>
      </c>
      <c r="H70" s="4">
        <f>(G70-E70)*C70</f>
        <v>0.37500000000001421</v>
      </c>
      <c r="K70" s="22">
        <f t="shared" si="4"/>
        <v>1</v>
      </c>
      <c r="L70" s="3">
        <f t="shared" si="5"/>
        <v>1.9646365422396617E-3</v>
      </c>
      <c r="N70" s="33">
        <f>SUM(K68:K89)/22</f>
        <v>0.63636363636363635</v>
      </c>
    </row>
    <row r="71" spans="1:14">
      <c r="A71" s="18">
        <v>45300</v>
      </c>
      <c r="B71" s="22" t="s">
        <v>55</v>
      </c>
      <c r="C71" s="22">
        <v>2</v>
      </c>
      <c r="D71" s="44">
        <v>45300</v>
      </c>
      <c r="E71" s="22">
        <f>(61+47)/2</f>
        <v>54</v>
      </c>
      <c r="F71" s="9">
        <v>45300</v>
      </c>
      <c r="G71">
        <v>50</v>
      </c>
      <c r="H71" s="4">
        <f t="shared" si="3"/>
        <v>-8</v>
      </c>
      <c r="K71" s="22">
        <f t="shared" si="4"/>
        <v>0</v>
      </c>
      <c r="L71" s="3">
        <f t="shared" si="5"/>
        <v>-7.407407407407407E-2</v>
      </c>
    </row>
    <row r="72" spans="1:14">
      <c r="A72" s="18">
        <v>45301</v>
      </c>
      <c r="B72" s="22" t="s">
        <v>106</v>
      </c>
      <c r="C72" s="22">
        <v>5</v>
      </c>
      <c r="D72" s="44">
        <v>45301</v>
      </c>
      <c r="E72" s="22">
        <v>38.174999999999997</v>
      </c>
      <c r="F72" s="9">
        <v>45301</v>
      </c>
      <c r="G72">
        <v>40.299999999999997</v>
      </c>
      <c r="H72" s="4">
        <f t="shared" si="3"/>
        <v>10.625</v>
      </c>
      <c r="K72" s="22">
        <f t="shared" si="4"/>
        <v>1</v>
      </c>
      <c r="L72" s="3">
        <f t="shared" si="5"/>
        <v>5.5664702030124413E-2</v>
      </c>
      <c r="N72" s="22" t="s">
        <v>45</v>
      </c>
    </row>
    <row r="73" spans="1:14">
      <c r="A73" s="18">
        <v>45301</v>
      </c>
      <c r="B73" s="22" t="s">
        <v>55</v>
      </c>
      <c r="C73" s="22">
        <v>2</v>
      </c>
      <c r="D73" s="44">
        <v>45301</v>
      </c>
      <c r="E73" s="22">
        <f>(10+20)/2</f>
        <v>15</v>
      </c>
      <c r="F73" s="9">
        <v>45301</v>
      </c>
      <c r="G73">
        <v>5</v>
      </c>
      <c r="H73" s="4">
        <f>(G73-E73)*C73</f>
        <v>-20</v>
      </c>
      <c r="K73" s="22">
        <f t="shared" si="4"/>
        <v>0</v>
      </c>
      <c r="L73" s="3">
        <f t="shared" si="5"/>
        <v>-0.66666666666666674</v>
      </c>
      <c r="N73" s="34">
        <f>SUM(H68:H89)</f>
        <v>84.75</v>
      </c>
    </row>
    <row r="74" spans="1:14">
      <c r="A74" s="18">
        <v>45302</v>
      </c>
      <c r="B74" s="22" t="s">
        <v>55</v>
      </c>
      <c r="C74" s="22">
        <v>2</v>
      </c>
      <c r="D74" s="44">
        <v>45302</v>
      </c>
      <c r="E74" s="22">
        <f>(65+34)/2</f>
        <v>49.5</v>
      </c>
      <c r="F74" s="9">
        <v>45302</v>
      </c>
      <c r="G74">
        <v>65</v>
      </c>
      <c r="H74" s="4">
        <f t="shared" si="3"/>
        <v>31</v>
      </c>
      <c r="K74" s="22">
        <f t="shared" si="4"/>
        <v>1</v>
      </c>
      <c r="L74" s="3">
        <f t="shared" si="5"/>
        <v>0.31313131313131315</v>
      </c>
    </row>
    <row r="75" spans="1:14">
      <c r="A75" s="18">
        <v>45303</v>
      </c>
      <c r="B75" s="22" t="s">
        <v>55</v>
      </c>
      <c r="C75" s="22">
        <v>2</v>
      </c>
      <c r="D75" s="44">
        <v>45303</v>
      </c>
      <c r="E75" s="22">
        <f>(41+56)/2</f>
        <v>48.5</v>
      </c>
      <c r="F75" s="9">
        <v>45303</v>
      </c>
      <c r="G75">
        <v>60</v>
      </c>
      <c r="H75" s="4">
        <f t="shared" si="3"/>
        <v>23</v>
      </c>
      <c r="K75" s="22">
        <f t="shared" si="4"/>
        <v>1</v>
      </c>
      <c r="L75" s="3">
        <f t="shared" si="5"/>
        <v>0.23711340206185572</v>
      </c>
    </row>
    <row r="76" spans="1:14">
      <c r="A76" s="18">
        <v>45307</v>
      </c>
      <c r="B76" s="22" t="s">
        <v>55</v>
      </c>
      <c r="C76" s="22">
        <v>2</v>
      </c>
      <c r="D76" s="44">
        <v>45307</v>
      </c>
      <c r="E76" s="22">
        <f>(63+45)/2</f>
        <v>54</v>
      </c>
      <c r="F76" s="9">
        <v>45307</v>
      </c>
      <c r="G76">
        <v>70</v>
      </c>
      <c r="H76" s="4">
        <f t="shared" si="3"/>
        <v>32</v>
      </c>
      <c r="K76" s="22">
        <f t="shared" si="4"/>
        <v>1</v>
      </c>
      <c r="L76" s="3">
        <f t="shared" si="5"/>
        <v>0.29629629629629628</v>
      </c>
    </row>
    <row r="77" spans="1:14">
      <c r="A77" s="18">
        <v>45308</v>
      </c>
      <c r="B77" s="22" t="s">
        <v>55</v>
      </c>
      <c r="C77" s="22">
        <v>2</v>
      </c>
      <c r="D77" s="44">
        <v>45308</v>
      </c>
      <c r="E77" s="22">
        <v>52</v>
      </c>
      <c r="F77" s="9">
        <v>45308</v>
      </c>
      <c r="G77">
        <v>41</v>
      </c>
      <c r="H77" s="4">
        <f t="shared" si="3"/>
        <v>-22</v>
      </c>
      <c r="K77" s="22">
        <f t="shared" si="4"/>
        <v>0</v>
      </c>
      <c r="L77" s="3">
        <f t="shared" si="5"/>
        <v>-0.21153846153846156</v>
      </c>
    </row>
    <row r="78" spans="1:14">
      <c r="A78" s="18">
        <v>45308</v>
      </c>
      <c r="B78" s="22" t="s">
        <v>55</v>
      </c>
      <c r="C78" s="22">
        <v>1</v>
      </c>
      <c r="D78" s="44">
        <v>45308</v>
      </c>
      <c r="E78" s="22">
        <v>42</v>
      </c>
      <c r="F78" s="9">
        <v>45308</v>
      </c>
      <c r="G78">
        <v>31</v>
      </c>
      <c r="H78" s="4">
        <f t="shared" si="3"/>
        <v>-11</v>
      </c>
      <c r="K78" s="22">
        <f t="shared" si="4"/>
        <v>0</v>
      </c>
      <c r="L78" s="3">
        <f t="shared" si="5"/>
        <v>-0.26190476190476186</v>
      </c>
    </row>
    <row r="79" spans="1:14">
      <c r="A79" s="18">
        <v>45309</v>
      </c>
      <c r="B79" s="22" t="s">
        <v>55</v>
      </c>
      <c r="C79" s="22">
        <v>2</v>
      </c>
      <c r="D79" s="44">
        <v>45309</v>
      </c>
      <c r="E79" s="22">
        <f>(45+56)/2</f>
        <v>50.5</v>
      </c>
      <c r="F79" s="9">
        <v>45309</v>
      </c>
      <c r="G79">
        <v>61</v>
      </c>
      <c r="H79" s="4">
        <f t="shared" si="3"/>
        <v>21</v>
      </c>
      <c r="K79" s="22">
        <f t="shared" si="4"/>
        <v>1</v>
      </c>
      <c r="L79" s="3">
        <f t="shared" si="5"/>
        <v>0.20792079207920788</v>
      </c>
    </row>
    <row r="80" spans="1:14">
      <c r="A80" s="18">
        <v>45310</v>
      </c>
      <c r="B80" s="22" t="s">
        <v>55</v>
      </c>
      <c r="C80" s="22">
        <v>2</v>
      </c>
      <c r="D80" s="44">
        <v>45310</v>
      </c>
      <c r="E80" s="22">
        <f>(40+55)/2</f>
        <v>47.5</v>
      </c>
      <c r="F80" s="9">
        <v>45310</v>
      </c>
      <c r="G80">
        <v>53</v>
      </c>
      <c r="H80" s="4">
        <f t="shared" si="3"/>
        <v>11</v>
      </c>
      <c r="K80" s="22">
        <f t="shared" si="4"/>
        <v>1</v>
      </c>
      <c r="L80" s="3">
        <f t="shared" si="5"/>
        <v>0.11578947368421044</v>
      </c>
    </row>
    <row r="81" spans="1:16">
      <c r="A81" s="18">
        <v>45313</v>
      </c>
      <c r="B81" s="22" t="s">
        <v>55</v>
      </c>
      <c r="C81" s="22">
        <v>1</v>
      </c>
      <c r="D81" s="44">
        <v>45313</v>
      </c>
      <c r="E81" s="22">
        <v>60</v>
      </c>
      <c r="F81" s="9">
        <v>45313</v>
      </c>
      <c r="G81">
        <v>90</v>
      </c>
      <c r="H81" s="4">
        <f t="shared" si="3"/>
        <v>30</v>
      </c>
      <c r="K81" s="22">
        <f t="shared" si="4"/>
        <v>1</v>
      </c>
      <c r="L81" s="3">
        <f t="shared" si="5"/>
        <v>0.5</v>
      </c>
    </row>
    <row r="82" spans="1:16">
      <c r="A82" s="18">
        <v>44218</v>
      </c>
      <c r="B82" s="22" t="s">
        <v>107</v>
      </c>
      <c r="C82" s="22">
        <v>1</v>
      </c>
      <c r="D82" s="44">
        <v>45313</v>
      </c>
      <c r="E82" s="22">
        <v>44.51</v>
      </c>
      <c r="F82" s="9">
        <v>45313</v>
      </c>
      <c r="G82">
        <v>47</v>
      </c>
      <c r="H82" s="4">
        <f t="shared" si="3"/>
        <v>2.490000000000002</v>
      </c>
      <c r="K82" s="22">
        <f t="shared" si="4"/>
        <v>1</v>
      </c>
      <c r="L82" s="3">
        <f t="shared" si="5"/>
        <v>5.5942484834868633E-2</v>
      </c>
    </row>
    <row r="83" spans="1:16">
      <c r="A83" s="18">
        <v>45314</v>
      </c>
      <c r="B83" s="22" t="s">
        <v>108</v>
      </c>
      <c r="C83" s="22">
        <v>25</v>
      </c>
      <c r="D83" s="44">
        <v>45314</v>
      </c>
      <c r="E83" s="22">
        <f>(3.93+5*8.13+10*8.516+4*7.8+5*6.86)/25</f>
        <v>7.8096000000000005</v>
      </c>
      <c r="F83" s="9">
        <v>45314</v>
      </c>
      <c r="G83">
        <v>6.7</v>
      </c>
      <c r="H83" s="4">
        <f t="shared" si="3"/>
        <v>-27.740000000000009</v>
      </c>
      <c r="I83" t="s">
        <v>109</v>
      </c>
      <c r="K83" s="22">
        <f t="shared" si="4"/>
        <v>0</v>
      </c>
      <c r="L83" s="3">
        <f t="shared" si="5"/>
        <v>-0.14208154066789591</v>
      </c>
    </row>
    <row r="84" spans="1:16">
      <c r="A84" s="18">
        <v>45315</v>
      </c>
      <c r="B84" s="22" t="s">
        <v>110</v>
      </c>
      <c r="C84" s="22">
        <v>1</v>
      </c>
      <c r="D84" s="44">
        <v>45315</v>
      </c>
      <c r="E84" s="22">
        <v>35</v>
      </c>
      <c r="F84" s="9">
        <v>45315</v>
      </c>
      <c r="G84">
        <v>65</v>
      </c>
      <c r="H84" s="4">
        <f t="shared" si="3"/>
        <v>30</v>
      </c>
      <c r="I84" t="s">
        <v>111</v>
      </c>
      <c r="K84" s="22">
        <f t="shared" si="4"/>
        <v>1</v>
      </c>
      <c r="L84" s="3">
        <f t="shared" si="5"/>
        <v>0.85714285714285721</v>
      </c>
    </row>
    <row r="85" spans="1:16">
      <c r="A85" s="18">
        <v>45316</v>
      </c>
      <c r="B85" s="22" t="s">
        <v>112</v>
      </c>
      <c r="C85" s="22">
        <v>5</v>
      </c>
      <c r="D85" s="44">
        <v>45316</v>
      </c>
      <c r="E85" s="22">
        <f>(62+49+40+27+20)/5</f>
        <v>39.6</v>
      </c>
      <c r="F85" s="9">
        <v>45316</v>
      </c>
      <c r="G85">
        <f>(24+34*4)/5</f>
        <v>32</v>
      </c>
      <c r="H85" s="4">
        <f t="shared" si="3"/>
        <v>-38.000000000000007</v>
      </c>
      <c r="I85" t="s">
        <v>74</v>
      </c>
      <c r="K85" s="22">
        <f t="shared" si="4"/>
        <v>0</v>
      </c>
      <c r="L85" s="3">
        <f t="shared" si="5"/>
        <v>-0.19191919191919193</v>
      </c>
    </row>
    <row r="86" spans="1:16">
      <c r="A86" s="18">
        <v>44221</v>
      </c>
      <c r="B86" s="22" t="s">
        <v>55</v>
      </c>
      <c r="C86" s="22">
        <v>1</v>
      </c>
      <c r="D86" s="44">
        <v>45316</v>
      </c>
      <c r="E86" s="22">
        <v>39</v>
      </c>
      <c r="F86" s="9">
        <v>45316</v>
      </c>
      <c r="G86">
        <v>25</v>
      </c>
      <c r="H86" s="4">
        <f t="shared" si="3"/>
        <v>-14</v>
      </c>
      <c r="K86" s="22">
        <f t="shared" si="4"/>
        <v>0</v>
      </c>
      <c r="L86" s="3">
        <f t="shared" si="5"/>
        <v>-0.35897435897435892</v>
      </c>
    </row>
    <row r="87" spans="1:16">
      <c r="A87" s="18">
        <v>45317</v>
      </c>
      <c r="B87" s="22" t="s">
        <v>55</v>
      </c>
      <c r="C87" s="22">
        <v>4</v>
      </c>
      <c r="D87" s="44">
        <v>45317</v>
      </c>
      <c r="E87" s="22">
        <f>(45+27+25+24)/4</f>
        <v>30.25</v>
      </c>
      <c r="F87" s="9">
        <v>45317</v>
      </c>
      <c r="G87">
        <f>(2*21+2*40)/4</f>
        <v>30.5</v>
      </c>
      <c r="H87" s="4">
        <f t="shared" si="3"/>
        <v>1</v>
      </c>
      <c r="K87" s="22">
        <f t="shared" si="4"/>
        <v>1</v>
      </c>
      <c r="L87" s="3">
        <f t="shared" si="5"/>
        <v>8.2644628099173278E-3</v>
      </c>
    </row>
    <row r="88" spans="1:16">
      <c r="A88" s="18">
        <v>45321</v>
      </c>
      <c r="B88" s="22" t="s">
        <v>55</v>
      </c>
      <c r="C88" s="22">
        <v>2</v>
      </c>
      <c r="D88" s="44">
        <v>45321</v>
      </c>
      <c r="E88" s="22">
        <v>62</v>
      </c>
      <c r="F88" s="9">
        <v>45321</v>
      </c>
      <c r="G88">
        <v>50</v>
      </c>
      <c r="H88" s="4">
        <f t="shared" si="3"/>
        <v>-24</v>
      </c>
      <c r="K88" s="22">
        <f t="shared" si="4"/>
        <v>0</v>
      </c>
      <c r="L88" s="3">
        <f t="shared" si="5"/>
        <v>-0.19354838709677424</v>
      </c>
    </row>
    <row r="89" spans="1:16" s="21" customFormat="1">
      <c r="A89" s="25">
        <v>45322</v>
      </c>
      <c r="B89" s="2" t="s">
        <v>113</v>
      </c>
      <c r="C89" s="2">
        <v>1</v>
      </c>
      <c r="D89" s="25">
        <v>45322</v>
      </c>
      <c r="E89" s="2">
        <v>69</v>
      </c>
      <c r="F89" s="26">
        <v>45322</v>
      </c>
      <c r="G89" s="21">
        <v>100</v>
      </c>
      <c r="H89" s="4">
        <f t="shared" si="3"/>
        <v>31</v>
      </c>
      <c r="K89" s="2">
        <f t="shared" si="4"/>
        <v>1</v>
      </c>
      <c r="L89" s="3">
        <f t="shared" si="5"/>
        <v>0.44927536231884058</v>
      </c>
      <c r="N89" s="2"/>
    </row>
    <row r="90" spans="1:16" s="30" customFormat="1" ht="26.25">
      <c r="A90" s="27"/>
      <c r="B90" s="28"/>
      <c r="C90" s="28"/>
      <c r="D90" s="41"/>
      <c r="E90" s="28"/>
      <c r="F90" s="29"/>
      <c r="H90" s="31" t="s">
        <v>114</v>
      </c>
      <c r="L90" s="3"/>
      <c r="N90" s="28"/>
    </row>
    <row r="91" spans="1:16">
      <c r="A91" s="18">
        <v>45323</v>
      </c>
      <c r="B91" s="22" t="s">
        <v>115</v>
      </c>
      <c r="C91" s="22">
        <v>1</v>
      </c>
      <c r="D91" s="44">
        <v>45323</v>
      </c>
      <c r="E91" s="22">
        <v>35</v>
      </c>
      <c r="F91" s="9">
        <v>45328</v>
      </c>
      <c r="G91">
        <v>100</v>
      </c>
      <c r="H91" s="4">
        <f t="shared" si="3"/>
        <v>65</v>
      </c>
      <c r="I91" t="s">
        <v>116</v>
      </c>
      <c r="K91">
        <f t="shared" si="4"/>
        <v>1</v>
      </c>
      <c r="L91" s="3">
        <f t="shared" si="5"/>
        <v>1.8571428571428572</v>
      </c>
      <c r="N91" s="22" t="s">
        <v>117</v>
      </c>
    </row>
    <row r="92" spans="1:16">
      <c r="A92" s="18">
        <v>45324</v>
      </c>
      <c r="B92" s="22" t="s">
        <v>55</v>
      </c>
      <c r="C92" s="22">
        <v>3</v>
      </c>
      <c r="D92" s="44">
        <v>45324</v>
      </c>
      <c r="E92" s="22">
        <f>(30+33+25)/3</f>
        <v>29.333333333333332</v>
      </c>
      <c r="F92" s="9">
        <v>45324</v>
      </c>
      <c r="G92">
        <f>(35+1+1)/3</f>
        <v>12.333333333333334</v>
      </c>
      <c r="H92" s="4">
        <f t="shared" si="3"/>
        <v>-51</v>
      </c>
      <c r="K92">
        <f t="shared" si="4"/>
        <v>0</v>
      </c>
      <c r="L92" s="3">
        <f t="shared" si="5"/>
        <v>-0.57954545454545459</v>
      </c>
      <c r="N92" s="55">
        <f>SUM(K91:K114)/24</f>
        <v>0.45833333333333331</v>
      </c>
    </row>
    <row r="93" spans="1:16">
      <c r="A93" s="18">
        <v>45328</v>
      </c>
      <c r="B93" s="22" t="s">
        <v>115</v>
      </c>
      <c r="C93" s="22">
        <v>1</v>
      </c>
      <c r="D93" s="43">
        <v>45328</v>
      </c>
      <c r="E93" s="22">
        <v>25</v>
      </c>
      <c r="F93" s="18">
        <v>45328</v>
      </c>
      <c r="G93">
        <v>23</v>
      </c>
      <c r="H93" s="4">
        <f>(G93-E93)*C93</f>
        <v>-2</v>
      </c>
      <c r="K93">
        <f t="shared" si="4"/>
        <v>0</v>
      </c>
      <c r="L93" s="3">
        <f t="shared" si="5"/>
        <v>-7.999999999999996E-2</v>
      </c>
      <c r="N93" s="22" t="s">
        <v>118</v>
      </c>
    </row>
    <row r="94" spans="1:16">
      <c r="A94" s="18">
        <v>45329</v>
      </c>
      <c r="B94" s="22" t="s">
        <v>115</v>
      </c>
      <c r="C94" s="22">
        <v>2</v>
      </c>
      <c r="D94" s="43">
        <v>45329</v>
      </c>
      <c r="E94" s="22">
        <v>28</v>
      </c>
      <c r="F94" s="18">
        <v>45329</v>
      </c>
      <c r="G94">
        <v>13</v>
      </c>
      <c r="H94" s="4">
        <f>(G94-E94)*C94</f>
        <v>-30</v>
      </c>
      <c r="K94">
        <f t="shared" si="4"/>
        <v>0</v>
      </c>
      <c r="L94" s="3">
        <f t="shared" si="5"/>
        <v>-0.5357142857142857</v>
      </c>
      <c r="N94" s="34">
        <f>SUM(H91:H114)</f>
        <v>1367.6769999999999</v>
      </c>
      <c r="P94" s="47">
        <f>N94*16.7</f>
        <v>22840.205899999997</v>
      </c>
    </row>
    <row r="95" spans="1:16">
      <c r="A95" s="18">
        <v>45330</v>
      </c>
      <c r="B95" s="22" t="s">
        <v>119</v>
      </c>
      <c r="C95" s="22">
        <v>1</v>
      </c>
      <c r="D95" s="43">
        <v>45330</v>
      </c>
      <c r="E95" s="22">
        <v>480</v>
      </c>
      <c r="F95" s="18">
        <v>45330</v>
      </c>
      <c r="G95">
        <v>900</v>
      </c>
      <c r="H95" s="4">
        <f>(G95-E95)*C95</f>
        <v>420</v>
      </c>
      <c r="I95" t="s">
        <v>74</v>
      </c>
      <c r="K95">
        <f t="shared" si="4"/>
        <v>1</v>
      </c>
      <c r="L95" s="3">
        <f t="shared" si="5"/>
        <v>0.875</v>
      </c>
    </row>
    <row r="96" spans="1:16">
      <c r="A96" s="18">
        <v>44236</v>
      </c>
      <c r="B96" s="22" t="s">
        <v>119</v>
      </c>
      <c r="C96" s="22">
        <v>1</v>
      </c>
      <c r="D96" s="44">
        <v>45331</v>
      </c>
      <c r="E96" s="22">
        <v>110</v>
      </c>
      <c r="F96" s="9">
        <v>45334</v>
      </c>
      <c r="G96">
        <v>143</v>
      </c>
      <c r="H96" s="4">
        <f>(G96-E96)*C96</f>
        <v>33</v>
      </c>
      <c r="K96">
        <f t="shared" si="4"/>
        <v>1</v>
      </c>
      <c r="L96" s="3">
        <f t="shared" si="5"/>
        <v>0.30000000000000004</v>
      </c>
    </row>
    <row r="97" spans="1:12">
      <c r="A97" s="18">
        <v>45331</v>
      </c>
      <c r="B97" s="22" t="s">
        <v>120</v>
      </c>
      <c r="C97" s="22">
        <v>20</v>
      </c>
      <c r="D97" s="44">
        <v>45334</v>
      </c>
      <c r="E97" s="22">
        <f>(6.08+7.52+8+7)/4</f>
        <v>7.15</v>
      </c>
      <c r="F97" s="9">
        <v>45334</v>
      </c>
      <c r="G97">
        <v>12.615</v>
      </c>
      <c r="H97" s="4">
        <f>(G97-E97)*C97</f>
        <v>109.3</v>
      </c>
      <c r="I97" t="s">
        <v>109</v>
      </c>
      <c r="K97">
        <f t="shared" si="4"/>
        <v>1</v>
      </c>
      <c r="L97" s="3">
        <f t="shared" si="5"/>
        <v>0.76433566433566424</v>
      </c>
    </row>
    <row r="98" spans="1:12">
      <c r="A98" s="18">
        <v>45334</v>
      </c>
      <c r="B98" s="22" t="s">
        <v>55</v>
      </c>
      <c r="C98" s="22">
        <v>1</v>
      </c>
      <c r="D98" s="44">
        <v>45335</v>
      </c>
      <c r="E98" s="22">
        <v>47</v>
      </c>
      <c r="F98" s="9">
        <v>45335</v>
      </c>
      <c r="G98">
        <v>67</v>
      </c>
      <c r="H98" s="4">
        <f>(G98-E98)*C98</f>
        <v>20</v>
      </c>
      <c r="K98">
        <f t="shared" si="4"/>
        <v>1</v>
      </c>
      <c r="L98" s="3">
        <f t="shared" si="5"/>
        <v>0.42553191489361697</v>
      </c>
    </row>
    <row r="99" spans="1:12">
      <c r="A99" s="18">
        <v>45335</v>
      </c>
      <c r="B99" s="22" t="s">
        <v>55</v>
      </c>
      <c r="C99" s="22">
        <v>1</v>
      </c>
      <c r="D99" s="44">
        <v>45335</v>
      </c>
      <c r="E99" s="22">
        <v>67</v>
      </c>
      <c r="F99" s="9">
        <v>45335</v>
      </c>
      <c r="G99">
        <v>45</v>
      </c>
      <c r="H99" s="4">
        <f>(G99-E99)*C99</f>
        <v>-22</v>
      </c>
      <c r="K99">
        <f t="shared" si="4"/>
        <v>0</v>
      </c>
      <c r="L99" s="3">
        <f t="shared" si="5"/>
        <v>-0.32835820895522383</v>
      </c>
    </row>
    <row r="100" spans="1:12">
      <c r="A100" s="18">
        <v>45335</v>
      </c>
      <c r="B100" s="22" t="s">
        <v>119</v>
      </c>
      <c r="C100" s="22">
        <v>1</v>
      </c>
      <c r="D100" s="44">
        <v>45335</v>
      </c>
      <c r="E100" s="22">
        <v>133</v>
      </c>
      <c r="F100" s="9">
        <v>45342</v>
      </c>
      <c r="G100">
        <v>117</v>
      </c>
      <c r="H100" s="4">
        <f>(G100-E100)*C100</f>
        <v>-16</v>
      </c>
      <c r="K100">
        <f t="shared" si="4"/>
        <v>0</v>
      </c>
      <c r="L100" s="3">
        <f t="shared" si="5"/>
        <v>-0.12030075187969924</v>
      </c>
    </row>
    <row r="101" spans="1:12">
      <c r="A101" s="18">
        <v>45336</v>
      </c>
      <c r="B101" s="22" t="s">
        <v>55</v>
      </c>
      <c r="C101" s="22">
        <v>1</v>
      </c>
      <c r="D101" s="44">
        <v>45336</v>
      </c>
      <c r="E101" s="22">
        <v>60</v>
      </c>
      <c r="F101" s="9">
        <v>45336</v>
      </c>
      <c r="G101">
        <v>80</v>
      </c>
      <c r="H101" s="4">
        <f>(G101-E101)*C101</f>
        <v>20</v>
      </c>
      <c r="I101" t="s">
        <v>121</v>
      </c>
      <c r="K101">
        <f t="shared" si="4"/>
        <v>1</v>
      </c>
      <c r="L101" s="3">
        <f t="shared" si="5"/>
        <v>0.33333333333333326</v>
      </c>
    </row>
    <row r="102" spans="1:12">
      <c r="A102" s="18">
        <v>45336</v>
      </c>
      <c r="B102" s="22" t="s">
        <v>122</v>
      </c>
      <c r="C102" s="22">
        <v>1</v>
      </c>
      <c r="D102" s="44">
        <v>45336</v>
      </c>
      <c r="E102" s="22">
        <v>3</v>
      </c>
      <c r="F102" s="9">
        <v>45336</v>
      </c>
      <c r="G102">
        <v>10</v>
      </c>
      <c r="H102" s="4">
        <f>(G102-E102)*C102</f>
        <v>7</v>
      </c>
      <c r="K102">
        <f t="shared" si="4"/>
        <v>1</v>
      </c>
      <c r="L102" s="3">
        <f t="shared" si="5"/>
        <v>2.3333333333333335</v>
      </c>
    </row>
    <row r="103" spans="1:12">
      <c r="A103" s="18">
        <v>45337</v>
      </c>
      <c r="B103" s="22" t="s">
        <v>123</v>
      </c>
      <c r="C103" s="22">
        <v>2</v>
      </c>
      <c r="D103" s="44">
        <v>45337</v>
      </c>
      <c r="E103" s="22">
        <v>34.195</v>
      </c>
      <c r="F103" s="9">
        <v>45337</v>
      </c>
      <c r="G103">
        <v>22.7</v>
      </c>
      <c r="H103" s="4">
        <f>(G103-E103)*C103</f>
        <v>-22.990000000000002</v>
      </c>
      <c r="K103">
        <f t="shared" si="4"/>
        <v>0</v>
      </c>
      <c r="L103" s="3">
        <f t="shared" si="5"/>
        <v>-0.33616025734756549</v>
      </c>
    </row>
    <row r="104" spans="1:12">
      <c r="A104" s="18">
        <v>45338</v>
      </c>
      <c r="B104" s="22" t="s">
        <v>124</v>
      </c>
      <c r="C104" s="22">
        <v>30</v>
      </c>
      <c r="D104" s="44">
        <v>45338</v>
      </c>
      <c r="E104" s="22">
        <f>(5*1.188+5*1.41+20*1.17)/30</f>
        <v>1.2130000000000001</v>
      </c>
      <c r="F104" s="9">
        <v>45338</v>
      </c>
      <c r="G104">
        <v>0.876</v>
      </c>
      <c r="H104" s="4">
        <f>(G104-E104)*C104</f>
        <v>-10.110000000000003</v>
      </c>
      <c r="K104">
        <f t="shared" si="4"/>
        <v>0</v>
      </c>
      <c r="L104" s="3">
        <f t="shared" si="5"/>
        <v>-0.27782357790601819</v>
      </c>
    </row>
    <row r="105" spans="1:12">
      <c r="A105" s="18">
        <v>45338</v>
      </c>
      <c r="B105" s="22" t="s">
        <v>125</v>
      </c>
      <c r="C105" s="22">
        <v>5</v>
      </c>
      <c r="D105" s="44">
        <v>45338</v>
      </c>
      <c r="E105" s="22">
        <v>8.3800000000000008</v>
      </c>
      <c r="F105" s="9">
        <v>45338</v>
      </c>
      <c r="G105">
        <f>(7.975*4+8.01)/5</f>
        <v>7.9819999999999993</v>
      </c>
      <c r="H105" s="4">
        <f>(G105-E105)*C105</f>
        <v>-1.9900000000000073</v>
      </c>
      <c r="K105">
        <f t="shared" si="4"/>
        <v>0</v>
      </c>
      <c r="L105" s="3">
        <f t="shared" si="5"/>
        <v>-4.7494033412888048E-2</v>
      </c>
    </row>
    <row r="106" spans="1:12">
      <c r="A106" s="18">
        <v>45338</v>
      </c>
      <c r="B106" s="22" t="s">
        <v>126</v>
      </c>
      <c r="C106" s="22">
        <v>1</v>
      </c>
      <c r="D106" s="44">
        <v>45337</v>
      </c>
      <c r="E106" s="22">
        <v>470</v>
      </c>
      <c r="F106" s="9">
        <v>45337</v>
      </c>
      <c r="G106">
        <v>700</v>
      </c>
      <c r="H106" s="4">
        <f>(G106-E106)*C106</f>
        <v>230</v>
      </c>
      <c r="K106">
        <f t="shared" si="4"/>
        <v>1</v>
      </c>
      <c r="L106" s="3">
        <f t="shared" si="5"/>
        <v>0.4893617021276595</v>
      </c>
    </row>
    <row r="107" spans="1:12">
      <c r="A107" s="18">
        <v>45338</v>
      </c>
      <c r="B107" s="22" t="s">
        <v>55</v>
      </c>
      <c r="C107" s="22">
        <v>1</v>
      </c>
      <c r="D107" s="44">
        <v>45338</v>
      </c>
      <c r="E107" s="22">
        <v>41</v>
      </c>
      <c r="F107" s="9">
        <v>45338</v>
      </c>
      <c r="G107">
        <v>21</v>
      </c>
      <c r="H107" s="4">
        <f>(G107-E107)*C107</f>
        <v>-20</v>
      </c>
      <c r="K107">
        <f t="shared" si="4"/>
        <v>0</v>
      </c>
      <c r="L107" s="3">
        <f t="shared" si="5"/>
        <v>-0.48780487804878048</v>
      </c>
    </row>
    <row r="108" spans="1:12">
      <c r="A108" s="18">
        <v>45342</v>
      </c>
      <c r="B108" s="22" t="s">
        <v>55</v>
      </c>
      <c r="C108" s="22">
        <v>1</v>
      </c>
      <c r="D108" s="44">
        <v>45342</v>
      </c>
      <c r="E108" s="22">
        <v>38</v>
      </c>
      <c r="F108" s="9">
        <v>45342</v>
      </c>
      <c r="G108">
        <v>16</v>
      </c>
      <c r="H108" s="4">
        <f>(G108-E108)*C108</f>
        <v>-22</v>
      </c>
      <c r="K108">
        <f t="shared" si="4"/>
        <v>0</v>
      </c>
      <c r="L108" s="3">
        <f t="shared" si="5"/>
        <v>-0.57894736842105265</v>
      </c>
    </row>
    <row r="109" spans="1:12">
      <c r="A109" s="18">
        <v>45342</v>
      </c>
      <c r="B109" s="22" t="s">
        <v>127</v>
      </c>
      <c r="C109" s="22">
        <v>5</v>
      </c>
      <c r="D109" s="44">
        <v>45342</v>
      </c>
      <c r="E109" s="22">
        <v>0.64600000000000002</v>
      </c>
      <c r="F109" s="9">
        <v>45342</v>
      </c>
      <c r="G109">
        <v>0.56399999999999995</v>
      </c>
      <c r="H109" s="4">
        <f>(G109-E109)*C109</f>
        <v>-0.41000000000000036</v>
      </c>
      <c r="K109">
        <f t="shared" si="4"/>
        <v>0</v>
      </c>
      <c r="L109" s="3">
        <f t="shared" si="5"/>
        <v>-0.12693498452012397</v>
      </c>
    </row>
    <row r="110" spans="1:12">
      <c r="A110" s="18">
        <v>45343</v>
      </c>
      <c r="B110" s="22" t="s">
        <v>128</v>
      </c>
      <c r="C110" s="22">
        <v>2</v>
      </c>
      <c r="D110" s="43">
        <v>45343</v>
      </c>
      <c r="E110" s="22">
        <f>(550+465)/2</f>
        <v>507.5</v>
      </c>
      <c r="F110" s="43">
        <v>45343</v>
      </c>
      <c r="G110">
        <v>800</v>
      </c>
      <c r="H110" s="4">
        <f>(G110-E110)*C110</f>
        <v>585</v>
      </c>
      <c r="K110">
        <f t="shared" si="4"/>
        <v>1</v>
      </c>
      <c r="L110" s="3">
        <f t="shared" si="5"/>
        <v>0.57635467980295574</v>
      </c>
    </row>
    <row r="111" spans="1:12">
      <c r="A111" s="18">
        <v>45345</v>
      </c>
      <c r="B111" s="22" t="s">
        <v>126</v>
      </c>
      <c r="C111" s="22">
        <v>1</v>
      </c>
      <c r="D111" s="43">
        <v>45345</v>
      </c>
      <c r="E111" s="22">
        <v>680</v>
      </c>
      <c r="F111" s="43">
        <v>45345</v>
      </c>
      <c r="G111">
        <v>760</v>
      </c>
      <c r="H111" s="4">
        <f>(G111-E111)*C111</f>
        <v>80</v>
      </c>
      <c r="K111">
        <f t="shared" si="4"/>
        <v>1</v>
      </c>
      <c r="L111" s="3">
        <f t="shared" si="5"/>
        <v>0.11764705882352944</v>
      </c>
    </row>
    <row r="112" spans="1:12">
      <c r="A112" s="18">
        <v>45348</v>
      </c>
      <c r="B112" s="22" t="s">
        <v>106</v>
      </c>
      <c r="C112" s="22">
        <v>10</v>
      </c>
      <c r="D112" s="44">
        <v>45350</v>
      </c>
      <c r="E112" s="22">
        <f>(53.8446+58.54)/2</f>
        <v>56.192300000000003</v>
      </c>
      <c r="F112" s="44">
        <v>45350</v>
      </c>
      <c r="G112">
        <v>60.68</v>
      </c>
      <c r="H112" s="4">
        <f>(G112-E112)*C112</f>
        <v>44.876999999999967</v>
      </c>
      <c r="K112">
        <f t="shared" si="4"/>
        <v>1</v>
      </c>
      <c r="L112" s="3">
        <f t="shared" si="5"/>
        <v>7.9863255285866463E-2</v>
      </c>
    </row>
    <row r="113" spans="1:14">
      <c r="A113" s="18">
        <v>45350</v>
      </c>
      <c r="B113" s="22" t="s">
        <v>55</v>
      </c>
      <c r="C113" s="22">
        <v>1</v>
      </c>
      <c r="D113" s="44">
        <v>45350</v>
      </c>
      <c r="E113" s="22">
        <v>70</v>
      </c>
      <c r="F113" s="44">
        <v>45350</v>
      </c>
      <c r="G113">
        <v>31</v>
      </c>
      <c r="H113" s="4">
        <f t="shared" ref="H113:H153" si="6">(G113-E113)*C113</f>
        <v>-39</v>
      </c>
      <c r="K113">
        <f t="shared" si="4"/>
        <v>0</v>
      </c>
      <c r="L113" s="3">
        <f t="shared" si="5"/>
        <v>-0.55714285714285716</v>
      </c>
    </row>
    <row r="114" spans="1:14">
      <c r="A114" s="18">
        <v>45351</v>
      </c>
      <c r="B114" s="22" t="s">
        <v>55</v>
      </c>
      <c r="C114" s="22">
        <v>1</v>
      </c>
      <c r="D114" s="44">
        <v>45351</v>
      </c>
      <c r="E114" s="22">
        <v>56</v>
      </c>
      <c r="F114" s="44">
        <v>45351</v>
      </c>
      <c r="G114">
        <v>47</v>
      </c>
      <c r="H114" s="4">
        <f t="shared" si="6"/>
        <v>-9</v>
      </c>
      <c r="K114">
        <f t="shared" si="4"/>
        <v>0</v>
      </c>
      <c r="L114" s="3">
        <f t="shared" si="5"/>
        <v>-0.1607142857142857</v>
      </c>
    </row>
    <row r="115" spans="1:14" s="38" customFormat="1" ht="32.25" customHeight="1">
      <c r="A115" s="36"/>
      <c r="B115" s="37"/>
      <c r="C115" s="37"/>
      <c r="D115" s="42"/>
      <c r="E115" s="37"/>
      <c r="H115" s="39" t="s">
        <v>129</v>
      </c>
      <c r="N115" s="37"/>
    </row>
    <row r="116" spans="1:14">
      <c r="A116" s="18">
        <v>45352</v>
      </c>
      <c r="B116" s="22" t="s">
        <v>55</v>
      </c>
      <c r="C116" s="22">
        <v>1</v>
      </c>
      <c r="D116" s="44">
        <f>A116</f>
        <v>45352</v>
      </c>
      <c r="E116" s="22">
        <v>68</v>
      </c>
      <c r="F116" s="9">
        <f>D116</f>
        <v>45352</v>
      </c>
      <c r="G116">
        <v>56</v>
      </c>
      <c r="H116" s="4">
        <f t="shared" si="6"/>
        <v>-12</v>
      </c>
      <c r="K116">
        <f t="shared" si="4"/>
        <v>0</v>
      </c>
      <c r="L116" s="3">
        <f>(G116/E116)-1</f>
        <v>-0.17647058823529416</v>
      </c>
      <c r="N116" s="22" t="s">
        <v>117</v>
      </c>
    </row>
    <row r="117" spans="1:14">
      <c r="A117" s="18">
        <v>45355</v>
      </c>
      <c r="B117" s="22" t="s">
        <v>126</v>
      </c>
      <c r="C117" s="22">
        <v>1</v>
      </c>
      <c r="D117" s="44">
        <f t="shared" ref="D117:D132" si="7">A117</f>
        <v>45355</v>
      </c>
      <c r="E117" s="22">
        <v>1000</v>
      </c>
      <c r="F117" s="9">
        <f t="shared" ref="F117:F126" si="8">D117</f>
        <v>45355</v>
      </c>
      <c r="G117">
        <v>820</v>
      </c>
      <c r="H117" s="4">
        <f t="shared" si="6"/>
        <v>-180</v>
      </c>
      <c r="K117">
        <f t="shared" si="4"/>
        <v>0</v>
      </c>
      <c r="L117" s="3">
        <f t="shared" ref="L117:L132" si="9">(G117/E117)-1</f>
        <v>-0.18000000000000005</v>
      </c>
      <c r="N117" s="55">
        <f>SUM(K116:K132)/24</f>
        <v>0.20833333333333334</v>
      </c>
    </row>
    <row r="118" spans="1:14">
      <c r="A118" s="18">
        <v>45355</v>
      </c>
      <c r="B118" s="22" t="s">
        <v>128</v>
      </c>
      <c r="C118" s="22">
        <v>1</v>
      </c>
      <c r="D118" s="44">
        <f t="shared" si="7"/>
        <v>45355</v>
      </c>
      <c r="E118" s="22">
        <v>325</v>
      </c>
      <c r="F118" s="9">
        <f t="shared" si="8"/>
        <v>45355</v>
      </c>
      <c r="G118">
        <v>300</v>
      </c>
      <c r="H118" s="4">
        <f t="shared" si="6"/>
        <v>-25</v>
      </c>
      <c r="K118">
        <f t="shared" si="4"/>
        <v>0</v>
      </c>
      <c r="L118" s="3">
        <f t="shared" si="9"/>
        <v>-7.6923076923076872E-2</v>
      </c>
      <c r="N118" s="22" t="s">
        <v>118</v>
      </c>
    </row>
    <row r="119" spans="1:14">
      <c r="A119" s="18">
        <v>45355</v>
      </c>
      <c r="B119" s="22" t="s">
        <v>55</v>
      </c>
      <c r="C119" s="22">
        <v>1</v>
      </c>
      <c r="D119" s="44">
        <f t="shared" si="7"/>
        <v>45355</v>
      </c>
      <c r="E119" s="22">
        <v>50</v>
      </c>
      <c r="F119" s="9">
        <f t="shared" si="8"/>
        <v>45355</v>
      </c>
      <c r="G119">
        <v>38</v>
      </c>
      <c r="H119" s="4">
        <f t="shared" si="6"/>
        <v>-12</v>
      </c>
      <c r="K119">
        <f t="shared" si="4"/>
        <v>0</v>
      </c>
      <c r="L119" s="3">
        <f t="shared" si="9"/>
        <v>-0.24</v>
      </c>
      <c r="N119" s="34">
        <f>SUM(H116:H132)</f>
        <v>-1485.47</v>
      </c>
    </row>
    <row r="120" spans="1:14">
      <c r="A120" s="18">
        <v>45357</v>
      </c>
      <c r="B120" s="22" t="s">
        <v>115</v>
      </c>
      <c r="C120" s="22">
        <v>2</v>
      </c>
      <c r="D120" s="44">
        <f t="shared" si="7"/>
        <v>45357</v>
      </c>
      <c r="E120" s="22">
        <f>(15+5)/2</f>
        <v>10</v>
      </c>
      <c r="F120" s="9">
        <f t="shared" si="8"/>
        <v>45357</v>
      </c>
      <c r="G120">
        <v>0</v>
      </c>
      <c r="H120" s="4">
        <f t="shared" si="6"/>
        <v>-20</v>
      </c>
      <c r="K120">
        <f t="shared" si="4"/>
        <v>0</v>
      </c>
      <c r="L120" s="3">
        <f t="shared" si="9"/>
        <v>-1</v>
      </c>
    </row>
    <row r="121" spans="1:14">
      <c r="A121" s="18">
        <v>45358</v>
      </c>
      <c r="B121" s="22" t="s">
        <v>128</v>
      </c>
      <c r="C121" s="22">
        <v>1</v>
      </c>
      <c r="D121" s="44">
        <f t="shared" si="7"/>
        <v>45358</v>
      </c>
      <c r="E121" s="22">
        <v>906.82</v>
      </c>
      <c r="F121" s="9">
        <f t="shared" si="8"/>
        <v>45358</v>
      </c>
      <c r="G121">
        <v>917.85</v>
      </c>
      <c r="H121" s="4">
        <f t="shared" si="6"/>
        <v>11.029999999999973</v>
      </c>
      <c r="K121">
        <f t="shared" si="4"/>
        <v>1</v>
      </c>
      <c r="L121" s="3">
        <f t="shared" si="9"/>
        <v>1.2163384133565547E-2</v>
      </c>
    </row>
    <row r="122" spans="1:14">
      <c r="A122" s="18">
        <v>45358</v>
      </c>
      <c r="B122" s="22" t="s">
        <v>128</v>
      </c>
      <c r="C122" s="22">
        <v>1</v>
      </c>
      <c r="D122" s="44">
        <f t="shared" si="7"/>
        <v>45358</v>
      </c>
      <c r="E122" s="22">
        <v>143</v>
      </c>
      <c r="F122" s="9">
        <f t="shared" si="8"/>
        <v>45358</v>
      </c>
      <c r="G122">
        <v>120</v>
      </c>
      <c r="H122" s="4">
        <f t="shared" si="6"/>
        <v>-23</v>
      </c>
      <c r="K122">
        <f t="shared" si="4"/>
        <v>0</v>
      </c>
      <c r="L122" s="3">
        <f t="shared" si="9"/>
        <v>-0.16083916083916083</v>
      </c>
    </row>
    <row r="123" spans="1:14">
      <c r="A123" s="18">
        <v>45359</v>
      </c>
      <c r="B123" s="22" t="s">
        <v>128</v>
      </c>
      <c r="C123" s="22">
        <v>3</v>
      </c>
      <c r="D123" s="44">
        <f t="shared" si="7"/>
        <v>45359</v>
      </c>
      <c r="E123" s="22">
        <f>(340+210+140)/3</f>
        <v>230</v>
      </c>
      <c r="F123" s="9">
        <f t="shared" si="8"/>
        <v>45359</v>
      </c>
      <c r="G123">
        <v>112</v>
      </c>
      <c r="H123" s="4">
        <f t="shared" si="6"/>
        <v>-354</v>
      </c>
      <c r="K123">
        <f t="shared" si="4"/>
        <v>0</v>
      </c>
      <c r="L123" s="3">
        <f t="shared" si="9"/>
        <v>-0.51304347826086949</v>
      </c>
    </row>
    <row r="124" spans="1:14">
      <c r="A124" s="18">
        <v>45359</v>
      </c>
      <c r="B124" s="22" t="s">
        <v>55</v>
      </c>
      <c r="C124" s="22">
        <v>1</v>
      </c>
      <c r="D124" s="44">
        <f t="shared" si="7"/>
        <v>45359</v>
      </c>
      <c r="E124" s="22">
        <v>37</v>
      </c>
      <c r="F124" s="9">
        <f t="shared" si="8"/>
        <v>45359</v>
      </c>
      <c r="G124">
        <v>7</v>
      </c>
      <c r="H124" s="4">
        <f t="shared" si="6"/>
        <v>-30</v>
      </c>
      <c r="K124">
        <f t="shared" ref="K124:K141" si="10">IF(H124&lt; 0,0,1)</f>
        <v>0</v>
      </c>
      <c r="L124" s="3">
        <f t="shared" si="9"/>
        <v>-0.81081081081081074</v>
      </c>
    </row>
    <row r="125" spans="1:14">
      <c r="A125" s="18">
        <v>45362</v>
      </c>
      <c r="B125" s="22" t="s">
        <v>130</v>
      </c>
      <c r="C125" s="22">
        <v>1</v>
      </c>
      <c r="D125" s="44">
        <f t="shared" si="7"/>
        <v>45362</v>
      </c>
      <c r="E125" s="22">
        <v>95</v>
      </c>
      <c r="F125" s="9">
        <f t="shared" si="8"/>
        <v>45362</v>
      </c>
      <c r="G125">
        <v>80</v>
      </c>
      <c r="H125" s="4">
        <f t="shared" si="6"/>
        <v>-15</v>
      </c>
      <c r="K125">
        <f t="shared" si="10"/>
        <v>0</v>
      </c>
      <c r="L125" s="3">
        <f t="shared" si="9"/>
        <v>-0.15789473684210531</v>
      </c>
    </row>
    <row r="126" spans="1:14" s="5" customFormat="1">
      <c r="A126" s="48">
        <v>45362</v>
      </c>
      <c r="B126" s="49" t="s">
        <v>128</v>
      </c>
      <c r="C126" s="49">
        <v>1</v>
      </c>
      <c r="D126" s="50">
        <f t="shared" si="7"/>
        <v>45362</v>
      </c>
      <c r="E126" s="49">
        <f>10.38*100</f>
        <v>1038</v>
      </c>
      <c r="F126" s="51">
        <f t="shared" si="8"/>
        <v>45362</v>
      </c>
      <c r="G126" s="5">
        <v>232</v>
      </c>
      <c r="H126" s="52">
        <f>(G126-E126)*C126</f>
        <v>-806</v>
      </c>
      <c r="K126">
        <f t="shared" si="10"/>
        <v>0</v>
      </c>
      <c r="L126" s="3">
        <f t="shared" si="9"/>
        <v>-0.77649325626204235</v>
      </c>
      <c r="N126" s="49"/>
    </row>
    <row r="127" spans="1:14">
      <c r="A127" s="18">
        <v>45370</v>
      </c>
      <c r="B127" s="22" t="s">
        <v>131</v>
      </c>
      <c r="C127" s="22">
        <v>5</v>
      </c>
      <c r="D127" s="44">
        <v>45370</v>
      </c>
      <c r="E127" s="22">
        <v>37</v>
      </c>
      <c r="F127" s="9">
        <v>45371</v>
      </c>
      <c r="G127">
        <v>38.520000000000003</v>
      </c>
      <c r="H127" s="52">
        <f t="shared" si="6"/>
        <v>7.6000000000000156</v>
      </c>
      <c r="K127">
        <f t="shared" si="10"/>
        <v>1</v>
      </c>
      <c r="L127" s="3">
        <f t="shared" si="9"/>
        <v>4.1081081081081106E-2</v>
      </c>
    </row>
    <row r="128" spans="1:14">
      <c r="A128" s="18">
        <v>45371</v>
      </c>
      <c r="B128" s="22" t="s">
        <v>55</v>
      </c>
      <c r="C128" s="22">
        <v>1</v>
      </c>
      <c r="D128" s="44">
        <f t="shared" si="7"/>
        <v>45371</v>
      </c>
      <c r="E128" s="22">
        <v>102</v>
      </c>
      <c r="F128" s="44">
        <v>45371</v>
      </c>
      <c r="G128">
        <v>121</v>
      </c>
      <c r="H128" s="52">
        <f t="shared" si="6"/>
        <v>19</v>
      </c>
      <c r="K128">
        <f t="shared" si="10"/>
        <v>1</v>
      </c>
      <c r="L128" s="3">
        <f t="shared" si="9"/>
        <v>0.18627450980392157</v>
      </c>
    </row>
    <row r="129" spans="1:14">
      <c r="A129" s="18">
        <v>45372</v>
      </c>
      <c r="B129" s="22" t="s">
        <v>132</v>
      </c>
      <c r="C129" s="22">
        <v>5</v>
      </c>
      <c r="D129" s="44">
        <f t="shared" si="7"/>
        <v>45372</v>
      </c>
      <c r="E129" s="22">
        <f>51.91/5+52.3725*4/5</f>
        <v>52.28</v>
      </c>
      <c r="F129" s="9">
        <v>45372</v>
      </c>
      <c r="G129">
        <v>56.06</v>
      </c>
      <c r="H129" s="52">
        <f t="shared" si="6"/>
        <v>18.900000000000006</v>
      </c>
      <c r="K129">
        <f t="shared" si="10"/>
        <v>1</v>
      </c>
      <c r="L129" s="3">
        <f t="shared" si="9"/>
        <v>7.2302983932670317E-2</v>
      </c>
    </row>
    <row r="130" spans="1:14">
      <c r="A130" s="18">
        <v>45373</v>
      </c>
      <c r="B130" s="22" t="s">
        <v>88</v>
      </c>
      <c r="C130" s="22">
        <v>1</v>
      </c>
      <c r="D130" s="44">
        <f t="shared" si="7"/>
        <v>45373</v>
      </c>
      <c r="E130" s="22">
        <v>126</v>
      </c>
      <c r="F130" s="9">
        <v>45373</v>
      </c>
      <c r="G130">
        <v>170</v>
      </c>
      <c r="H130" s="52">
        <f t="shared" si="6"/>
        <v>44</v>
      </c>
      <c r="K130">
        <f t="shared" si="10"/>
        <v>1</v>
      </c>
      <c r="L130" s="3">
        <f t="shared" si="9"/>
        <v>0.3492063492063493</v>
      </c>
    </row>
    <row r="131" spans="1:14">
      <c r="A131" s="18">
        <v>45369</v>
      </c>
      <c r="B131" s="22" t="s">
        <v>133</v>
      </c>
      <c r="C131" s="22">
        <v>1</v>
      </c>
      <c r="D131" s="44">
        <f t="shared" si="7"/>
        <v>45369</v>
      </c>
      <c r="E131" s="22">
        <v>100</v>
      </c>
      <c r="F131" s="9">
        <v>45369</v>
      </c>
      <c r="G131">
        <v>76</v>
      </c>
      <c r="H131" s="52">
        <f t="shared" si="6"/>
        <v>-24</v>
      </c>
      <c r="K131">
        <f t="shared" si="10"/>
        <v>0</v>
      </c>
      <c r="L131" s="3">
        <f t="shared" si="9"/>
        <v>-0.24</v>
      </c>
    </row>
    <row r="132" spans="1:14">
      <c r="A132" s="18">
        <v>45370</v>
      </c>
      <c r="B132" s="22" t="s">
        <v>83</v>
      </c>
      <c r="C132" s="22">
        <v>4</v>
      </c>
      <c r="D132" s="44">
        <f t="shared" si="7"/>
        <v>45370</v>
      </c>
      <c r="E132" s="22">
        <f>(33+33+47+22)/4</f>
        <v>33.75</v>
      </c>
      <c r="F132" s="9">
        <v>45370</v>
      </c>
      <c r="G132">
        <f>(16+16+18+0)/4</f>
        <v>12.5</v>
      </c>
      <c r="H132" s="52">
        <f t="shared" si="6"/>
        <v>-85</v>
      </c>
      <c r="K132">
        <f t="shared" si="10"/>
        <v>0</v>
      </c>
      <c r="L132" s="3">
        <f t="shared" si="9"/>
        <v>-0.62962962962962965</v>
      </c>
    </row>
    <row r="133" spans="1:14" s="59" customFormat="1" ht="23.25">
      <c r="A133" s="61" t="s">
        <v>134</v>
      </c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57"/>
    </row>
    <row r="134" spans="1:14">
      <c r="A134" s="18">
        <v>45383</v>
      </c>
      <c r="B134" s="22" t="s">
        <v>135</v>
      </c>
      <c r="C134" s="22">
        <v>5</v>
      </c>
      <c r="D134" s="44">
        <v>45383</v>
      </c>
      <c r="E134" s="22">
        <v>4.04</v>
      </c>
      <c r="F134" s="44">
        <v>45383</v>
      </c>
      <c r="G134">
        <v>3.67</v>
      </c>
      <c r="H134" s="52">
        <f t="shared" si="6"/>
        <v>-1.8500000000000005</v>
      </c>
      <c r="K134">
        <f t="shared" si="10"/>
        <v>0</v>
      </c>
      <c r="N134" s="22" t="s">
        <v>117</v>
      </c>
    </row>
    <row r="135" spans="1:14">
      <c r="A135" s="18">
        <v>45383</v>
      </c>
      <c r="B135" s="22" t="s">
        <v>135</v>
      </c>
      <c r="C135" s="22">
        <v>5</v>
      </c>
      <c r="D135" s="44">
        <v>45383</v>
      </c>
      <c r="E135" s="22">
        <v>4.2</v>
      </c>
      <c r="F135" s="44">
        <v>45383</v>
      </c>
      <c r="G135">
        <v>4.3899999999999997</v>
      </c>
      <c r="H135" s="52">
        <f t="shared" si="6"/>
        <v>0.94999999999999751</v>
      </c>
      <c r="K135">
        <f t="shared" si="10"/>
        <v>1</v>
      </c>
      <c r="N135" s="55">
        <f>SUM(K134:K153)/24</f>
        <v>0.33333333333333331</v>
      </c>
    </row>
    <row r="136" spans="1:14">
      <c r="A136" s="18">
        <v>45385</v>
      </c>
      <c r="B136" s="22" t="s">
        <v>55</v>
      </c>
      <c r="C136" s="22">
        <v>1</v>
      </c>
      <c r="D136" s="44">
        <v>45385</v>
      </c>
      <c r="E136" s="22">
        <v>49</v>
      </c>
      <c r="F136" s="44">
        <v>45385</v>
      </c>
      <c r="G136">
        <v>37</v>
      </c>
      <c r="H136" s="52">
        <f t="shared" si="6"/>
        <v>-12</v>
      </c>
      <c r="K136">
        <f t="shared" si="10"/>
        <v>0</v>
      </c>
      <c r="N136" s="22" t="s">
        <v>118</v>
      </c>
    </row>
    <row r="137" spans="1:14">
      <c r="A137" s="18">
        <v>45386</v>
      </c>
      <c r="B137" s="22" t="s">
        <v>55</v>
      </c>
      <c r="C137" s="22">
        <v>2</v>
      </c>
      <c r="D137" s="44">
        <v>45386</v>
      </c>
      <c r="E137" s="22">
        <f>(72+92)/2</f>
        <v>82</v>
      </c>
      <c r="F137" s="44">
        <v>45386</v>
      </c>
      <c r="G137">
        <v>110</v>
      </c>
      <c r="H137" s="52">
        <f t="shared" si="6"/>
        <v>56</v>
      </c>
      <c r="K137">
        <f t="shared" si="10"/>
        <v>1</v>
      </c>
      <c r="N137" s="34">
        <f>SUM(H134:H153)</f>
        <v>-251.76</v>
      </c>
    </row>
    <row r="138" spans="1:14">
      <c r="A138" s="18">
        <v>45391</v>
      </c>
      <c r="B138" s="22" t="s">
        <v>55</v>
      </c>
      <c r="C138" s="22">
        <v>2</v>
      </c>
      <c r="D138" s="44">
        <v>45391</v>
      </c>
      <c r="E138" s="22">
        <f>(96+90)/2</f>
        <v>93</v>
      </c>
      <c r="F138" s="9">
        <v>45391</v>
      </c>
      <c r="G138">
        <f>(90+80)/2</f>
        <v>85</v>
      </c>
      <c r="H138" s="52">
        <f t="shared" si="6"/>
        <v>-16</v>
      </c>
      <c r="K138">
        <f t="shared" si="10"/>
        <v>0</v>
      </c>
    </row>
    <row r="139" spans="1:14">
      <c r="A139" s="18">
        <v>45393</v>
      </c>
      <c r="B139" s="22" t="s">
        <v>136</v>
      </c>
      <c r="C139" s="22">
        <v>5</v>
      </c>
      <c r="D139" s="44">
        <v>45393</v>
      </c>
      <c r="E139" s="22">
        <v>61.052</v>
      </c>
      <c r="F139" s="9">
        <v>45393</v>
      </c>
      <c r="G139">
        <v>61.63</v>
      </c>
      <c r="H139" s="52">
        <f t="shared" si="6"/>
        <v>2.8900000000000148</v>
      </c>
      <c r="K139">
        <f t="shared" si="10"/>
        <v>1</v>
      </c>
    </row>
    <row r="140" spans="1:14">
      <c r="A140" s="18">
        <v>45397</v>
      </c>
      <c r="B140" s="22" t="s">
        <v>137</v>
      </c>
      <c r="C140" s="22">
        <v>1</v>
      </c>
      <c r="D140" s="44">
        <v>45397</v>
      </c>
      <c r="E140" s="22">
        <f>(88+88+80+68)/4</f>
        <v>81</v>
      </c>
      <c r="F140" s="9">
        <v>45397</v>
      </c>
      <c r="G140">
        <f>(70+89+89+89)/4</f>
        <v>84.25</v>
      </c>
      <c r="H140" s="52">
        <f t="shared" si="6"/>
        <v>3.25</v>
      </c>
      <c r="K140">
        <f t="shared" si="10"/>
        <v>1</v>
      </c>
    </row>
    <row r="141" spans="1:14">
      <c r="A141" s="18">
        <v>45398</v>
      </c>
      <c r="B141" s="22" t="s">
        <v>83</v>
      </c>
      <c r="C141" s="22">
        <v>5</v>
      </c>
      <c r="D141" s="44">
        <v>45398</v>
      </c>
      <c r="E141" s="22">
        <f>(16+16+16+8+8)/5</f>
        <v>12.8</v>
      </c>
      <c r="F141" s="9">
        <v>45398</v>
      </c>
      <c r="G141">
        <v>24</v>
      </c>
      <c r="H141" s="52">
        <f t="shared" si="6"/>
        <v>56</v>
      </c>
      <c r="K141">
        <f t="shared" si="10"/>
        <v>1</v>
      </c>
    </row>
    <row r="142" spans="1:14">
      <c r="A142" s="18">
        <v>45399</v>
      </c>
      <c r="B142" s="22" t="s">
        <v>119</v>
      </c>
      <c r="C142" s="22">
        <v>1</v>
      </c>
      <c r="D142" s="44">
        <v>45399</v>
      </c>
      <c r="E142" s="22">
        <v>100</v>
      </c>
      <c r="F142" s="44">
        <v>45399</v>
      </c>
      <c r="G142">
        <v>158</v>
      </c>
      <c r="H142" s="52">
        <f t="shared" si="6"/>
        <v>58</v>
      </c>
      <c r="K142">
        <f t="shared" ref="K142:K153" si="11">IF(H142&lt; 0,0,1)</f>
        <v>1</v>
      </c>
    </row>
    <row r="143" spans="1:14">
      <c r="A143" s="18">
        <v>45399</v>
      </c>
      <c r="B143" s="22" t="s">
        <v>119</v>
      </c>
      <c r="C143" s="22">
        <v>1</v>
      </c>
      <c r="D143" s="44">
        <v>45399</v>
      </c>
      <c r="E143" s="22">
        <v>80</v>
      </c>
      <c r="F143" s="44">
        <v>45399</v>
      </c>
      <c r="G143">
        <v>70</v>
      </c>
      <c r="H143" s="52">
        <f t="shared" si="6"/>
        <v>-10</v>
      </c>
      <c r="K143">
        <f t="shared" si="11"/>
        <v>0</v>
      </c>
    </row>
    <row r="144" spans="1:14">
      <c r="A144" s="18">
        <v>45400</v>
      </c>
      <c r="B144" s="22" t="s">
        <v>138</v>
      </c>
      <c r="C144" s="22">
        <v>1</v>
      </c>
      <c r="D144" s="44">
        <v>45400</v>
      </c>
      <c r="E144" s="22">
        <v>60</v>
      </c>
      <c r="F144" s="44">
        <v>45400</v>
      </c>
      <c r="G144">
        <v>35</v>
      </c>
      <c r="H144" s="52">
        <f t="shared" si="6"/>
        <v>-25</v>
      </c>
      <c r="K144">
        <f t="shared" si="11"/>
        <v>0</v>
      </c>
    </row>
    <row r="145" spans="1:14">
      <c r="A145" s="18">
        <v>45400</v>
      </c>
      <c r="B145" s="22" t="s">
        <v>138</v>
      </c>
      <c r="C145" s="22">
        <v>1</v>
      </c>
      <c r="D145" s="44">
        <v>45400</v>
      </c>
      <c r="E145" s="22">
        <v>66</v>
      </c>
      <c r="F145" s="44">
        <v>45400</v>
      </c>
      <c r="G145">
        <v>48</v>
      </c>
      <c r="H145" s="52">
        <f t="shared" si="6"/>
        <v>-18</v>
      </c>
      <c r="K145">
        <f t="shared" si="11"/>
        <v>0</v>
      </c>
    </row>
    <row r="146" spans="1:14">
      <c r="A146" s="18">
        <v>45400</v>
      </c>
      <c r="B146" s="22" t="s">
        <v>55</v>
      </c>
      <c r="C146" s="22">
        <v>1</v>
      </c>
      <c r="D146" s="44">
        <v>45400</v>
      </c>
      <c r="E146" s="22">
        <v>66</v>
      </c>
      <c r="F146" s="44">
        <v>45400</v>
      </c>
      <c r="G146">
        <v>57</v>
      </c>
      <c r="H146" s="52">
        <f t="shared" si="6"/>
        <v>-9</v>
      </c>
      <c r="K146">
        <f t="shared" si="11"/>
        <v>0</v>
      </c>
    </row>
    <row r="147" spans="1:14">
      <c r="A147" s="18">
        <v>45400</v>
      </c>
      <c r="B147" s="22" t="s">
        <v>55</v>
      </c>
      <c r="C147" s="22">
        <v>2</v>
      </c>
      <c r="D147" s="44">
        <v>45400</v>
      </c>
      <c r="E147" s="22">
        <f>(61+47)/2</f>
        <v>54</v>
      </c>
      <c r="F147" s="44">
        <v>45400</v>
      </c>
      <c r="G147">
        <v>70</v>
      </c>
      <c r="H147" s="52">
        <f t="shared" si="6"/>
        <v>32</v>
      </c>
      <c r="K147">
        <f t="shared" si="11"/>
        <v>1</v>
      </c>
    </row>
    <row r="148" spans="1:14">
      <c r="A148" s="18">
        <v>45401</v>
      </c>
      <c r="B148" s="22" t="s">
        <v>110</v>
      </c>
      <c r="C148" s="22">
        <v>2</v>
      </c>
      <c r="D148" s="44">
        <v>45401</v>
      </c>
      <c r="E148" s="22">
        <f>(40+53)/2</f>
        <v>46.5</v>
      </c>
      <c r="F148" s="44">
        <v>45401</v>
      </c>
      <c r="G148">
        <v>100</v>
      </c>
      <c r="H148" s="52">
        <f t="shared" si="6"/>
        <v>107</v>
      </c>
      <c r="K148">
        <f t="shared" si="11"/>
        <v>1</v>
      </c>
    </row>
    <row r="149" spans="1:14">
      <c r="A149" s="18">
        <v>45404</v>
      </c>
      <c r="B149" s="22" t="s">
        <v>55</v>
      </c>
      <c r="C149" s="22">
        <v>1</v>
      </c>
      <c r="D149" s="44">
        <v>45404</v>
      </c>
      <c r="E149" s="22">
        <v>52</v>
      </c>
      <c r="F149" s="44">
        <v>45404</v>
      </c>
      <c r="G149">
        <v>48</v>
      </c>
      <c r="H149" s="52">
        <f t="shared" si="6"/>
        <v>-4</v>
      </c>
      <c r="K149">
        <f t="shared" si="11"/>
        <v>0</v>
      </c>
    </row>
    <row r="150" spans="1:14">
      <c r="A150" s="18">
        <v>45405</v>
      </c>
      <c r="B150" s="22" t="s">
        <v>55</v>
      </c>
      <c r="C150" s="22">
        <v>2</v>
      </c>
      <c r="D150" s="44">
        <v>45404</v>
      </c>
      <c r="E150" s="22">
        <f>(42+37)/2</f>
        <v>39.5</v>
      </c>
      <c r="F150" s="44">
        <v>45404</v>
      </c>
      <c r="G150">
        <v>35</v>
      </c>
      <c r="H150" s="52">
        <f t="shared" si="6"/>
        <v>-9</v>
      </c>
      <c r="K150">
        <f t="shared" si="11"/>
        <v>0</v>
      </c>
    </row>
    <row r="151" spans="1:14">
      <c r="A151" s="18">
        <v>45406</v>
      </c>
      <c r="B151" s="22" t="s">
        <v>112</v>
      </c>
      <c r="C151" s="22">
        <v>2</v>
      </c>
      <c r="D151" s="54">
        <v>45406</v>
      </c>
      <c r="E151" s="22">
        <f>(74+47)/2</f>
        <v>60.5</v>
      </c>
      <c r="F151" s="54">
        <v>45406</v>
      </c>
      <c r="G151">
        <v>18</v>
      </c>
      <c r="H151" s="52">
        <f t="shared" si="6"/>
        <v>-85</v>
      </c>
      <c r="K151">
        <f t="shared" si="11"/>
        <v>0</v>
      </c>
    </row>
    <row r="152" spans="1:14">
      <c r="A152" s="18">
        <v>45407</v>
      </c>
      <c r="B152" s="22" t="s">
        <v>139</v>
      </c>
      <c r="C152" s="22">
        <v>10</v>
      </c>
      <c r="D152" s="54">
        <v>45407</v>
      </c>
      <c r="E152" s="22">
        <f>(150+60+65+33+19+27+19+17+17+17)/10</f>
        <v>42.4</v>
      </c>
      <c r="F152" s="9">
        <v>45410</v>
      </c>
      <c r="G152">
        <v>13</v>
      </c>
      <c r="H152" s="52">
        <f t="shared" si="6"/>
        <v>-294</v>
      </c>
      <c r="K152">
        <f t="shared" si="11"/>
        <v>0</v>
      </c>
    </row>
    <row r="153" spans="1:14">
      <c r="A153" s="18">
        <v>45408</v>
      </c>
      <c r="B153" s="22" t="s">
        <v>113</v>
      </c>
      <c r="C153" s="22">
        <v>5</v>
      </c>
      <c r="D153" s="54">
        <v>45408</v>
      </c>
      <c r="E153" s="22">
        <f>(26+25+20+9+4)/5</f>
        <v>16.8</v>
      </c>
      <c r="F153" s="54">
        <v>45408</v>
      </c>
      <c r="G153">
        <v>0</v>
      </c>
      <c r="H153" s="52">
        <f t="shared" si="6"/>
        <v>-84</v>
      </c>
      <c r="K153">
        <f t="shared" si="11"/>
        <v>0</v>
      </c>
    </row>
    <row r="154" spans="1:14" s="59" customFormat="1" ht="26.25">
      <c r="A154" s="56"/>
      <c r="B154" s="57"/>
      <c r="C154" s="57"/>
      <c r="D154" s="58"/>
      <c r="E154" s="62" t="s">
        <v>28</v>
      </c>
      <c r="F154" s="62"/>
      <c r="G154" s="62"/>
      <c r="H154" s="62"/>
      <c r="I154" s="62"/>
      <c r="J154" s="62"/>
      <c r="K154" s="62"/>
      <c r="L154" s="62"/>
      <c r="N154" s="57"/>
    </row>
  </sheetData>
  <mergeCells count="3">
    <mergeCell ref="A67:K67"/>
    <mergeCell ref="A133:M133"/>
    <mergeCell ref="E154:L154"/>
  </mergeCells>
  <conditionalFormatting sqref="M1">
    <cfRule type="colorScale" priority="10">
      <colorScale>
        <cfvo type="min"/>
        <cfvo type="max"/>
        <color rgb="FFFCFCFF"/>
        <color rgb="FF63BE7B"/>
      </colorScale>
    </cfRule>
  </conditionalFormatting>
  <conditionalFormatting sqref="M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6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H5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66 H68:H9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1:H10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:H1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:H132 H134:H1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7375-1E73-4295-BF49-8E5E3DFFAB8A}">
  <dimension ref="A1:I27"/>
  <sheetViews>
    <sheetView topLeftCell="C3" workbookViewId="0">
      <selection activeCell="C3" sqref="C3"/>
    </sheetView>
  </sheetViews>
  <sheetFormatPr defaultRowHeight="15"/>
  <cols>
    <col min="1" max="1" width="19" bestFit="1" customWidth="1"/>
    <col min="2" max="3" width="11.42578125" bestFit="1" customWidth="1"/>
    <col min="4" max="4" width="12.5703125" bestFit="1" customWidth="1"/>
    <col min="5" max="5" width="10.85546875" bestFit="1" customWidth="1"/>
    <col min="6" max="6" width="11.85546875" bestFit="1" customWidth="1"/>
    <col min="7" max="7" width="16.140625" bestFit="1" customWidth="1"/>
    <col min="8" max="8" width="17" bestFit="1" customWidth="1"/>
  </cols>
  <sheetData>
    <row r="1" spans="1:9">
      <c r="A1" t="s">
        <v>140</v>
      </c>
      <c r="D1" t="s">
        <v>10</v>
      </c>
      <c r="H1" t="s">
        <v>141</v>
      </c>
      <c r="I1">
        <v>16.7</v>
      </c>
    </row>
    <row r="3" spans="1:9">
      <c r="A3" s="34" t="s">
        <v>142</v>
      </c>
      <c r="B3" s="9">
        <v>44562</v>
      </c>
      <c r="C3" s="9"/>
    </row>
    <row r="4" spans="1:9">
      <c r="B4" t="s">
        <v>1</v>
      </c>
      <c r="C4" t="s">
        <v>2</v>
      </c>
      <c r="D4" t="s">
        <v>143</v>
      </c>
      <c r="E4" t="s">
        <v>144</v>
      </c>
      <c r="F4" t="s">
        <v>5</v>
      </c>
      <c r="G4" t="s">
        <v>145</v>
      </c>
      <c r="H4" t="s">
        <v>146</v>
      </c>
    </row>
    <row r="5" spans="1:9">
      <c r="A5" t="s">
        <v>147</v>
      </c>
      <c r="B5">
        <v>3</v>
      </c>
      <c r="C5">
        <v>397.54</v>
      </c>
      <c r="D5">
        <v>486.56</v>
      </c>
      <c r="E5" s="4">
        <f>B5*C5</f>
        <v>1192.6200000000001</v>
      </c>
      <c r="F5" s="4">
        <f>D5*B5</f>
        <v>1459.68</v>
      </c>
    </row>
    <row r="6" spans="1:9">
      <c r="A6" t="s">
        <v>148</v>
      </c>
      <c r="B6">
        <v>530</v>
      </c>
      <c r="C6">
        <v>0.92</v>
      </c>
      <c r="D6">
        <v>0.8</v>
      </c>
      <c r="E6" s="4">
        <f>B6*C6</f>
        <v>487.6</v>
      </c>
      <c r="F6" s="4">
        <f>B6*D6</f>
        <v>424</v>
      </c>
    </row>
    <row r="7" spans="1:9">
      <c r="A7" t="s">
        <v>97</v>
      </c>
      <c r="B7">
        <v>1</v>
      </c>
      <c r="C7">
        <f>(1303)</f>
        <v>1303</v>
      </c>
      <c r="D7">
        <v>71.98</v>
      </c>
      <c r="E7" s="4">
        <f>B7*C7</f>
        <v>1303</v>
      </c>
      <c r="F7" s="4">
        <f>D7*I1*B7</f>
        <v>1202.066</v>
      </c>
    </row>
    <row r="8" spans="1:9">
      <c r="A8" t="s">
        <v>149</v>
      </c>
      <c r="B8">
        <v>923</v>
      </c>
      <c r="C8">
        <v>4.1399999999999997</v>
      </c>
      <c r="D8">
        <v>5.16</v>
      </c>
      <c r="E8" s="4">
        <f>B8*C8</f>
        <v>3821.22</v>
      </c>
      <c r="F8" s="4">
        <f>D8*B8</f>
        <v>4762.68</v>
      </c>
    </row>
    <row r="9" spans="1:9">
      <c r="A9" t="s">
        <v>150</v>
      </c>
      <c r="B9">
        <v>10</v>
      </c>
      <c r="C9">
        <v>33</v>
      </c>
      <c r="D9">
        <v>33.799999999999997</v>
      </c>
      <c r="E9" s="4">
        <f>B9*C9</f>
        <v>330</v>
      </c>
      <c r="F9" s="4">
        <f>D9*B9</f>
        <v>338</v>
      </c>
    </row>
    <row r="10" spans="1:9">
      <c r="A10" t="s">
        <v>151</v>
      </c>
      <c r="B10">
        <v>36</v>
      </c>
      <c r="C10">
        <v>168.88</v>
      </c>
      <c r="D10">
        <v>178.7</v>
      </c>
      <c r="E10" s="4">
        <f t="shared" ref="E10:E21" si="0">B10*C10</f>
        <v>6079.68</v>
      </c>
      <c r="F10" s="4">
        <f t="shared" ref="F10:F21" si="1">D10*B10</f>
        <v>6433.2</v>
      </c>
    </row>
    <row r="11" spans="1:9">
      <c r="A11" t="s">
        <v>113</v>
      </c>
      <c r="B11">
        <v>1</v>
      </c>
      <c r="C11">
        <v>2622</v>
      </c>
      <c r="D11">
        <v>2254</v>
      </c>
      <c r="E11" s="4">
        <f t="shared" si="0"/>
        <v>2622</v>
      </c>
      <c r="F11" s="4">
        <f t="shared" si="1"/>
        <v>2254</v>
      </c>
    </row>
    <row r="12" spans="1:9">
      <c r="A12" t="s">
        <v>152</v>
      </c>
      <c r="B12">
        <v>20</v>
      </c>
      <c r="C12">
        <v>13.94</v>
      </c>
      <c r="D12">
        <v>13.99</v>
      </c>
      <c r="E12" s="4">
        <f t="shared" si="0"/>
        <v>278.8</v>
      </c>
      <c r="F12" s="4">
        <f t="shared" si="1"/>
        <v>279.8</v>
      </c>
    </row>
    <row r="13" spans="1:9">
      <c r="A13" t="s">
        <v>153</v>
      </c>
      <c r="B13">
        <v>1</v>
      </c>
      <c r="C13">
        <v>42</v>
      </c>
      <c r="D13">
        <v>41.44</v>
      </c>
      <c r="E13" s="4">
        <f t="shared" si="0"/>
        <v>42</v>
      </c>
      <c r="F13" s="4">
        <f t="shared" si="1"/>
        <v>41.44</v>
      </c>
    </row>
    <row r="14" spans="1:9">
      <c r="A14" t="s">
        <v>154</v>
      </c>
      <c r="B14">
        <v>50</v>
      </c>
      <c r="C14">
        <v>46.99</v>
      </c>
      <c r="D14">
        <v>46.69</v>
      </c>
      <c r="E14" s="4">
        <f t="shared" si="0"/>
        <v>2349.5</v>
      </c>
      <c r="F14" s="4">
        <f t="shared" si="1"/>
        <v>2334.5</v>
      </c>
    </row>
    <row r="15" spans="1:9">
      <c r="A15" t="s">
        <v>155</v>
      </c>
      <c r="B15">
        <v>10</v>
      </c>
      <c r="C15">
        <v>52.09</v>
      </c>
      <c r="D15">
        <v>55.31</v>
      </c>
      <c r="E15" s="4">
        <f t="shared" si="0"/>
        <v>520.90000000000009</v>
      </c>
      <c r="F15" s="4">
        <f t="shared" si="1"/>
        <v>553.1</v>
      </c>
    </row>
    <row r="16" spans="1:9">
      <c r="A16" t="s">
        <v>156</v>
      </c>
      <c r="B16">
        <v>5</v>
      </c>
      <c r="C16">
        <v>1875.58</v>
      </c>
      <c r="D16">
        <v>1869.7</v>
      </c>
      <c r="E16" s="4">
        <f t="shared" si="0"/>
        <v>9377.9</v>
      </c>
      <c r="F16" s="4">
        <f>D16*B16</f>
        <v>9348.5</v>
      </c>
    </row>
    <row r="17" spans="1:9">
      <c r="A17" t="s">
        <v>157</v>
      </c>
      <c r="E17" s="4"/>
      <c r="F17" s="4"/>
      <c r="H17" t="s">
        <v>141</v>
      </c>
      <c r="I17">
        <v>20</v>
      </c>
    </row>
    <row r="18" spans="1:9">
      <c r="E18" s="4"/>
      <c r="F18" s="4"/>
    </row>
    <row r="19" spans="1:9">
      <c r="A19" t="s">
        <v>158</v>
      </c>
      <c r="B19">
        <v>1</v>
      </c>
      <c r="C19">
        <f>32.86*I17</f>
        <v>657.2</v>
      </c>
      <c r="D19">
        <f>39.75</f>
        <v>39.75</v>
      </c>
      <c r="E19" s="4">
        <f>B19*C19</f>
        <v>657.2</v>
      </c>
      <c r="F19" s="4">
        <f>D19*B19*I1</f>
        <v>663.82499999999993</v>
      </c>
    </row>
    <row r="20" spans="1:9">
      <c r="A20" t="s">
        <v>106</v>
      </c>
      <c r="B20">
        <v>5</v>
      </c>
      <c r="E20" s="4">
        <f t="shared" si="0"/>
        <v>0</v>
      </c>
      <c r="F20" s="4">
        <f t="shared" ref="F20" si="2">D20*B20</f>
        <v>0</v>
      </c>
    </row>
    <row r="21" spans="1:9">
      <c r="A21" t="s">
        <v>159</v>
      </c>
      <c r="B21">
        <v>2</v>
      </c>
      <c r="E21" s="4">
        <f t="shared" si="0"/>
        <v>0</v>
      </c>
      <c r="F21" s="4">
        <f t="shared" si="1"/>
        <v>0</v>
      </c>
    </row>
    <row r="25" spans="1:9">
      <c r="A25" t="s">
        <v>160</v>
      </c>
    </row>
    <row r="26" spans="1:9">
      <c r="A26" t="s">
        <v>161</v>
      </c>
    </row>
    <row r="27" spans="1:9">
      <c r="A27" t="s">
        <v>162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.140625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325BE-72BB-4819-BD49-816AB8AEA9B8}">
  <dimension ref="A2:N8"/>
  <sheetViews>
    <sheetView workbookViewId="0">
      <selection activeCell="G4" sqref="G4"/>
    </sheetView>
  </sheetViews>
  <sheetFormatPr defaultRowHeight="15"/>
  <cols>
    <col min="4" max="4" width="20" customWidth="1"/>
  </cols>
  <sheetData>
    <row r="2" spans="1:14">
      <c r="B2" t="s">
        <v>163</v>
      </c>
      <c r="C2" t="s">
        <v>164</v>
      </c>
      <c r="D2" t="s">
        <v>165</v>
      </c>
      <c r="E2" t="s">
        <v>1</v>
      </c>
      <c r="G2" t="s">
        <v>166</v>
      </c>
      <c r="I2" t="s">
        <v>167</v>
      </c>
      <c r="L2" t="s">
        <v>168</v>
      </c>
      <c r="N2" t="s">
        <v>169</v>
      </c>
    </row>
    <row r="3" spans="1:14">
      <c r="A3" t="s">
        <v>151</v>
      </c>
      <c r="B3">
        <v>146</v>
      </c>
      <c r="C3">
        <v>154.02000000000001</v>
      </c>
      <c r="D3">
        <v>153.5</v>
      </c>
      <c r="E3">
        <v>27</v>
      </c>
      <c r="G3">
        <f>(D3-B3)*27</f>
        <v>202.5</v>
      </c>
      <c r="I3">
        <v>0</v>
      </c>
    </row>
    <row r="4" spans="1:14">
      <c r="A4" t="s">
        <v>152</v>
      </c>
      <c r="B4">
        <v>13.94</v>
      </c>
      <c r="C4">
        <v>14.21</v>
      </c>
      <c r="E4">
        <v>20</v>
      </c>
      <c r="I4">
        <f>(C4-B4)*20</f>
        <v>5.400000000000027</v>
      </c>
      <c r="N4" t="s">
        <v>170</v>
      </c>
    </row>
    <row r="5" spans="1:14">
      <c r="A5" t="s">
        <v>171</v>
      </c>
      <c r="B5">
        <v>1.0900000000000001</v>
      </c>
      <c r="C5">
        <v>0.7</v>
      </c>
      <c r="E5">
        <v>230</v>
      </c>
      <c r="I5">
        <f>(C5-B5)*230</f>
        <v>-89.700000000000031</v>
      </c>
    </row>
    <row r="6" spans="1:14">
      <c r="A6" t="s">
        <v>150</v>
      </c>
      <c r="B6">
        <v>33</v>
      </c>
      <c r="C6">
        <v>35.89</v>
      </c>
      <c r="E6">
        <v>10</v>
      </c>
      <c r="I6">
        <f>(C6-B6)*10</f>
        <v>28.900000000000006</v>
      </c>
      <c r="N6" t="s">
        <v>172</v>
      </c>
    </row>
    <row r="7" spans="1:14">
      <c r="A7" t="s">
        <v>173</v>
      </c>
      <c r="B7">
        <v>28.9</v>
      </c>
      <c r="C7">
        <v>32.86</v>
      </c>
      <c r="E7">
        <v>20</v>
      </c>
      <c r="I7">
        <f>(C7-B7)*E7</f>
        <v>79.200000000000017</v>
      </c>
    </row>
    <row r="8" spans="1:14">
      <c r="A8" s="5" t="s">
        <v>8</v>
      </c>
      <c r="G8">
        <f>SUM(G3:G7)</f>
        <v>202.5</v>
      </c>
      <c r="I8">
        <f>SUM(I3:I7)</f>
        <v>23.800000000000011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D1F90-B5FA-4E19-A21B-048CDF2DEABF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Francisco Javier Vargas Fentanes</cp:lastModifiedBy>
  <cp:revision/>
  <dcterms:created xsi:type="dcterms:W3CDTF">2023-06-27T17:13:57Z</dcterms:created>
  <dcterms:modified xsi:type="dcterms:W3CDTF">2024-10-20T23:00:25Z</dcterms:modified>
  <cp:category/>
  <cp:contentStatus/>
</cp:coreProperties>
</file>