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yDelta\SAC_JPE\MainstemSurvival\Models\MSre\"/>
    </mc:Choice>
  </mc:AlternateContent>
  <xr:revisionPtr revIDLastSave="0" documentId="13_ncr:1_{4C302C12-9878-4121-AC43-22F94BAC550B}" xr6:coauthVersionLast="47" xr6:coauthVersionMax="47" xr10:uidLastSave="{00000000-0000-0000-0000-000000000000}"/>
  <bookViews>
    <workbookView xWindow="22296" yWindow="0" windowWidth="18996" windowHeight="16680" activeTab="1" xr2:uid="{8E4127D1-DB95-46EA-A001-4491AB3538C1}"/>
  </bookViews>
  <sheets>
    <sheet name="Receiver_km" sheetId="1" r:id="rId1"/>
    <sheet name="SurvivalCalc" sheetId="3" r:id="rId2"/>
    <sheet name="InstM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9" i="3" l="1"/>
  <c r="E19" i="3" s="1"/>
  <c r="D20" i="3"/>
  <c r="E20" i="3" s="1"/>
  <c r="D21" i="3"/>
  <c r="E21" i="3" s="1"/>
  <c r="D22" i="3"/>
  <c r="E22" i="3" s="1"/>
  <c r="E18" i="3"/>
  <c r="D12" i="3"/>
  <c r="F12" i="3" s="1"/>
  <c r="B11" i="3"/>
  <c r="C11" i="3"/>
  <c r="D11" i="3" s="1"/>
  <c r="F11" i="3" s="1"/>
  <c r="B12" i="3"/>
  <c r="C12" i="3"/>
  <c r="B13" i="3"/>
  <c r="C13" i="3"/>
  <c r="D13" i="3" s="1"/>
  <c r="F13" i="3" s="1"/>
  <c r="C10" i="3"/>
  <c r="D10" i="3" s="1"/>
  <c r="F10" i="3" s="1"/>
  <c r="B10" i="3"/>
  <c r="G54" i="2"/>
  <c r="H54" i="2" s="1"/>
  <c r="G55" i="2"/>
  <c r="H55" i="2"/>
  <c r="G56" i="2"/>
  <c r="H56" i="2"/>
  <c r="H53" i="2"/>
  <c r="G53" i="2"/>
  <c r="G49" i="2"/>
  <c r="H49" i="2" s="1"/>
  <c r="G50" i="2"/>
  <c r="H50" i="2" s="1"/>
  <c r="G51" i="2"/>
  <c r="H51" i="2"/>
  <c r="G48" i="2"/>
  <c r="H48" i="2" s="1"/>
  <c r="C30" i="2" l="1"/>
  <c r="N31" i="2"/>
  <c r="N30" i="2"/>
  <c r="M47" i="2"/>
  <c r="M45" i="2"/>
  <c r="M44" i="2"/>
  <c r="L47" i="2"/>
  <c r="L46" i="2"/>
  <c r="C43" i="2"/>
  <c r="C41" i="2"/>
  <c r="C42" i="2"/>
  <c r="B49" i="2"/>
  <c r="C49" i="2"/>
  <c r="D49" i="2" s="1"/>
  <c r="B50" i="2"/>
  <c r="C50" i="2"/>
  <c r="D50" i="2" s="1"/>
  <c r="B51" i="2"/>
  <c r="C51" i="2"/>
  <c r="D51" i="2" s="1"/>
  <c r="C48" i="2"/>
  <c r="C53" i="2" s="1"/>
  <c r="B48" i="2"/>
  <c r="D25" i="2"/>
  <c r="E25" i="2"/>
  <c r="C25" i="2"/>
  <c r="E16" i="2"/>
  <c r="E19" i="2" s="1"/>
  <c r="D16" i="2"/>
  <c r="D19" i="2" s="1"/>
  <c r="E15" i="2"/>
  <c r="E18" i="2" s="1"/>
  <c r="D15" i="2"/>
  <c r="D18" i="2" s="1"/>
  <c r="D3" i="2"/>
  <c r="D4" i="2" s="1"/>
  <c r="E3" i="2"/>
  <c r="E4" i="2" s="1"/>
  <c r="C3" i="2"/>
  <c r="C4" i="2" s="1"/>
  <c r="C14" i="1"/>
  <c r="C15" i="1" s="1"/>
  <c r="C4" i="1" s="1"/>
  <c r="D4" i="1" s="1"/>
  <c r="D11" i="1" s="1"/>
  <c r="L8" i="1"/>
  <c r="C8" i="1"/>
  <c r="D7" i="1" s="1"/>
  <c r="L7" i="1"/>
  <c r="M8" i="1" s="1"/>
  <c r="D6" i="1"/>
  <c r="L6" i="1"/>
  <c r="M7" i="1" s="1"/>
  <c r="D5" i="1"/>
  <c r="L5" i="1"/>
  <c r="M6" i="1" s="1"/>
  <c r="L4" i="1"/>
  <c r="D48" i="2" l="1"/>
  <c r="O20" i="2"/>
  <c r="B27" i="2"/>
  <c r="F10" i="1"/>
  <c r="M5" i="1"/>
  <c r="D10" i="1"/>
  <c r="B28" i="2" l="1"/>
  <c r="D30" i="2"/>
  <c r="D31" i="2" s="1"/>
  <c r="E30" i="2"/>
  <c r="E31" i="2" s="1"/>
  <c r="C31" i="2"/>
  <c r="C40" i="2" l="1"/>
  <c r="C39" i="2"/>
  <c r="C36" i="2"/>
  <c r="E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korman</author>
  </authors>
  <commentList>
    <comment ref="D45" authorId="0" shapeId="0" xr:uid="{4D0A8173-91D9-4106-8439-DEDFA66A2F8C}">
      <text>
        <r>
          <rPr>
            <b/>
            <sz val="9"/>
            <color indexed="81"/>
            <rFont val="Tahoma"/>
            <family val="2"/>
          </rPr>
          <t>josh korman:</t>
        </r>
        <r>
          <rPr>
            <sz val="9"/>
            <color indexed="81"/>
            <rFont val="Tahoma"/>
            <family val="2"/>
          </rPr>
          <t xml:space="preserve">
very close to average reach length</t>
        </r>
      </text>
    </comment>
  </commentList>
</comments>
</file>

<file path=xl/sharedStrings.xml><?xml version="1.0" encoding="utf-8"?>
<sst xmlns="http://schemas.openxmlformats.org/spreadsheetml/2006/main" count="114" uniqueCount="91">
  <si>
    <t>https://www.sacramentoriver.org/forum/index.php?id=gismy&amp;rec_id=5</t>
  </si>
  <si>
    <t>From Golden Gate</t>
  </si>
  <si>
    <t>Location</t>
  </si>
  <si>
    <t>Rkm</t>
  </si>
  <si>
    <t>Reach_Length</t>
  </si>
  <si>
    <t>Rmi</t>
  </si>
  <si>
    <t>Release Point</t>
  </si>
  <si>
    <t>RBDD</t>
  </si>
  <si>
    <t>Woodson</t>
  </si>
  <si>
    <t>Butte</t>
  </si>
  <si>
    <t>Sac</t>
  </si>
  <si>
    <t>Sacramento</t>
  </si>
  <si>
    <t>Endpoint</t>
  </si>
  <si>
    <t>Delta</t>
  </si>
  <si>
    <t>woodson rmi</t>
  </si>
  <si>
    <t>from Sac-Delta confluence</t>
  </si>
  <si>
    <t>woodson rkm</t>
  </si>
  <si>
    <t>extra</t>
  </si>
  <si>
    <t>Golden gate - sac confluence</t>
  </si>
  <si>
    <t>Avg</t>
  </si>
  <si>
    <t>Total</t>
  </si>
  <si>
    <t>Survival</t>
  </si>
  <si>
    <t>M</t>
  </si>
  <si>
    <t>Mo</t>
  </si>
  <si>
    <t>Mwy</t>
  </si>
  <si>
    <t>S</t>
  </si>
  <si>
    <t>no log transform</t>
  </si>
  <si>
    <t>Dry</t>
  </si>
  <si>
    <t>Wet</t>
  </si>
  <si>
    <t>Parameters</t>
  </si>
  <si>
    <t>Basic M-S transform</t>
  </si>
  <si>
    <t>Parameterization for model</t>
  </si>
  <si>
    <t>Predictions of M and S from parameters without year-release group random effects. Demonstrates why we need inv_log transform (i.e., exp() on right side)</t>
  </si>
  <si>
    <t>Reach Specific M-S calculations</t>
  </si>
  <si>
    <t>Reach Length</t>
  </si>
  <si>
    <t>M100 multiplier</t>
  </si>
  <si>
    <t>M100</t>
  </si>
  <si>
    <t>Mreach</t>
  </si>
  <si>
    <t>Sreach</t>
  </si>
  <si>
    <t>Sreach_100/Sreach</t>
  </si>
  <si>
    <t>S100</t>
  </si>
  <si>
    <t>with log transform</t>
  </si>
  <si>
    <t>fucked if M is negative</t>
  </si>
  <si>
    <t>correct because M can never be negative</t>
  </si>
  <si>
    <t>This is S100=S50*S50</t>
  </si>
  <si>
    <t>These reach specific values are S50, S100, and S150</t>
  </si>
  <si>
    <t>the ratio of survival from 50/100 is same as ratio from 100/50. So adjustment seems reasonalbe</t>
  </si>
  <si>
    <t>This is S150 = S100^1.5</t>
  </si>
  <si>
    <t>Thi is S150 = S50^3</t>
  </si>
  <si>
    <t>M100=exp(M0 + Mwy*X)</t>
  </si>
  <si>
    <t>M100 = M0 + Mwy*X</t>
  </si>
  <si>
    <t>backtransform</t>
  </si>
  <si>
    <t>S conv to M</t>
  </si>
  <si>
    <t>M=-ln(S)</t>
  </si>
  <si>
    <t>S=exp(-M)</t>
  </si>
  <si>
    <t>Verification of M transform and reach multiplier effect</t>
  </si>
  <si>
    <t>Rlen</t>
  </si>
  <si>
    <t>Reach_Length (Rlen)</t>
  </si>
  <si>
    <t>MRE by year release group</t>
  </si>
  <si>
    <t>xx could be negative or positive but assume all 0's for simplicity</t>
  </si>
  <si>
    <t>with log transform computed M100 cannot be negative</t>
  </si>
  <si>
    <t xml:space="preserve">A 10 % reduction in M100 in log space due to a wet year leads to a </t>
  </si>
  <si>
    <t>increase in survival in a wet year relative to dry year</t>
  </si>
  <si>
    <t>So additive effect of wet year on M or even Mdry is hard to interpret. Not a problem if you simply show the effect on S100</t>
  </si>
  <si>
    <t>That is, you gotta always present the transformed values unless you just want to talk about sign and relative certainty.</t>
  </si>
  <si>
    <t>Wet year M100 not in log space</t>
  </si>
  <si>
    <t>S100/S150</t>
  </si>
  <si>
    <t>S50/S100</t>
  </si>
  <si>
    <t>The real proof. Survival products</t>
  </si>
  <si>
    <t>S50 = S100^0.5</t>
  </si>
  <si>
    <t>Name</t>
  </si>
  <si>
    <t>Rmult</t>
  </si>
  <si>
    <t>Actual reach multipliers assuming</t>
  </si>
  <si>
    <t>km baseline length</t>
  </si>
  <si>
    <t>S[ir] = S100^Rmult[ir]</t>
  </si>
  <si>
    <t>S100=S100^1</t>
  </si>
  <si>
    <t>ir</t>
  </si>
  <si>
    <t>M1</t>
  </si>
  <si>
    <t>M2</t>
  </si>
  <si>
    <t>M1+M2</t>
  </si>
  <si>
    <t>Surv</t>
  </si>
  <si>
    <t>M_breach</t>
  </si>
  <si>
    <t>Easy examples</t>
  </si>
  <si>
    <t>StdLen</t>
  </si>
  <si>
    <t>S in StdLen</t>
  </si>
  <si>
    <t>Set in GetData.R</t>
  </si>
  <si>
    <t>S=S100^Rmult</t>
  </si>
  <si>
    <t>Here you estimate survival rate for a standardized reach length (e.g., S100)</t>
  </si>
  <si>
    <t>This avoids having to do all the convoluated M calculations. You simply do inv_logit(S_breach + S_RE)^Rmult[j]</t>
  </si>
  <si>
    <t>Also faster since the M computations require two exp() calls rather than one inv_logit() call</t>
  </si>
  <si>
    <t>Standard is S100 (survival in 100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</si>
</sst>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cramentoriver.org/forum/index.php?id=gismy&amp;rec_id=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6CC3-42FF-4A1B-984D-33CB74F4422D}">
  <dimension ref="B1:M19"/>
  <sheetViews>
    <sheetView workbookViewId="0">
      <selection activeCell="D4" sqref="D4:D7"/>
    </sheetView>
  </sheetViews>
  <sheetFormatPr defaultRowHeight="14.4" x14ac:dyDescent="0.3"/>
  <cols>
    <col min="2" max="2" width="15" customWidth="1"/>
    <col min="8" max="8" width="11.6640625" customWidth="1"/>
  </cols>
  <sheetData>
    <row r="1" spans="2:13" x14ac:dyDescent="0.3">
      <c r="J1" s="1" t="s">
        <v>0</v>
      </c>
    </row>
    <row r="2" spans="2:13" x14ac:dyDescent="0.3">
      <c r="C2" t="s">
        <v>1</v>
      </c>
    </row>
    <row r="3" spans="2:13" x14ac:dyDescent="0.3">
      <c r="B3" t="s">
        <v>2</v>
      </c>
      <c r="C3" t="s">
        <v>3</v>
      </c>
      <c r="D3" t="s">
        <v>57</v>
      </c>
      <c r="J3" t="s">
        <v>2</v>
      </c>
      <c r="K3" t="s">
        <v>5</v>
      </c>
      <c r="L3" t="s">
        <v>3</v>
      </c>
      <c r="M3" t="s">
        <v>4</v>
      </c>
    </row>
    <row r="4" spans="2:13" x14ac:dyDescent="0.3">
      <c r="B4" t="s">
        <v>6</v>
      </c>
      <c r="C4">
        <f>CONVERT(245,"mi","km")+C15</f>
        <v>469.23360000000002</v>
      </c>
      <c r="D4">
        <f>C4-C5</f>
        <v>40.233600000000024</v>
      </c>
      <c r="F4" t="s">
        <v>7</v>
      </c>
      <c r="J4" t="s">
        <v>7</v>
      </c>
      <c r="K4">
        <v>245.5</v>
      </c>
      <c r="L4">
        <f>CONVERT(K4,"mi","km")</f>
        <v>395.093952</v>
      </c>
    </row>
    <row r="5" spans="2:13" x14ac:dyDescent="0.3">
      <c r="B5" t="s">
        <v>8</v>
      </c>
      <c r="C5">
        <v>429</v>
      </c>
      <c r="D5">
        <f>C5-C6</f>
        <v>88</v>
      </c>
      <c r="J5" t="s">
        <v>8</v>
      </c>
      <c r="K5">
        <v>218.5</v>
      </c>
      <c r="L5">
        <f t="shared" ref="L5:L7" si="0">CONVERT(K5,"mi","km")</f>
        <v>351.64166399999999</v>
      </c>
      <c r="M5">
        <f>L4-L5</f>
        <v>43.45228800000001</v>
      </c>
    </row>
    <row r="6" spans="2:13" x14ac:dyDescent="0.3">
      <c r="B6" t="s">
        <v>9</v>
      </c>
      <c r="C6">
        <v>341</v>
      </c>
      <c r="D6">
        <f>C6-C7</f>
        <v>170</v>
      </c>
      <c r="J6" t="s">
        <v>9</v>
      </c>
      <c r="K6">
        <v>143.5</v>
      </c>
      <c r="L6">
        <f t="shared" si="0"/>
        <v>230.940864</v>
      </c>
      <c r="M6">
        <f t="shared" ref="M6:M8" si="1">L5-L6</f>
        <v>120.70079999999999</v>
      </c>
    </row>
    <row r="7" spans="2:13" x14ac:dyDescent="0.3">
      <c r="B7" t="s">
        <v>10</v>
      </c>
      <c r="C7">
        <v>171</v>
      </c>
      <c r="D7">
        <f>C7-C8</f>
        <v>109.5</v>
      </c>
      <c r="J7" t="s">
        <v>11</v>
      </c>
      <c r="K7">
        <v>62.5</v>
      </c>
      <c r="L7">
        <f t="shared" si="0"/>
        <v>100.584</v>
      </c>
      <c r="M7">
        <f t="shared" si="1"/>
        <v>130.356864</v>
      </c>
    </row>
    <row r="8" spans="2:13" x14ac:dyDescent="0.3">
      <c r="B8" t="s">
        <v>12</v>
      </c>
      <c r="C8">
        <f>AVERAGE(71,52)</f>
        <v>61.5</v>
      </c>
      <c r="J8" t="s">
        <v>13</v>
      </c>
      <c r="L8">
        <f>AVERAGE(71,52)</f>
        <v>61.5</v>
      </c>
      <c r="M8">
        <f t="shared" si="1"/>
        <v>39.084000000000003</v>
      </c>
    </row>
    <row r="10" spans="2:13" x14ac:dyDescent="0.3">
      <c r="B10" t="s">
        <v>19</v>
      </c>
      <c r="D10">
        <f>AVERAGE(D4:D7)</f>
        <v>101.93340000000001</v>
      </c>
      <c r="F10">
        <f>AVERAGE(D4:D7)</f>
        <v>101.93340000000001</v>
      </c>
    </row>
    <row r="11" spans="2:13" x14ac:dyDescent="0.3">
      <c r="B11" t="s">
        <v>20</v>
      </c>
      <c r="D11">
        <f>SUM(D4:D7)</f>
        <v>407.73360000000002</v>
      </c>
    </row>
    <row r="13" spans="2:13" x14ac:dyDescent="0.3">
      <c r="B13" t="s">
        <v>14</v>
      </c>
      <c r="C13">
        <v>220</v>
      </c>
      <c r="D13" t="s">
        <v>15</v>
      </c>
    </row>
    <row r="14" spans="2:13" x14ac:dyDescent="0.3">
      <c r="B14" t="s">
        <v>16</v>
      </c>
      <c r="C14">
        <f>CONVERT(C13,"mi","km")</f>
        <v>354.05568</v>
      </c>
    </row>
    <row r="15" spans="2:13" x14ac:dyDescent="0.3">
      <c r="B15" t="s">
        <v>17</v>
      </c>
      <c r="C15">
        <f>C5-C14</f>
        <v>74.944320000000005</v>
      </c>
      <c r="D15" t="s">
        <v>18</v>
      </c>
    </row>
    <row r="19" spans="3:3" x14ac:dyDescent="0.3">
      <c r="C19" t="s">
        <v>56</v>
      </c>
    </row>
  </sheetData>
  <hyperlinks>
    <hyperlink ref="J1" r:id="rId1" xr:uid="{8CDEA18B-F7BF-4841-AF69-5F3FCC863B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0FDC-84E6-472C-B9EA-3818FEE4A6C3}">
  <dimension ref="A1:I22"/>
  <sheetViews>
    <sheetView tabSelected="1" workbookViewId="0">
      <selection activeCell="F8" sqref="F8"/>
    </sheetView>
  </sheetViews>
  <sheetFormatPr defaultRowHeight="14.4" x14ac:dyDescent="0.3"/>
  <cols>
    <col min="2" max="2" width="12.109375" customWidth="1"/>
  </cols>
  <sheetData>
    <row r="1" spans="1:9" x14ac:dyDescent="0.3">
      <c r="A1" t="s">
        <v>87</v>
      </c>
    </row>
    <row r="2" spans="1:9" x14ac:dyDescent="0.3">
      <c r="B2" t="s">
        <v>88</v>
      </c>
    </row>
    <row r="3" spans="1:9" x14ac:dyDescent="0.3">
      <c r="B3" t="s">
        <v>89</v>
      </c>
    </row>
    <row r="6" spans="1:9" x14ac:dyDescent="0.3">
      <c r="E6" t="s">
        <v>83</v>
      </c>
      <c r="F6" t="s">
        <v>84</v>
      </c>
    </row>
    <row r="7" spans="1:9" x14ac:dyDescent="0.3">
      <c r="A7" t="s">
        <v>90</v>
      </c>
      <c r="E7" s="7">
        <v>100</v>
      </c>
      <c r="F7">
        <v>0.5</v>
      </c>
      <c r="H7" t="s">
        <v>85</v>
      </c>
    </row>
    <row r="9" spans="1:9" x14ac:dyDescent="0.3">
      <c r="A9" s="6" t="s">
        <v>76</v>
      </c>
      <c r="B9" s="6" t="s">
        <v>70</v>
      </c>
      <c r="C9" s="6" t="s">
        <v>56</v>
      </c>
      <c r="D9" s="6" t="s">
        <v>71</v>
      </c>
      <c r="F9" s="6" t="s">
        <v>38</v>
      </c>
    </row>
    <row r="10" spans="1:9" x14ac:dyDescent="0.3">
      <c r="A10" s="6">
        <v>1</v>
      </c>
      <c r="B10" s="6" t="str">
        <f>InstM!B48</f>
        <v>Release Point</v>
      </c>
      <c r="C10" s="6">
        <f>InstM!C48</f>
        <v>40.233600000000024</v>
      </c>
      <c r="D10" s="6">
        <f>C10/$E$7</f>
        <v>0.40233600000000025</v>
      </c>
      <c r="F10">
        <f>$F$7^D10</f>
        <v>0.75663215826060359</v>
      </c>
      <c r="I10" t="s">
        <v>86</v>
      </c>
    </row>
    <row r="11" spans="1:9" x14ac:dyDescent="0.3">
      <c r="A11" s="6">
        <v>2</v>
      </c>
      <c r="B11" s="6" t="str">
        <f>InstM!B49</f>
        <v>Woodson</v>
      </c>
      <c r="C11" s="6">
        <f>InstM!C49</f>
        <v>88</v>
      </c>
      <c r="D11" s="6">
        <f t="shared" ref="D11:D13" si="0">C11/$E$7</f>
        <v>0.88</v>
      </c>
      <c r="F11">
        <f>$F$7^D11</f>
        <v>0.54336743126302911</v>
      </c>
    </row>
    <row r="12" spans="1:9" x14ac:dyDescent="0.3">
      <c r="A12" s="6">
        <v>3</v>
      </c>
      <c r="B12" s="6" t="str">
        <f>InstM!B50</f>
        <v>Butte</v>
      </c>
      <c r="C12" s="6">
        <f>InstM!C50</f>
        <v>170</v>
      </c>
      <c r="D12" s="6">
        <f t="shared" si="0"/>
        <v>1.7</v>
      </c>
      <c r="F12">
        <f>$F$7^D12</f>
        <v>0.30778610333622908</v>
      </c>
    </row>
    <row r="13" spans="1:9" x14ac:dyDescent="0.3">
      <c r="A13" s="6">
        <v>4</v>
      </c>
      <c r="B13" s="6" t="str">
        <f>InstM!B51</f>
        <v>Sac</v>
      </c>
      <c r="C13" s="6">
        <f>InstM!C51</f>
        <v>109.5</v>
      </c>
      <c r="D13" s="6">
        <f t="shared" si="0"/>
        <v>1.095</v>
      </c>
      <c r="F13">
        <f>$F$7^D13</f>
        <v>0.46813612371724617</v>
      </c>
    </row>
    <row r="14" spans="1:9" x14ac:dyDescent="0.3">
      <c r="A14" s="6"/>
      <c r="B14" s="6"/>
      <c r="C14" s="6"/>
      <c r="D14" s="6"/>
    </row>
    <row r="15" spans="1:9" x14ac:dyDescent="0.3">
      <c r="A15" s="6"/>
      <c r="B15" t="s">
        <v>82</v>
      </c>
      <c r="C15" s="6"/>
      <c r="D15" s="6"/>
    </row>
    <row r="17" spans="3:5" x14ac:dyDescent="0.3">
      <c r="C17" t="s">
        <v>56</v>
      </c>
      <c r="D17" t="s">
        <v>71</v>
      </c>
      <c r="E17" t="s">
        <v>25</v>
      </c>
    </row>
    <row r="18" spans="3:5" x14ac:dyDescent="0.3">
      <c r="C18">
        <v>10</v>
      </c>
      <c r="D18">
        <f>C18/$E$7</f>
        <v>0.1</v>
      </c>
      <c r="E18">
        <f>$F$7^D18</f>
        <v>0.93303299153680741</v>
      </c>
    </row>
    <row r="19" spans="3:5" x14ac:dyDescent="0.3">
      <c r="C19">
        <v>20</v>
      </c>
      <c r="D19">
        <f t="shared" ref="D19:D22" si="1">C19/$E$7</f>
        <v>0.2</v>
      </c>
      <c r="E19">
        <f t="shared" ref="E19:E22" si="2">$F$7^D19</f>
        <v>0.87055056329612412</v>
      </c>
    </row>
    <row r="20" spans="3:5" x14ac:dyDescent="0.3">
      <c r="C20">
        <v>50</v>
      </c>
      <c r="D20">
        <f t="shared" si="1"/>
        <v>0.5</v>
      </c>
      <c r="E20">
        <f t="shared" si="2"/>
        <v>0.70710678118654757</v>
      </c>
    </row>
    <row r="21" spans="3:5" x14ac:dyDescent="0.3">
      <c r="C21">
        <v>60</v>
      </c>
      <c r="D21">
        <f t="shared" si="1"/>
        <v>0.6</v>
      </c>
      <c r="E21">
        <f t="shared" si="2"/>
        <v>0.6597539553864471</v>
      </c>
    </row>
    <row r="22" spans="3:5" x14ac:dyDescent="0.3">
      <c r="C22">
        <v>80</v>
      </c>
      <c r="D22">
        <f t="shared" si="1"/>
        <v>0.8</v>
      </c>
      <c r="E22">
        <f t="shared" si="2"/>
        <v>0.57434917749851755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AF97-7BA6-4DE6-B3C8-398BB48A479D}">
  <dimension ref="A1:Q56"/>
  <sheetViews>
    <sheetView topLeftCell="A16" workbookViewId="0">
      <selection activeCell="H53" sqref="H53"/>
    </sheetView>
  </sheetViews>
  <sheetFormatPr defaultRowHeight="14.4" x14ac:dyDescent="0.3"/>
  <cols>
    <col min="1" max="1" width="12.88671875" customWidth="1"/>
    <col min="2" max="2" width="11" customWidth="1"/>
    <col min="14" max="14" width="11.21875" customWidth="1"/>
  </cols>
  <sheetData>
    <row r="1" spans="1:17" x14ac:dyDescent="0.3">
      <c r="A1" s="3" t="s">
        <v>30</v>
      </c>
    </row>
    <row r="2" spans="1:17" x14ac:dyDescent="0.3">
      <c r="B2" t="s">
        <v>21</v>
      </c>
      <c r="C2">
        <v>0.2</v>
      </c>
      <c r="D2">
        <v>0.5</v>
      </c>
      <c r="E2">
        <v>0.8</v>
      </c>
    </row>
    <row r="3" spans="1:17" x14ac:dyDescent="0.3">
      <c r="A3" t="s">
        <v>52</v>
      </c>
      <c r="B3" t="s">
        <v>22</v>
      </c>
      <c r="C3" s="4">
        <f>-LN(C2)</f>
        <v>1.6094379124341003</v>
      </c>
      <c r="D3" s="4">
        <f t="shared" ref="D3:E3" si="0">-LN(D2)</f>
        <v>0.69314718055994529</v>
      </c>
      <c r="E3" s="4">
        <f t="shared" si="0"/>
        <v>0.22314355131420971</v>
      </c>
      <c r="G3" t="s">
        <v>53</v>
      </c>
    </row>
    <row r="4" spans="1:17" x14ac:dyDescent="0.3">
      <c r="A4" t="s">
        <v>51</v>
      </c>
      <c r="B4" t="s">
        <v>21</v>
      </c>
      <c r="C4" s="4">
        <f>EXP(-C3)</f>
        <v>0.2</v>
      </c>
      <c r="D4" s="4">
        <f t="shared" ref="D4:E4" si="1">EXP(-D3)</f>
        <v>0.5</v>
      </c>
      <c r="E4" s="4">
        <f t="shared" si="1"/>
        <v>0.8</v>
      </c>
      <c r="G4" t="s">
        <v>54</v>
      </c>
    </row>
    <row r="5" spans="1:17" x14ac:dyDescent="0.3">
      <c r="C5" s="4"/>
      <c r="D5" s="4"/>
      <c r="E5" s="4"/>
    </row>
    <row r="7" spans="1:17" x14ac:dyDescent="0.3">
      <c r="A7" s="3" t="s">
        <v>31</v>
      </c>
    </row>
    <row r="8" spans="1:17" x14ac:dyDescent="0.3">
      <c r="B8" t="s">
        <v>29</v>
      </c>
      <c r="E8" t="s">
        <v>58</v>
      </c>
    </row>
    <row r="9" spans="1:17" x14ac:dyDescent="0.3">
      <c r="B9" t="s">
        <v>23</v>
      </c>
      <c r="C9">
        <v>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</row>
    <row r="10" spans="1:17" x14ac:dyDescent="0.3">
      <c r="B10" t="s">
        <v>24</v>
      </c>
      <c r="C10">
        <v>-1.1000000000000001</v>
      </c>
      <c r="E10" t="s">
        <v>59</v>
      </c>
    </row>
    <row r="13" spans="1:17" x14ac:dyDescent="0.3">
      <c r="A13" s="3" t="s">
        <v>32</v>
      </c>
    </row>
    <row r="14" spans="1:17" x14ac:dyDescent="0.3">
      <c r="C14" s="2"/>
      <c r="D14" s="3" t="s">
        <v>27</v>
      </c>
      <c r="E14" s="3" t="s">
        <v>28</v>
      </c>
    </row>
    <row r="15" spans="1:17" x14ac:dyDescent="0.3">
      <c r="A15" t="s">
        <v>50</v>
      </c>
      <c r="C15" s="2" t="s">
        <v>22</v>
      </c>
      <c r="D15" s="4">
        <f>C9</f>
        <v>1</v>
      </c>
      <c r="E15" s="4">
        <f>C9+C10</f>
        <v>-0.10000000000000009</v>
      </c>
      <c r="F15" t="s">
        <v>26</v>
      </c>
    </row>
    <row r="16" spans="1:17" x14ac:dyDescent="0.3">
      <c r="A16" t="s">
        <v>49</v>
      </c>
      <c r="C16" s="2"/>
      <c r="D16" s="4">
        <f>EXP(C9)</f>
        <v>2.7182818284590451</v>
      </c>
      <c r="E16" s="5">
        <f>EXP(C9+C10)</f>
        <v>0.90483741803595952</v>
      </c>
      <c r="F16" t="s">
        <v>60</v>
      </c>
    </row>
    <row r="17" spans="1:16" x14ac:dyDescent="0.3">
      <c r="C17" s="2"/>
    </row>
    <row r="18" spans="1:16" x14ac:dyDescent="0.3">
      <c r="A18" t="s">
        <v>50</v>
      </c>
      <c r="C18" s="2" t="s">
        <v>25</v>
      </c>
      <c r="D18" s="4">
        <f>EXP(-D15)</f>
        <v>0.36787944117144233</v>
      </c>
      <c r="E18" s="4">
        <f>EXP(-E15)</f>
        <v>1.1051709180756477</v>
      </c>
      <c r="F18" t="s">
        <v>26</v>
      </c>
      <c r="I18" t="s">
        <v>42</v>
      </c>
    </row>
    <row r="19" spans="1:16" x14ac:dyDescent="0.3">
      <c r="A19" t="s">
        <v>49</v>
      </c>
      <c r="D19" s="4">
        <f>EXP(-D16)</f>
        <v>6.5988035845312543E-2</v>
      </c>
      <c r="E19" s="4">
        <f>EXP(-E16)</f>
        <v>0.40460766166413187</v>
      </c>
      <c r="F19" t="s">
        <v>41</v>
      </c>
      <c r="I19" t="s">
        <v>43</v>
      </c>
    </row>
    <row r="20" spans="1:16" x14ac:dyDescent="0.3">
      <c r="I20" t="s">
        <v>61</v>
      </c>
      <c r="O20">
        <f>E19/D19</f>
        <v>6.1315306097699702</v>
      </c>
      <c r="P20" t="s">
        <v>62</v>
      </c>
    </row>
    <row r="21" spans="1:16" x14ac:dyDescent="0.3">
      <c r="I21" t="s">
        <v>63</v>
      </c>
    </row>
    <row r="22" spans="1:16" x14ac:dyDescent="0.3">
      <c r="A22" s="3" t="s">
        <v>33</v>
      </c>
      <c r="J22" t="s">
        <v>64</v>
      </c>
    </row>
    <row r="24" spans="1:16" x14ac:dyDescent="0.3">
      <c r="A24" t="s">
        <v>34</v>
      </c>
      <c r="C24">
        <v>50</v>
      </c>
      <c r="D24">
        <v>100</v>
      </c>
      <c r="E24">
        <v>150</v>
      </c>
    </row>
    <row r="25" spans="1:16" x14ac:dyDescent="0.3">
      <c r="A25" t="s">
        <v>35</v>
      </c>
      <c r="C25" s="4">
        <f>C24/$D$24</f>
        <v>0.5</v>
      </c>
      <c r="D25" s="4">
        <f t="shared" ref="D25:E25" si="2">D24/$D$24</f>
        <v>1</v>
      </c>
      <c r="E25" s="4">
        <f t="shared" si="2"/>
        <v>1.5</v>
      </c>
    </row>
    <row r="27" spans="1:16" x14ac:dyDescent="0.3">
      <c r="A27" t="s">
        <v>36</v>
      </c>
      <c r="B27" s="5">
        <f>E16</f>
        <v>0.90483741803595952</v>
      </c>
      <c r="C27" t="s">
        <v>65</v>
      </c>
    </row>
    <row r="28" spans="1:16" x14ac:dyDescent="0.3">
      <c r="A28" t="s">
        <v>40</v>
      </c>
      <c r="B28" s="4">
        <f>EXP(-B27)</f>
        <v>0.40460766166413187</v>
      </c>
    </row>
    <row r="30" spans="1:16" x14ac:dyDescent="0.3">
      <c r="A30" t="s">
        <v>37</v>
      </c>
      <c r="C30" s="4">
        <f>$B$27*C25</f>
        <v>0.45241870901797976</v>
      </c>
      <c r="D30" s="4">
        <f t="shared" ref="D30:E30" si="3">$B$27*D25</f>
        <v>0.90483741803595952</v>
      </c>
      <c r="E30" s="4">
        <f t="shared" si="3"/>
        <v>1.3572561270539394</v>
      </c>
      <c r="N30">
        <f>EXP(0.5)</f>
        <v>1.6487212707001282</v>
      </c>
    </row>
    <row r="31" spans="1:16" x14ac:dyDescent="0.3">
      <c r="A31" t="s">
        <v>38</v>
      </c>
      <c r="C31" s="4">
        <f>EXP(-C30)</f>
        <v>0.63608777826973839</v>
      </c>
      <c r="D31" s="4">
        <f t="shared" ref="D31:E31" si="4">EXP(-D30)</f>
        <v>0.40460766166413187</v>
      </c>
      <c r="E31" s="4">
        <f t="shared" si="4"/>
        <v>0.25736598857885157</v>
      </c>
      <c r="G31" t="s">
        <v>45</v>
      </c>
      <c r="N31">
        <f>EXP(-N30)</f>
        <v>0.19229564554796491</v>
      </c>
    </row>
    <row r="34" spans="1:13" x14ac:dyDescent="0.3">
      <c r="A34" s="3" t="s">
        <v>55</v>
      </c>
    </row>
    <row r="35" spans="1:13" x14ac:dyDescent="0.3">
      <c r="A35" s="3"/>
      <c r="C35" t="s">
        <v>67</v>
      </c>
      <c r="E35" t="s">
        <v>66</v>
      </c>
    </row>
    <row r="36" spans="1:13" x14ac:dyDescent="0.3">
      <c r="A36" t="s">
        <v>39</v>
      </c>
      <c r="C36">
        <f>C31/D31</f>
        <v>1.5721100674503787</v>
      </c>
      <c r="E36">
        <f>D31/E31</f>
        <v>1.5721100674503792</v>
      </c>
      <c r="G36" t="s">
        <v>46</v>
      </c>
    </row>
    <row r="38" spans="1:13" x14ac:dyDescent="0.3">
      <c r="A38" t="s">
        <v>68</v>
      </c>
    </row>
    <row r="39" spans="1:13" x14ac:dyDescent="0.3">
      <c r="C39" s="5">
        <f>C31^2</f>
        <v>0.40460766166413187</v>
      </c>
      <c r="D39" t="s">
        <v>44</v>
      </c>
    </row>
    <row r="40" spans="1:13" x14ac:dyDescent="0.3">
      <c r="C40" s="5">
        <f>C31^3</f>
        <v>0.25736598857885162</v>
      </c>
      <c r="D40" t="s">
        <v>48</v>
      </c>
    </row>
    <row r="41" spans="1:13" x14ac:dyDescent="0.3">
      <c r="C41" s="5">
        <f>D31^C25</f>
        <v>0.63608777826973839</v>
      </c>
      <c r="D41" t="s">
        <v>69</v>
      </c>
      <c r="G41" s="3" t="s">
        <v>74</v>
      </c>
    </row>
    <row r="42" spans="1:13" x14ac:dyDescent="0.3">
      <c r="C42" s="5">
        <f>D31^D25</f>
        <v>0.40460766166413187</v>
      </c>
      <c r="D42" t="s">
        <v>75</v>
      </c>
    </row>
    <row r="43" spans="1:13" x14ac:dyDescent="0.3">
      <c r="C43" s="5">
        <f>D31^E25</f>
        <v>0.25736598857885157</v>
      </c>
      <c r="D43" t="s">
        <v>47</v>
      </c>
      <c r="M43" t="s">
        <v>80</v>
      </c>
    </row>
    <row r="44" spans="1:13" x14ac:dyDescent="0.3">
      <c r="K44" t="s">
        <v>77</v>
      </c>
      <c r="L44">
        <v>0.2</v>
      </c>
      <c r="M44">
        <f>EXP(-L44)</f>
        <v>0.81873075307798182</v>
      </c>
    </row>
    <row r="45" spans="1:13" x14ac:dyDescent="0.3">
      <c r="A45" s="3" t="s">
        <v>72</v>
      </c>
      <c r="D45" s="7">
        <v>100</v>
      </c>
      <c r="E45" s="3" t="s">
        <v>73</v>
      </c>
      <c r="K45" t="s">
        <v>78</v>
      </c>
      <c r="L45">
        <v>0.2</v>
      </c>
      <c r="M45">
        <f>EXP(-L45)</f>
        <v>0.81873075307798182</v>
      </c>
    </row>
    <row r="46" spans="1:13" x14ac:dyDescent="0.3">
      <c r="K46" t="s">
        <v>79</v>
      </c>
      <c r="L46">
        <f>L44+L45</f>
        <v>0.4</v>
      </c>
    </row>
    <row r="47" spans="1:13" x14ac:dyDescent="0.3">
      <c r="A47" s="6" t="s">
        <v>76</v>
      </c>
      <c r="B47" s="6" t="s">
        <v>70</v>
      </c>
      <c r="C47" s="6" t="s">
        <v>56</v>
      </c>
      <c r="D47" s="6" t="s">
        <v>71</v>
      </c>
      <c r="F47" s="6" t="s">
        <v>81</v>
      </c>
      <c r="G47" s="6" t="s">
        <v>22</v>
      </c>
      <c r="H47" s="6" t="s">
        <v>25</v>
      </c>
      <c r="K47" t="s">
        <v>80</v>
      </c>
      <c r="L47">
        <f>EXP(-L46)</f>
        <v>0.67032004603563933</v>
      </c>
      <c r="M47">
        <f>M44*M45</f>
        <v>0.67032004603563922</v>
      </c>
    </row>
    <row r="48" spans="1:13" x14ac:dyDescent="0.3">
      <c r="A48" s="6">
        <v>1</v>
      </c>
      <c r="B48" s="6" t="str">
        <f>Receiver_km!B4</f>
        <v>Release Point</v>
      </c>
      <c r="C48" s="6">
        <f>Receiver_km!D4</f>
        <v>40.233600000000024</v>
      </c>
      <c r="D48" s="8">
        <f>C48/$D$45</f>
        <v>0.40233600000000025</v>
      </c>
      <c r="F48">
        <v>-1.6</v>
      </c>
      <c r="G48">
        <f>EXP(F48)</f>
        <v>0.20189651799465538</v>
      </c>
      <c r="H48">
        <f>EXP(-G48)</f>
        <v>0.81717948693902887</v>
      </c>
    </row>
    <row r="49" spans="1:8" x14ac:dyDescent="0.3">
      <c r="A49" s="6">
        <v>2</v>
      </c>
      <c r="B49" s="6" t="str">
        <f>Receiver_km!B5</f>
        <v>Woodson</v>
      </c>
      <c r="C49" s="6">
        <f>Receiver_km!D5</f>
        <v>88</v>
      </c>
      <c r="D49" s="8">
        <f t="shared" ref="D49:D51" si="5">C49/$D$45</f>
        <v>0.88</v>
      </c>
      <c r="F49">
        <v>-0.51</v>
      </c>
      <c r="G49">
        <f t="shared" ref="G49:G51" si="6">EXP(F49)</f>
        <v>0.6004955788122659</v>
      </c>
      <c r="H49">
        <f t="shared" ref="H49:H51" si="7">EXP(-G49)</f>
        <v>0.54853972405774032</v>
      </c>
    </row>
    <row r="50" spans="1:8" x14ac:dyDescent="0.3">
      <c r="A50" s="6">
        <v>3</v>
      </c>
      <c r="B50" s="6" t="str">
        <f>Receiver_km!B6</f>
        <v>Butte</v>
      </c>
      <c r="C50" s="6">
        <f>Receiver_km!D6</f>
        <v>170</v>
      </c>
      <c r="D50" s="8">
        <f t="shared" si="5"/>
        <v>1.7</v>
      </c>
      <c r="F50">
        <v>-0.16</v>
      </c>
      <c r="G50">
        <f t="shared" si="6"/>
        <v>0.85214378896621135</v>
      </c>
      <c r="H50">
        <f t="shared" si="7"/>
        <v>0.42649962599557184</v>
      </c>
    </row>
    <row r="51" spans="1:8" x14ac:dyDescent="0.3">
      <c r="A51" s="6">
        <v>4</v>
      </c>
      <c r="B51" s="6" t="str">
        <f>Receiver_km!B7</f>
        <v>Sac</v>
      </c>
      <c r="C51" s="6">
        <f>Receiver_km!D7</f>
        <v>109.5</v>
      </c>
      <c r="D51" s="8">
        <f t="shared" si="5"/>
        <v>1.095</v>
      </c>
      <c r="F51">
        <v>-1.1299999999999999</v>
      </c>
      <c r="G51">
        <f t="shared" si="6"/>
        <v>0.32303325642225295</v>
      </c>
      <c r="H51">
        <f t="shared" si="7"/>
        <v>0.7239497779880637</v>
      </c>
    </row>
    <row r="53" spans="1:8" x14ac:dyDescent="0.3">
      <c r="B53" t="s">
        <v>19</v>
      </c>
      <c r="C53">
        <f>AVERAGE(C48:C51)</f>
        <v>101.93340000000001</v>
      </c>
      <c r="G53">
        <f>G48*D48</f>
        <v>8.1230237463897723E-2</v>
      </c>
      <c r="H53">
        <f>EXP(-G53)</f>
        <v>0.92198139234840792</v>
      </c>
    </row>
    <row r="54" spans="1:8" x14ac:dyDescent="0.3">
      <c r="G54">
        <f t="shared" ref="G54:G56" si="8">G49*D49</f>
        <v>0.52843610935479401</v>
      </c>
      <c r="H54">
        <f t="shared" ref="H54:H56" si="9">EXP(-G54)</f>
        <v>0.58952620365099351</v>
      </c>
    </row>
    <row r="55" spans="1:8" x14ac:dyDescent="0.3">
      <c r="G55">
        <f t="shared" si="8"/>
        <v>1.4486444412425592</v>
      </c>
      <c r="H55">
        <f t="shared" si="9"/>
        <v>0.23488847751556341</v>
      </c>
    </row>
    <row r="56" spans="1:8" x14ac:dyDescent="0.3">
      <c r="G56">
        <f t="shared" si="8"/>
        <v>0.35372141578236699</v>
      </c>
      <c r="H56">
        <f t="shared" si="9"/>
        <v>0.70207052588254582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Receiver_km</vt:lpstr>
      <vt:lpstr>SurvivalCalc</vt:lpstr>
      <vt:lpstr>InstM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korman</dc:creator>
  <cp:lastModifiedBy>josh korman</cp:lastModifiedBy>
  <dcterms:created xsi:type="dcterms:W3CDTF">2023-09-26T01:35:10Z</dcterms:created>
  <dcterms:modified xsi:type="dcterms:W3CDTF">2023-09-26T21:44:54Z</dcterms:modified>
</cp:coreProperties>
</file>