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TL\HPLC\_HPLC-PDA\2020 Data\October\201008\"/>
    </mc:Choice>
  </mc:AlternateContent>
  <bookViews>
    <workbookView xWindow="0" yWindow="0" windowWidth="23040" windowHeight="8910"/>
  </bookViews>
  <sheets>
    <sheet name="Sample" sheetId="9" r:id="rId1"/>
    <sheet name="Product" sheetId="10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0" l="1"/>
  <c r="K13" i="9"/>
  <c r="P13" i="9"/>
  <c r="R9" i="9"/>
  <c r="X13" i="9"/>
  <c r="C13" i="10"/>
  <c r="K14" i="9"/>
  <c r="P14" i="9"/>
  <c r="X14" i="9"/>
  <c r="C14" i="10"/>
  <c r="K15" i="9"/>
  <c r="P15" i="9"/>
  <c r="X15" i="9"/>
  <c r="C15" i="10"/>
  <c r="K16" i="9"/>
  <c r="P16" i="9"/>
  <c r="X16" i="9"/>
  <c r="C16" i="10"/>
  <c r="K17" i="9"/>
  <c r="P17" i="9"/>
  <c r="X17" i="9"/>
  <c r="C17" i="10"/>
  <c r="K18" i="9"/>
  <c r="P18" i="9"/>
  <c r="X18" i="9"/>
  <c r="C18" i="10"/>
  <c r="K19" i="9"/>
  <c r="P19" i="9"/>
  <c r="X19" i="9"/>
  <c r="C19" i="10"/>
  <c r="K20" i="9"/>
  <c r="P20" i="9"/>
  <c r="X20" i="9"/>
  <c r="C20" i="10"/>
  <c r="K21" i="9"/>
  <c r="P21" i="9"/>
  <c r="X21" i="9"/>
  <c r="C21" i="10"/>
  <c r="K22" i="9"/>
  <c r="P22" i="9"/>
  <c r="X22" i="9"/>
  <c r="C22" i="10"/>
  <c r="X23" i="9"/>
  <c r="C23" i="10"/>
  <c r="X24" i="9"/>
  <c r="C24" i="10"/>
  <c r="K12" i="9"/>
  <c r="P12" i="9"/>
  <c r="X12" i="9"/>
  <c r="C12" i="10"/>
  <c r="H13" i="9"/>
  <c r="M13" i="9"/>
  <c r="R13" i="9"/>
  <c r="S9" i="9"/>
  <c r="I13" i="9"/>
  <c r="N13" i="9"/>
  <c r="S13" i="9"/>
  <c r="T9" i="9"/>
  <c r="J13" i="9"/>
  <c r="O13" i="9"/>
  <c r="T13" i="9"/>
  <c r="Z13" i="9"/>
  <c r="AA13" i="9"/>
  <c r="Y13" i="9"/>
  <c r="U13" i="9"/>
  <c r="B13" i="10"/>
  <c r="H14" i="9"/>
  <c r="M14" i="9"/>
  <c r="R14" i="9"/>
  <c r="I14" i="9"/>
  <c r="N14" i="9"/>
  <c r="S14" i="9"/>
  <c r="J14" i="9"/>
  <c r="O14" i="9"/>
  <c r="T14" i="9"/>
  <c r="Z14" i="9"/>
  <c r="AA14" i="9"/>
  <c r="Y14" i="9"/>
  <c r="U14" i="9"/>
  <c r="B14" i="10"/>
  <c r="H15" i="9"/>
  <c r="M15" i="9"/>
  <c r="R15" i="9"/>
  <c r="I15" i="9"/>
  <c r="N15" i="9"/>
  <c r="S15" i="9"/>
  <c r="J15" i="9"/>
  <c r="O15" i="9"/>
  <c r="T15" i="9"/>
  <c r="Z15" i="9"/>
  <c r="AA15" i="9"/>
  <c r="Y15" i="9"/>
  <c r="U15" i="9"/>
  <c r="B15" i="10"/>
  <c r="H16" i="9"/>
  <c r="M16" i="9"/>
  <c r="R16" i="9"/>
  <c r="I16" i="9"/>
  <c r="N16" i="9"/>
  <c r="S16" i="9"/>
  <c r="J16" i="9"/>
  <c r="O16" i="9"/>
  <c r="T16" i="9"/>
  <c r="Z16" i="9"/>
  <c r="AA16" i="9"/>
  <c r="Y16" i="9"/>
  <c r="U16" i="9"/>
  <c r="B16" i="10"/>
  <c r="H17" i="9"/>
  <c r="M17" i="9"/>
  <c r="R17" i="9"/>
  <c r="I17" i="9"/>
  <c r="N17" i="9"/>
  <c r="S17" i="9"/>
  <c r="J17" i="9"/>
  <c r="O17" i="9"/>
  <c r="T17" i="9"/>
  <c r="Z17" i="9"/>
  <c r="AA17" i="9"/>
  <c r="Y17" i="9"/>
  <c r="U17" i="9"/>
  <c r="B17" i="10"/>
  <c r="H18" i="9"/>
  <c r="M18" i="9"/>
  <c r="R18" i="9"/>
  <c r="I18" i="9"/>
  <c r="N18" i="9"/>
  <c r="S18" i="9"/>
  <c r="J18" i="9"/>
  <c r="O18" i="9"/>
  <c r="T18" i="9"/>
  <c r="Z18" i="9"/>
  <c r="AA18" i="9"/>
  <c r="Y18" i="9"/>
  <c r="U18" i="9"/>
  <c r="B18" i="10"/>
  <c r="H19" i="9"/>
  <c r="M19" i="9"/>
  <c r="R19" i="9"/>
  <c r="I19" i="9"/>
  <c r="N19" i="9"/>
  <c r="S19" i="9"/>
  <c r="J19" i="9"/>
  <c r="O19" i="9"/>
  <c r="T19" i="9"/>
  <c r="Z19" i="9"/>
  <c r="AA19" i="9"/>
  <c r="Y19" i="9"/>
  <c r="U19" i="9"/>
  <c r="B19" i="10"/>
  <c r="H20" i="9"/>
  <c r="M20" i="9"/>
  <c r="R20" i="9"/>
  <c r="I20" i="9"/>
  <c r="N20" i="9"/>
  <c r="S20" i="9"/>
  <c r="J20" i="9"/>
  <c r="O20" i="9"/>
  <c r="T20" i="9"/>
  <c r="Z20" i="9"/>
  <c r="AA20" i="9"/>
  <c r="Y20" i="9"/>
  <c r="U20" i="9"/>
  <c r="B20" i="10"/>
  <c r="H21" i="9"/>
  <c r="M21" i="9"/>
  <c r="R21" i="9"/>
  <c r="I21" i="9"/>
  <c r="N21" i="9"/>
  <c r="S21" i="9"/>
  <c r="J21" i="9"/>
  <c r="O21" i="9"/>
  <c r="T21" i="9"/>
  <c r="Z21" i="9"/>
  <c r="AA21" i="9"/>
  <c r="Y21" i="9"/>
  <c r="U21" i="9"/>
  <c r="B21" i="10"/>
  <c r="H22" i="9"/>
  <c r="M22" i="9"/>
  <c r="R22" i="9"/>
  <c r="I22" i="9"/>
  <c r="N22" i="9"/>
  <c r="S22" i="9"/>
  <c r="J22" i="9"/>
  <c r="O22" i="9"/>
  <c r="T22" i="9"/>
  <c r="Z22" i="9"/>
  <c r="AA22" i="9"/>
  <c r="Y22" i="9"/>
  <c r="U22" i="9"/>
  <c r="B22" i="10"/>
  <c r="Y23" i="9"/>
  <c r="U23" i="9"/>
  <c r="B23" i="10"/>
  <c r="Y24" i="9"/>
  <c r="U24" i="9"/>
  <c r="B24" i="10"/>
  <c r="H12" i="9"/>
  <c r="M12" i="9"/>
  <c r="R12" i="9"/>
  <c r="I12" i="9"/>
  <c r="N12" i="9"/>
  <c r="S12" i="9"/>
  <c r="J12" i="9"/>
  <c r="O12" i="9"/>
  <c r="T12" i="9"/>
  <c r="Z12" i="9"/>
  <c r="AA12" i="9"/>
  <c r="Y12" i="9"/>
  <c r="U12" i="9"/>
  <c r="B12" i="10"/>
  <c r="G23" i="10"/>
  <c r="H23" i="10"/>
  <c r="N24" i="10"/>
  <c r="M24" i="10"/>
  <c r="G24" i="10"/>
  <c r="H24" i="10"/>
  <c r="N23" i="10"/>
  <c r="M23" i="10"/>
  <c r="G21" i="10"/>
  <c r="F21" i="10"/>
  <c r="M22" i="10"/>
  <c r="H21" i="10"/>
  <c r="N22" i="10"/>
  <c r="L22" i="10"/>
  <c r="G22" i="10"/>
  <c r="H22" i="10"/>
  <c r="F22" i="10"/>
  <c r="G12" i="10"/>
  <c r="F12" i="10"/>
  <c r="M21" i="10"/>
  <c r="H12" i="10"/>
  <c r="N21" i="10"/>
  <c r="L21" i="10"/>
  <c r="G17" i="10"/>
  <c r="F17" i="10"/>
  <c r="M20" i="10"/>
  <c r="H17" i="10"/>
  <c r="N20" i="10"/>
  <c r="L20" i="10"/>
  <c r="G20" i="10"/>
  <c r="H20" i="10"/>
  <c r="F20" i="10"/>
  <c r="G15" i="10"/>
  <c r="F15" i="10"/>
  <c r="M19" i="10"/>
  <c r="H15" i="10"/>
  <c r="N19" i="10"/>
  <c r="L19" i="10"/>
  <c r="G19" i="10"/>
  <c r="H19" i="10"/>
  <c r="F19" i="10"/>
  <c r="G14" i="10"/>
  <c r="F14" i="10"/>
  <c r="M18" i="10"/>
  <c r="N18" i="10"/>
  <c r="L18" i="10"/>
  <c r="G18" i="10"/>
  <c r="H18" i="10"/>
  <c r="F18" i="10"/>
  <c r="M17" i="10"/>
  <c r="N17" i="10"/>
  <c r="L17" i="10"/>
  <c r="M16" i="10"/>
  <c r="N16" i="10"/>
  <c r="L16" i="10"/>
  <c r="G16" i="10"/>
  <c r="H16" i="10"/>
  <c r="F16" i="10"/>
  <c r="M15" i="10"/>
  <c r="N15" i="10"/>
  <c r="L15" i="10"/>
  <c r="G13" i="10"/>
  <c r="F13" i="10"/>
  <c r="M14" i="10"/>
  <c r="N14" i="10"/>
  <c r="L14" i="10"/>
  <c r="H14" i="10"/>
  <c r="M13" i="10"/>
  <c r="N13" i="10"/>
  <c r="L13" i="10"/>
  <c r="H13" i="10"/>
  <c r="M12" i="10"/>
  <c r="N12" i="10"/>
  <c r="L12" i="10"/>
  <c r="N11" i="10"/>
  <c r="M11" i="10"/>
  <c r="L11" i="10"/>
  <c r="K23" i="9"/>
  <c r="K24" i="9"/>
  <c r="P24" i="9"/>
  <c r="P23" i="9"/>
  <c r="AG17" i="9"/>
  <c r="AG18" i="9"/>
  <c r="AG20" i="9"/>
  <c r="AG16" i="9"/>
  <c r="AG15" i="9"/>
  <c r="AG14" i="9"/>
  <c r="AG19" i="9"/>
  <c r="AG12" i="9"/>
  <c r="T10" i="9"/>
  <c r="O10" i="9"/>
  <c r="J10" i="9"/>
  <c r="J23" i="9"/>
  <c r="AG22" i="9"/>
  <c r="AG21" i="9"/>
  <c r="AG13" i="9"/>
  <c r="O24" i="9"/>
  <c r="T24" i="9"/>
  <c r="J24" i="9"/>
  <c r="S10" i="9"/>
  <c r="N10" i="9"/>
  <c r="I10" i="9"/>
  <c r="AG23" i="9"/>
  <c r="AG24" i="9"/>
  <c r="O23" i="9"/>
  <c r="T23" i="9"/>
  <c r="I24" i="9"/>
  <c r="S24" i="9"/>
  <c r="N23" i="9"/>
  <c r="I23" i="9"/>
  <c r="N24" i="9"/>
  <c r="S23" i="9"/>
  <c r="AD10" i="9"/>
  <c r="AC10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D22" i="9"/>
  <c r="AD21" i="9"/>
  <c r="AD20" i="9"/>
  <c r="AD18" i="9"/>
  <c r="AD17" i="9"/>
  <c r="AD16" i="9"/>
  <c r="AD15" i="9"/>
  <c r="AD14" i="9"/>
  <c r="AD13" i="9"/>
  <c r="AD12" i="9"/>
  <c r="R10" i="9"/>
  <c r="M10" i="9"/>
  <c r="H10" i="9"/>
  <c r="AC6" i="9"/>
  <c r="V18" i="9"/>
  <c r="V14" i="9"/>
  <c r="V17" i="9"/>
  <c r="V21" i="9"/>
  <c r="V20" i="9"/>
  <c r="V15" i="9"/>
  <c r="V12" i="9"/>
  <c r="AC12" i="9"/>
  <c r="H23" i="9"/>
  <c r="H24" i="9"/>
  <c r="AC18" i="9"/>
  <c r="AC15" i="9"/>
  <c r="AC17" i="9"/>
  <c r="AC14" i="9"/>
  <c r="AC21" i="9"/>
  <c r="AC20" i="9"/>
  <c r="AD19" i="9"/>
  <c r="R24" i="9"/>
  <c r="Z26" i="9"/>
  <c r="Y26" i="9"/>
  <c r="Z27" i="9"/>
  <c r="W18" i="9"/>
  <c r="W15" i="9"/>
  <c r="AF17" i="9"/>
  <c r="W21" i="9"/>
  <c r="AF12" i="9"/>
  <c r="AF18" i="9"/>
  <c r="V13" i="9"/>
  <c r="V22" i="9"/>
  <c r="V16" i="9"/>
  <c r="W17" i="9"/>
  <c r="V19" i="9"/>
  <c r="W14" i="9"/>
  <c r="AF20" i="9"/>
  <c r="AF14" i="9"/>
  <c r="AF15" i="9"/>
  <c r="AF21" i="9"/>
  <c r="AH18" i="9"/>
  <c r="AH17" i="9"/>
  <c r="M23" i="9"/>
  <c r="AC19" i="9"/>
  <c r="M24" i="9"/>
  <c r="AC16" i="9"/>
  <c r="AH16" i="9"/>
  <c r="AD24" i="9"/>
  <c r="AH12" i="9"/>
  <c r="AH14" i="9"/>
  <c r="AH20" i="9"/>
  <c r="AH15" i="9"/>
  <c r="AC13" i="9"/>
  <c r="AH21" i="9"/>
  <c r="R23" i="9"/>
  <c r="AC22" i="9"/>
  <c r="AI18" i="9"/>
  <c r="W22" i="9"/>
  <c r="V23" i="9"/>
  <c r="V24" i="9"/>
  <c r="AF13" i="9"/>
  <c r="AF22" i="9"/>
  <c r="AD23" i="9"/>
  <c r="AI15" i="9"/>
  <c r="AI21" i="9"/>
  <c r="AH22" i="9"/>
  <c r="AC23" i="9"/>
  <c r="AC24" i="9"/>
  <c r="AH24" i="9"/>
  <c r="AI14" i="9"/>
  <c r="AI17" i="9"/>
  <c r="W16" i="9"/>
  <c r="W24" i="9"/>
  <c r="Y27" i="9"/>
  <c r="AF16" i="9"/>
  <c r="AI16" i="9"/>
  <c r="AH23" i="9"/>
  <c r="AH19" i="9"/>
  <c r="AH13" i="9"/>
  <c r="AI22" i="9"/>
  <c r="AF24" i="9"/>
  <c r="AI24" i="9"/>
  <c r="W19" i="9"/>
  <c r="AF23" i="9"/>
  <c r="AI23" i="9"/>
  <c r="AF19" i="9"/>
  <c r="AI19" i="9"/>
  <c r="W23" i="9"/>
</calcChain>
</file>

<file path=xl/sharedStrings.xml><?xml version="1.0" encoding="utf-8"?>
<sst xmlns="http://schemas.openxmlformats.org/spreadsheetml/2006/main" count="138" uniqueCount="60">
  <si>
    <t>Cannabinoid</t>
  </si>
  <si>
    <t>Std Dev.</t>
  </si>
  <si>
    <t>Sample LIMS ID</t>
  </si>
  <si>
    <t>METRC ID</t>
  </si>
  <si>
    <t>Total Mass of Compound  (mg)</t>
  </si>
  <si>
    <t>RSD</t>
  </si>
  <si>
    <t>METRC ID:</t>
  </si>
  <si>
    <t>Original Instrument Data (mg/L)</t>
  </si>
  <si>
    <t>AVG (mg/g)</t>
  </si>
  <si>
    <t>Reported Data with Dilution Factor (mg/L)</t>
  </si>
  <si>
    <t>mg/L x extraction volume (L)</t>
  </si>
  <si>
    <t>Extraction Volume:</t>
  </si>
  <si>
    <t>%</t>
  </si>
  <si>
    <t xml:space="preserve">CBDV </t>
  </si>
  <si>
    <t xml:space="preserve">CBDA </t>
  </si>
  <si>
    <t xml:space="preserve">CBGA </t>
  </si>
  <si>
    <t xml:space="preserve">CBG </t>
  </si>
  <si>
    <t xml:space="preserve">CBD </t>
  </si>
  <si>
    <t xml:space="preserve">THCV </t>
  </si>
  <si>
    <t xml:space="preserve">CBN </t>
  </si>
  <si>
    <t xml:space="preserve">d9-THC </t>
  </si>
  <si>
    <t xml:space="preserve">d8-THC </t>
  </si>
  <si>
    <t xml:space="preserve">CBC </t>
  </si>
  <si>
    <t xml:space="preserve">THCA </t>
  </si>
  <si>
    <t xml:space="preserve">Total THC </t>
  </si>
  <si>
    <t xml:space="preserve">Total CBD </t>
  </si>
  <si>
    <t>Values in %</t>
  </si>
  <si>
    <t>Conc. Of Product (mg/g)</t>
  </si>
  <si>
    <t>Final Dilution Factor:</t>
  </si>
  <si>
    <t>Wet weight(g):</t>
  </si>
  <si>
    <t>Dry weight(g):</t>
  </si>
  <si>
    <t>Moisture Content(%):</t>
  </si>
  <si>
    <t>LOQ</t>
  </si>
  <si>
    <t>mg/g</t>
  </si>
  <si>
    <t xml:space="preserve">AVG </t>
  </si>
  <si>
    <t>Product Type:</t>
  </si>
  <si>
    <t>Density (g/mL)</t>
  </si>
  <si>
    <t>NOTES:</t>
  </si>
  <si>
    <t>Target Weight</t>
  </si>
  <si>
    <t>Product Multiplier</t>
  </si>
  <si>
    <t>Result
mg/bottle</t>
  </si>
  <si>
    <t>Compound</t>
  </si>
  <si>
    <t>Delta 9-Tetrahydrocannabinolic acid (THCA-A)</t>
  </si>
  <si>
    <t>Delta 9-Tetrahydrocannabinol (Delta 9THC)</t>
  </si>
  <si>
    <t>Cannabidiolic acid (CBDA)</t>
  </si>
  <si>
    <t>Cannabidiol (CBD)</t>
  </si>
  <si>
    <t>Delta 8-Tetrahydrocannabinol (Delta 8THC)</t>
  </si>
  <si>
    <t>Cannabinol (CBN)</t>
  </si>
  <si>
    <t>Cannabigerolic acid (CBGA)</t>
  </si>
  <si>
    <t>Cannabigerol (CBG)</t>
  </si>
  <si>
    <t>Tetrahydrocannabivarin (THCV)</t>
  </si>
  <si>
    <t>Cannabidivarin (CBDV)</t>
  </si>
  <si>
    <t>Cannabichromene (CBC)</t>
  </si>
  <si>
    <t>Total CBD</t>
  </si>
  <si>
    <t>Total THC</t>
  </si>
  <si>
    <t>oz</t>
  </si>
  <si>
    <t>The results reported in mg/bottle are based on the final product in a 4 oz package.</t>
  </si>
  <si>
    <t>Tincture</t>
  </si>
  <si>
    <t>Result
mg/mL</t>
  </si>
  <si>
    <t>LOQ
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</si>
</sst>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BEBEBE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2" fontId="1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2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NumberFormat="1" applyFont="1" applyAlignment="1" applyProtection="1">
      <alignment horizontal="center"/>
    </xf>
    <xf numFmtId="0" fontId="0" fillId="0" borderId="0" xfId="0" applyProtection="1"/>
    <xf numFmtId="0" fontId="1" fillId="0" borderId="4" xfId="0" applyFont="1" applyBorder="1" applyProtection="1"/>
    <xf numFmtId="0" fontId="1" fillId="0" borderId="10" xfId="0" applyNumberFormat="1" applyFont="1" applyBorder="1" applyAlignment="1" applyProtection="1">
      <alignment horizontal="center"/>
    </xf>
    <xf numFmtId="164" fontId="1" fillId="2" borderId="15" xfId="0" applyNumberFormat="1" applyFont="1" applyFill="1" applyBorder="1" applyAlignment="1" applyProtection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164" fontId="1" fillId="4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2" fontId="1" fillId="2" borderId="15" xfId="0" applyNumberFormat="1" applyFont="1" applyFill="1" applyBorder="1" applyAlignment="1" applyProtection="1">
      <alignment horizontal="center"/>
    </xf>
    <xf numFmtId="0" fontId="1" fillId="0" borderId="1" xfId="0" applyFont="1" applyBorder="1" applyProtection="1"/>
    <xf numFmtId="1" fontId="1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11" xfId="0" applyNumberFormat="1" applyFont="1" applyBorder="1" applyAlignment="1" applyProtection="1">
      <alignment horizontal="center"/>
    </xf>
    <xf numFmtId="164" fontId="1" fillId="2" borderId="16" xfId="0" applyNumberFormat="1" applyFont="1" applyFill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164" fontId="1" fillId="4" borderId="0" xfId="0" applyNumberFormat="1" applyFont="1" applyFill="1" applyProtection="1"/>
    <xf numFmtId="0" fontId="1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Border="1" applyAlignment="1" applyProtection="1">
      <alignment horizontal="center"/>
    </xf>
    <xf numFmtId="0" fontId="0" fillId="0" borderId="0" xfId="0" applyBorder="1" applyProtection="1"/>
    <xf numFmtId="2" fontId="2" fillId="0" borderId="0" xfId="0" applyNumberFormat="1" applyFont="1" applyAlignment="1" applyProtection="1">
      <alignment horizontal="center"/>
    </xf>
    <xf numFmtId="0" fontId="0" fillId="0" borderId="8" xfId="0" applyBorder="1" applyProtection="1"/>
    <xf numFmtId="2" fontId="2" fillId="0" borderId="12" xfId="0" applyNumberFormat="1" applyFont="1" applyBorder="1" applyAlignment="1" applyProtection="1">
      <alignment horizontal="center"/>
    </xf>
    <xf numFmtId="2" fontId="2" fillId="0" borderId="12" xfId="0" applyNumberFormat="1" applyFon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2" fontId="0" fillId="0" borderId="7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5" fillId="4" borderId="12" xfId="0" applyNumberFormat="1" applyFont="1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1" xfId="0" applyBorder="1" applyProtection="1"/>
    <xf numFmtId="2" fontId="2" fillId="0" borderId="1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alignment horizontal="center"/>
    </xf>
    <xf numFmtId="164" fontId="0" fillId="2" borderId="1" xfId="0" applyNumberFormat="1" applyFill="1" applyBorder="1" applyAlignment="1" applyProtection="1">
      <alignment horizontal="center"/>
    </xf>
    <xf numFmtId="164" fontId="5" fillId="4" borderId="12" xfId="0" applyNumberFormat="1" applyFont="1" applyFill="1" applyBorder="1" applyAlignment="1" applyProtection="1">
      <alignment horizontal="center"/>
    </xf>
    <xf numFmtId="0" fontId="0" fillId="0" borderId="9" xfId="0" applyBorder="1" applyProtection="1"/>
    <xf numFmtId="0" fontId="1" fillId="0" borderId="0" xfId="0" applyFont="1" applyBorder="1" applyProtection="1"/>
    <xf numFmtId="2" fontId="1" fillId="0" borderId="0" xfId="0" applyNumberFormat="1" applyFont="1" applyAlignment="1" applyProtection="1">
      <alignment horizontal="center"/>
    </xf>
    <xf numFmtId="0" fontId="1" fillId="0" borderId="9" xfId="0" applyFont="1" applyBorder="1" applyProtection="1"/>
    <xf numFmtId="2" fontId="1" fillId="0" borderId="13" xfId="0" applyNumberFormat="1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alignment horizontal="center"/>
    </xf>
    <xf numFmtId="2" fontId="1" fillId="0" borderId="14" xfId="0" applyNumberFormat="1" applyFont="1" applyBorder="1" applyAlignment="1" applyProtection="1">
      <alignment horizontal="center"/>
    </xf>
    <xf numFmtId="2" fontId="1" fillId="2" borderId="18" xfId="0" applyNumberFormat="1" applyFont="1" applyFill="1" applyBorder="1" applyAlignment="1" applyProtection="1">
      <alignment horizontal="center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ill="1" applyBorder="1"/>
    <xf numFmtId="2" fontId="1" fillId="0" borderId="0" xfId="0" applyNumberFormat="1" applyFont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164" fontId="0" fillId="0" borderId="0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4" xfId="0" applyFont="1" applyBorder="1"/>
    <xf numFmtId="0" fontId="1" fillId="0" borderId="0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164" fontId="1" fillId="0" borderId="20" xfId="0" applyNumberFormat="1" applyFont="1" applyBorder="1"/>
    <xf numFmtId="0" fontId="0" fillId="3" borderId="16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8" xfId="0" applyBorder="1"/>
    <xf numFmtId="2" fontId="2" fillId="0" borderId="0" xfId="0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9" fillId="0" borderId="21" xfId="0" applyFont="1" applyBorder="1" applyAlignment="1">
      <alignment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horizontal="center"/>
    </xf>
    <xf numFmtId="0" fontId="1" fillId="0" borderId="9" xfId="0" applyFont="1" applyBorder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1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382104</xdr:colOff>
      <xdr:row>17</xdr:row>
      <xdr:rowOff>111539</xdr:rowOff>
    </xdr:from>
    <xdr:ext cx="65" cy="172227"/>
    <xdr:sp macro="" textlink="">
      <xdr:nvSpPr>
        <xdr:cNvPr id="2" name="TextBox 1"/>
        <xdr:cNvSpPr txBox="1"/>
      </xdr:nvSpPr>
      <xdr:spPr>
        <a:xfrm>
          <a:off x="10608365" y="347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382104</xdr:colOff>
      <xdr:row>17</xdr:row>
      <xdr:rowOff>111539</xdr:rowOff>
    </xdr:from>
    <xdr:ext cx="65" cy="172227"/>
    <xdr:sp macro="" textlink="">
      <xdr:nvSpPr>
        <xdr:cNvPr id="3" name="TextBox 2"/>
        <xdr:cNvSpPr txBox="1"/>
      </xdr:nvSpPr>
      <xdr:spPr>
        <a:xfrm>
          <a:off x="10433780" y="3529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382104</xdr:colOff>
      <xdr:row>17</xdr:row>
      <xdr:rowOff>111539</xdr:rowOff>
    </xdr:from>
    <xdr:ext cx="65" cy="172227"/>
    <xdr:sp macro="" textlink="">
      <xdr:nvSpPr>
        <xdr:cNvPr id="4" name="TextBox 3"/>
        <xdr:cNvSpPr txBox="1"/>
      </xdr:nvSpPr>
      <xdr:spPr>
        <a:xfrm>
          <a:off x="11372833" y="3374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7"/>
  <sheetViews>
    <sheetView tabSelected="1" topLeftCell="B1" zoomScale="85" zoomScaleNormal="85" workbookViewId="0">
      <selection activeCell="B7" sqref="B7:E7"/>
    </sheetView>
  </sheetViews>
  <sheetFormatPr defaultColWidth="9.140625" defaultRowHeight="15" x14ac:dyDescent="0.25"/>
  <cols>
    <col min="1" max="1" width="9.140625" style="1"/>
    <col min="2" max="2" width="20.140625" style="1" customWidth="1"/>
    <col min="3" max="3" width="11.140625" style="2" customWidth="1"/>
    <col min="4" max="4" width="11.7109375" style="2" customWidth="1"/>
    <col min="5" max="5" width="11.5703125" style="1" customWidth="1"/>
    <col min="6" max="6" width="9.140625" style="1" customWidth="1"/>
    <col min="7" max="7" width="16" style="1" customWidth="1"/>
    <col min="8" max="11" width="9.140625" style="1" customWidth="1"/>
    <col min="12" max="12" width="16.7109375" style="1" customWidth="1"/>
    <col min="13" max="15" width="9.140625" style="1" customWidth="1"/>
    <col min="16" max="16" width="9.140625" style="1"/>
    <col min="17" max="17" width="19.140625" style="1" customWidth="1"/>
    <col min="18" max="18" width="9.140625" style="1"/>
    <col min="19" max="20" width="8.85546875" style="1" customWidth="1"/>
    <col min="21" max="21" width="11.7109375" style="3" customWidth="1"/>
    <col min="22" max="27" width="8.85546875" style="1" customWidth="1"/>
    <col min="28" max="28" width="21.140625" style="1" customWidth="1"/>
    <col min="29" max="29" width="9.85546875" style="1" customWidth="1"/>
    <col min="30" max="31" width="8.85546875" style="1" customWidth="1"/>
    <col min="32" max="33" width="11.28515625" style="3" customWidth="1"/>
    <col min="34" max="34" width="8.85546875" style="1" customWidth="1"/>
    <col min="35" max="35" width="9.140625" style="1" customWidth="1"/>
    <col min="36" max="16384" width="9.140625" style="1"/>
  </cols>
  <sheetData>
    <row r="2" spans="1:35" x14ac:dyDescent="0.25">
      <c r="B2" s="1" t="s">
        <v>2</v>
      </c>
      <c r="C2" s="2">
        <v>36740</v>
      </c>
    </row>
    <row r="3" spans="1:35" x14ac:dyDescent="0.25">
      <c r="B3" s="1" t="s">
        <v>3</v>
      </c>
    </row>
    <row r="4" spans="1:35" ht="19.5" x14ac:dyDescent="0.3">
      <c r="Q4" s="125"/>
      <c r="R4" s="125"/>
      <c r="S4" s="125"/>
      <c r="T4" s="125"/>
      <c r="U4" s="125"/>
      <c r="V4" s="125"/>
    </row>
    <row r="5" spans="1:35" ht="19.5" x14ac:dyDescent="0.3">
      <c r="W5" s="4"/>
      <c r="X5" s="4"/>
      <c r="Y5" s="4"/>
      <c r="Z5" s="4"/>
      <c r="AG5" s="5"/>
    </row>
    <row r="6" spans="1:35" x14ac:dyDescent="0.25">
      <c r="Q6" s="127" t="s">
        <v>27</v>
      </c>
      <c r="R6" s="127"/>
      <c r="S6" s="127"/>
      <c r="T6" s="127"/>
      <c r="U6" s="127"/>
      <c r="V6" s="127"/>
      <c r="AB6" s="1" t="s">
        <v>6</v>
      </c>
      <c r="AC6" s="1">
        <f>$C$3</f>
        <v>0</v>
      </c>
    </row>
    <row r="7" spans="1:35" ht="18.75" x14ac:dyDescent="0.3">
      <c r="B7" s="126" t="s">
        <v>7</v>
      </c>
      <c r="C7" s="126"/>
      <c r="D7" s="126"/>
      <c r="E7" s="126"/>
      <c r="F7" s="6"/>
      <c r="G7" s="127" t="s">
        <v>9</v>
      </c>
      <c r="H7" s="127"/>
      <c r="I7" s="127"/>
      <c r="J7" s="127"/>
      <c r="L7" s="127" t="s">
        <v>4</v>
      </c>
      <c r="M7" s="127"/>
      <c r="N7" s="127"/>
      <c r="O7" s="127"/>
      <c r="Q7" s="1" t="s">
        <v>31</v>
      </c>
      <c r="R7" s="2"/>
      <c r="S7" s="2"/>
      <c r="T7" s="7"/>
      <c r="W7" s="8"/>
      <c r="X7" s="8"/>
      <c r="Y7" s="8"/>
      <c r="Z7" s="8"/>
      <c r="AB7" s="128" t="s">
        <v>26</v>
      </c>
      <c r="AC7" s="128"/>
      <c r="AD7" s="128"/>
      <c r="AE7" s="128"/>
      <c r="AF7" s="128"/>
      <c r="AG7" s="128"/>
      <c r="AH7" s="128"/>
    </row>
    <row r="8" spans="1:35" x14ac:dyDescent="0.25">
      <c r="B8" s="9"/>
      <c r="C8" s="10"/>
      <c r="D8" s="11"/>
      <c r="E8" s="6"/>
      <c r="F8" s="6"/>
      <c r="G8" s="12" t="s">
        <v>28</v>
      </c>
      <c r="H8" s="13">
        <v>1</v>
      </c>
      <c r="I8" s="8"/>
      <c r="J8" s="14"/>
      <c r="L8" s="123" t="s">
        <v>10</v>
      </c>
      <c r="M8" s="123"/>
      <c r="N8" s="123"/>
      <c r="O8" s="123"/>
      <c r="Q8" s="1" t="s">
        <v>29</v>
      </c>
      <c r="R8" s="75">
        <v>0.6079</v>
      </c>
      <c r="S8" s="75">
        <v>0.69389999999999996</v>
      </c>
      <c r="T8" s="76">
        <v>0.60329999999999995</v>
      </c>
      <c r="U8" s="15"/>
      <c r="V8" s="16"/>
      <c r="W8" s="17"/>
      <c r="X8" s="17"/>
      <c r="Y8" s="17"/>
      <c r="Z8" s="17"/>
      <c r="AB8" s="14"/>
      <c r="AC8" s="18"/>
      <c r="AD8" s="14"/>
      <c r="AE8" s="14"/>
      <c r="AG8" s="6"/>
      <c r="AH8" s="14"/>
    </row>
    <row r="9" spans="1:35" ht="15.75" thickBot="1" x14ac:dyDescent="0.3">
      <c r="C9" s="10"/>
      <c r="D9" s="11"/>
      <c r="E9" s="6"/>
      <c r="F9" s="6"/>
      <c r="H9" s="14"/>
      <c r="I9" s="8"/>
      <c r="J9" s="14"/>
      <c r="L9" s="1" t="s">
        <v>11</v>
      </c>
      <c r="M9" s="19">
        <v>0.04</v>
      </c>
      <c r="N9" s="6"/>
      <c r="O9" s="6"/>
      <c r="Q9" s="1" t="s">
        <v>30</v>
      </c>
      <c r="R9" s="75">
        <f>R8-(($R$7/100)*R8)</f>
        <v>0.6079</v>
      </c>
      <c r="S9" s="75">
        <f>S8-(($R$7/100)*S8)</f>
        <v>0.69389999999999996</v>
      </c>
      <c r="T9" s="75">
        <f>T8-(($R$7/100)*T8)</f>
        <v>0.60329999999999995</v>
      </c>
      <c r="AB9" s="124"/>
      <c r="AC9" s="124"/>
      <c r="AD9" s="17"/>
      <c r="AE9" s="6"/>
    </row>
    <row r="10" spans="1:35" x14ac:dyDescent="0.25">
      <c r="B10" s="20" t="s">
        <v>0</v>
      </c>
      <c r="C10" s="21"/>
      <c r="D10" s="21"/>
      <c r="E10" s="21"/>
      <c r="F10" s="9" t="s">
        <v>32</v>
      </c>
      <c r="G10" s="28" t="s">
        <v>0</v>
      </c>
      <c r="H10" s="29">
        <f t="shared" ref="H10:J10" si="0">$C$2</f>
        <v>36740</v>
      </c>
      <c r="I10" s="29">
        <f t="shared" si="0"/>
        <v>36740</v>
      </c>
      <c r="J10" s="29">
        <f t="shared" si="0"/>
        <v>36740</v>
      </c>
      <c r="K10" s="29" t="s">
        <v>32</v>
      </c>
      <c r="L10" s="28" t="s">
        <v>0</v>
      </c>
      <c r="M10" s="29">
        <f t="shared" ref="M10:O10" si="1">$C$2</f>
        <v>36740</v>
      </c>
      <c r="N10" s="29">
        <f t="shared" si="1"/>
        <v>36740</v>
      </c>
      <c r="O10" s="29">
        <f t="shared" si="1"/>
        <v>36740</v>
      </c>
      <c r="P10" s="29" t="s">
        <v>32</v>
      </c>
      <c r="Q10" s="31" t="s">
        <v>0</v>
      </c>
      <c r="R10" s="32">
        <f t="shared" ref="R10:T10" si="2">$C$2</f>
        <v>36740</v>
      </c>
      <c r="S10" s="32">
        <f t="shared" si="2"/>
        <v>36740</v>
      </c>
      <c r="T10" s="32">
        <f t="shared" si="2"/>
        <v>36740</v>
      </c>
      <c r="U10" s="33" t="s">
        <v>34</v>
      </c>
      <c r="V10" s="34" t="s">
        <v>1</v>
      </c>
      <c r="W10" s="35" t="s">
        <v>5</v>
      </c>
      <c r="X10" s="36" t="s">
        <v>32</v>
      </c>
      <c r="Y10" s="37"/>
      <c r="Z10" s="38" t="s">
        <v>8</v>
      </c>
      <c r="AA10" s="30"/>
      <c r="AB10" s="39" t="s">
        <v>0</v>
      </c>
      <c r="AC10" s="40">
        <f>C2</f>
        <v>36740</v>
      </c>
      <c r="AD10" s="40">
        <f>C2</f>
        <v>36740</v>
      </c>
      <c r="AE10" s="41"/>
      <c r="AF10" s="42" t="s">
        <v>12</v>
      </c>
      <c r="AG10" s="36" t="s">
        <v>32</v>
      </c>
      <c r="AH10" s="43" t="s">
        <v>1</v>
      </c>
      <c r="AI10" s="43" t="s">
        <v>5</v>
      </c>
    </row>
    <row r="11" spans="1:35" ht="15.75" thickBot="1" x14ac:dyDescent="0.3">
      <c r="B11" s="20"/>
      <c r="C11" s="21">
        <v>1</v>
      </c>
      <c r="D11" s="21">
        <v>2</v>
      </c>
      <c r="E11" s="21">
        <v>3</v>
      </c>
      <c r="F11" s="9"/>
      <c r="G11" s="28"/>
      <c r="H11" s="29">
        <v>1</v>
      </c>
      <c r="I11" s="29">
        <v>2</v>
      </c>
      <c r="J11" s="29">
        <v>3</v>
      </c>
      <c r="K11" s="29"/>
      <c r="L11" s="28"/>
      <c r="M11" s="29">
        <v>1</v>
      </c>
      <c r="N11" s="29">
        <v>2</v>
      </c>
      <c r="O11" s="29">
        <v>3</v>
      </c>
      <c r="P11" s="29"/>
      <c r="Q11" s="44"/>
      <c r="R11" s="45">
        <v>1</v>
      </c>
      <c r="S11" s="45">
        <v>2</v>
      </c>
      <c r="T11" s="45">
        <v>3</v>
      </c>
      <c r="U11" s="46" t="s">
        <v>33</v>
      </c>
      <c r="V11" s="47"/>
      <c r="W11" s="35"/>
      <c r="X11" s="48" t="s">
        <v>33</v>
      </c>
      <c r="Y11" s="37"/>
      <c r="Z11" s="74"/>
      <c r="AA11" s="30"/>
      <c r="AB11" s="39"/>
      <c r="AC11" s="49">
        <v>1</v>
      </c>
      <c r="AD11" s="49">
        <v>2</v>
      </c>
      <c r="AE11" s="50"/>
      <c r="AF11" s="42"/>
      <c r="AG11" s="36" t="s">
        <v>12</v>
      </c>
      <c r="AH11" s="43"/>
      <c r="AI11" s="43"/>
    </row>
    <row r="12" spans="1:35" x14ac:dyDescent="0.25">
      <c r="A12" s="22">
        <f t="shared" ref="A12:A24" si="3">$C$2</f>
        <v>36740</v>
      </c>
      <c r="B12" s="23" t="s">
        <v>13</v>
      </c>
      <c r="C12" s="24">
        <v>0.82499999999999996</v>
      </c>
      <c r="D12" s="24">
        <v>0.92300000000000004</v>
      </c>
      <c r="E12" s="24">
        <v>0.79700000000000004</v>
      </c>
      <c r="F12" s="25">
        <v>0.25</v>
      </c>
      <c r="G12" s="51" t="s">
        <v>13</v>
      </c>
      <c r="H12" s="52">
        <f>IF(C12&lt;0.25,"0.00",C12*$H$8)</f>
        <v>0.82499999999999996</v>
      </c>
      <c r="I12" s="52">
        <f t="shared" ref="I12:I22" si="4">IF(D12&lt;0.25,"0.00",D12*$H$8)</f>
        <v>0.92300000000000004</v>
      </c>
      <c r="J12" s="52">
        <f t="shared" ref="J12:J22" si="5">IF(E12&lt;0.25,"0.00",E12*$H$8)</f>
        <v>0.79700000000000004</v>
      </c>
      <c r="K12" s="52">
        <f>IF(F12&lt;0.25,"0.00",F12*$H$8)</f>
        <v>0.25</v>
      </c>
      <c r="L12" s="51" t="s">
        <v>13</v>
      </c>
      <c r="M12" s="52">
        <f t="shared" ref="M12:P22" si="6">H12*$M$9</f>
        <v>3.3000000000000002E-2</v>
      </c>
      <c r="N12" s="52">
        <f>IF(I12=0,"",I12*$M$9)</f>
        <v>3.6920000000000001E-2</v>
      </c>
      <c r="O12" s="52">
        <f t="shared" si="6"/>
        <v>3.1880000000000006E-2</v>
      </c>
      <c r="P12" s="52">
        <f t="shared" si="6"/>
        <v>0.01</v>
      </c>
      <c r="Q12" s="53" t="s">
        <v>13</v>
      </c>
      <c r="R12" s="54">
        <f t="shared" ref="R12" si="7">M12/$R$9</f>
        <v>5.4285244283599279E-2</v>
      </c>
      <c r="S12" s="54">
        <f t="shared" ref="S12" si="8">N12/$S$9</f>
        <v>5.3206513906903015E-2</v>
      </c>
      <c r="T12" s="55">
        <f>O12/$T$9</f>
        <v>5.2842698491629383E-2</v>
      </c>
      <c r="U12" s="56">
        <f>IF(Y12&lt;X12,"0",Y12)</f>
        <v>5.3400000000000003E-2</v>
      </c>
      <c r="V12" s="57">
        <f>STDEV(R12:T12)</f>
        <v>7.5021766218523131E-4</v>
      </c>
      <c r="W12" s="58"/>
      <c r="X12" s="59">
        <f>P12/$R$9</f>
        <v>1.6450074025333116E-2</v>
      </c>
      <c r="Y12" s="60">
        <f>IF(ISERROR(AA12),0,AA12)</f>
        <v>5.3400000000000003E-2</v>
      </c>
      <c r="Z12" s="78">
        <f>IF(AVERAGE(R12:T12)=0,0,AVERAGEIF(R12:T12,"&lt;&gt;0"))</f>
        <v>5.34448188940439E-2</v>
      </c>
      <c r="AA12" s="30">
        <f>ROUND(Z12,3-(1+INT(LOG10(ABS(Z12)))))</f>
        <v>5.3400000000000003E-2</v>
      </c>
      <c r="AB12" s="61" t="s">
        <v>13</v>
      </c>
      <c r="AC12" s="62">
        <f>R12/10</f>
        <v>5.4285244283599279E-3</v>
      </c>
      <c r="AD12" s="62">
        <f>S12/10</f>
        <v>5.3206513906903013E-3</v>
      </c>
      <c r="AE12" s="63"/>
      <c r="AF12" s="64">
        <f>U12/10</f>
        <v>5.3400000000000001E-3</v>
      </c>
      <c r="AG12" s="65">
        <f>X12/10</f>
        <v>1.6450074025333116E-3</v>
      </c>
      <c r="AH12" s="58">
        <f>STDEV(AC12:AE12)</f>
        <v>7.6277756443384875E-5</v>
      </c>
      <c r="AI12" s="58"/>
    </row>
    <row r="13" spans="1:35" x14ac:dyDescent="0.25">
      <c r="A13" s="22">
        <f t="shared" si="3"/>
        <v>36740</v>
      </c>
      <c r="B13" s="23" t="s">
        <v>14</v>
      </c>
      <c r="C13" s="24">
        <v>0</v>
      </c>
      <c r="D13" s="24">
        <v>0</v>
      </c>
      <c r="E13" s="24">
        <v>0</v>
      </c>
      <c r="F13" s="25">
        <v>0.25</v>
      </c>
      <c r="G13" s="51" t="s">
        <v>14</v>
      </c>
      <c r="H13" s="52" t="str">
        <f t="shared" ref="H13:H22" si="9">IF(C13&lt;0.25,"0.00",C13*$H$8)</f>
        <v>0.00</v>
      </c>
      <c r="I13" s="52" t="str">
        <f t="shared" si="4"/>
        <v>0.00</v>
      </c>
      <c r="J13" s="52" t="str">
        <f t="shared" si="5"/>
        <v>0.00</v>
      </c>
      <c r="K13" s="52">
        <f>IF(F13&lt;0.25,"0.00",F13*$H$8)</f>
        <v>0.25</v>
      </c>
      <c r="L13" s="51" t="s">
        <v>14</v>
      </c>
      <c r="M13" s="52">
        <f t="shared" si="6"/>
        <v>0</v>
      </c>
      <c r="N13" s="52">
        <f t="shared" si="6"/>
        <v>0</v>
      </c>
      <c r="O13" s="52">
        <f t="shared" si="6"/>
        <v>0</v>
      </c>
      <c r="P13" s="52">
        <f t="shared" si="6"/>
        <v>0.01</v>
      </c>
      <c r="Q13" s="66" t="s">
        <v>14</v>
      </c>
      <c r="R13" s="54">
        <f t="shared" ref="R13:R22" si="10">M13/$R$9</f>
        <v>0</v>
      </c>
      <c r="S13" s="54">
        <f t="shared" ref="S13:S22" si="11">N13/$S$9</f>
        <v>0</v>
      </c>
      <c r="T13" s="55">
        <f t="shared" ref="T13:T22" si="12">O13/$T$9</f>
        <v>0</v>
      </c>
      <c r="U13" s="56" t="str">
        <f>IF(Y13&lt;X13,"0",Y13)</f>
        <v>0</v>
      </c>
      <c r="V13" s="57">
        <f t="shared" ref="V13:V24" si="13">STDEV(R13:T13)</f>
        <v>0</v>
      </c>
      <c r="W13" s="58"/>
      <c r="X13" s="59">
        <f t="shared" ref="X13:X22" si="14">P13/$R$9</f>
        <v>1.6450074025333116E-2</v>
      </c>
      <c r="Y13" s="60">
        <f>IF(ISERROR(AA13),0,AA13)</f>
        <v>0</v>
      </c>
      <c r="Z13" s="78">
        <f>IF(AVERAGE(R13:T13)=0,0,AVERAGEIF(R13:T13,"&lt;&gt;0"))</f>
        <v>0</v>
      </c>
      <c r="AA13" s="30" t="e">
        <f t="shared" ref="AA13:AA22" si="15">ROUND(Z13,3-(1+INT(LOG10(ABS(Z13)))))</f>
        <v>#NUM!</v>
      </c>
      <c r="AB13" s="61" t="s">
        <v>14</v>
      </c>
      <c r="AC13" s="62">
        <f t="shared" ref="AC13:AD22" si="16">R13/10</f>
        <v>0</v>
      </c>
      <c r="AD13" s="62">
        <f t="shared" si="16"/>
        <v>0</v>
      </c>
      <c r="AE13" s="63"/>
      <c r="AF13" s="64">
        <f t="shared" ref="AF13:AF24" si="17">U13/10</f>
        <v>0</v>
      </c>
      <c r="AG13" s="65">
        <f t="shared" ref="AG13:AG24" si="18">X13/10</f>
        <v>1.6450074025333116E-3</v>
      </c>
      <c r="AH13" s="58">
        <f t="shared" ref="AH13:AH24" si="19">STDEV(AC13:AE13)</f>
        <v>0</v>
      </c>
      <c r="AI13" s="58"/>
    </row>
    <row r="14" spans="1:35" x14ac:dyDescent="0.25">
      <c r="A14" s="22">
        <f t="shared" si="3"/>
        <v>36740</v>
      </c>
      <c r="B14" s="23" t="s">
        <v>15</v>
      </c>
      <c r="C14" s="24">
        <v>0</v>
      </c>
      <c r="D14" s="24">
        <v>0</v>
      </c>
      <c r="E14" s="24">
        <v>0</v>
      </c>
      <c r="F14" s="25">
        <v>0.25</v>
      </c>
      <c r="G14" s="51" t="s">
        <v>15</v>
      </c>
      <c r="H14" s="52" t="str">
        <f t="shared" si="9"/>
        <v>0.00</v>
      </c>
      <c r="I14" s="52" t="str">
        <f t="shared" si="4"/>
        <v>0.00</v>
      </c>
      <c r="J14" s="52" t="str">
        <f t="shared" si="5"/>
        <v>0.00</v>
      </c>
      <c r="K14" s="52">
        <f t="shared" ref="K14:K22" si="20">IF(F14&lt;0.25,"0.00",F14*$H$8)</f>
        <v>0.25</v>
      </c>
      <c r="L14" s="51" t="s">
        <v>15</v>
      </c>
      <c r="M14" s="52">
        <f t="shared" si="6"/>
        <v>0</v>
      </c>
      <c r="N14" s="52">
        <f t="shared" si="6"/>
        <v>0</v>
      </c>
      <c r="O14" s="52">
        <f t="shared" si="6"/>
        <v>0</v>
      </c>
      <c r="P14" s="52">
        <f t="shared" si="6"/>
        <v>0.01</v>
      </c>
      <c r="Q14" s="66" t="s">
        <v>15</v>
      </c>
      <c r="R14" s="54">
        <f t="shared" si="10"/>
        <v>0</v>
      </c>
      <c r="S14" s="54">
        <f t="shared" si="11"/>
        <v>0</v>
      </c>
      <c r="T14" s="55">
        <f t="shared" si="12"/>
        <v>0</v>
      </c>
      <c r="U14" s="56" t="str">
        <f t="shared" ref="U14:U21" si="21">IF(Y14&lt;X14,"0",Y14)</f>
        <v>0</v>
      </c>
      <c r="V14" s="57">
        <f t="shared" si="13"/>
        <v>0</v>
      </c>
      <c r="W14" s="58" t="e">
        <f t="shared" ref="W14:W24" si="22">V14/U14*100</f>
        <v>#DIV/0!</v>
      </c>
      <c r="X14" s="59">
        <f t="shared" si="14"/>
        <v>1.6450074025333116E-2</v>
      </c>
      <c r="Y14" s="60">
        <f t="shared" ref="Y14:Y21" si="23">IF(ISERROR(AA14),0,AA14)</f>
        <v>0</v>
      </c>
      <c r="Z14" s="78">
        <f t="shared" ref="Z14:Z21" si="24">IF(AVERAGE(R14:T14)=0,0,AVERAGEIF(R14:T14,"&lt;&gt;0"))</f>
        <v>0</v>
      </c>
      <c r="AA14" s="30" t="e">
        <f t="shared" si="15"/>
        <v>#NUM!</v>
      </c>
      <c r="AB14" s="61" t="s">
        <v>15</v>
      </c>
      <c r="AC14" s="62">
        <f t="shared" si="16"/>
        <v>0</v>
      </c>
      <c r="AD14" s="62">
        <f t="shared" si="16"/>
        <v>0</v>
      </c>
      <c r="AE14" s="63"/>
      <c r="AF14" s="64">
        <f t="shared" si="17"/>
        <v>0</v>
      </c>
      <c r="AG14" s="65">
        <f t="shared" si="18"/>
        <v>1.6450074025333116E-3</v>
      </c>
      <c r="AH14" s="58">
        <f t="shared" si="19"/>
        <v>0</v>
      </c>
      <c r="AI14" s="58" t="e">
        <f t="shared" ref="AI14:AI24" si="25">AH14/AF14*100</f>
        <v>#DIV/0!</v>
      </c>
    </row>
    <row r="15" spans="1:35" x14ac:dyDescent="0.25">
      <c r="A15" s="22">
        <f t="shared" si="3"/>
        <v>36740</v>
      </c>
      <c r="B15" s="23" t="s">
        <v>16</v>
      </c>
      <c r="C15" s="24">
        <v>151.125</v>
      </c>
      <c r="D15" s="24">
        <v>168.14</v>
      </c>
      <c r="E15" s="24">
        <v>148.37200000000001</v>
      </c>
      <c r="F15" s="25">
        <v>0.25</v>
      </c>
      <c r="G15" s="51" t="s">
        <v>16</v>
      </c>
      <c r="H15" s="52">
        <f t="shared" si="9"/>
        <v>151.125</v>
      </c>
      <c r="I15" s="52">
        <f t="shared" si="4"/>
        <v>168.14</v>
      </c>
      <c r="J15" s="52">
        <f t="shared" si="5"/>
        <v>148.37200000000001</v>
      </c>
      <c r="K15" s="52">
        <f t="shared" si="20"/>
        <v>0.25</v>
      </c>
      <c r="L15" s="51" t="s">
        <v>16</v>
      </c>
      <c r="M15" s="52">
        <f t="shared" si="6"/>
        <v>6.0449999999999999</v>
      </c>
      <c r="N15" s="52">
        <f t="shared" si="6"/>
        <v>6.7256</v>
      </c>
      <c r="O15" s="52">
        <f t="shared" si="6"/>
        <v>5.9348800000000006</v>
      </c>
      <c r="P15" s="52">
        <f t="shared" si="6"/>
        <v>0.01</v>
      </c>
      <c r="Q15" s="66" t="s">
        <v>16</v>
      </c>
      <c r="R15" s="54">
        <f t="shared" si="10"/>
        <v>9.9440697483138667</v>
      </c>
      <c r="S15" s="54">
        <f t="shared" si="11"/>
        <v>9.6924628909064712</v>
      </c>
      <c r="T15" s="55">
        <f t="shared" si="12"/>
        <v>9.8373611801757015</v>
      </c>
      <c r="U15" s="56">
        <f t="shared" si="21"/>
        <v>9.82</v>
      </c>
      <c r="V15" s="57">
        <f t="shared" si="13"/>
        <v>0.12628555172153336</v>
      </c>
      <c r="W15" s="58">
        <f t="shared" si="22"/>
        <v>1.2860035816856756</v>
      </c>
      <c r="X15" s="59">
        <f t="shared" si="14"/>
        <v>1.6450074025333116E-2</v>
      </c>
      <c r="Y15" s="60">
        <f t="shared" si="23"/>
        <v>9.82</v>
      </c>
      <c r="Z15" s="78">
        <f t="shared" si="24"/>
        <v>9.8246312731320131</v>
      </c>
      <c r="AA15" s="30">
        <f t="shared" si="15"/>
        <v>9.82</v>
      </c>
      <c r="AB15" s="61" t="s">
        <v>16</v>
      </c>
      <c r="AC15" s="62">
        <f t="shared" si="16"/>
        <v>0.99440697483138663</v>
      </c>
      <c r="AD15" s="62">
        <f t="shared" si="16"/>
        <v>0.96924628909064714</v>
      </c>
      <c r="AE15" s="63"/>
      <c r="AF15" s="64">
        <f t="shared" si="17"/>
        <v>0.98199999999999998</v>
      </c>
      <c r="AG15" s="65">
        <f t="shared" si="18"/>
        <v>1.6450074025333116E-3</v>
      </c>
      <c r="AH15" s="58">
        <f t="shared" si="19"/>
        <v>1.7791291506580563E-2</v>
      </c>
      <c r="AI15" s="58">
        <f t="shared" si="25"/>
        <v>1.8117404792851899</v>
      </c>
    </row>
    <row r="16" spans="1:35" x14ac:dyDescent="0.25">
      <c r="A16" s="22">
        <f t="shared" si="3"/>
        <v>36740</v>
      </c>
      <c r="B16" s="23" t="s">
        <v>17</v>
      </c>
      <c r="C16" s="24">
        <v>147.19499999999999</v>
      </c>
      <c r="D16" s="24">
        <v>164.88200000000001</v>
      </c>
      <c r="E16" s="24">
        <v>145.34800000000001</v>
      </c>
      <c r="F16" s="25">
        <v>0.25</v>
      </c>
      <c r="G16" s="51" t="s">
        <v>17</v>
      </c>
      <c r="H16" s="52">
        <f>IF(C16&lt;0.25,"0.00",C16*$H$8)</f>
        <v>147.19499999999999</v>
      </c>
      <c r="I16" s="52">
        <f t="shared" si="4"/>
        <v>164.88200000000001</v>
      </c>
      <c r="J16" s="52">
        <f t="shared" si="5"/>
        <v>145.34800000000001</v>
      </c>
      <c r="K16" s="52">
        <f t="shared" si="20"/>
        <v>0.25</v>
      </c>
      <c r="L16" s="51" t="s">
        <v>17</v>
      </c>
      <c r="M16" s="52">
        <f t="shared" si="6"/>
        <v>5.8877999999999995</v>
      </c>
      <c r="N16" s="52">
        <f t="shared" si="6"/>
        <v>6.5952800000000007</v>
      </c>
      <c r="O16" s="52">
        <f t="shared" si="6"/>
        <v>5.8139200000000004</v>
      </c>
      <c r="P16" s="52">
        <f t="shared" si="6"/>
        <v>0.01</v>
      </c>
      <c r="Q16" s="66" t="s">
        <v>17</v>
      </c>
      <c r="R16" s="54">
        <f t="shared" si="10"/>
        <v>9.6854745846356298</v>
      </c>
      <c r="S16" s="54">
        <f t="shared" si="11"/>
        <v>9.5046548494019323</v>
      </c>
      <c r="T16" s="55">
        <f t="shared" si="12"/>
        <v>9.6368639151334339</v>
      </c>
      <c r="U16" s="56">
        <f t="shared" si="21"/>
        <v>9.61</v>
      </c>
      <c r="V16" s="57">
        <f t="shared" si="13"/>
        <v>9.3575291344307976E-2</v>
      </c>
      <c r="W16" s="58">
        <f t="shared" si="22"/>
        <v>0.97372831783879266</v>
      </c>
      <c r="X16" s="59">
        <f t="shared" si="14"/>
        <v>1.6450074025333116E-2</v>
      </c>
      <c r="Y16" s="60">
        <f t="shared" si="23"/>
        <v>9.61</v>
      </c>
      <c r="Z16" s="78">
        <f t="shared" si="24"/>
        <v>9.6089977830569993</v>
      </c>
      <c r="AA16" s="30">
        <f t="shared" si="15"/>
        <v>9.61</v>
      </c>
      <c r="AB16" s="61" t="s">
        <v>17</v>
      </c>
      <c r="AC16" s="62">
        <f t="shared" si="16"/>
        <v>0.96854745846356294</v>
      </c>
      <c r="AD16" s="62">
        <f t="shared" si="16"/>
        <v>0.95046548494019323</v>
      </c>
      <c r="AE16" s="63"/>
      <c r="AF16" s="64">
        <f t="shared" si="17"/>
        <v>0.96099999999999997</v>
      </c>
      <c r="AG16" s="65">
        <f t="shared" si="18"/>
        <v>1.6450074025333116E-3</v>
      </c>
      <c r="AH16" s="58">
        <f t="shared" si="19"/>
        <v>1.2785886095610332E-2</v>
      </c>
      <c r="AI16" s="58">
        <f t="shared" si="25"/>
        <v>1.3304772211873395</v>
      </c>
    </row>
    <row r="17" spans="1:35" x14ac:dyDescent="0.25">
      <c r="A17" s="22">
        <f t="shared" si="3"/>
        <v>36740</v>
      </c>
      <c r="B17" s="23" t="s">
        <v>18</v>
      </c>
      <c r="C17" s="24">
        <v>0</v>
      </c>
      <c r="D17" s="24">
        <v>0</v>
      </c>
      <c r="E17" s="24">
        <v>0</v>
      </c>
      <c r="F17" s="25">
        <v>0.25</v>
      </c>
      <c r="G17" s="51" t="s">
        <v>18</v>
      </c>
      <c r="H17" s="52" t="str">
        <f t="shared" si="9"/>
        <v>0.00</v>
      </c>
      <c r="I17" s="52" t="str">
        <f t="shared" si="4"/>
        <v>0.00</v>
      </c>
      <c r="J17" s="52" t="str">
        <f>IF(E17&lt;0.25,"0.00",E17*$H$8)</f>
        <v>0.00</v>
      </c>
      <c r="K17" s="52">
        <f t="shared" si="20"/>
        <v>0.25</v>
      </c>
      <c r="L17" s="51" t="s">
        <v>18</v>
      </c>
      <c r="M17" s="52">
        <f t="shared" si="6"/>
        <v>0</v>
      </c>
      <c r="N17" s="52">
        <f t="shared" si="6"/>
        <v>0</v>
      </c>
      <c r="O17" s="52">
        <f t="shared" si="6"/>
        <v>0</v>
      </c>
      <c r="P17" s="52">
        <f t="shared" si="6"/>
        <v>0.01</v>
      </c>
      <c r="Q17" s="66" t="s">
        <v>18</v>
      </c>
      <c r="R17" s="54">
        <f t="shared" si="10"/>
        <v>0</v>
      </c>
      <c r="S17" s="54">
        <f t="shared" si="11"/>
        <v>0</v>
      </c>
      <c r="T17" s="55">
        <f t="shared" si="12"/>
        <v>0</v>
      </c>
      <c r="U17" s="56" t="str">
        <f t="shared" si="21"/>
        <v>0</v>
      </c>
      <c r="V17" s="57">
        <f t="shared" si="13"/>
        <v>0</v>
      </c>
      <c r="W17" s="58" t="e">
        <f t="shared" si="22"/>
        <v>#DIV/0!</v>
      </c>
      <c r="X17" s="59">
        <f t="shared" si="14"/>
        <v>1.6450074025333116E-2</v>
      </c>
      <c r="Y17" s="60">
        <f t="shared" si="23"/>
        <v>0</v>
      </c>
      <c r="Z17" s="78">
        <f t="shared" si="24"/>
        <v>0</v>
      </c>
      <c r="AA17" s="30" t="e">
        <f t="shared" si="15"/>
        <v>#NUM!</v>
      </c>
      <c r="AB17" s="61" t="s">
        <v>18</v>
      </c>
      <c r="AC17" s="62">
        <f t="shared" si="16"/>
        <v>0</v>
      </c>
      <c r="AD17" s="62">
        <f t="shared" si="16"/>
        <v>0</v>
      </c>
      <c r="AE17" s="63"/>
      <c r="AF17" s="64">
        <f t="shared" si="17"/>
        <v>0</v>
      </c>
      <c r="AG17" s="65">
        <f t="shared" si="18"/>
        <v>1.6450074025333116E-3</v>
      </c>
      <c r="AH17" s="58">
        <f t="shared" si="19"/>
        <v>0</v>
      </c>
      <c r="AI17" s="58" t="e">
        <f t="shared" si="25"/>
        <v>#DIV/0!</v>
      </c>
    </row>
    <row r="18" spans="1:35" x14ac:dyDescent="0.25">
      <c r="A18" s="22">
        <f t="shared" si="3"/>
        <v>36740</v>
      </c>
      <c r="B18" s="23" t="s">
        <v>19</v>
      </c>
      <c r="C18" s="24">
        <v>0.90600000000000003</v>
      </c>
      <c r="D18" s="24">
        <v>1.004</v>
      </c>
      <c r="E18" s="24">
        <v>0.88800000000000001</v>
      </c>
      <c r="F18" s="25">
        <v>0.25</v>
      </c>
      <c r="G18" s="51" t="s">
        <v>19</v>
      </c>
      <c r="H18" s="52">
        <f t="shared" si="9"/>
        <v>0.90600000000000003</v>
      </c>
      <c r="I18" s="52">
        <f t="shared" si="4"/>
        <v>1.004</v>
      </c>
      <c r="J18" s="52">
        <f t="shared" si="5"/>
        <v>0.88800000000000001</v>
      </c>
      <c r="K18" s="52">
        <f t="shared" si="20"/>
        <v>0.25</v>
      </c>
      <c r="L18" s="51" t="s">
        <v>19</v>
      </c>
      <c r="M18" s="52">
        <f t="shared" si="6"/>
        <v>3.6240000000000001E-2</v>
      </c>
      <c r="N18" s="52">
        <f t="shared" si="6"/>
        <v>4.0160000000000001E-2</v>
      </c>
      <c r="O18" s="52">
        <f t="shared" si="6"/>
        <v>3.5520000000000003E-2</v>
      </c>
      <c r="P18" s="52">
        <f t="shared" si="6"/>
        <v>0.01</v>
      </c>
      <c r="Q18" s="66" t="s">
        <v>19</v>
      </c>
      <c r="R18" s="54">
        <f t="shared" si="10"/>
        <v>5.9615068267807207E-2</v>
      </c>
      <c r="S18" s="54">
        <f t="shared" si="11"/>
        <v>5.7875774607292124E-2</v>
      </c>
      <c r="T18" s="55">
        <f t="shared" si="12"/>
        <v>5.8876181004475399E-2</v>
      </c>
      <c r="U18" s="56">
        <f t="shared" si="21"/>
        <v>5.8799999999999998E-2</v>
      </c>
      <c r="V18" s="57">
        <f t="shared" si="13"/>
        <v>8.7291750134698158E-4</v>
      </c>
      <c r="W18" s="58">
        <f t="shared" si="22"/>
        <v>1.4845535737193565</v>
      </c>
      <c r="X18" s="59">
        <f t="shared" si="14"/>
        <v>1.6450074025333116E-2</v>
      </c>
      <c r="Y18" s="60">
        <f t="shared" si="23"/>
        <v>5.8799999999999998E-2</v>
      </c>
      <c r="Z18" s="78">
        <f t="shared" si="24"/>
        <v>5.8789007959858246E-2</v>
      </c>
      <c r="AA18" s="30">
        <f t="shared" si="15"/>
        <v>5.8799999999999998E-2</v>
      </c>
      <c r="AB18" s="61" t="s">
        <v>19</v>
      </c>
      <c r="AC18" s="62">
        <f t="shared" si="16"/>
        <v>5.9615068267807204E-3</v>
      </c>
      <c r="AD18" s="62">
        <f t="shared" si="16"/>
        <v>5.7875774607292121E-3</v>
      </c>
      <c r="AE18" s="63"/>
      <c r="AF18" s="64">
        <f t="shared" si="17"/>
        <v>5.8799999999999998E-3</v>
      </c>
      <c r="AG18" s="65">
        <f t="shared" si="18"/>
        <v>1.6450074025333116E-3</v>
      </c>
      <c r="AH18" s="58">
        <f t="shared" si="19"/>
        <v>1.2298663418249881E-4</v>
      </c>
      <c r="AI18" s="58">
        <f t="shared" si="25"/>
        <v>2.0916094248724288</v>
      </c>
    </row>
    <row r="19" spans="1:35" x14ac:dyDescent="0.25">
      <c r="A19" s="22">
        <f t="shared" si="3"/>
        <v>36740</v>
      </c>
      <c r="B19" s="23" t="s">
        <v>20</v>
      </c>
      <c r="C19" s="24">
        <v>7.3999999999999996E-2</v>
      </c>
      <c r="D19" s="24">
        <v>-1.0999999999999999E-2</v>
      </c>
      <c r="E19" s="24">
        <v>-1.7999999999999999E-2</v>
      </c>
      <c r="F19" s="25">
        <v>0.25</v>
      </c>
      <c r="G19" s="51" t="s">
        <v>20</v>
      </c>
      <c r="H19" s="52" t="str">
        <f t="shared" si="9"/>
        <v>0.00</v>
      </c>
      <c r="I19" s="52" t="str">
        <f t="shared" si="4"/>
        <v>0.00</v>
      </c>
      <c r="J19" s="52" t="str">
        <f t="shared" si="5"/>
        <v>0.00</v>
      </c>
      <c r="K19" s="52">
        <f t="shared" si="20"/>
        <v>0.25</v>
      </c>
      <c r="L19" s="51" t="s">
        <v>20</v>
      </c>
      <c r="M19" s="52">
        <f t="shared" si="6"/>
        <v>0</v>
      </c>
      <c r="N19" s="52">
        <f t="shared" si="6"/>
        <v>0</v>
      </c>
      <c r="O19" s="52">
        <f t="shared" si="6"/>
        <v>0</v>
      </c>
      <c r="P19" s="52">
        <f t="shared" si="6"/>
        <v>0.01</v>
      </c>
      <c r="Q19" s="66" t="s">
        <v>20</v>
      </c>
      <c r="R19" s="54">
        <f t="shared" si="10"/>
        <v>0</v>
      </c>
      <c r="S19" s="54">
        <f t="shared" si="11"/>
        <v>0</v>
      </c>
      <c r="T19" s="55">
        <f t="shared" si="12"/>
        <v>0</v>
      </c>
      <c r="U19" s="56" t="str">
        <f t="shared" si="21"/>
        <v>0</v>
      </c>
      <c r="V19" s="57">
        <f t="shared" si="13"/>
        <v>0</v>
      </c>
      <c r="W19" s="58" t="e">
        <f t="shared" si="22"/>
        <v>#DIV/0!</v>
      </c>
      <c r="X19" s="59">
        <f>P19/$R$9</f>
        <v>1.6450074025333116E-2</v>
      </c>
      <c r="Y19" s="60">
        <f t="shared" si="23"/>
        <v>0</v>
      </c>
      <c r="Z19" s="78">
        <f>IF(AVERAGE(R19:T19)=0,0,AVERAGEIF(R19:T19,"&lt;&gt;0"))</f>
        <v>0</v>
      </c>
      <c r="AA19" s="30" t="e">
        <f t="shared" si="15"/>
        <v>#NUM!</v>
      </c>
      <c r="AB19" s="61" t="s">
        <v>20</v>
      </c>
      <c r="AC19" s="62">
        <f t="shared" si="16"/>
        <v>0</v>
      </c>
      <c r="AD19" s="62">
        <f t="shared" si="16"/>
        <v>0</v>
      </c>
      <c r="AE19" s="63"/>
      <c r="AF19" s="64">
        <f t="shared" si="17"/>
        <v>0</v>
      </c>
      <c r="AG19" s="65">
        <f t="shared" si="18"/>
        <v>1.6450074025333116E-3</v>
      </c>
      <c r="AH19" s="58">
        <f t="shared" si="19"/>
        <v>0</v>
      </c>
      <c r="AI19" s="58" t="e">
        <f t="shared" si="25"/>
        <v>#DIV/0!</v>
      </c>
    </row>
    <row r="20" spans="1:35" x14ac:dyDescent="0.25">
      <c r="A20" s="22">
        <f t="shared" si="3"/>
        <v>36740</v>
      </c>
      <c r="B20" s="23" t="s">
        <v>21</v>
      </c>
      <c r="C20" s="24">
        <v>0</v>
      </c>
      <c r="D20" s="24">
        <v>0</v>
      </c>
      <c r="E20" s="24">
        <v>0</v>
      </c>
      <c r="F20" s="25">
        <v>0.25</v>
      </c>
      <c r="G20" s="51" t="s">
        <v>21</v>
      </c>
      <c r="H20" s="52" t="str">
        <f t="shared" si="9"/>
        <v>0.00</v>
      </c>
      <c r="I20" s="52" t="str">
        <f t="shared" si="4"/>
        <v>0.00</v>
      </c>
      <c r="J20" s="52" t="str">
        <f t="shared" si="5"/>
        <v>0.00</v>
      </c>
      <c r="K20" s="52">
        <f t="shared" si="20"/>
        <v>0.25</v>
      </c>
      <c r="L20" s="51" t="s">
        <v>21</v>
      </c>
      <c r="M20" s="52">
        <f t="shared" si="6"/>
        <v>0</v>
      </c>
      <c r="N20" s="52">
        <f t="shared" si="6"/>
        <v>0</v>
      </c>
      <c r="O20" s="52">
        <f t="shared" si="6"/>
        <v>0</v>
      </c>
      <c r="P20" s="52">
        <f>K20*$M$9</f>
        <v>0.01</v>
      </c>
      <c r="Q20" s="66" t="s">
        <v>21</v>
      </c>
      <c r="R20" s="54">
        <f t="shared" si="10"/>
        <v>0</v>
      </c>
      <c r="S20" s="54">
        <f t="shared" si="11"/>
        <v>0</v>
      </c>
      <c r="T20" s="55">
        <f t="shared" si="12"/>
        <v>0</v>
      </c>
      <c r="U20" s="56" t="str">
        <f t="shared" si="21"/>
        <v>0</v>
      </c>
      <c r="V20" s="57">
        <f t="shared" si="13"/>
        <v>0</v>
      </c>
      <c r="W20" s="58"/>
      <c r="X20" s="59">
        <f t="shared" si="14"/>
        <v>1.6450074025333116E-2</v>
      </c>
      <c r="Y20" s="60">
        <f t="shared" si="23"/>
        <v>0</v>
      </c>
      <c r="Z20" s="78">
        <f t="shared" si="24"/>
        <v>0</v>
      </c>
      <c r="AA20" s="30" t="e">
        <f t="shared" si="15"/>
        <v>#NUM!</v>
      </c>
      <c r="AB20" s="61" t="s">
        <v>21</v>
      </c>
      <c r="AC20" s="62">
        <f t="shared" si="16"/>
        <v>0</v>
      </c>
      <c r="AD20" s="62">
        <f t="shared" si="16"/>
        <v>0</v>
      </c>
      <c r="AE20" s="63"/>
      <c r="AF20" s="64">
        <f t="shared" si="17"/>
        <v>0</v>
      </c>
      <c r="AG20" s="65">
        <f t="shared" si="18"/>
        <v>1.6450074025333116E-3</v>
      </c>
      <c r="AH20" s="58">
        <f t="shared" si="19"/>
        <v>0</v>
      </c>
      <c r="AI20" s="58"/>
    </row>
    <row r="21" spans="1:35" x14ac:dyDescent="0.25">
      <c r="A21" s="22">
        <f t="shared" si="3"/>
        <v>36740</v>
      </c>
      <c r="B21" s="23" t="s">
        <v>22</v>
      </c>
      <c r="C21" s="24">
        <v>1.1579999999999999</v>
      </c>
      <c r="D21" s="24">
        <v>1.28</v>
      </c>
      <c r="E21" s="24">
        <v>1.117</v>
      </c>
      <c r="F21" s="25">
        <v>0.25</v>
      </c>
      <c r="G21" s="51" t="s">
        <v>22</v>
      </c>
      <c r="H21" s="52">
        <f t="shared" si="9"/>
        <v>1.1579999999999999</v>
      </c>
      <c r="I21" s="52">
        <f t="shared" si="4"/>
        <v>1.28</v>
      </c>
      <c r="J21" s="52">
        <f t="shared" si="5"/>
        <v>1.117</v>
      </c>
      <c r="K21" s="52">
        <f t="shared" si="20"/>
        <v>0.25</v>
      </c>
      <c r="L21" s="51" t="s">
        <v>22</v>
      </c>
      <c r="M21" s="52">
        <f t="shared" si="6"/>
        <v>4.632E-2</v>
      </c>
      <c r="N21" s="52">
        <f t="shared" si="6"/>
        <v>5.1200000000000002E-2</v>
      </c>
      <c r="O21" s="52">
        <f t="shared" si="6"/>
        <v>4.4679999999999997E-2</v>
      </c>
      <c r="P21" s="52">
        <f t="shared" si="6"/>
        <v>0.01</v>
      </c>
      <c r="Q21" s="66" t="s">
        <v>22</v>
      </c>
      <c r="R21" s="54">
        <f t="shared" si="10"/>
        <v>7.6196742885342991E-2</v>
      </c>
      <c r="S21" s="54">
        <f t="shared" si="11"/>
        <v>7.3785848104914259E-2</v>
      </c>
      <c r="T21" s="55">
        <f t="shared" si="12"/>
        <v>7.4059340295043921E-2</v>
      </c>
      <c r="U21" s="56">
        <f t="shared" si="21"/>
        <v>7.4700000000000003E-2</v>
      </c>
      <c r="V21" s="57">
        <f t="shared" si="13"/>
        <v>1.3200821599037942E-3</v>
      </c>
      <c r="W21" s="58">
        <f t="shared" si="22"/>
        <v>1.7671782595766987</v>
      </c>
      <c r="X21" s="59">
        <f t="shared" si="14"/>
        <v>1.6450074025333116E-2</v>
      </c>
      <c r="Y21" s="60">
        <f t="shared" si="23"/>
        <v>7.4700000000000003E-2</v>
      </c>
      <c r="Z21" s="78">
        <f t="shared" si="24"/>
        <v>7.4680643761767043E-2</v>
      </c>
      <c r="AA21" s="30">
        <f t="shared" si="15"/>
        <v>7.4700000000000003E-2</v>
      </c>
      <c r="AB21" s="61" t="s">
        <v>22</v>
      </c>
      <c r="AC21" s="62">
        <f t="shared" si="16"/>
        <v>7.6196742885342988E-3</v>
      </c>
      <c r="AD21" s="62">
        <f t="shared" si="16"/>
        <v>7.3785848104914262E-3</v>
      </c>
      <c r="AE21" s="63"/>
      <c r="AF21" s="64">
        <f t="shared" si="17"/>
        <v>7.4700000000000001E-3</v>
      </c>
      <c r="AG21" s="65">
        <f t="shared" si="18"/>
        <v>1.6450074025333116E-3</v>
      </c>
      <c r="AH21" s="58">
        <f t="shared" si="19"/>
        <v>1.7047600479684041E-4</v>
      </c>
      <c r="AI21" s="58">
        <f t="shared" si="25"/>
        <v>2.2821419651518129</v>
      </c>
    </row>
    <row r="22" spans="1:35" x14ac:dyDescent="0.25">
      <c r="A22" s="22">
        <f t="shared" si="3"/>
        <v>36740</v>
      </c>
      <c r="B22" s="23" t="s">
        <v>23</v>
      </c>
      <c r="C22" s="24">
        <v>0</v>
      </c>
      <c r="D22" s="24">
        <v>0</v>
      </c>
      <c r="E22" s="24">
        <v>0</v>
      </c>
      <c r="F22" s="25">
        <v>0.25</v>
      </c>
      <c r="G22" s="51" t="s">
        <v>23</v>
      </c>
      <c r="H22" s="52" t="str">
        <f t="shared" si="9"/>
        <v>0.00</v>
      </c>
      <c r="I22" s="52" t="str">
        <f t="shared" si="4"/>
        <v>0.00</v>
      </c>
      <c r="J22" s="52" t="str">
        <f t="shared" si="5"/>
        <v>0.00</v>
      </c>
      <c r="K22" s="52">
        <f t="shared" si="20"/>
        <v>0.25</v>
      </c>
      <c r="L22" s="51" t="s">
        <v>23</v>
      </c>
      <c r="M22" s="52">
        <f t="shared" si="6"/>
        <v>0</v>
      </c>
      <c r="N22" s="52">
        <f t="shared" si="6"/>
        <v>0</v>
      </c>
      <c r="O22" s="52">
        <f t="shared" si="6"/>
        <v>0</v>
      </c>
      <c r="P22" s="52">
        <f t="shared" si="6"/>
        <v>0.01</v>
      </c>
      <c r="Q22" s="66" t="s">
        <v>23</v>
      </c>
      <c r="R22" s="54">
        <f t="shared" si="10"/>
        <v>0</v>
      </c>
      <c r="S22" s="54">
        <f t="shared" si="11"/>
        <v>0</v>
      </c>
      <c r="T22" s="55">
        <f t="shared" si="12"/>
        <v>0</v>
      </c>
      <c r="U22" s="56" t="str">
        <f>IF(Y22&lt;X22,"0",Y22)</f>
        <v>0</v>
      </c>
      <c r="V22" s="57">
        <f t="shared" si="13"/>
        <v>0</v>
      </c>
      <c r="W22" s="58" t="e">
        <f t="shared" si="22"/>
        <v>#DIV/0!</v>
      </c>
      <c r="X22" s="59">
        <f t="shared" si="14"/>
        <v>1.6450074025333116E-2</v>
      </c>
      <c r="Y22" s="60">
        <f>IF(ISERROR(AA22),0,AA22)</f>
        <v>0</v>
      </c>
      <c r="Z22" s="78">
        <f>IF(AVERAGE(R22:T22)=0,0,AVERAGEIF(R22:T22,"&lt;&gt;0"))</f>
        <v>0</v>
      </c>
      <c r="AA22" s="30" t="e">
        <f t="shared" si="15"/>
        <v>#NUM!</v>
      </c>
      <c r="AB22" s="61" t="s">
        <v>23</v>
      </c>
      <c r="AC22" s="62">
        <f t="shared" si="16"/>
        <v>0</v>
      </c>
      <c r="AD22" s="62">
        <f t="shared" si="16"/>
        <v>0</v>
      </c>
      <c r="AE22" s="63"/>
      <c r="AF22" s="64">
        <f t="shared" si="17"/>
        <v>0</v>
      </c>
      <c r="AG22" s="65">
        <f t="shared" si="18"/>
        <v>1.6450074025333116E-3</v>
      </c>
      <c r="AH22" s="58">
        <f t="shared" si="19"/>
        <v>0</v>
      </c>
      <c r="AI22" s="58" t="e">
        <f t="shared" si="25"/>
        <v>#DIV/0!</v>
      </c>
    </row>
    <row r="23" spans="1:35" x14ac:dyDescent="0.25">
      <c r="A23" s="22">
        <f t="shared" si="3"/>
        <v>36740</v>
      </c>
      <c r="B23" s="26"/>
      <c r="C23" s="27"/>
      <c r="D23" s="27"/>
      <c r="E23" s="27"/>
      <c r="F23" s="8"/>
      <c r="G23" s="67" t="s">
        <v>24</v>
      </c>
      <c r="H23" s="68">
        <f>(H22*0.877)+H19</f>
        <v>0</v>
      </c>
      <c r="I23" s="68">
        <f>(I22*0.877)+I19</f>
        <v>0</v>
      </c>
      <c r="J23" s="68">
        <f>(J22*0.877)+J19</f>
        <v>0</v>
      </c>
      <c r="K23" s="68">
        <f>(K22*0.877)+K19</f>
        <v>0.46925</v>
      </c>
      <c r="L23" s="67" t="s">
        <v>24</v>
      </c>
      <c r="M23" s="68">
        <f>(M22*0.877)+M19</f>
        <v>0</v>
      </c>
      <c r="N23" s="68">
        <f>(N22*0.877)+N19</f>
        <v>0</v>
      </c>
      <c r="O23" s="68">
        <f>(O22*0.877)+O19</f>
        <v>0</v>
      </c>
      <c r="P23" s="68">
        <f>(P22*0.877)+P19</f>
        <v>1.8770000000000002E-2</v>
      </c>
      <c r="Q23" s="69" t="s">
        <v>24</v>
      </c>
      <c r="R23" s="70">
        <f>(R22*0.877)+R19</f>
        <v>0</v>
      </c>
      <c r="S23" s="70">
        <f>(S22*0.877)+S19</f>
        <v>0</v>
      </c>
      <c r="T23" s="70">
        <f>(T22*0.877)+T19</f>
        <v>0</v>
      </c>
      <c r="U23" s="77" t="str">
        <f>IF(Y23&lt;X23,"0",ROUND(((U22*0.877)+U19),3-(1+INT(LOG10(ABS(((U22*0.877)+U19)))))))</f>
        <v>0</v>
      </c>
      <c r="V23" s="57">
        <f t="shared" si="13"/>
        <v>0</v>
      </c>
      <c r="W23" s="58" t="e">
        <f t="shared" si="22"/>
        <v>#DIV/0!</v>
      </c>
      <c r="X23" s="59">
        <f>X21</f>
        <v>1.6450074025333116E-2</v>
      </c>
      <c r="Y23" s="70">
        <f>(Y22*0.877)+Y19</f>
        <v>0</v>
      </c>
      <c r="Z23" s="78"/>
      <c r="AA23" s="30"/>
      <c r="AB23" s="39" t="s">
        <v>24</v>
      </c>
      <c r="AC23" s="71">
        <f>(AC22*0.877)+AC19</f>
        <v>0</v>
      </c>
      <c r="AD23" s="71">
        <f>(AD22*0.877)+AD19</f>
        <v>0</v>
      </c>
      <c r="AE23" s="72"/>
      <c r="AF23" s="64">
        <f t="shared" si="17"/>
        <v>0</v>
      </c>
      <c r="AG23" s="65">
        <f t="shared" si="18"/>
        <v>1.6450074025333116E-3</v>
      </c>
      <c r="AH23" s="58">
        <f t="shared" si="19"/>
        <v>0</v>
      </c>
      <c r="AI23" s="58" t="e">
        <f t="shared" si="25"/>
        <v>#DIV/0!</v>
      </c>
    </row>
    <row r="24" spans="1:35" ht="15.75" thickBot="1" x14ac:dyDescent="0.3">
      <c r="A24" s="22">
        <f t="shared" si="3"/>
        <v>36740</v>
      </c>
      <c r="B24" s="26"/>
      <c r="C24" s="27"/>
      <c r="D24" s="27"/>
      <c r="E24" s="27"/>
      <c r="F24" s="8"/>
      <c r="G24" s="67" t="s">
        <v>25</v>
      </c>
      <c r="H24" s="68">
        <f>(H13*0.878)+H16</f>
        <v>147.19499999999999</v>
      </c>
      <c r="I24" s="68">
        <f>(I13*0.878)+I16</f>
        <v>164.88200000000001</v>
      </c>
      <c r="J24" s="68">
        <f>(J13*0.878)+J16</f>
        <v>145.34800000000001</v>
      </c>
      <c r="K24" s="68">
        <f>(K13*0.878)+K16</f>
        <v>0.46950000000000003</v>
      </c>
      <c r="L24" s="67" t="s">
        <v>25</v>
      </c>
      <c r="M24" s="68">
        <f>(M13*0.878)+M16</f>
        <v>5.8877999999999995</v>
      </c>
      <c r="N24" s="68">
        <f>(N13*0.878)+N16</f>
        <v>6.5952800000000007</v>
      </c>
      <c r="O24" s="68">
        <f>(O13*0.878)+O16</f>
        <v>5.8139200000000004</v>
      </c>
      <c r="P24" s="68">
        <f>(P13*0.878)+P16</f>
        <v>1.8779999999999998E-2</v>
      </c>
      <c r="Q24" s="69" t="s">
        <v>25</v>
      </c>
      <c r="R24" s="73">
        <f>(R13*0.877)+R16</f>
        <v>9.6854745846356298</v>
      </c>
      <c r="S24" s="73">
        <f>(S13*0.877)+S16</f>
        <v>9.5046548494019323</v>
      </c>
      <c r="T24" s="73">
        <f>(T13*0.877)+T16</f>
        <v>9.6368639151334339</v>
      </c>
      <c r="U24" s="77">
        <f>IF(Y24&lt;X24,"0",ROUND(((U13*0.877)+U16),3-(1+INT(LOG10(ABS(((U13*0.877)+U16)))))))</f>
        <v>9.61</v>
      </c>
      <c r="V24" s="57">
        <f t="shared" si="13"/>
        <v>9.3575291344307976E-2</v>
      </c>
      <c r="W24" s="58">
        <f t="shared" si="22"/>
        <v>0.97372831783879266</v>
      </c>
      <c r="X24" s="59">
        <f>X22</f>
        <v>1.6450074025333116E-2</v>
      </c>
      <c r="Y24" s="73">
        <f>(Y13*0.877)+Y16</f>
        <v>9.61</v>
      </c>
      <c r="Z24" s="78"/>
      <c r="AA24" s="30"/>
      <c r="AB24" s="39" t="s">
        <v>25</v>
      </c>
      <c r="AC24" s="71">
        <f>(AC13*0.878)+AC16</f>
        <v>0.96854745846356294</v>
      </c>
      <c r="AD24" s="71">
        <f>(AD13*0.878)+AD16</f>
        <v>0.95046548494019323</v>
      </c>
      <c r="AE24" s="72"/>
      <c r="AF24" s="64">
        <f t="shared" si="17"/>
        <v>0.96099999999999997</v>
      </c>
      <c r="AG24" s="65">
        <f t="shared" si="18"/>
        <v>1.6450074025333116E-3</v>
      </c>
      <c r="AH24" s="58">
        <f t="shared" si="19"/>
        <v>1.2785886095610332E-2</v>
      </c>
      <c r="AI24" s="58">
        <f t="shared" si="25"/>
        <v>1.3304772211873395</v>
      </c>
    </row>
    <row r="25" spans="1:35" x14ac:dyDescent="0.25">
      <c r="T25" s="7"/>
    </row>
    <row r="26" spans="1:35" x14ac:dyDescent="0.25">
      <c r="R26" s="14"/>
      <c r="U26" s="1"/>
      <c r="Y26" s="1">
        <f>(Y13*0.877)+Y16</f>
        <v>9.61</v>
      </c>
      <c r="Z26" s="77">
        <f>(Z22*0.877)+Z19</f>
        <v>0</v>
      </c>
    </row>
    <row r="27" spans="1:35" ht="15.75" thickBot="1" x14ac:dyDescent="0.3">
      <c r="U27" s="1"/>
      <c r="Y27" s="1">
        <f>(Y22*0.877)+Y19</f>
        <v>0</v>
      </c>
      <c r="Z27" s="73">
        <f>(Z13*0.877)+Z16</f>
        <v>9.6089977830569993</v>
      </c>
    </row>
  </sheetData>
  <mergeCells count="8">
    <mergeCell ref="L8:O8"/>
    <mergeCell ref="AB9:AC9"/>
    <mergeCell ref="Q4:V4"/>
    <mergeCell ref="B7:E7"/>
    <mergeCell ref="G7:J7"/>
    <mergeCell ref="L7:O7"/>
    <mergeCell ref="Q6:V6"/>
    <mergeCell ref="AB7:AH7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5"/>
  <sheetViews>
    <sheetView topLeftCell="A4" workbookViewId="0">
      <selection activeCell="H6" sqref="H6"/>
    </sheetView>
  </sheetViews>
  <sheetFormatPr defaultRowHeight="15" x14ac:dyDescent="0.25"/>
  <cols>
    <col min="1" max="1" width="8.85546875" customWidth="1"/>
    <col min="2" max="2" width="11.7109375" customWidth="1"/>
    <col min="3" max="4" width="8.85546875" customWidth="1"/>
    <col min="5" max="5" width="20" customWidth="1"/>
    <col min="8" max="8" width="13.42578125" customWidth="1"/>
    <col min="11" max="11" width="35.140625" customWidth="1"/>
    <col min="14" max="14" width="10.85546875" customWidth="1"/>
  </cols>
  <sheetData>
    <row r="4" spans="1:14" ht="19.5" x14ac:dyDescent="0.3">
      <c r="A4" s="129"/>
      <c r="B4" s="129"/>
    </row>
    <row r="5" spans="1:14" ht="19.5" x14ac:dyDescent="0.3">
      <c r="C5" s="80"/>
      <c r="D5" s="80"/>
      <c r="E5" s="81" t="s">
        <v>35</v>
      </c>
      <c r="F5" s="82" t="s">
        <v>57</v>
      </c>
    </row>
    <row r="6" spans="1:14" x14ac:dyDescent="0.25">
      <c r="A6" s="130"/>
      <c r="B6" s="130"/>
    </row>
    <row r="7" spans="1:14" x14ac:dyDescent="0.25">
      <c r="A7" s="83"/>
      <c r="C7" s="84"/>
      <c r="D7" s="84"/>
      <c r="E7" s="84" t="s">
        <v>36</v>
      </c>
      <c r="F7" s="79">
        <v>0.94940000000000002</v>
      </c>
      <c r="K7" s="85" t="s">
        <v>37</v>
      </c>
      <c r="L7" s="86" t="s">
        <v>56</v>
      </c>
    </row>
    <row r="8" spans="1:14" x14ac:dyDescent="0.25">
      <c r="A8" s="87"/>
      <c r="B8" t="s">
        <v>38</v>
      </c>
      <c r="C8" s="88">
        <v>1</v>
      </c>
      <c r="D8" s="89"/>
      <c r="E8" s="90" t="s">
        <v>39</v>
      </c>
      <c r="F8" s="79">
        <f>(1/0.0353)*1</f>
        <v>28.328611898016998</v>
      </c>
      <c r="G8" s="79" t="s">
        <v>55</v>
      </c>
    </row>
    <row r="9" spans="1:14" ht="15.75" thickBot="1" x14ac:dyDescent="0.3">
      <c r="A9" s="87"/>
    </row>
    <row r="10" spans="1:14" ht="15.75" thickBot="1" x14ac:dyDescent="0.3">
      <c r="A10" s="92"/>
      <c r="B10" s="93" t="s">
        <v>8</v>
      </c>
      <c r="C10" s="94" t="s">
        <v>32</v>
      </c>
      <c r="D10" s="95"/>
      <c r="F10" s="96"/>
      <c r="G10" s="96"/>
      <c r="H10" s="96"/>
    </row>
    <row r="11" spans="1:14" ht="30.75" thickBot="1" x14ac:dyDescent="0.3">
      <c r="A11" s="92"/>
      <c r="B11" s="97"/>
      <c r="C11" s="98"/>
      <c r="D11" s="95"/>
      <c r="E11" s="91" t="s">
        <v>0</v>
      </c>
      <c r="F11" s="99" t="s">
        <v>59</v>
      </c>
      <c r="G11" s="100" t="s">
        <v>58</v>
      </c>
      <c r="H11" s="100" t="s">
        <v>40</v>
      </c>
      <c r="K11" s="101" t="s">
        <v>41</v>
      </c>
      <c r="L11" s="102" t="str">
        <f>F11</f>
        <v>LOQ
mg/mL</v>
      </c>
      <c r="M11" s="102" t="str">
        <f>G11</f>
        <v>Result
mg/mL</v>
      </c>
      <c r="N11" s="102" t="str">
        <f>H11</f>
        <v>Result
mg/bottle</v>
      </c>
    </row>
    <row r="12" spans="1:14" ht="24.75" thickBot="1" x14ac:dyDescent="0.3">
      <c r="A12" s="104"/>
      <c r="B12" s="105">
        <f>Sample!U12</f>
        <v>5.3400000000000003E-2</v>
      </c>
      <c r="C12" s="107">
        <f>Sample!X12</f>
        <v>1.6450074025333116E-2</v>
      </c>
      <c r="D12" s="89"/>
      <c r="E12" s="103" t="s">
        <v>13</v>
      </c>
      <c r="F12" s="108">
        <f>C12*$F$7</f>
        <v>1.561770027965126E-2</v>
      </c>
      <c r="G12" s="106">
        <f t="shared" ref="G12:G24" si="0">IF(B12=0,"ND",B12*$F$7)</f>
        <v>5.0697960000000007E-2</v>
      </c>
      <c r="H12" s="106">
        <f>IF(G12="ND","ND",G12*$F$8)</f>
        <v>1.43620283286119</v>
      </c>
      <c r="K12" s="109" t="s">
        <v>42</v>
      </c>
      <c r="L12" s="110">
        <f>F22</f>
        <v>1.561770027965126E-2</v>
      </c>
      <c r="M12" s="111" t="str">
        <f>IF(G22&lt;F22,"ND",G22)</f>
        <v>ND</v>
      </c>
      <c r="N12" s="111" t="str">
        <f>IF(M12="ND","ND",H22)</f>
        <v>ND</v>
      </c>
    </row>
    <row r="13" spans="1:14" ht="24.75" thickBot="1" x14ac:dyDescent="0.3">
      <c r="A13" s="104"/>
      <c r="B13" s="105" t="str">
        <f>Sample!U13</f>
        <v>0</v>
      </c>
      <c r="C13" s="107">
        <f>Sample!X13</f>
        <v>1.6450074025333116E-2</v>
      </c>
      <c r="D13" s="89"/>
      <c r="E13" s="112" t="s">
        <v>14</v>
      </c>
      <c r="F13" s="106">
        <f t="shared" ref="F13:F22" si="1">C13*$F$7</f>
        <v>1.561770027965126E-2</v>
      </c>
      <c r="G13" s="106">
        <f t="shared" si="0"/>
        <v>0</v>
      </c>
      <c r="H13" s="106">
        <f t="shared" ref="H13:H24" si="2">IF(G13="ND","ND",G13*$F$8)</f>
        <v>0</v>
      </c>
      <c r="K13" s="109" t="s">
        <v>43</v>
      </c>
      <c r="L13" s="110">
        <f>F19</f>
        <v>1.561770027965126E-2</v>
      </c>
      <c r="M13" s="111" t="str">
        <f>IF(G19&lt;F19,"ND",G19)</f>
        <v>ND</v>
      </c>
      <c r="N13" s="111" t="str">
        <f>IF(M13="ND","ND",H19)</f>
        <v>ND</v>
      </c>
    </row>
    <row r="14" spans="1:14" ht="15.75" thickBot="1" x14ac:dyDescent="0.3">
      <c r="A14" s="104"/>
      <c r="B14" s="105" t="str">
        <f>Sample!U14</f>
        <v>0</v>
      </c>
      <c r="C14" s="107">
        <f>Sample!X14</f>
        <v>1.6450074025333116E-2</v>
      </c>
      <c r="D14" s="89"/>
      <c r="E14" s="112" t="s">
        <v>15</v>
      </c>
      <c r="F14" s="106">
        <f t="shared" si="1"/>
        <v>1.561770027965126E-2</v>
      </c>
      <c r="G14" s="106">
        <f t="shared" si="0"/>
        <v>0</v>
      </c>
      <c r="H14" s="106">
        <f t="shared" si="2"/>
        <v>0</v>
      </c>
      <c r="K14" s="109" t="s">
        <v>44</v>
      </c>
      <c r="L14" s="110">
        <f>F13</f>
        <v>1.561770027965126E-2</v>
      </c>
      <c r="M14" s="111" t="str">
        <f>IF(G13&lt;F13,"ND",G13)</f>
        <v>ND</v>
      </c>
      <c r="N14" s="111" t="str">
        <f>IF(M14="ND","ND",H13)</f>
        <v>ND</v>
      </c>
    </row>
    <row r="15" spans="1:14" ht="15.75" thickBot="1" x14ac:dyDescent="0.3">
      <c r="A15" s="104"/>
      <c r="B15" s="105">
        <f>Sample!U15</f>
        <v>9.82</v>
      </c>
      <c r="C15" s="107">
        <f>Sample!X15</f>
        <v>1.6450074025333116E-2</v>
      </c>
      <c r="D15" s="89"/>
      <c r="E15" s="112" t="s">
        <v>16</v>
      </c>
      <c r="F15" s="106">
        <f t="shared" si="1"/>
        <v>1.561770027965126E-2</v>
      </c>
      <c r="G15" s="106">
        <f t="shared" si="0"/>
        <v>9.3231080000000013</v>
      </c>
      <c r="H15" s="106">
        <f t="shared" si="2"/>
        <v>264.11070821529751</v>
      </c>
      <c r="K15" s="109" t="s">
        <v>45</v>
      </c>
      <c r="L15" s="110">
        <f>F16</f>
        <v>1.561770027965126E-2</v>
      </c>
      <c r="M15" s="111">
        <f>IF(G16&lt;F16,"ND",G16)</f>
        <v>9.1237339999999989</v>
      </c>
      <c r="N15" s="111">
        <f>IF(M15="ND","ND",H16)</f>
        <v>258.46271954674216</v>
      </c>
    </row>
    <row r="16" spans="1:14" ht="24.75" thickBot="1" x14ac:dyDescent="0.3">
      <c r="A16" s="104"/>
      <c r="B16" s="105">
        <f>Sample!U16</f>
        <v>9.61</v>
      </c>
      <c r="C16" s="107">
        <f>Sample!X16</f>
        <v>1.6450074025333116E-2</v>
      </c>
      <c r="D16" s="89"/>
      <c r="E16" s="112" t="s">
        <v>17</v>
      </c>
      <c r="F16" s="106">
        <f t="shared" si="1"/>
        <v>1.561770027965126E-2</v>
      </c>
      <c r="G16" s="106">
        <f t="shared" si="0"/>
        <v>9.1237339999999989</v>
      </c>
      <c r="H16" s="106">
        <f t="shared" si="2"/>
        <v>258.46271954674216</v>
      </c>
      <c r="K16" s="109" t="s">
        <v>46</v>
      </c>
      <c r="L16" s="110">
        <f>F20</f>
        <v>1.561770027965126E-2</v>
      </c>
      <c r="M16" s="111" t="str">
        <f>IF(G20&lt;F20,"ND",G20)</f>
        <v>ND</v>
      </c>
      <c r="N16" s="111" t="str">
        <f>IF(M16="ND","ND",H20)</f>
        <v>ND</v>
      </c>
    </row>
    <row r="17" spans="1:14" ht="15.75" thickBot="1" x14ac:dyDescent="0.3">
      <c r="A17" s="104"/>
      <c r="B17" s="105" t="str">
        <f>Sample!U17</f>
        <v>0</v>
      </c>
      <c r="C17" s="107">
        <f>Sample!X17</f>
        <v>1.6450074025333116E-2</v>
      </c>
      <c r="D17" s="89"/>
      <c r="E17" s="112" t="s">
        <v>18</v>
      </c>
      <c r="F17" s="106">
        <f t="shared" si="1"/>
        <v>1.561770027965126E-2</v>
      </c>
      <c r="G17" s="106">
        <f t="shared" si="0"/>
        <v>0</v>
      </c>
      <c r="H17" s="106">
        <f t="shared" si="2"/>
        <v>0</v>
      </c>
      <c r="K17" s="109" t="s">
        <v>47</v>
      </c>
      <c r="L17" s="110">
        <f>F18</f>
        <v>1.561770027965126E-2</v>
      </c>
      <c r="M17" s="111">
        <f>IF(G18&lt;F18,"ND",G18)</f>
        <v>5.5824720000000001E-2</v>
      </c>
      <c r="N17" s="111">
        <f>IF(M17="ND","ND",H18)</f>
        <v>1.5814368271954675</v>
      </c>
    </row>
    <row r="18" spans="1:14" ht="15.75" thickBot="1" x14ac:dyDescent="0.3">
      <c r="A18" s="104"/>
      <c r="B18" s="105">
        <f>Sample!U18</f>
        <v>5.8799999999999998E-2</v>
      </c>
      <c r="C18" s="107">
        <f>Sample!X18</f>
        <v>1.6450074025333116E-2</v>
      </c>
      <c r="D18" s="89"/>
      <c r="E18" s="112" t="s">
        <v>19</v>
      </c>
      <c r="F18" s="106">
        <f t="shared" si="1"/>
        <v>1.561770027965126E-2</v>
      </c>
      <c r="G18" s="106">
        <f t="shared" si="0"/>
        <v>5.5824720000000001E-2</v>
      </c>
      <c r="H18" s="106">
        <f t="shared" si="2"/>
        <v>1.5814368271954675</v>
      </c>
      <c r="K18" s="109" t="s">
        <v>48</v>
      </c>
      <c r="L18" s="110">
        <f t="shared" ref="L18:L19" si="3">F14</f>
        <v>1.561770027965126E-2</v>
      </c>
      <c r="M18" s="111" t="str">
        <f>IF(G14&lt;F14,"ND",G14)</f>
        <v>ND</v>
      </c>
      <c r="N18" s="111" t="str">
        <f>IF(M18="ND","ND",H14)</f>
        <v>ND</v>
      </c>
    </row>
    <row r="19" spans="1:14" ht="15.75" thickBot="1" x14ac:dyDescent="0.3">
      <c r="A19" s="104"/>
      <c r="B19" s="105" t="str">
        <f>Sample!U19</f>
        <v>0</v>
      </c>
      <c r="C19" s="107">
        <f>Sample!X19</f>
        <v>1.6450074025333116E-2</v>
      </c>
      <c r="D19" s="113"/>
      <c r="E19" s="112" t="s">
        <v>20</v>
      </c>
      <c r="F19" s="106">
        <f t="shared" si="1"/>
        <v>1.561770027965126E-2</v>
      </c>
      <c r="G19" s="106">
        <f t="shared" si="0"/>
        <v>0</v>
      </c>
      <c r="H19" s="106">
        <f t="shared" si="2"/>
        <v>0</v>
      </c>
      <c r="K19" s="109" t="s">
        <v>49</v>
      </c>
      <c r="L19" s="110">
        <f t="shared" si="3"/>
        <v>1.561770027965126E-2</v>
      </c>
      <c r="M19" s="111">
        <f>IF(G15&lt;F15,"ND",G15)</f>
        <v>9.3231080000000013</v>
      </c>
      <c r="N19" s="111">
        <f>IF(M19="ND","ND",H15)</f>
        <v>264.11070821529751</v>
      </c>
    </row>
    <row r="20" spans="1:14" ht="15.75" thickBot="1" x14ac:dyDescent="0.3">
      <c r="A20" s="104"/>
      <c r="B20" s="105" t="str">
        <f>Sample!U20</f>
        <v>0</v>
      </c>
      <c r="C20" s="107">
        <f>Sample!X20</f>
        <v>1.6450074025333116E-2</v>
      </c>
      <c r="D20" s="89"/>
      <c r="E20" s="112" t="s">
        <v>21</v>
      </c>
      <c r="F20" s="106">
        <f t="shared" si="1"/>
        <v>1.561770027965126E-2</v>
      </c>
      <c r="G20" s="106">
        <f t="shared" si="0"/>
        <v>0</v>
      </c>
      <c r="H20" s="106">
        <f t="shared" si="2"/>
        <v>0</v>
      </c>
      <c r="K20" s="109" t="s">
        <v>50</v>
      </c>
      <c r="L20" s="110">
        <f>F17</f>
        <v>1.561770027965126E-2</v>
      </c>
      <c r="M20" s="111" t="str">
        <f>IF(G17&lt;F17,"ND",G17)</f>
        <v>ND</v>
      </c>
      <c r="N20" s="111" t="str">
        <f>IF(M20="ND","ND",H17)</f>
        <v>ND</v>
      </c>
    </row>
    <row r="21" spans="1:14" ht="15.75" thickBot="1" x14ac:dyDescent="0.3">
      <c r="A21" s="104"/>
      <c r="B21" s="105">
        <f>Sample!U21</f>
        <v>7.4700000000000003E-2</v>
      </c>
      <c r="C21" s="107">
        <f>Sample!X21</f>
        <v>1.6450074025333116E-2</v>
      </c>
      <c r="D21" s="113"/>
      <c r="E21" s="112" t="s">
        <v>22</v>
      </c>
      <c r="F21" s="106">
        <f t="shared" si="1"/>
        <v>1.561770027965126E-2</v>
      </c>
      <c r="G21" s="106">
        <f t="shared" si="0"/>
        <v>7.0920179999999999E-2</v>
      </c>
      <c r="H21" s="106">
        <f t="shared" si="2"/>
        <v>2.009070254957507</v>
      </c>
      <c r="K21" s="109" t="s">
        <v>51</v>
      </c>
      <c r="L21" s="110">
        <f>F12</f>
        <v>1.561770027965126E-2</v>
      </c>
      <c r="M21" s="111">
        <f>IF(G12&lt;F12,"ND",G12)</f>
        <v>5.0697960000000007E-2</v>
      </c>
      <c r="N21" s="111">
        <f>IF(M21="ND","ND",H12)</f>
        <v>1.43620283286119</v>
      </c>
    </row>
    <row r="22" spans="1:14" ht="15.75" thickBot="1" x14ac:dyDescent="0.3">
      <c r="A22" s="104"/>
      <c r="B22" s="105" t="str">
        <f>Sample!U22</f>
        <v>0</v>
      </c>
      <c r="C22" s="107">
        <f>Sample!X22</f>
        <v>1.6450074025333116E-2</v>
      </c>
      <c r="D22" s="89"/>
      <c r="E22" s="112" t="s">
        <v>23</v>
      </c>
      <c r="F22" s="106">
        <f t="shared" si="1"/>
        <v>1.561770027965126E-2</v>
      </c>
      <c r="G22" s="106">
        <f t="shared" si="0"/>
        <v>0</v>
      </c>
      <c r="H22" s="106">
        <f t="shared" si="2"/>
        <v>0</v>
      </c>
      <c r="K22" s="109" t="s">
        <v>52</v>
      </c>
      <c r="L22" s="110">
        <f>F21</f>
        <v>1.561770027965126E-2</v>
      </c>
      <c r="M22" s="111">
        <f>IF(G21&lt;F21,"ND",G21)</f>
        <v>7.0920179999999999E-2</v>
      </c>
      <c r="N22" s="111">
        <f>IF(M22="ND","ND",H21)</f>
        <v>2.009070254957507</v>
      </c>
    </row>
    <row r="23" spans="1:14" ht="15.75" thickBot="1" x14ac:dyDescent="0.3">
      <c r="A23" s="115"/>
      <c r="B23" s="105" t="str">
        <f>Sample!U23</f>
        <v>0</v>
      </c>
      <c r="C23" s="107">
        <f>Sample!X23</f>
        <v>1.6450074025333116E-2</v>
      </c>
      <c r="D23" s="116"/>
      <c r="E23" s="114" t="s">
        <v>24</v>
      </c>
      <c r="F23" s="106"/>
      <c r="G23" s="106">
        <f t="shared" si="0"/>
        <v>0</v>
      </c>
      <c r="H23" s="106">
        <f t="shared" si="2"/>
        <v>0</v>
      </c>
      <c r="K23" s="117" t="s">
        <v>53</v>
      </c>
      <c r="L23" s="118"/>
      <c r="M23" s="119">
        <f>G24</f>
        <v>9.1237339999999989</v>
      </c>
      <c r="N23" s="119">
        <f>H24</f>
        <v>258.46271954674216</v>
      </c>
    </row>
    <row r="24" spans="1:14" x14ac:dyDescent="0.25">
      <c r="A24" s="115"/>
      <c r="B24" s="105">
        <f>Sample!U24</f>
        <v>9.61</v>
      </c>
      <c r="C24" s="107">
        <f>Sample!X24</f>
        <v>1.6450074025333116E-2</v>
      </c>
      <c r="D24" s="116"/>
      <c r="E24" s="114" t="s">
        <v>25</v>
      </c>
      <c r="F24" s="106"/>
      <c r="G24" s="106">
        <f t="shared" si="0"/>
        <v>9.1237339999999989</v>
      </c>
      <c r="H24" s="106">
        <f t="shared" si="2"/>
        <v>258.46271954674216</v>
      </c>
      <c r="K24" s="120" t="s">
        <v>54</v>
      </c>
      <c r="L24" s="121"/>
      <c r="M24" s="122">
        <f>G23</f>
        <v>0</v>
      </c>
      <c r="N24" s="122">
        <f>H23</f>
        <v>0</v>
      </c>
    </row>
    <row r="25" spans="1:14" x14ac:dyDescent="0.25">
      <c r="A25" s="83"/>
    </row>
  </sheetData>
  <mergeCells count="2">
    <mergeCell ref="A4:B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Wagner</dc:creator>
  <cp:lastModifiedBy>Mike Ulatowski</cp:lastModifiedBy>
  <cp:lastPrinted>2019-03-01T13:45:24Z</cp:lastPrinted>
  <dcterms:created xsi:type="dcterms:W3CDTF">2019-01-07T21:38:26Z</dcterms:created>
  <dcterms:modified xsi:type="dcterms:W3CDTF">2020-10-10T21:05:08Z</dcterms:modified>
</cp:coreProperties>
</file>