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TL\HPLC\_HPLC-UV\2020 Data\9_2020\20200916_35329-35479\"/>
    </mc:Choice>
  </mc:AlternateContent>
  <bookViews>
    <workbookView xWindow="0" yWindow="0" windowWidth="23040" windowHeight="8916"/>
  </bookViews>
  <sheets>
    <sheet name="Sample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9" l="1"/>
  <c r="K12" i="9" l="1"/>
  <c r="K13" i="9"/>
  <c r="K15" i="9"/>
  <c r="K16" i="9"/>
  <c r="K17" i="9"/>
  <c r="K18" i="9"/>
  <c r="K19" i="9"/>
  <c r="K20" i="9"/>
  <c r="P20" i="9" s="1"/>
  <c r="K21" i="9"/>
  <c r="K22" i="9"/>
  <c r="J17" i="9"/>
  <c r="H16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I17" i="9"/>
  <c r="H17" i="9"/>
  <c r="J16" i="9"/>
  <c r="I16" i="9"/>
  <c r="J15" i="9"/>
  <c r="I15" i="9"/>
  <c r="H15" i="9"/>
  <c r="J14" i="9"/>
  <c r="I14" i="9"/>
  <c r="H14" i="9"/>
  <c r="J13" i="9"/>
  <c r="I13" i="9"/>
  <c r="H13" i="9"/>
  <c r="J12" i="9"/>
  <c r="I12" i="9"/>
  <c r="H12" i="9"/>
  <c r="K23" i="9" l="1"/>
  <c r="P22" i="9"/>
  <c r="P21" i="9"/>
  <c r="P19" i="9"/>
  <c r="P18" i="9"/>
  <c r="P17" i="9"/>
  <c r="P16" i="9"/>
  <c r="P15" i="9"/>
  <c r="P14" i="9"/>
  <c r="P13" i="9"/>
  <c r="P12" i="9"/>
  <c r="K24" i="9"/>
  <c r="P24" i="9" l="1"/>
  <c r="P23" i="9"/>
  <c r="T9" i="9"/>
  <c r="S9" i="9"/>
  <c r="R9" i="9"/>
  <c r="X17" i="9" s="1"/>
  <c r="AG17" i="9" s="1"/>
  <c r="N12" i="9"/>
  <c r="X13" i="9" l="1"/>
  <c r="X18" i="9"/>
  <c r="AG18" i="9" s="1"/>
  <c r="X22" i="9"/>
  <c r="X20" i="9"/>
  <c r="AG20" i="9" s="1"/>
  <c r="X16" i="9"/>
  <c r="AG16" i="9" s="1"/>
  <c r="X15" i="9"/>
  <c r="AG15" i="9" s="1"/>
  <c r="X21" i="9"/>
  <c r="X23" i="9" s="1"/>
  <c r="X14" i="9"/>
  <c r="AG14" i="9" s="1"/>
  <c r="X19" i="9"/>
  <c r="S12" i="9"/>
  <c r="X12" i="9"/>
  <c r="AG12" i="9" s="1"/>
  <c r="T10" i="9"/>
  <c r="O10" i="9"/>
  <c r="J10" i="9"/>
  <c r="O12" i="9"/>
  <c r="T12" i="9" s="1"/>
  <c r="O13" i="9"/>
  <c r="T13" i="9" s="1"/>
  <c r="O14" i="9"/>
  <c r="T14" i="9" s="1"/>
  <c r="O15" i="9"/>
  <c r="T15" i="9" s="1"/>
  <c r="O16" i="9"/>
  <c r="T16" i="9" s="1"/>
  <c r="O17" i="9"/>
  <c r="T17" i="9" s="1"/>
  <c r="O18" i="9"/>
  <c r="T18" i="9" s="1"/>
  <c r="O19" i="9"/>
  <c r="T19" i="9" s="1"/>
  <c r="O20" i="9"/>
  <c r="T20" i="9" s="1"/>
  <c r="O21" i="9"/>
  <c r="T21" i="9" s="1"/>
  <c r="J23" i="9"/>
  <c r="AG19" i="9" l="1"/>
  <c r="X24" i="9"/>
  <c r="AG24" i="9" s="1"/>
  <c r="AG22" i="9"/>
  <c r="AG23" i="9"/>
  <c r="AG21" i="9"/>
  <c r="AG13" i="9"/>
  <c r="O24" i="9"/>
  <c r="T24" i="9"/>
  <c r="J24" i="9"/>
  <c r="O22" i="9"/>
  <c r="T22" i="9" s="1"/>
  <c r="S10" i="9"/>
  <c r="N10" i="9"/>
  <c r="I10" i="9"/>
  <c r="N13" i="9"/>
  <c r="S13" i="9" s="1"/>
  <c r="N14" i="9"/>
  <c r="S14" i="9" s="1"/>
  <c r="N15" i="9"/>
  <c r="S15" i="9" s="1"/>
  <c r="N17" i="9"/>
  <c r="S17" i="9" s="1"/>
  <c r="N18" i="9"/>
  <c r="S18" i="9" s="1"/>
  <c r="N19" i="9"/>
  <c r="S19" i="9" s="1"/>
  <c r="N20" i="9"/>
  <c r="S20" i="9" s="1"/>
  <c r="N21" i="9"/>
  <c r="S21" i="9" s="1"/>
  <c r="N22" i="9"/>
  <c r="S22" i="9" s="1"/>
  <c r="O23" i="9" l="1"/>
  <c r="T23" i="9"/>
  <c r="I24" i="9"/>
  <c r="N16" i="9"/>
  <c r="S16" i="9" s="1"/>
  <c r="S24" i="9" s="1"/>
  <c r="N23" i="9"/>
  <c r="I23" i="9"/>
  <c r="N24" i="9" l="1"/>
  <c r="S23" i="9"/>
  <c r="AD10" i="9" l="1"/>
  <c r="AC10" i="9" l="1"/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D22" i="9" l="1"/>
  <c r="M22" i="9"/>
  <c r="R22" i="9" s="1"/>
  <c r="Z22" i="9" s="1"/>
  <c r="AD21" i="9"/>
  <c r="M21" i="9"/>
  <c r="R21" i="9" s="1"/>
  <c r="Z21" i="9" s="1"/>
  <c r="AA21" i="9" s="1"/>
  <c r="Y21" i="9" s="1"/>
  <c r="U21" i="9" s="1"/>
  <c r="AD20" i="9"/>
  <c r="M20" i="9"/>
  <c r="R20" i="9" s="1"/>
  <c r="Z20" i="9" s="1"/>
  <c r="AA20" i="9" s="1"/>
  <c r="Y20" i="9" s="1"/>
  <c r="U20" i="9" s="1"/>
  <c r="AD18" i="9"/>
  <c r="M18" i="9"/>
  <c r="R18" i="9" s="1"/>
  <c r="Z18" i="9" s="1"/>
  <c r="AD17" i="9"/>
  <c r="M17" i="9"/>
  <c r="R17" i="9" s="1"/>
  <c r="Z17" i="9" s="1"/>
  <c r="AA17" i="9" s="1"/>
  <c r="Y17" i="9" s="1"/>
  <c r="U17" i="9" s="1"/>
  <c r="AD16" i="9"/>
  <c r="AD15" i="9"/>
  <c r="M15" i="9"/>
  <c r="R15" i="9" s="1"/>
  <c r="Z15" i="9" s="1"/>
  <c r="AA15" i="9" s="1"/>
  <c r="Y15" i="9" s="1"/>
  <c r="U15" i="9" s="1"/>
  <c r="AD14" i="9"/>
  <c r="M14" i="9"/>
  <c r="R14" i="9" s="1"/>
  <c r="Z14" i="9" s="1"/>
  <c r="AA14" i="9" s="1"/>
  <c r="Y14" i="9" s="1"/>
  <c r="U14" i="9" s="1"/>
  <c r="AD13" i="9"/>
  <c r="M13" i="9"/>
  <c r="R13" i="9" s="1"/>
  <c r="AD12" i="9"/>
  <c r="M12" i="9"/>
  <c r="R12" i="9" s="1"/>
  <c r="Z12" i="9" s="1"/>
  <c r="AA12" i="9" s="1"/>
  <c r="Y12" i="9" s="1"/>
  <c r="U12" i="9" s="1"/>
  <c r="R10" i="9"/>
  <c r="M10" i="9"/>
  <c r="H10" i="9"/>
  <c r="AC6" i="9"/>
  <c r="Z13" i="9" l="1"/>
  <c r="AA13" i="9" s="1"/>
  <c r="Y13" i="9" s="1"/>
  <c r="U13" i="9" s="1"/>
  <c r="AA18" i="9"/>
  <c r="Y18" i="9" s="1"/>
  <c r="U18" i="9" s="1"/>
  <c r="AA22" i="9"/>
  <c r="Y22" i="9" s="1"/>
  <c r="V18" i="9"/>
  <c r="V14" i="9"/>
  <c r="V17" i="9"/>
  <c r="V21" i="9"/>
  <c r="V20" i="9"/>
  <c r="V15" i="9"/>
  <c r="V12" i="9"/>
  <c r="AC12" i="9"/>
  <c r="H23" i="9"/>
  <c r="H24" i="9"/>
  <c r="M16" i="9"/>
  <c r="R16" i="9" s="1"/>
  <c r="Z16" i="9" s="1"/>
  <c r="M19" i="9"/>
  <c r="R19" i="9" s="1"/>
  <c r="AC18" i="9"/>
  <c r="AC15" i="9"/>
  <c r="AC17" i="9"/>
  <c r="AC14" i="9"/>
  <c r="AC21" i="9"/>
  <c r="AC20" i="9"/>
  <c r="AD19" i="9"/>
  <c r="U22" i="9" l="1"/>
  <c r="R24" i="9"/>
  <c r="Z19" i="9"/>
  <c r="Z26" i="9" s="1"/>
  <c r="AA16" i="9"/>
  <c r="Y16" i="9" s="1"/>
  <c r="Y26" i="9" s="1"/>
  <c r="Z27" i="9"/>
  <c r="W18" i="9"/>
  <c r="W15" i="9"/>
  <c r="AF17" i="9"/>
  <c r="W21" i="9"/>
  <c r="AF12" i="9"/>
  <c r="AF18" i="9"/>
  <c r="V13" i="9"/>
  <c r="V22" i="9"/>
  <c r="V16" i="9"/>
  <c r="W17" i="9"/>
  <c r="V19" i="9"/>
  <c r="W14" i="9"/>
  <c r="AF20" i="9"/>
  <c r="AF14" i="9"/>
  <c r="AF15" i="9"/>
  <c r="AF21" i="9"/>
  <c r="AH18" i="9"/>
  <c r="AH17" i="9"/>
  <c r="M23" i="9"/>
  <c r="AC19" i="9"/>
  <c r="M24" i="9"/>
  <c r="AC16" i="9"/>
  <c r="AH16" i="9" s="1"/>
  <c r="AD24" i="9"/>
  <c r="AH12" i="9"/>
  <c r="AH14" i="9"/>
  <c r="AH20" i="9"/>
  <c r="AH15" i="9"/>
  <c r="AC13" i="9"/>
  <c r="AH21" i="9"/>
  <c r="R23" i="9"/>
  <c r="AC22" i="9"/>
  <c r="Y24" i="9" l="1"/>
  <c r="AA19" i="9"/>
  <c r="Y19" i="9" s="1"/>
  <c r="U16" i="9"/>
  <c r="W16" i="9" s="1"/>
  <c r="AI18" i="9"/>
  <c r="W22" i="9"/>
  <c r="V23" i="9"/>
  <c r="V24" i="9"/>
  <c r="AF13" i="9"/>
  <c r="AF22" i="9"/>
  <c r="AD23" i="9"/>
  <c r="AI15" i="9"/>
  <c r="AI21" i="9"/>
  <c r="AH22" i="9"/>
  <c r="AC23" i="9"/>
  <c r="AC24" i="9"/>
  <c r="AH24" i="9" s="1"/>
  <c r="AI14" i="9"/>
  <c r="AI17" i="9"/>
  <c r="U24" i="9" l="1"/>
  <c r="AF24" i="9" s="1"/>
  <c r="AI24" i="9" s="1"/>
  <c r="U19" i="9"/>
  <c r="W19" i="9" s="1"/>
  <c r="Y23" i="9"/>
  <c r="Y27" i="9"/>
  <c r="AF16" i="9"/>
  <c r="AI16" i="9" s="1"/>
  <c r="AH23" i="9"/>
  <c r="AH19" i="9"/>
  <c r="AH13" i="9"/>
  <c r="AI22" i="9"/>
  <c r="W24" i="9" l="1"/>
  <c r="U23" i="9"/>
  <c r="AF23" i="9" s="1"/>
  <c r="AI23" i="9" s="1"/>
  <c r="AF19" i="9"/>
  <c r="AI19" i="9" s="1"/>
  <c r="W23" i="9" l="1"/>
</calcChain>
</file>

<file path=xl/sharedStrings.xml><?xml version="1.0" encoding="utf-8"?>
<sst xmlns="http://schemas.openxmlformats.org/spreadsheetml/2006/main" count="97" uniqueCount="35">
  <si>
    <t>Cannabinoid</t>
  </si>
  <si>
    <t>Std Dev.</t>
  </si>
  <si>
    <t>Sample LIMS ID</t>
  </si>
  <si>
    <t>METRC ID</t>
  </si>
  <si>
    <t>Total Mass of Compound  (mg)</t>
  </si>
  <si>
    <t>RSD</t>
  </si>
  <si>
    <t>METRC ID:</t>
  </si>
  <si>
    <t>Original Instrument Data (mg/L)</t>
  </si>
  <si>
    <t>AVG (mg/g)</t>
  </si>
  <si>
    <t>Reported Data with Dilution Factor (mg/L)</t>
  </si>
  <si>
    <t>mg/L x extraction volume (L)</t>
  </si>
  <si>
    <t>Extraction Volume:</t>
  </si>
  <si>
    <t>%</t>
  </si>
  <si>
    <t xml:space="preserve">CBDV </t>
  </si>
  <si>
    <t xml:space="preserve">CBDA </t>
  </si>
  <si>
    <t xml:space="preserve">CBGA </t>
  </si>
  <si>
    <t xml:space="preserve">CBG </t>
  </si>
  <si>
    <t xml:space="preserve">CBD </t>
  </si>
  <si>
    <t xml:space="preserve">THCV </t>
  </si>
  <si>
    <t xml:space="preserve">CBN </t>
  </si>
  <si>
    <t xml:space="preserve">d9-THC </t>
  </si>
  <si>
    <t xml:space="preserve">d8-THC </t>
  </si>
  <si>
    <t xml:space="preserve">CBC </t>
  </si>
  <si>
    <t xml:space="preserve">THCA </t>
  </si>
  <si>
    <t xml:space="preserve">Total THC </t>
  </si>
  <si>
    <t xml:space="preserve">Total CBD </t>
  </si>
  <si>
    <t>Values in %</t>
  </si>
  <si>
    <t>Conc. Of Product (mg/g)</t>
  </si>
  <si>
    <t>Final Dilution Factor:</t>
  </si>
  <si>
    <t>Wet weight(g):</t>
  </si>
  <si>
    <t>Dry weight(g):</t>
  </si>
  <si>
    <t>Moisture Content(%):</t>
  </si>
  <si>
    <t>LOQ</t>
  </si>
  <si>
    <t>mg/g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</si>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</sst>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2" fillId="0" borderId="0" xfId="0" applyNumberFormat="1" applyFont="1" applyFill="1" applyAlignment="1" applyProtection="1">
      <alignment horizontal="center"/>
      <protection locked="0"/>
    </xf>
    <xf numFmtId="2" fontId="1" fillId="0" borderId="0" xfId="0" applyNumberFormat="1" applyFont="1" applyProtection="1">
      <protection locked="0"/>
    </xf>
    <xf numFmtId="0" fontId="1" fillId="0" borderId="0" xfId="0" applyFont="1" applyBorder="1" applyProtection="1">
      <protection locked="0"/>
    </xf>
    <xf numFmtId="2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NumberFormat="1" applyFont="1" applyAlignment="1" applyProtection="1">
      <alignment horizontal="center"/>
    </xf>
    <xf numFmtId="0" fontId="0" fillId="0" borderId="0" xfId="0" applyProtection="1"/>
    <xf numFmtId="0" fontId="1" fillId="0" borderId="4" xfId="0" applyFont="1" applyBorder="1" applyProtection="1"/>
    <xf numFmtId="0" fontId="1" fillId="0" borderId="10" xfId="0" applyNumberFormat="1" applyFont="1" applyBorder="1" applyAlignment="1" applyProtection="1">
      <alignment horizontal="center"/>
    </xf>
    <xf numFmtId="164" fontId="1" fillId="2" borderId="15" xfId="0" applyNumberFormat="1" applyFont="1" applyFill="1" applyBorder="1" applyAlignment="1" applyProtection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/>
    </xf>
    <xf numFmtId="164" fontId="1" fillId="4" borderId="0" xfId="0" applyNumberFormat="1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2" fontId="1" fillId="2" borderId="15" xfId="0" applyNumberFormat="1" applyFont="1" applyFill="1" applyBorder="1" applyAlignment="1" applyProtection="1">
      <alignment horizontal="center"/>
    </xf>
    <xf numFmtId="0" fontId="1" fillId="0" borderId="1" xfId="0" applyFont="1" applyBorder="1" applyProtection="1"/>
    <xf numFmtId="1" fontId="1" fillId="0" borderId="1" xfId="0" applyNumberFormat="1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5" xfId="0" applyFont="1" applyBorder="1" applyProtection="1"/>
    <xf numFmtId="0" fontId="1" fillId="0" borderId="11" xfId="0" applyNumberFormat="1" applyFont="1" applyBorder="1" applyAlignment="1" applyProtection="1">
      <alignment horizontal="center"/>
    </xf>
    <xf numFmtId="164" fontId="1" fillId="2" borderId="16" xfId="0" applyNumberFormat="1" applyFont="1" applyFill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164" fontId="1" fillId="4" borderId="0" xfId="0" applyNumberFormat="1" applyFont="1" applyFill="1" applyProtection="1"/>
    <xf numFmtId="0" fontId="1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Border="1" applyAlignment="1" applyProtection="1">
      <alignment horizontal="center"/>
    </xf>
    <xf numFmtId="0" fontId="0" fillId="0" borderId="0" xfId="0" applyBorder="1" applyProtection="1"/>
    <xf numFmtId="2" fontId="2" fillId="0" borderId="0" xfId="0" applyNumberFormat="1" applyFont="1" applyAlignment="1" applyProtection="1">
      <alignment horizontal="center"/>
    </xf>
    <xf numFmtId="0" fontId="0" fillId="0" borderId="8" xfId="0" applyBorder="1" applyProtection="1"/>
    <xf numFmtId="2" fontId="2" fillId="0" borderId="12" xfId="0" applyNumberFormat="1" applyFont="1" applyBorder="1" applyAlignment="1" applyProtection="1">
      <alignment horizontal="center"/>
    </xf>
    <xf numFmtId="2" fontId="2" fillId="0" borderId="12" xfId="0" applyNumberFormat="1" applyFon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2" fontId="0" fillId="0" borderId="7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5" fillId="4" borderId="12" xfId="0" applyNumberFormat="1" applyFont="1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1" xfId="0" applyBorder="1" applyProtection="1"/>
    <xf numFmtId="2" fontId="2" fillId="0" borderId="1" xfId="0" applyNumberFormat="1" applyFont="1" applyBorder="1" applyAlignment="1" applyProtection="1">
      <alignment horizontal="center"/>
    </xf>
    <xf numFmtId="2" fontId="2" fillId="0" borderId="0" xfId="0" applyNumberFormat="1" applyFont="1" applyBorder="1" applyAlignment="1" applyProtection="1">
      <alignment horizontal="center"/>
    </xf>
    <xf numFmtId="164" fontId="0" fillId="2" borderId="1" xfId="0" applyNumberFormat="1" applyFill="1" applyBorder="1" applyAlignment="1" applyProtection="1">
      <alignment horizontal="center"/>
    </xf>
    <xf numFmtId="164" fontId="5" fillId="4" borderId="12" xfId="0" applyNumberFormat="1" applyFont="1" applyFill="1" applyBorder="1" applyAlignment="1" applyProtection="1">
      <alignment horizontal="center"/>
    </xf>
    <xf numFmtId="0" fontId="0" fillId="0" borderId="9" xfId="0" applyBorder="1" applyProtection="1"/>
    <xf numFmtId="0" fontId="1" fillId="0" borderId="0" xfId="0" applyFont="1" applyBorder="1" applyProtection="1"/>
    <xf numFmtId="2" fontId="1" fillId="0" borderId="0" xfId="0" applyNumberFormat="1" applyFont="1" applyAlignment="1" applyProtection="1">
      <alignment horizontal="center"/>
    </xf>
    <xf numFmtId="0" fontId="1" fillId="0" borderId="9" xfId="0" applyFont="1" applyBorder="1" applyProtection="1"/>
    <xf numFmtId="2" fontId="1" fillId="0" borderId="13" xfId="0" applyNumberFormat="1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alignment horizontal="center"/>
    </xf>
    <xf numFmtId="2" fontId="1" fillId="0" borderId="14" xfId="0" applyNumberFormat="1" applyFont="1" applyBorder="1" applyAlignment="1" applyProtection="1">
      <alignment horizontal="center"/>
    </xf>
    <xf numFmtId="2" fontId="1" fillId="2" borderId="18" xfId="0" applyNumberFormat="1" applyFont="1" applyFill="1" applyBorder="1" applyAlignment="1" applyProtection="1">
      <alignment horizontal="center"/>
    </xf>
    <xf numFmtId="164" fontId="0" fillId="3" borderId="0" xfId="0" applyNumberFormat="1" applyFill="1" applyAlignment="1" applyProtection="1">
      <alignment horizontal="center"/>
      <protection locked="0"/>
    </xf>
    <xf numFmtId="164" fontId="0" fillId="3" borderId="0" xfId="0" applyNumberForma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382104</xdr:colOff>
      <xdr:row>17</xdr:row>
      <xdr:rowOff>111539</xdr:rowOff>
    </xdr:from>
    <xdr:ext cx="65" cy="172227"/>
    <xdr:sp macro="" textlink="">
      <xdr:nvSpPr>
        <xdr:cNvPr id="2" name="TextBox 1"/>
        <xdr:cNvSpPr txBox="1"/>
      </xdr:nvSpPr>
      <xdr:spPr>
        <a:xfrm>
          <a:off x="10608365" y="347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382104</xdr:colOff>
      <xdr:row>17</xdr:row>
      <xdr:rowOff>111539</xdr:rowOff>
    </xdr:from>
    <xdr:ext cx="65" cy="172227"/>
    <xdr:sp macro="" textlink="">
      <xdr:nvSpPr>
        <xdr:cNvPr id="3" name="TextBox 2"/>
        <xdr:cNvSpPr txBox="1"/>
      </xdr:nvSpPr>
      <xdr:spPr>
        <a:xfrm>
          <a:off x="10433780" y="3529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382104</xdr:colOff>
      <xdr:row>17</xdr:row>
      <xdr:rowOff>111539</xdr:rowOff>
    </xdr:from>
    <xdr:ext cx="65" cy="172227"/>
    <xdr:sp macro="" textlink="">
      <xdr:nvSpPr>
        <xdr:cNvPr id="4" name="TextBox 3"/>
        <xdr:cNvSpPr txBox="1"/>
      </xdr:nvSpPr>
      <xdr:spPr>
        <a:xfrm>
          <a:off x="11372833" y="3374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7"/>
  <sheetViews>
    <sheetView tabSelected="1" topLeftCell="N1" zoomScale="85" zoomScaleNormal="85" workbookViewId="0">
      <selection activeCell="S9" sqref="S9"/>
    </sheetView>
  </sheetViews>
  <sheetFormatPr defaultColWidth="9.109375" defaultRowHeight="14.4" x14ac:dyDescent="0.3"/>
  <cols>
    <col min="1" max="1" width="9.109375" style="1"/>
    <col min="2" max="2" width="20.109375" style="1" customWidth="1"/>
    <col min="3" max="3" width="11.109375" style="2" customWidth="1"/>
    <col min="4" max="4" width="11.6640625" style="2" customWidth="1"/>
    <col min="5" max="5" width="11.5546875" style="1" customWidth="1"/>
    <col min="6" max="6" width="9.109375" style="1" customWidth="1"/>
    <col min="7" max="7" width="16" style="1" customWidth="1"/>
    <col min="8" max="11" width="9.109375" style="1" customWidth="1"/>
    <col min="12" max="12" width="16.6640625" style="1" customWidth="1"/>
    <col min="13" max="15" width="9.109375" style="1" customWidth="1"/>
    <col min="16" max="16" width="9.109375" style="1"/>
    <col min="17" max="17" width="19.109375" style="1" customWidth="1"/>
    <col min="18" max="18" width="9.109375" style="1"/>
    <col min="19" max="20" width="8.88671875" style="1" customWidth="1"/>
    <col min="21" max="21" width="11.6640625" style="3" customWidth="1"/>
    <col min="22" max="27" width="8.88671875" style="1" customWidth="1"/>
    <col min="28" max="28" width="21.109375" style="1" customWidth="1"/>
    <col min="29" max="29" width="9.88671875" style="1" customWidth="1"/>
    <col min="30" max="31" width="8.88671875" style="1" customWidth="1"/>
    <col min="32" max="33" width="11.33203125" style="3" customWidth="1"/>
    <col min="34" max="34" width="8.88671875" style="1" customWidth="1"/>
    <col min="35" max="35" width="9.109375" style="1" customWidth="1"/>
    <col min="36" max="16384" width="9.109375" style="1"/>
  </cols>
  <sheetData>
    <row r="2" spans="1:35" x14ac:dyDescent="0.3">
      <c r="B2" s="1" t="s">
        <v>2</v>
      </c>
      <c r="C2" s="2">
        <v>35482</v>
      </c>
    </row>
    <row r="3" spans="1:35" x14ac:dyDescent="0.3">
      <c r="B3" s="1" t="s">
        <v>3</v>
      </c>
    </row>
    <row r="4" spans="1:35" ht="19.8" x14ac:dyDescent="0.4">
      <c r="Q4" s="81"/>
      <c r="R4" s="81"/>
      <c r="S4" s="81"/>
      <c r="T4" s="81"/>
      <c r="U4" s="81"/>
      <c r="V4" s="81"/>
    </row>
    <row r="5" spans="1:35" ht="19.8" x14ac:dyDescent="0.4">
      <c r="W5" s="4"/>
      <c r="X5" s="4"/>
      <c r="Y5" s="4"/>
      <c r="Z5" s="4"/>
      <c r="AG5" s="5"/>
    </row>
    <row r="6" spans="1:35" x14ac:dyDescent="0.3">
      <c r="Q6" s="83" t="s">
        <v>27</v>
      </c>
      <c r="R6" s="83"/>
      <c r="S6" s="83"/>
      <c r="T6" s="83"/>
      <c r="U6" s="83"/>
      <c r="V6" s="83"/>
      <c r="AB6" s="1" t="s">
        <v>6</v>
      </c>
      <c r="AC6" s="1">
        <f>$C$3</f>
        <v>0</v>
      </c>
    </row>
    <row r="7" spans="1:35" ht="18" x14ac:dyDescent="0.35">
      <c r="B7" s="82" t="s">
        <v>7</v>
      </c>
      <c r="C7" s="82"/>
      <c r="D7" s="82"/>
      <c r="E7" s="82"/>
      <c r="F7" s="6"/>
      <c r="G7" s="83" t="s">
        <v>9</v>
      </c>
      <c r="H7" s="83"/>
      <c r="I7" s="83"/>
      <c r="J7" s="83"/>
      <c r="L7" s="83" t="s">
        <v>4</v>
      </c>
      <c r="M7" s="83"/>
      <c r="N7" s="83"/>
      <c r="O7" s="83"/>
      <c r="Q7" s="1" t="s">
        <v>31</v>
      </c>
      <c r="R7" s="2"/>
      <c r="S7" s="2"/>
      <c r="T7" s="7"/>
      <c r="W7" s="8"/>
      <c r="X7" s="8"/>
      <c r="Y7" s="8"/>
      <c r="Z7" s="8"/>
      <c r="AB7" s="84" t="s">
        <v>26</v>
      </c>
      <c r="AC7" s="84"/>
      <c r="AD7" s="84"/>
      <c r="AE7" s="84"/>
      <c r="AF7" s="84"/>
      <c r="AG7" s="84"/>
      <c r="AH7" s="84"/>
    </row>
    <row r="8" spans="1:35" x14ac:dyDescent="0.3">
      <c r="B8" s="9"/>
      <c r="C8" s="10"/>
      <c r="D8" s="11"/>
      <c r="E8" s="6"/>
      <c r="F8" s="6"/>
      <c r="G8" s="12" t="s">
        <v>28</v>
      </c>
      <c r="H8" s="13">
        <v>10</v>
      </c>
      <c r="I8" s="8"/>
      <c r="J8" s="14"/>
      <c r="L8" s="79" t="s">
        <v>10</v>
      </c>
      <c r="M8" s="79"/>
      <c r="N8" s="79"/>
      <c r="O8" s="79"/>
      <c r="Q8" s="1" t="s">
        <v>29</v>
      </c>
      <c r="R8" s="75">
        <v>0.25209999999999999</v>
      </c>
      <c r="S8" s="75">
        <v>0.21490000000000001</v>
      </c>
      <c r="T8" s="76">
        <v>1</v>
      </c>
      <c r="U8" s="15"/>
      <c r="V8" s="16"/>
      <c r="W8" s="17"/>
      <c r="X8" s="17"/>
      <c r="Y8" s="17"/>
      <c r="Z8" s="17"/>
      <c r="AB8" s="14"/>
      <c r="AC8" s="18"/>
      <c r="AD8" s="14"/>
      <c r="AE8" s="14"/>
      <c r="AG8" s="6"/>
      <c r="AH8" s="14"/>
    </row>
    <row r="9" spans="1:35" ht="15" thickBot="1" x14ac:dyDescent="0.35">
      <c r="C9" s="10"/>
      <c r="D9" s="11"/>
      <c r="E9" s="6"/>
      <c r="F9" s="6"/>
      <c r="H9" s="14"/>
      <c r="I9" s="8"/>
      <c r="J9" s="14"/>
      <c r="L9" s="1" t="s">
        <v>11</v>
      </c>
      <c r="M9" s="19">
        <v>0.02</v>
      </c>
      <c r="N9" s="6"/>
      <c r="O9" s="6"/>
      <c r="Q9" s="1" t="s">
        <v>30</v>
      </c>
      <c r="R9" s="75">
        <f>R8-(($R$7/100)*R8)</f>
        <v>0.25209999999999999</v>
      </c>
      <c r="S9" s="75">
        <f>S8-(($R$7/100)*S8)</f>
        <v>0.21490000000000001</v>
      </c>
      <c r="T9" s="75">
        <f>T8-(($R$7/100)*T8)</f>
        <v>1</v>
      </c>
      <c r="AB9" s="80"/>
      <c r="AC9" s="80"/>
      <c r="AD9" s="17"/>
      <c r="AE9" s="6"/>
    </row>
    <row r="10" spans="1:35" x14ac:dyDescent="0.3">
      <c r="B10" s="20" t="s">
        <v>0</v>
      </c>
      <c r="C10" s="21"/>
      <c r="D10" s="21"/>
      <c r="E10" s="21"/>
      <c r="F10" s="9" t="s">
        <v>32</v>
      </c>
      <c r="G10" s="28" t="s">
        <v>0</v>
      </c>
      <c r="H10" s="29">
        <f t="shared" ref="H10:J10" si="0">$C$2</f>
        <v>35482</v>
      </c>
      <c r="I10" s="29">
        <f t="shared" si="0"/>
        <v>35482</v>
      </c>
      <c r="J10" s="29">
        <f t="shared" si="0"/>
        <v>35482</v>
      </c>
      <c r="K10" s="29" t="s">
        <v>32</v>
      </c>
      <c r="L10" s="28" t="s">
        <v>0</v>
      </c>
      <c r="M10" s="29">
        <f t="shared" ref="M10:O10" si="1">$C$2</f>
        <v>35482</v>
      </c>
      <c r="N10" s="29">
        <f t="shared" si="1"/>
        <v>35482</v>
      </c>
      <c r="O10" s="29">
        <f t="shared" si="1"/>
        <v>35482</v>
      </c>
      <c r="P10" s="29" t="s">
        <v>32</v>
      </c>
      <c r="Q10" s="31" t="s">
        <v>0</v>
      </c>
      <c r="R10" s="32">
        <f t="shared" ref="R10:T10" si="2">$C$2</f>
        <v>35482</v>
      </c>
      <c r="S10" s="32">
        <f t="shared" si="2"/>
        <v>35482</v>
      </c>
      <c r="T10" s="32">
        <f t="shared" si="2"/>
        <v>35482</v>
      </c>
      <c r="U10" s="33" t="s">
        <v>34</v>
      </c>
      <c r="V10" s="34" t="s">
        <v>1</v>
      </c>
      <c r="W10" s="35" t="s">
        <v>5</v>
      </c>
      <c r="X10" s="36" t="s">
        <v>32</v>
      </c>
      <c r="Y10" s="37"/>
      <c r="Z10" s="38" t="s">
        <v>8</v>
      </c>
      <c r="AA10" s="30"/>
      <c r="AB10" s="39" t="s">
        <v>0</v>
      </c>
      <c r="AC10" s="40">
        <f>C2</f>
        <v>35482</v>
      </c>
      <c r="AD10" s="40">
        <f>C2</f>
        <v>35482</v>
      </c>
      <c r="AE10" s="41"/>
      <c r="AF10" s="42" t="s">
        <v>12</v>
      </c>
      <c r="AG10" s="36" t="s">
        <v>32</v>
      </c>
      <c r="AH10" s="43" t="s">
        <v>1</v>
      </c>
      <c r="AI10" s="43" t="s">
        <v>5</v>
      </c>
    </row>
    <row r="11" spans="1:35" ht="15" thickBot="1" x14ac:dyDescent="0.35">
      <c r="B11" s="20"/>
      <c r="C11" s="21">
        <v>1</v>
      </c>
      <c r="D11" s="21">
        <v>2</v>
      </c>
      <c r="E11" s="21">
        <v>3</v>
      </c>
      <c r="F11" s="9"/>
      <c r="G11" s="28"/>
      <c r="H11" s="29">
        <v>1</v>
      </c>
      <c r="I11" s="29">
        <v>2</v>
      </c>
      <c r="J11" s="29">
        <v>3</v>
      </c>
      <c r="K11" s="29"/>
      <c r="L11" s="28"/>
      <c r="M11" s="29">
        <v>1</v>
      </c>
      <c r="N11" s="29">
        <v>2</v>
      </c>
      <c r="O11" s="29">
        <v>3</v>
      </c>
      <c r="P11" s="29"/>
      <c r="Q11" s="44"/>
      <c r="R11" s="45">
        <v>1</v>
      </c>
      <c r="S11" s="45">
        <v>2</v>
      </c>
      <c r="T11" s="45">
        <v>3</v>
      </c>
      <c r="U11" s="46" t="s">
        <v>33</v>
      </c>
      <c r="V11" s="47"/>
      <c r="W11" s="35"/>
      <c r="X11" s="48" t="s">
        <v>33</v>
      </c>
      <c r="Y11" s="37"/>
      <c r="Z11" s="74"/>
      <c r="AA11" s="30"/>
      <c r="AB11" s="39"/>
      <c r="AC11" s="49">
        <v>1</v>
      </c>
      <c r="AD11" s="49">
        <v>2</v>
      </c>
      <c r="AE11" s="50"/>
      <c r="AF11" s="42"/>
      <c r="AG11" s="36" t="s">
        <v>12</v>
      </c>
      <c r="AH11" s="43"/>
      <c r="AI11" s="43"/>
    </row>
    <row r="12" spans="1:35" x14ac:dyDescent="0.3">
      <c r="A12" s="22">
        <f t="shared" ref="A12:A24" si="3">$C$2</f>
        <v>35482</v>
      </c>
      <c r="B12" s="23" t="s">
        <v>13</v>
      </c>
      <c r="C12" s="24">
        <v>0.35099999999999998</v>
      </c>
      <c r="D12" s="24">
        <v>0.27600000000000002</v>
      </c>
      <c r="E12" s="24"/>
      <c r="F12" s="25">
        <v>0.5</v>
      </c>
      <c r="G12" s="51" t="s">
        <v>13</v>
      </c>
      <c r="H12" s="52">
        <f>IF(C12&lt;0.25,"0.00",C12*$H$8)</f>
        <v>3.51</v>
      </c>
      <c r="I12" s="52">
        <f t="shared" ref="I12:I22" si="4">IF(D12&lt;0.25,"0.00",D12*$H$8)</f>
        <v>2.7600000000000002</v>
      </c>
      <c r="J12" s="52" t="str">
        <f t="shared" ref="J12:J22" si="5">IF(E12&lt;0.25,"0.00",E12*$H$8)</f>
        <v>0.00</v>
      </c>
      <c r="K12" s="52">
        <f>IF(F12&lt;0.25,"0.00",F12*$H$8)</f>
        <v>5</v>
      </c>
      <c r="L12" s="51" t="s">
        <v>13</v>
      </c>
      <c r="M12" s="52">
        <f t="shared" ref="M12:P22" si="6">H12*$M$9</f>
        <v>7.0199999999999999E-2</v>
      </c>
      <c r="N12" s="52">
        <f>IF(I12=0,"",I12*$M$9)</f>
        <v>5.5200000000000006E-2</v>
      </c>
      <c r="O12" s="52">
        <f t="shared" si="6"/>
        <v>0</v>
      </c>
      <c r="P12" s="52">
        <f t="shared" si="6"/>
        <v>0.1</v>
      </c>
      <c r="Q12" s="53" t="s">
        <v>13</v>
      </c>
      <c r="R12" s="54">
        <f t="shared" ref="R12" si="7">M12/$R$9</f>
        <v>0.27846092820309404</v>
      </c>
      <c r="S12" s="54">
        <f t="shared" ref="S12" si="8">N12/$S$9</f>
        <v>0.25686365751512336</v>
      </c>
      <c r="T12" s="55">
        <f>O12/$T$9</f>
        <v>0</v>
      </c>
      <c r="U12" s="56" t="str">
        <f>IF(Y12&lt;X12,"0",Y12)</f>
        <v>0</v>
      </c>
      <c r="V12" s="57">
        <f>STDEV(R12:T12)</f>
        <v>0.15491173249571552</v>
      </c>
      <c r="W12" s="58"/>
      <c r="X12" s="59">
        <f>P12/$R$9</f>
        <v>0.39666798889329635</v>
      </c>
      <c r="Y12" s="60">
        <f>IF(ISERROR(AA12),0,AA12)</f>
        <v>0.26800000000000002</v>
      </c>
      <c r="Z12" s="78">
        <f>IF(AVERAGE(R12:T12)=0,0,AVERAGEIF(R12:T12,"&lt;&gt;0"))</f>
        <v>0.2676622928591087</v>
      </c>
      <c r="AA12" s="30">
        <f>ROUND(Z12,3-(1+INT(LOG10(ABS(Z12)))))</f>
        <v>0.26800000000000002</v>
      </c>
      <c r="AB12" s="61" t="s">
        <v>13</v>
      </c>
      <c r="AC12" s="62">
        <f>R12/10</f>
        <v>2.7846092820309403E-2</v>
      </c>
      <c r="AD12" s="62">
        <f>S12/10</f>
        <v>2.5686365751512334E-2</v>
      </c>
      <c r="AE12" s="63"/>
      <c r="AF12" s="64">
        <f>U12/10</f>
        <v>0</v>
      </c>
      <c r="AG12" s="65">
        <f>X12/10</f>
        <v>3.9666798889329634E-2</v>
      </c>
      <c r="AH12" s="58">
        <f>STDEV(AC12:AE12)</f>
        <v>1.5271576558585525E-3</v>
      </c>
      <c r="AI12" s="58"/>
    </row>
    <row r="13" spans="1:35" x14ac:dyDescent="0.3">
      <c r="A13" s="22">
        <f t="shared" si="3"/>
        <v>35482</v>
      </c>
      <c r="B13" s="23" t="s">
        <v>14</v>
      </c>
      <c r="C13" s="24">
        <v>2.339</v>
      </c>
      <c r="D13" s="24">
        <v>1.917</v>
      </c>
      <c r="E13" s="24"/>
      <c r="F13" s="25">
        <v>0.5</v>
      </c>
      <c r="G13" s="51" t="s">
        <v>14</v>
      </c>
      <c r="H13" s="52">
        <f t="shared" ref="H13:H22" si="9">IF(C13&lt;0.25,"0.00",C13*$H$8)</f>
        <v>23.39</v>
      </c>
      <c r="I13" s="52">
        <f t="shared" si="4"/>
        <v>19.170000000000002</v>
      </c>
      <c r="J13" s="52" t="str">
        <f t="shared" si="5"/>
        <v>0.00</v>
      </c>
      <c r="K13" s="52">
        <f>IF(F13&lt;0.25,"0.00",F13*$H$8)</f>
        <v>5</v>
      </c>
      <c r="L13" s="51" t="s">
        <v>14</v>
      </c>
      <c r="M13" s="52">
        <f t="shared" si="6"/>
        <v>0.46779999999999999</v>
      </c>
      <c r="N13" s="52">
        <f t="shared" si="6"/>
        <v>0.38340000000000002</v>
      </c>
      <c r="O13" s="52">
        <f t="shared" si="6"/>
        <v>0</v>
      </c>
      <c r="P13" s="52">
        <f t="shared" si="6"/>
        <v>0.1</v>
      </c>
      <c r="Q13" s="66" t="s">
        <v>14</v>
      </c>
      <c r="R13" s="54">
        <f t="shared" ref="R13:R22" si="10">M13/$R$9</f>
        <v>1.8556128520428401</v>
      </c>
      <c r="S13" s="54">
        <f t="shared" ref="S13:S22" si="11">N13/$S$9</f>
        <v>1.7840856212191718</v>
      </c>
      <c r="T13" s="55">
        <f t="shared" ref="T13:T22" si="12">O13/$T$9</f>
        <v>0</v>
      </c>
      <c r="U13" s="56">
        <f>IF(Y13&lt;X13,"0",Y13)</f>
        <v>1.82</v>
      </c>
      <c r="V13" s="57">
        <f t="shared" ref="V13:V24" si="13">STDEV(R13:T13)</f>
        <v>1.0512989350684911</v>
      </c>
      <c r="W13" s="58"/>
      <c r="X13" s="59">
        <f t="shared" ref="X13:X22" si="14">P13/$R$9</f>
        <v>0.39666798889329635</v>
      </c>
      <c r="Y13" s="60">
        <f>IF(ISERROR(AA13),0,AA13)</f>
        <v>1.82</v>
      </c>
      <c r="Z13" s="78">
        <f>IF(AVERAGE(R13:T13)=0,0,AVERAGEIF(R13:T13,"&lt;&gt;0"))</f>
        <v>1.819849236631006</v>
      </c>
      <c r="AA13" s="30">
        <f t="shared" ref="AA13:AA22" si="15">ROUND(Z13,3-(1+INT(LOG10(ABS(Z13)))))</f>
        <v>1.82</v>
      </c>
      <c r="AB13" s="61" t="s">
        <v>14</v>
      </c>
      <c r="AC13" s="62">
        <f t="shared" ref="AC13:AD22" si="16">R13/10</f>
        <v>0.185561285204284</v>
      </c>
      <c r="AD13" s="62">
        <f t="shared" si="16"/>
        <v>0.17840856212191719</v>
      </c>
      <c r="AE13" s="63"/>
      <c r="AF13" s="64">
        <f t="shared" ref="AF13:AF24" si="17">U13/10</f>
        <v>0.182</v>
      </c>
      <c r="AG13" s="65">
        <f t="shared" ref="AG13:AG24" si="18">X13/10</f>
        <v>3.9666798889329634E-2</v>
      </c>
      <c r="AH13" s="58">
        <f t="shared" ref="AH13:AH24" si="19">STDEV(AC13:AE13)</f>
        <v>5.057738995491114E-3</v>
      </c>
      <c r="AI13" s="58"/>
    </row>
    <row r="14" spans="1:35" x14ac:dyDescent="0.3">
      <c r="A14" s="22">
        <f t="shared" si="3"/>
        <v>35482</v>
      </c>
      <c r="B14" s="23" t="s">
        <v>15</v>
      </c>
      <c r="C14" s="24">
        <v>2.9689999999999999</v>
      </c>
      <c r="D14" s="24">
        <v>2.82</v>
      </c>
      <c r="E14" s="24"/>
      <c r="F14" s="25">
        <v>0.5</v>
      </c>
      <c r="G14" s="51" t="s">
        <v>15</v>
      </c>
      <c r="H14" s="52">
        <f t="shared" si="9"/>
        <v>29.689999999999998</v>
      </c>
      <c r="I14" s="52">
        <f t="shared" si="4"/>
        <v>28.2</v>
      </c>
      <c r="J14" s="52" t="str">
        <f t="shared" si="5"/>
        <v>0.00</v>
      </c>
      <c r="K14" s="52">
        <f>IF(F14&lt;0.25,"0.00",F14*$H$8)</f>
        <v>5</v>
      </c>
      <c r="L14" s="51" t="s">
        <v>15</v>
      </c>
      <c r="M14" s="52">
        <f t="shared" si="6"/>
        <v>0.59379999999999999</v>
      </c>
      <c r="N14" s="52">
        <f t="shared" si="6"/>
        <v>0.56399999999999995</v>
      </c>
      <c r="O14" s="52">
        <f t="shared" si="6"/>
        <v>0</v>
      </c>
      <c r="P14" s="52">
        <f t="shared" si="6"/>
        <v>0.1</v>
      </c>
      <c r="Q14" s="66" t="s">
        <v>15</v>
      </c>
      <c r="R14" s="54">
        <f t="shared" si="10"/>
        <v>2.3554145180483936</v>
      </c>
      <c r="S14" s="54">
        <f t="shared" si="11"/>
        <v>2.6244765006979986</v>
      </c>
      <c r="T14" s="55">
        <f t="shared" si="12"/>
        <v>0</v>
      </c>
      <c r="U14" s="56">
        <f t="shared" ref="U14:U21" si="20">IF(Y14&lt;X14,"0",Y14)</f>
        <v>2.4900000000000002</v>
      </c>
      <c r="V14" s="57">
        <f t="shared" si="13"/>
        <v>1.4438518394129232</v>
      </c>
      <c r="W14" s="58">
        <f t="shared" ref="W14:W24" si="21">V14/U14*100</f>
        <v>57.986017647105349</v>
      </c>
      <c r="X14" s="59">
        <f t="shared" si="14"/>
        <v>0.39666798889329635</v>
      </c>
      <c r="Y14" s="60">
        <f t="shared" ref="Y14:Y21" si="22">IF(ISERROR(AA14),0,AA14)</f>
        <v>2.4900000000000002</v>
      </c>
      <c r="Z14" s="78">
        <f t="shared" ref="Z14:Z21" si="23">IF(AVERAGE(R14:T14)=0,0,AVERAGEIF(R14:T14,"&lt;&gt;0"))</f>
        <v>2.4899455093731961</v>
      </c>
      <c r="AA14" s="30">
        <f t="shared" si="15"/>
        <v>2.4900000000000002</v>
      </c>
      <c r="AB14" s="61" t="s">
        <v>15</v>
      </c>
      <c r="AC14" s="62">
        <f t="shared" si="16"/>
        <v>0.23554145180483937</v>
      </c>
      <c r="AD14" s="62">
        <f t="shared" si="16"/>
        <v>0.26244765006979986</v>
      </c>
      <c r="AE14" s="63"/>
      <c r="AF14" s="64">
        <f t="shared" si="17"/>
        <v>0.24900000000000003</v>
      </c>
      <c r="AG14" s="65">
        <f t="shared" si="18"/>
        <v>3.9666798889329634E-2</v>
      </c>
      <c r="AH14" s="58">
        <f t="shared" si="19"/>
        <v>1.9025555249103283E-2</v>
      </c>
      <c r="AI14" s="58">
        <f t="shared" ref="AI14:AI24" si="24">AH14/AF14*100</f>
        <v>7.6407852406037273</v>
      </c>
    </row>
    <row r="15" spans="1:35" x14ac:dyDescent="0.3">
      <c r="A15" s="22">
        <f t="shared" si="3"/>
        <v>35482</v>
      </c>
      <c r="B15" s="23" t="s">
        <v>16</v>
      </c>
      <c r="C15" s="24">
        <v>98.242999999999995</v>
      </c>
      <c r="D15" s="24">
        <v>84.992000000000004</v>
      </c>
      <c r="E15" s="24"/>
      <c r="F15" s="25">
        <v>0.5</v>
      </c>
      <c r="G15" s="51" t="s">
        <v>16</v>
      </c>
      <c r="H15" s="52">
        <f t="shared" si="9"/>
        <v>982.43</v>
      </c>
      <c r="I15" s="52">
        <f t="shared" si="4"/>
        <v>849.92000000000007</v>
      </c>
      <c r="J15" s="52" t="str">
        <f t="shared" si="5"/>
        <v>0.00</v>
      </c>
      <c r="K15" s="52">
        <f t="shared" ref="K15:K22" si="25">IF(F15&lt;0.25,"0.00",F15*$H$8)</f>
        <v>5</v>
      </c>
      <c r="L15" s="51" t="s">
        <v>16</v>
      </c>
      <c r="M15" s="52">
        <f t="shared" si="6"/>
        <v>19.648599999999998</v>
      </c>
      <c r="N15" s="52">
        <f t="shared" si="6"/>
        <v>16.9984</v>
      </c>
      <c r="O15" s="52">
        <f t="shared" si="6"/>
        <v>0</v>
      </c>
      <c r="P15" s="52">
        <f t="shared" si="6"/>
        <v>0.1</v>
      </c>
      <c r="Q15" s="66" t="s">
        <v>16</v>
      </c>
      <c r="R15" s="54">
        <f t="shared" si="10"/>
        <v>77.939706465688218</v>
      </c>
      <c r="S15" s="54">
        <f t="shared" si="11"/>
        <v>79.099115867845512</v>
      </c>
      <c r="T15" s="55">
        <f t="shared" si="12"/>
        <v>0</v>
      </c>
      <c r="U15" s="56">
        <f t="shared" si="20"/>
        <v>78.5</v>
      </c>
      <c r="V15" s="57">
        <f t="shared" si="13"/>
        <v>45.336909549862163</v>
      </c>
      <c r="W15" s="58">
        <f t="shared" si="21"/>
        <v>57.754024904283007</v>
      </c>
      <c r="X15" s="59">
        <f t="shared" si="14"/>
        <v>0.39666798889329635</v>
      </c>
      <c r="Y15" s="60">
        <f t="shared" si="22"/>
        <v>78.5</v>
      </c>
      <c r="Z15" s="78">
        <f t="shared" si="23"/>
        <v>78.519411166766872</v>
      </c>
      <c r="AA15" s="30">
        <f t="shared" si="15"/>
        <v>78.5</v>
      </c>
      <c r="AB15" s="61" t="s">
        <v>16</v>
      </c>
      <c r="AC15" s="62">
        <f t="shared" si="16"/>
        <v>7.7939706465688214</v>
      </c>
      <c r="AD15" s="62">
        <f t="shared" si="16"/>
        <v>7.9099115867845509</v>
      </c>
      <c r="AE15" s="63"/>
      <c r="AF15" s="64">
        <f t="shared" si="17"/>
        <v>7.85</v>
      </c>
      <c r="AG15" s="65">
        <f t="shared" si="18"/>
        <v>3.9666798889329634E-2</v>
      </c>
      <c r="AH15" s="58">
        <f t="shared" si="19"/>
        <v>8.1982625043686377E-2</v>
      </c>
      <c r="AI15" s="58">
        <f t="shared" si="24"/>
        <v>1.0443646502380433</v>
      </c>
    </row>
    <row r="16" spans="1:35" x14ac:dyDescent="0.3">
      <c r="A16" s="22">
        <f t="shared" si="3"/>
        <v>35482</v>
      </c>
      <c r="B16" s="23" t="s">
        <v>17</v>
      </c>
      <c r="C16" s="24">
        <v>46.847000000000001</v>
      </c>
      <c r="D16" s="24">
        <v>36.482999999999997</v>
      </c>
      <c r="E16" s="24"/>
      <c r="F16" s="25">
        <v>0.5</v>
      </c>
      <c r="G16" s="51" t="s">
        <v>17</v>
      </c>
      <c r="H16" s="52">
        <f>IF(C16&lt;0.25,"0.00",C16*$H$8)</f>
        <v>468.47</v>
      </c>
      <c r="I16" s="52">
        <f t="shared" si="4"/>
        <v>364.83</v>
      </c>
      <c r="J16" s="52" t="str">
        <f t="shared" si="5"/>
        <v>0.00</v>
      </c>
      <c r="K16" s="52">
        <f t="shared" si="25"/>
        <v>5</v>
      </c>
      <c r="L16" s="51" t="s">
        <v>17</v>
      </c>
      <c r="M16" s="52">
        <f t="shared" si="6"/>
        <v>9.3694000000000006</v>
      </c>
      <c r="N16" s="52">
        <f t="shared" si="6"/>
        <v>7.2965999999999998</v>
      </c>
      <c r="O16" s="52">
        <f t="shared" si="6"/>
        <v>0</v>
      </c>
      <c r="P16" s="52">
        <f t="shared" si="6"/>
        <v>0.1</v>
      </c>
      <c r="Q16" s="66" t="s">
        <v>17</v>
      </c>
      <c r="R16" s="54">
        <f t="shared" si="10"/>
        <v>37.16541055136851</v>
      </c>
      <c r="S16" s="54">
        <f t="shared" si="11"/>
        <v>33.953466728711028</v>
      </c>
      <c r="T16" s="55">
        <f t="shared" si="12"/>
        <v>0</v>
      </c>
      <c r="U16" s="56">
        <f t="shared" si="20"/>
        <v>35.6</v>
      </c>
      <c r="V16" s="57">
        <f t="shared" si="13"/>
        <v>20.592968975961057</v>
      </c>
      <c r="W16" s="58">
        <f t="shared" si="21"/>
        <v>57.845418471800713</v>
      </c>
      <c r="X16" s="59">
        <f t="shared" si="14"/>
        <v>0.39666798889329635</v>
      </c>
      <c r="Y16" s="60">
        <f t="shared" si="22"/>
        <v>35.6</v>
      </c>
      <c r="Z16" s="78">
        <f t="shared" si="23"/>
        <v>35.559438640039772</v>
      </c>
      <c r="AA16" s="30">
        <f t="shared" si="15"/>
        <v>35.6</v>
      </c>
      <c r="AB16" s="61" t="s">
        <v>17</v>
      </c>
      <c r="AC16" s="62">
        <f t="shared" si="16"/>
        <v>3.716541055136851</v>
      </c>
      <c r="AD16" s="62">
        <f t="shared" si="16"/>
        <v>3.3953466728711028</v>
      </c>
      <c r="AE16" s="63"/>
      <c r="AF16" s="64">
        <f t="shared" si="17"/>
        <v>3.56</v>
      </c>
      <c r="AG16" s="65">
        <f t="shared" si="18"/>
        <v>3.9666798889329634E-2</v>
      </c>
      <c r="AH16" s="58">
        <f t="shared" si="19"/>
        <v>0.22711872577913467</v>
      </c>
      <c r="AI16" s="58">
        <f t="shared" si="24"/>
        <v>6.3797394881779406</v>
      </c>
    </row>
    <row r="17" spans="1:35" x14ac:dyDescent="0.3">
      <c r="A17" s="22">
        <f t="shared" si="3"/>
        <v>35482</v>
      </c>
      <c r="B17" s="23" t="s">
        <v>18</v>
      </c>
      <c r="C17" s="24">
        <v>0</v>
      </c>
      <c r="D17" s="24">
        <v>0</v>
      </c>
      <c r="E17" s="24"/>
      <c r="F17" s="25">
        <v>0.5</v>
      </c>
      <c r="G17" s="51" t="s">
        <v>18</v>
      </c>
      <c r="H17" s="52" t="str">
        <f t="shared" si="9"/>
        <v>0.00</v>
      </c>
      <c r="I17" s="52" t="str">
        <f t="shared" si="4"/>
        <v>0.00</v>
      </c>
      <c r="J17" s="52" t="str">
        <f>IF(E17&lt;0.25,"0.00",E17*$H$8)</f>
        <v>0.00</v>
      </c>
      <c r="K17" s="52">
        <f t="shared" si="25"/>
        <v>5</v>
      </c>
      <c r="L17" s="51" t="s">
        <v>18</v>
      </c>
      <c r="M17" s="52">
        <f t="shared" si="6"/>
        <v>0</v>
      </c>
      <c r="N17" s="52">
        <f t="shared" si="6"/>
        <v>0</v>
      </c>
      <c r="O17" s="52">
        <f t="shared" si="6"/>
        <v>0</v>
      </c>
      <c r="P17" s="52">
        <f t="shared" si="6"/>
        <v>0.1</v>
      </c>
      <c r="Q17" s="66" t="s">
        <v>18</v>
      </c>
      <c r="R17" s="54">
        <f t="shared" si="10"/>
        <v>0</v>
      </c>
      <c r="S17" s="54">
        <f t="shared" si="11"/>
        <v>0</v>
      </c>
      <c r="T17" s="55">
        <f t="shared" si="12"/>
        <v>0</v>
      </c>
      <c r="U17" s="56" t="str">
        <f t="shared" si="20"/>
        <v>0</v>
      </c>
      <c r="V17" s="57">
        <f t="shared" si="13"/>
        <v>0</v>
      </c>
      <c r="W17" s="58" t="e">
        <f t="shared" si="21"/>
        <v>#DIV/0!</v>
      </c>
      <c r="X17" s="59">
        <f t="shared" si="14"/>
        <v>0.39666798889329635</v>
      </c>
      <c r="Y17" s="60">
        <f t="shared" si="22"/>
        <v>0</v>
      </c>
      <c r="Z17" s="78">
        <f t="shared" si="23"/>
        <v>0</v>
      </c>
      <c r="AA17" s="30" t="e">
        <f t="shared" si="15"/>
        <v>#NUM!</v>
      </c>
      <c r="AB17" s="61" t="s">
        <v>18</v>
      </c>
      <c r="AC17" s="62">
        <f t="shared" si="16"/>
        <v>0</v>
      </c>
      <c r="AD17" s="62">
        <f t="shared" si="16"/>
        <v>0</v>
      </c>
      <c r="AE17" s="63"/>
      <c r="AF17" s="64">
        <f t="shared" si="17"/>
        <v>0</v>
      </c>
      <c r="AG17" s="65">
        <f t="shared" si="18"/>
        <v>3.9666798889329634E-2</v>
      </c>
      <c r="AH17" s="58">
        <f t="shared" si="19"/>
        <v>0</v>
      </c>
      <c r="AI17" s="58" t="e">
        <f t="shared" si="24"/>
        <v>#DIV/0!</v>
      </c>
    </row>
    <row r="18" spans="1:35" x14ac:dyDescent="0.3">
      <c r="A18" s="22">
        <f t="shared" si="3"/>
        <v>35482</v>
      </c>
      <c r="B18" s="23" t="s">
        <v>19</v>
      </c>
      <c r="C18" s="24">
        <v>0</v>
      </c>
      <c r="D18" s="24">
        <v>0</v>
      </c>
      <c r="E18" s="24"/>
      <c r="F18" s="25">
        <v>0.5</v>
      </c>
      <c r="G18" s="51" t="s">
        <v>19</v>
      </c>
      <c r="H18" s="52" t="str">
        <f t="shared" si="9"/>
        <v>0.00</v>
      </c>
      <c r="I18" s="52" t="str">
        <f t="shared" si="4"/>
        <v>0.00</v>
      </c>
      <c r="J18" s="52" t="str">
        <f t="shared" si="5"/>
        <v>0.00</v>
      </c>
      <c r="K18" s="52">
        <f t="shared" si="25"/>
        <v>5</v>
      </c>
      <c r="L18" s="51" t="s">
        <v>19</v>
      </c>
      <c r="M18" s="52">
        <f t="shared" si="6"/>
        <v>0</v>
      </c>
      <c r="N18" s="52">
        <f t="shared" si="6"/>
        <v>0</v>
      </c>
      <c r="O18" s="52">
        <f t="shared" si="6"/>
        <v>0</v>
      </c>
      <c r="P18" s="52">
        <f t="shared" si="6"/>
        <v>0.1</v>
      </c>
      <c r="Q18" s="66" t="s">
        <v>19</v>
      </c>
      <c r="R18" s="54">
        <f t="shared" si="10"/>
        <v>0</v>
      </c>
      <c r="S18" s="54">
        <f t="shared" si="11"/>
        <v>0</v>
      </c>
      <c r="T18" s="55">
        <f t="shared" si="12"/>
        <v>0</v>
      </c>
      <c r="U18" s="56" t="str">
        <f t="shared" si="20"/>
        <v>0</v>
      </c>
      <c r="V18" s="57">
        <f t="shared" si="13"/>
        <v>0</v>
      </c>
      <c r="W18" s="58" t="e">
        <f t="shared" si="21"/>
        <v>#DIV/0!</v>
      </c>
      <c r="X18" s="59">
        <f t="shared" si="14"/>
        <v>0.39666798889329635</v>
      </c>
      <c r="Y18" s="60">
        <f t="shared" si="22"/>
        <v>0</v>
      </c>
      <c r="Z18" s="78">
        <f t="shared" si="23"/>
        <v>0</v>
      </c>
      <c r="AA18" s="30" t="e">
        <f t="shared" si="15"/>
        <v>#NUM!</v>
      </c>
      <c r="AB18" s="61" t="s">
        <v>19</v>
      </c>
      <c r="AC18" s="62">
        <f t="shared" si="16"/>
        <v>0</v>
      </c>
      <c r="AD18" s="62">
        <f t="shared" si="16"/>
        <v>0</v>
      </c>
      <c r="AE18" s="63"/>
      <c r="AF18" s="64">
        <f t="shared" si="17"/>
        <v>0</v>
      </c>
      <c r="AG18" s="65">
        <f t="shared" si="18"/>
        <v>3.9666798889329634E-2</v>
      </c>
      <c r="AH18" s="58">
        <f t="shared" si="19"/>
        <v>0</v>
      </c>
      <c r="AI18" s="58" t="e">
        <f t="shared" si="24"/>
        <v>#DIV/0!</v>
      </c>
    </row>
    <row r="19" spans="1:35" x14ac:dyDescent="0.3">
      <c r="A19" s="22">
        <f t="shared" si="3"/>
        <v>35482</v>
      </c>
      <c r="B19" s="23" t="s">
        <v>20</v>
      </c>
      <c r="C19" s="24">
        <v>3.1230000000000002</v>
      </c>
      <c r="D19" s="24">
        <v>2.4940000000000002</v>
      </c>
      <c r="E19" s="24"/>
      <c r="F19" s="25">
        <v>0.5</v>
      </c>
      <c r="G19" s="51" t="s">
        <v>20</v>
      </c>
      <c r="H19" s="52">
        <f t="shared" si="9"/>
        <v>31.230000000000004</v>
      </c>
      <c r="I19" s="52">
        <f t="shared" si="4"/>
        <v>24.94</v>
      </c>
      <c r="J19" s="52" t="str">
        <f t="shared" si="5"/>
        <v>0.00</v>
      </c>
      <c r="K19" s="52">
        <f t="shared" si="25"/>
        <v>5</v>
      </c>
      <c r="L19" s="51" t="s">
        <v>20</v>
      </c>
      <c r="M19" s="52">
        <f t="shared" si="6"/>
        <v>0.62460000000000004</v>
      </c>
      <c r="N19" s="52">
        <f t="shared" si="6"/>
        <v>0.49880000000000002</v>
      </c>
      <c r="O19" s="52">
        <f t="shared" si="6"/>
        <v>0</v>
      </c>
      <c r="P19" s="52">
        <f t="shared" si="6"/>
        <v>0.1</v>
      </c>
      <c r="Q19" s="66" t="s">
        <v>20</v>
      </c>
      <c r="R19" s="54">
        <f t="shared" si="10"/>
        <v>2.4775882586275291</v>
      </c>
      <c r="S19" s="54">
        <f t="shared" si="11"/>
        <v>2.3210795718939043</v>
      </c>
      <c r="T19" s="55">
        <f t="shared" si="12"/>
        <v>0</v>
      </c>
      <c r="U19" s="56">
        <f t="shared" si="20"/>
        <v>2.4</v>
      </c>
      <c r="V19" s="57">
        <f t="shared" si="13"/>
        <v>1.3874646498424907</v>
      </c>
      <c r="W19" s="58">
        <f t="shared" si="21"/>
        <v>57.811027076770451</v>
      </c>
      <c r="X19" s="59">
        <f>P19/$R$9</f>
        <v>0.39666798889329635</v>
      </c>
      <c r="Y19" s="60">
        <f t="shared" si="22"/>
        <v>2.4</v>
      </c>
      <c r="Z19" s="78">
        <f>IF(AVERAGE(R19:T19)=0,0,AVERAGEIF(R19:T19,"&lt;&gt;0"))</f>
        <v>2.3993339152607165</v>
      </c>
      <c r="AA19" s="30">
        <f t="shared" si="15"/>
        <v>2.4</v>
      </c>
      <c r="AB19" s="61" t="s">
        <v>20</v>
      </c>
      <c r="AC19" s="62">
        <f t="shared" si="16"/>
        <v>0.24775882586275291</v>
      </c>
      <c r="AD19" s="62">
        <f t="shared" si="16"/>
        <v>0.23210795718939042</v>
      </c>
      <c r="AE19" s="63"/>
      <c r="AF19" s="64">
        <f t="shared" si="17"/>
        <v>0.24</v>
      </c>
      <c r="AG19" s="65">
        <f t="shared" si="18"/>
        <v>3.9666798889329634E-2</v>
      </c>
      <c r="AH19" s="58">
        <f t="shared" si="19"/>
        <v>1.1066835370394721E-2</v>
      </c>
      <c r="AI19" s="58">
        <f t="shared" si="24"/>
        <v>4.6111814043311332</v>
      </c>
    </row>
    <row r="20" spans="1:35" x14ac:dyDescent="0.3">
      <c r="A20" s="22">
        <f t="shared" si="3"/>
        <v>35482</v>
      </c>
      <c r="B20" s="23" t="s">
        <v>21</v>
      </c>
      <c r="C20" s="24">
        <v>0</v>
      </c>
      <c r="D20" s="24">
        <v>0</v>
      </c>
      <c r="E20" s="24"/>
      <c r="F20" s="25">
        <v>1</v>
      </c>
      <c r="G20" s="51" t="s">
        <v>21</v>
      </c>
      <c r="H20" s="52" t="str">
        <f t="shared" si="9"/>
        <v>0.00</v>
      </c>
      <c r="I20" s="52" t="str">
        <f t="shared" si="4"/>
        <v>0.00</v>
      </c>
      <c r="J20" s="52" t="str">
        <f t="shared" si="5"/>
        <v>0.00</v>
      </c>
      <c r="K20" s="52">
        <f t="shared" si="25"/>
        <v>10</v>
      </c>
      <c r="L20" s="51" t="s">
        <v>21</v>
      </c>
      <c r="M20" s="52">
        <f t="shared" si="6"/>
        <v>0</v>
      </c>
      <c r="N20" s="52">
        <f t="shared" si="6"/>
        <v>0</v>
      </c>
      <c r="O20" s="52">
        <f t="shared" si="6"/>
        <v>0</v>
      </c>
      <c r="P20" s="52">
        <f>K20*$M$9</f>
        <v>0.2</v>
      </c>
      <c r="Q20" s="66" t="s">
        <v>21</v>
      </c>
      <c r="R20" s="54">
        <f t="shared" si="10"/>
        <v>0</v>
      </c>
      <c r="S20" s="54">
        <f t="shared" si="11"/>
        <v>0</v>
      </c>
      <c r="T20" s="55">
        <f t="shared" si="12"/>
        <v>0</v>
      </c>
      <c r="U20" s="56" t="str">
        <f t="shared" si="20"/>
        <v>0</v>
      </c>
      <c r="V20" s="57">
        <f t="shared" si="13"/>
        <v>0</v>
      </c>
      <c r="W20" s="58"/>
      <c r="X20" s="59">
        <f t="shared" si="14"/>
        <v>0.79333597778659271</v>
      </c>
      <c r="Y20" s="60">
        <f t="shared" si="22"/>
        <v>0</v>
      </c>
      <c r="Z20" s="78">
        <f t="shared" si="23"/>
        <v>0</v>
      </c>
      <c r="AA20" s="30" t="e">
        <f t="shared" si="15"/>
        <v>#NUM!</v>
      </c>
      <c r="AB20" s="61" t="s">
        <v>21</v>
      </c>
      <c r="AC20" s="62">
        <f t="shared" si="16"/>
        <v>0</v>
      </c>
      <c r="AD20" s="62">
        <f t="shared" si="16"/>
        <v>0</v>
      </c>
      <c r="AE20" s="63"/>
      <c r="AF20" s="64">
        <f t="shared" si="17"/>
        <v>0</v>
      </c>
      <c r="AG20" s="65">
        <f t="shared" si="18"/>
        <v>7.9333597778659268E-2</v>
      </c>
      <c r="AH20" s="58">
        <f t="shared" si="19"/>
        <v>0</v>
      </c>
      <c r="AI20" s="58"/>
    </row>
    <row r="21" spans="1:35" x14ac:dyDescent="0.3">
      <c r="A21" s="22">
        <f t="shared" si="3"/>
        <v>35482</v>
      </c>
      <c r="B21" s="23" t="s">
        <v>22</v>
      </c>
      <c r="C21" s="24">
        <v>6.6710000000000003</v>
      </c>
      <c r="D21" s="24">
        <v>6.1310000000000002</v>
      </c>
      <c r="E21" s="24"/>
      <c r="F21" s="25">
        <v>0.5</v>
      </c>
      <c r="G21" s="51" t="s">
        <v>22</v>
      </c>
      <c r="H21" s="52">
        <f t="shared" si="9"/>
        <v>66.710000000000008</v>
      </c>
      <c r="I21" s="52">
        <f t="shared" si="4"/>
        <v>61.31</v>
      </c>
      <c r="J21" s="52" t="str">
        <f t="shared" si="5"/>
        <v>0.00</v>
      </c>
      <c r="K21" s="52">
        <f t="shared" si="25"/>
        <v>5</v>
      </c>
      <c r="L21" s="51" t="s">
        <v>22</v>
      </c>
      <c r="M21" s="52">
        <f t="shared" si="6"/>
        <v>1.3342000000000003</v>
      </c>
      <c r="N21" s="52">
        <f t="shared" si="6"/>
        <v>1.2262000000000002</v>
      </c>
      <c r="O21" s="52">
        <f t="shared" si="6"/>
        <v>0</v>
      </c>
      <c r="P21" s="52">
        <f t="shared" si="6"/>
        <v>0.1</v>
      </c>
      <c r="Q21" s="66" t="s">
        <v>22</v>
      </c>
      <c r="R21" s="54">
        <f t="shared" si="10"/>
        <v>5.2923443078143606</v>
      </c>
      <c r="S21" s="54">
        <f t="shared" si="11"/>
        <v>5.7059097254536999</v>
      </c>
      <c r="T21" s="55">
        <f t="shared" si="12"/>
        <v>0</v>
      </c>
      <c r="U21" s="56">
        <f t="shared" si="20"/>
        <v>5.5</v>
      </c>
      <c r="V21" s="57">
        <f t="shared" si="13"/>
        <v>3.1816492165266888</v>
      </c>
      <c r="W21" s="58">
        <f t="shared" si="21"/>
        <v>57.848167573212528</v>
      </c>
      <c r="X21" s="59">
        <f t="shared" si="14"/>
        <v>0.39666798889329635</v>
      </c>
      <c r="Y21" s="60">
        <f t="shared" si="22"/>
        <v>5.5</v>
      </c>
      <c r="Z21" s="78">
        <f t="shared" si="23"/>
        <v>5.4991270166340307</v>
      </c>
      <c r="AA21" s="30">
        <f t="shared" si="15"/>
        <v>5.5</v>
      </c>
      <c r="AB21" s="61" t="s">
        <v>22</v>
      </c>
      <c r="AC21" s="62">
        <f t="shared" si="16"/>
        <v>0.52923443078143606</v>
      </c>
      <c r="AD21" s="62">
        <f t="shared" si="16"/>
        <v>0.57059097254536995</v>
      </c>
      <c r="AE21" s="63"/>
      <c r="AF21" s="64">
        <f t="shared" si="17"/>
        <v>0.55000000000000004</v>
      </c>
      <c r="AG21" s="65">
        <f t="shared" si="18"/>
        <v>3.9666798889329634E-2</v>
      </c>
      <c r="AH21" s="58">
        <f t="shared" si="19"/>
        <v>2.924349112770231E-2</v>
      </c>
      <c r="AI21" s="58">
        <f t="shared" si="24"/>
        <v>5.3169983868549657</v>
      </c>
    </row>
    <row r="22" spans="1:35" x14ac:dyDescent="0.3">
      <c r="A22" s="22">
        <f t="shared" si="3"/>
        <v>35482</v>
      </c>
      <c r="B22" s="23" t="s">
        <v>23</v>
      </c>
      <c r="C22" s="24">
        <v>0.25900000000000001</v>
      </c>
      <c r="D22" s="24">
        <v>0.14299999999999999</v>
      </c>
      <c r="E22" s="24"/>
      <c r="F22" s="25">
        <v>0.5</v>
      </c>
      <c r="G22" s="51" t="s">
        <v>23</v>
      </c>
      <c r="H22" s="52">
        <f t="shared" si="9"/>
        <v>2.59</v>
      </c>
      <c r="I22" s="52" t="str">
        <f t="shared" si="4"/>
        <v>0.00</v>
      </c>
      <c r="J22" s="52" t="str">
        <f t="shared" si="5"/>
        <v>0.00</v>
      </c>
      <c r="K22" s="52">
        <f t="shared" si="25"/>
        <v>5</v>
      </c>
      <c r="L22" s="51" t="s">
        <v>23</v>
      </c>
      <c r="M22" s="52">
        <f t="shared" si="6"/>
        <v>5.1799999999999999E-2</v>
      </c>
      <c r="N22" s="52">
        <f t="shared" si="6"/>
        <v>0</v>
      </c>
      <c r="O22" s="52">
        <f t="shared" si="6"/>
        <v>0</v>
      </c>
      <c r="P22" s="52">
        <f t="shared" si="6"/>
        <v>0.1</v>
      </c>
      <c r="Q22" s="66" t="s">
        <v>23</v>
      </c>
      <c r="R22" s="54">
        <f t="shared" si="10"/>
        <v>0.20547401824672748</v>
      </c>
      <c r="S22" s="54">
        <f t="shared" si="11"/>
        <v>0</v>
      </c>
      <c r="T22" s="55">
        <f t="shared" si="12"/>
        <v>0</v>
      </c>
      <c r="U22" s="56" t="str">
        <f>IF(Y22&lt;X22,"0",Y22)</f>
        <v>0</v>
      </c>
      <c r="V22" s="57">
        <f t="shared" si="13"/>
        <v>0.11863047974622219</v>
      </c>
      <c r="W22" s="58" t="e">
        <f t="shared" si="21"/>
        <v>#DIV/0!</v>
      </c>
      <c r="X22" s="59">
        <f t="shared" si="14"/>
        <v>0.39666798889329635</v>
      </c>
      <c r="Y22" s="60">
        <f>IF(ISERROR(AA22),0,AA22)</f>
        <v>0.20499999999999999</v>
      </c>
      <c r="Z22" s="78">
        <f>IF(AVERAGE(R22:T22)=0,0,AVERAGEIF(R22:T22,"&lt;&gt;0"))</f>
        <v>0.20547401824672748</v>
      </c>
      <c r="AA22" s="30">
        <f t="shared" si="15"/>
        <v>0.20499999999999999</v>
      </c>
      <c r="AB22" s="61" t="s">
        <v>23</v>
      </c>
      <c r="AC22" s="62">
        <f t="shared" si="16"/>
        <v>2.0547401824672747E-2</v>
      </c>
      <c r="AD22" s="62">
        <f t="shared" si="16"/>
        <v>0</v>
      </c>
      <c r="AE22" s="63"/>
      <c r="AF22" s="64">
        <f t="shared" si="17"/>
        <v>0</v>
      </c>
      <c r="AG22" s="65">
        <f t="shared" si="18"/>
        <v>3.9666798889329634E-2</v>
      </c>
      <c r="AH22" s="58">
        <f t="shared" si="19"/>
        <v>1.4529207165990939E-2</v>
      </c>
      <c r="AI22" s="58" t="e">
        <f t="shared" si="24"/>
        <v>#DIV/0!</v>
      </c>
    </row>
    <row r="23" spans="1:35" x14ac:dyDescent="0.3">
      <c r="A23" s="22">
        <f t="shared" si="3"/>
        <v>35482</v>
      </c>
      <c r="B23" s="26"/>
      <c r="C23" s="27"/>
      <c r="D23" s="27"/>
      <c r="E23" s="27"/>
      <c r="F23" s="8"/>
      <c r="G23" s="67" t="s">
        <v>24</v>
      </c>
      <c r="H23" s="68">
        <f>(H22*0.877)+H19</f>
        <v>33.501430000000006</v>
      </c>
      <c r="I23" s="68">
        <f>(I22*0.877)+I19</f>
        <v>24.94</v>
      </c>
      <c r="J23" s="68">
        <f>(J22*0.877)+J19</f>
        <v>0</v>
      </c>
      <c r="K23" s="68">
        <f>(K22*0.877)+K19</f>
        <v>9.3849999999999998</v>
      </c>
      <c r="L23" s="67" t="s">
        <v>24</v>
      </c>
      <c r="M23" s="68">
        <f>(M22*0.877)+M19</f>
        <v>0.67002860000000009</v>
      </c>
      <c r="N23" s="68">
        <f>(N22*0.877)+N19</f>
        <v>0.49880000000000002</v>
      </c>
      <c r="O23" s="68">
        <f>(O22*0.877)+O19</f>
        <v>0</v>
      </c>
      <c r="P23" s="68">
        <f>(P22*0.877)+P19</f>
        <v>0.18770000000000001</v>
      </c>
      <c r="Q23" s="69" t="s">
        <v>24</v>
      </c>
      <c r="R23" s="70">
        <f>(R22*0.877)+R19</f>
        <v>2.6577889726299091</v>
      </c>
      <c r="S23" s="70">
        <f>(S22*0.877)+S19</f>
        <v>2.3210795718939043</v>
      </c>
      <c r="T23" s="70">
        <f>(T22*0.877)+T19</f>
        <v>0</v>
      </c>
      <c r="U23" s="77">
        <f>IF(Y23&lt;X23,"0",ROUND(((U22*0.877)+U19),3-(1+INT(LOG10(ABS(((U22*0.877)+U19)))))))</f>
        <v>2.4</v>
      </c>
      <c r="V23" s="57">
        <f t="shared" si="13"/>
        <v>1.4471020364070362</v>
      </c>
      <c r="W23" s="58">
        <f t="shared" si="21"/>
        <v>60.295918183626505</v>
      </c>
      <c r="X23" s="59">
        <f>X21*0.877</f>
        <v>0.34787782625942087</v>
      </c>
      <c r="Y23" s="70">
        <f>(Y22*0.877)+Y19</f>
        <v>2.5797849999999998</v>
      </c>
      <c r="Z23" s="78"/>
      <c r="AA23" s="30"/>
      <c r="AB23" s="39" t="s">
        <v>24</v>
      </c>
      <c r="AC23" s="71">
        <f>(AC22*0.877)+AC19</f>
        <v>0.26577889726299092</v>
      </c>
      <c r="AD23" s="71">
        <f>(AD22*0.877)+AD19</f>
        <v>0.23210795718939042</v>
      </c>
      <c r="AE23" s="72"/>
      <c r="AF23" s="64">
        <f t="shared" si="17"/>
        <v>0.24</v>
      </c>
      <c r="AG23" s="65">
        <f t="shared" si="18"/>
        <v>3.4787782625942086E-2</v>
      </c>
      <c r="AH23" s="58">
        <f t="shared" si="19"/>
        <v>2.3808950054968782E-2</v>
      </c>
      <c r="AI23" s="58">
        <f t="shared" si="24"/>
        <v>9.9203958562369916</v>
      </c>
    </row>
    <row r="24" spans="1:35" ht="15" thickBot="1" x14ac:dyDescent="0.35">
      <c r="A24" s="22">
        <f t="shared" si="3"/>
        <v>35482</v>
      </c>
      <c r="B24" s="26"/>
      <c r="C24" s="27"/>
      <c r="D24" s="27"/>
      <c r="E24" s="27"/>
      <c r="F24" s="8"/>
      <c r="G24" s="67" t="s">
        <v>25</v>
      </c>
      <c r="H24" s="68">
        <f>(H13*0.878)+H16</f>
        <v>489.00642000000005</v>
      </c>
      <c r="I24" s="68">
        <f>(I13*0.878)+I16</f>
        <v>381.66125999999997</v>
      </c>
      <c r="J24" s="68">
        <f>(J13*0.878)+J16</f>
        <v>0</v>
      </c>
      <c r="K24" s="68">
        <f>(K13*0.878)+K16</f>
        <v>9.39</v>
      </c>
      <c r="L24" s="67" t="s">
        <v>25</v>
      </c>
      <c r="M24" s="68">
        <f>(M13*0.878)+M16</f>
        <v>9.7801284000000006</v>
      </c>
      <c r="N24" s="68">
        <f>(N13*0.878)+N16</f>
        <v>7.6332252</v>
      </c>
      <c r="O24" s="68">
        <f>(O13*0.878)+O16</f>
        <v>0</v>
      </c>
      <c r="P24" s="68">
        <f>(P13*0.878)+P16</f>
        <v>0.18780000000000002</v>
      </c>
      <c r="Q24" s="69" t="s">
        <v>25</v>
      </c>
      <c r="R24" s="73">
        <f>(R13*0.877)+R16</f>
        <v>38.792783022610081</v>
      </c>
      <c r="S24" s="73">
        <f>(S13*0.877)+S16</f>
        <v>35.518109818520244</v>
      </c>
      <c r="T24" s="73">
        <f>(T13*0.877)+T16</f>
        <v>0</v>
      </c>
      <c r="U24" s="77">
        <f>IF(Y24&lt;X24,"0",ROUND(((U13*0.877)+U16),3-(1+INT(LOG10(ABS(((U13*0.877)+U16)))))))</f>
        <v>37.200000000000003</v>
      </c>
      <c r="V24" s="57">
        <f t="shared" si="13"/>
        <v>21.514102445889428</v>
      </c>
      <c r="W24" s="58">
        <f t="shared" si="21"/>
        <v>57.833608725509208</v>
      </c>
      <c r="X24" s="59">
        <f>X19*0.877</f>
        <v>0.34787782625942087</v>
      </c>
      <c r="Y24" s="73">
        <f>(Y13*0.877)+Y16</f>
        <v>37.19614</v>
      </c>
      <c r="Z24" s="78"/>
      <c r="AA24" s="30"/>
      <c r="AB24" s="39" t="s">
        <v>25</v>
      </c>
      <c r="AC24" s="71">
        <f>(AC13*0.878)+AC16</f>
        <v>3.8794638635462122</v>
      </c>
      <c r="AD24" s="71">
        <f>(AD13*0.878)+AD16</f>
        <v>3.5519893904141462</v>
      </c>
      <c r="AE24" s="72"/>
      <c r="AF24" s="64">
        <f t="shared" si="17"/>
        <v>3.72</v>
      </c>
      <c r="AG24" s="65">
        <f t="shared" si="18"/>
        <v>3.4787782625942086E-2</v>
      </c>
      <c r="AH24" s="58">
        <f t="shared" si="19"/>
        <v>0.23155942061717574</v>
      </c>
      <c r="AI24" s="58">
        <f t="shared" si="24"/>
        <v>6.2247156079885952</v>
      </c>
    </row>
    <row r="25" spans="1:35" x14ac:dyDescent="0.3">
      <c r="T25" s="7"/>
    </row>
    <row r="26" spans="1:35" x14ac:dyDescent="0.3">
      <c r="R26" s="14"/>
      <c r="U26" s="1"/>
      <c r="Y26" s="1">
        <f>(Y13*0.877)+Y16</f>
        <v>37.19614</v>
      </c>
      <c r="Z26" s="77">
        <f>(Z22*0.877)+Z19</f>
        <v>2.5795346292630965</v>
      </c>
    </row>
    <row r="27" spans="1:35" ht="15" thickBot="1" x14ac:dyDescent="0.35">
      <c r="U27" s="1"/>
      <c r="Y27" s="1">
        <f>(Y22*0.877)+Y19</f>
        <v>2.5797849999999998</v>
      </c>
      <c r="Z27" s="73">
        <f>(Z13*0.877)+Z16</f>
        <v>37.155446420565163</v>
      </c>
    </row>
  </sheetData>
  <sheetProtection algorithmName="SHA-512" hashValue="hewVuN+5pm4GMZ60D6bnQcCTZcFIXPQy9XYorvrz1ZcdgYAo+ElMMFM4ExM9Puj6UIBP35q7xKfrAwMM4NIJHg==" saltValue="rDgYj1v/nOOgFQ+kqnY+ZQ==" spinCount="100000" sheet="1" objects="1" scenarios="1"/>
  <mergeCells count="8">
    <mergeCell ref="L8:O8"/>
    <mergeCell ref="AB9:AC9"/>
    <mergeCell ref="Q4:V4"/>
    <mergeCell ref="B7:E7"/>
    <mergeCell ref="G7:J7"/>
    <mergeCell ref="L7:O7"/>
    <mergeCell ref="Q6:V6"/>
    <mergeCell ref="AB7:AH7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Wagner</dc:creator>
  <cp:lastModifiedBy>Matt Wagner</cp:lastModifiedBy>
  <cp:lastPrinted>2019-03-01T13:45:24Z</cp:lastPrinted>
  <dcterms:created xsi:type="dcterms:W3CDTF">2019-01-07T21:38:26Z</dcterms:created>
  <dcterms:modified xsi:type="dcterms:W3CDTF">2020-09-17T18:51:17Z</dcterms:modified>
</cp:coreProperties>
</file>