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C:\Users\guyfl\Documents\ateam\electrical\robot\power\v1.0\"/>
    </mc:Choice>
  </mc:AlternateContent>
  <xr:revisionPtr revIDLastSave="0" documentId="13_ncr:1_{62C5AAE6-0696-40A5-8E59-EF0CC228A130}" xr6:coauthVersionLast="47" xr6:coauthVersionMax="47" xr10:uidLastSave="{00000000-0000-0000-0000-000000000000}"/>
  <workbookProtection workbookPassword="C5C9" lockStructure="1"/>
  <bookViews>
    <workbookView xWindow="-98" yWindow="-98" windowWidth="28996" windowHeight="15675"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E39" i="14"/>
  <c r="E40" i="14"/>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F122" i="1" l="1"/>
  <c r="F123" i="1"/>
  <c r="H35" i="3"/>
  <c r="H33" i="3"/>
  <c r="C25" i="7"/>
  <c r="H34" i="3"/>
  <c r="E23" i="14"/>
  <c r="K25" i="14"/>
  <c r="E34" i="7"/>
  <c r="C33" i="7"/>
  <c r="J24" i="14" s="1"/>
  <c r="F85" i="1"/>
  <c r="F65" i="3"/>
  <c r="D33" i="7"/>
  <c r="K24" i="14" s="1"/>
  <c r="F101" i="1"/>
  <c r="F40" i="14"/>
  <c r="F39" i="14"/>
  <c r="E44" i="14"/>
  <c r="C12" i="7"/>
  <c r="C13" i="7" s="1"/>
  <c r="C15" i="7" s="1"/>
  <c r="C19" i="7" s="1"/>
  <c r="C18" i="7" s="1"/>
  <c r="G36" i="14"/>
  <c r="H35" i="14"/>
  <c r="G37" i="14"/>
  <c r="F23" i="3"/>
  <c r="F21" i="3"/>
  <c r="F40" i="1" s="1"/>
  <c r="F40" i="3" l="1"/>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E10" i="13" s="1"/>
  <c r="M10" i="13" s="1"/>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F209" i="3"/>
  <c r="F205" i="3"/>
  <c r="F201" i="3"/>
  <c r="F197" i="3"/>
  <c r="F193" i="3"/>
  <c r="F204" i="3"/>
  <c r="F206" i="3"/>
  <c r="F202" i="3"/>
  <c r="F198" i="3"/>
  <c r="F194" i="3"/>
  <c r="F208" i="3"/>
  <c r="F200" i="3"/>
  <c r="F196" i="3"/>
  <c r="F203" i="3"/>
  <c r="F199" i="3"/>
  <c r="F207" i="3"/>
  <c r="F195" i="3"/>
  <c r="J39" i="14"/>
  <c r="J40" i="14"/>
  <c r="I44" i="14"/>
  <c r="E112" i="13"/>
  <c r="E111" i="13"/>
  <c r="E114" i="13"/>
  <c r="E113" i="13"/>
  <c r="E107" i="13"/>
  <c r="L35" i="14"/>
  <c r="K37" i="14"/>
  <c r="K36" i="14"/>
  <c r="G24" i="13" l="1"/>
  <c r="G30" i="13"/>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L26" i="13"/>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<sst xmlns="http://schemas.openxmlformats.org/spreadsheetml/2006/main" count="723" uniqueCount="497">
  <si>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</si>
  <si>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</si>
  <si>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</si>
  <si>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</si>
  <si>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</si>
  <si>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</si>
  <si>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</si>
  <si>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</si>
  <si>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</si>
  <si>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</si>
  <si>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</si>
  <si>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</si>
  <si>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</si>
  <si>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</si>
  <si>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</si>
  <si>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</si>
  <si>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</si>
  <si>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</si>
  <si>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</si>
  <si>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</si>
  <si>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</si>
  <si>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</si>
  <si>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</si>
  <si>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</si>
  <si>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</si>
  <si>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</si>
  <si>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</si>
  <si>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</si>
  <si>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</si>
  <si>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</si>
  <si>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</si>
  <si>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</si>
  <si>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</si>
  <si>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</si>
  <si>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</si>
  <si>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</si>
  <si>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</si>
  <si>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</si>
  <si>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</si>
  <si>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</si>
  <si>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</si>
  <si>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</si>
  <si>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</si>
  <si>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</si>
  <si>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</si>
  <si>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</si>
  <si>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</si>
  <si>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</si>
  <si>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</si>
  <si>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</si>
  <si>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</si>
  <si>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</si>
  <si>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</si>
  <si>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</si>
  <si>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</si>
  <si>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</si>
  <si>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</si>
  <si>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</si>
  <si>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</si>
  <si>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</si>
  <si>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</si>
  <si>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</si>
  <si>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</si>
  <si>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</si>
  <si>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</si>
  <si>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</si>
  <si>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</si>
  <si>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</si>
  <si>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</si>
  <si>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</si>
  <si>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</si>
  <si>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</si>
  <si>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</si>
  <si>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</si>
  <si>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</si>
  <si>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</si>
  <si>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</si>
  <si>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</si>
  <si>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</si>
  <si>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</si>
  <si>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</si>
  <si>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</si>
  <si>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</si>
  <si>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</si>
  <si>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</si>
  <si>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</si>
  <si>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</si>
  <si>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</si>
  <si>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</si>
  <si>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</si>
  <si>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</si>
  <si>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</si>
  <si>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</si>
  <si>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</si>
  <si>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</si>
  <si>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</si>
  <si>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</si>
  <si>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</si>
  <si>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</si>
  <si>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</si>
  <si>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</si>
  <si>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</si>
  <si>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</si>
  <si>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</si>
  <si>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</si>
  <si>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</si>
  <si>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</si>
  <si>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</si>
  <si>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</si>
  <si>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</si>
  <si>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</si>
  <si>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</si>
  <si>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</si>
  <si>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</si>
  <si>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</si>
  <si>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</si>
  <si>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</si>
  <si>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</si>
  <si>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</si>
  <si>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</si>
  <si>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</si>
  <si>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</si>
  <si>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</si>
  <si>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</si>
  <si>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</si>
  <si>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</si>
  <si>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</si>
  <si>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</si>
  <si>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</si>
  <si>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</si>
  <si>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</si>
  <si>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</si>
  <si>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</si>
  <si>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</si>
  <si>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</si>
  <si>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</si>
  <si>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</si>
  <si>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</si>
  <si>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</si>
  <si>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</si>
  <si>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</si>
  <si>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</si>
  <si>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</si>
  <si>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</si>
  <si>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</si>
  <si>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</si>
  <si>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</si>
  <si>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</si>
  <si>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</si>
  <si>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</si>
  <si>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</si>
  <si>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</si>
  <si>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</si>
  <si>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</si>
  <si>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</si>
  <si>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</si>
  <si>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</si>
  <si>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</si>
  <si>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</si>
  <si>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</si>
  <si>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</si>
  <si>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</si>
  <si>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</si>
  <si>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</si>
  <si>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</si>
  <si>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</si>
  <si>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</si>
  <si>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</si>
  <si>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</si>
  <si>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</si>
  <si>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</si>
  <si>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</si>
  <si>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</si>
  <si>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</si>
  <si>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</si>
  <si>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</si>
  <si>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</si>
  <si>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</si>
  <si>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</si>
  <si>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</si>
  <si>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</si>
  <si>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</si>
  <si>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</si>
  <si>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</si>
  <si>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</si>
  <si>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</si>
  <si>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</si>
  <si>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</si>
  <si>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</si>
  <si>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</si>
  <si>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</si>
  <si>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</si>
  <si>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</si>
  <si>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</si>
  <si>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</si>
  <si>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</si>
  <si>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</si>
  <si>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</si>
  <si>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</si>
  <si>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</si>
  <si>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</si>
  <si>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</si>
  <si>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</si>
  <si>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</si>
  <si>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</si>
  <si>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</si>
  <si>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</si>
  <si>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</si>
  <si>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</si>
  <si>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</si>
  <si>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</si>
  <si>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</si>
  <si>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</si>
  <si>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</si>
  <si>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</si>
  <si>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</si>
  <si>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</si>
  <si>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</si>
  <si>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</si>
  <si>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</si>
  <si>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</si>
  <si>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</si>
  <si>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</si>
  <si>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</si>
  <si>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</si>
  <si>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</si>
  <si>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</si>
  <si>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</si>
  <si>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</si>
  <si>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</si>
  <si>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</si>
  <si>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</si>
  <si>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</si>
  <si>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</si>
  <si>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</si>
  <si>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</si>
  <si>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</si>
  <si>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</si>
  <si>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</si>
  <si>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</si>
  <si>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</si>
  <si>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</si>
  <si>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</si>
  <si>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</si>
  <si>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</si>
  <si>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</si>
  <si>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</si>
  <si>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</si>
  <si>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</si>
  <si>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</si>
  <si>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</si>
  <si>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</si>
  <si>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</si>
  <si>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</si>
  <si>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</si>
  <si>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</si>
  <si>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</si>
  <si>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</si>
  <si>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</si>
  <si>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</si>
  <si>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</si>
  <si>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</si>
  <si>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</si>
  <si>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</si>
  <si>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</si>
  <si>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</si>
  <si>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</si>
  <si>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</si>
  <si>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</si>
  <si>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</si>
  <si>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</si>
  <si>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</si>
  <si>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</si>
  <si>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</si>
  <si>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</si>
  <si>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</si>
  <si>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</si>
  <si>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</si>
  <si>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</si>
  <si>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</si>
  <si>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</si>
  <si>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</si>
  <si>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</si>
  <si>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</si>
  <si>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</si>
  <si>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</si>
  <si>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</si>
  <si>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</si>
  <si>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</si>
  <si>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</si>
  <si>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</si>
  <si>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</si>
  <si>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</si>
  <si>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</si>
  <si>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</si>
  <si>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</si>
  <si>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</si>
  <si>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</si>
  <si>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</si>
  <si>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</si>
  <si>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</si>
  <si>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</si>
  <si>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</si>
  <si>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</si>
  <si>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</si>
  <si>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</si>
  <si>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</si>
  <si>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</si>
  <si>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</si>
  <si>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</si>
  <si>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</si>
  <si>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</si>
  <si>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</si>
  <si>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</si>
  <si>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</si>
  <si>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</si>
  <si>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</si>
  <si>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</si>
  <si>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</si>
  <si>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</si>
  <si>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</si>
  <si>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</si>
  <si>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</si>
  <si>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</si>
  <si>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</si>
  <si>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</si>
  <si>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</si>
  <si>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</si>
  <si>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</si>
  <si>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</si>
  <si>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</si>
  <si>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</si>
  <si>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</si>
  <si>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</si>
  <si>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</si>
  <si>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</si>
  <si>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</si>
  <si>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</si>
  <si>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</si>
  <si>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</si>
  <si>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</si>
  <si>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</si>
  <si>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</si>
  <si>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</si>
  <si>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</si>
  <si>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</si>
  <si>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</si>
  <si>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</si>
  <si>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</si>
  <si>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</si>
  <si>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</si>
  <si>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</si>
  <si>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</si>
  <si>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</si>
  <si>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</si>
  <si>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</si>
  <si>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</si>
  <si>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</si>
  <si>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</si>
  <si>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</si>
  <si>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</si>
  <si>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</si>
  <si>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</si>
  <si>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</si>
  <si>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</si>
  <si>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</si>
  <si>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</si>
  <si>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</si>
  <si>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</si>
  <si>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</si>
  <si>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</si>
  <si>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</si>
  <si>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</si>
  <si>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</si>
  <si>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</si>
  <si>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</si>
  <si>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</si>
  <si>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</si>
  <si>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</si>
  <si>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</si>
  <si>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</si>
  <si>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</si>
  <si>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</si>
  <si>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</si>
  <si>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</si>
  <si>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</si>
  <si>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</si>
  <si>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</si>
  <si>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</si>
  <si>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</si>
  <si>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</si>
  <si>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</si>
  <si>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</si>
  <si>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</si>
  <si>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</si>
  <si>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</si>
  <si>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</si>
  <si>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</si>
  <si>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</si>
  <si>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</si>
  <si>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</si>
  <si>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</si>
  <si>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</si>
  <si>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</si>
  <si>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</si>
  <si>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</si>
  <si>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</si>
  <si>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</si>
  <si>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</si>
  <si>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</si>
  <si>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</si>
  <si>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</si>
  <si>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</si>
  <si>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</si>
  <si>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</si>
  <si>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</si>
  <si>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</si>
  <si>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</si>
  <si>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</si>
  <si>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</si>
  <si>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</si>
  <si>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</si>
  <si>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</si>
  <si>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</si>
  <si>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</si>
  <si>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</si>
  <si>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</si>
  <si>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</si>
  <si>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</si>
  <si>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</si>
  <si>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</si>
  <si>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</si>
  <si>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</si>
  <si>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</si>
  <si>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</si>
  <si>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</si>
  <si>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</si>
  <si>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</si>
  <si>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</si>
  <si>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</si>
  <si>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</si>
  <si>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</si>
  <si>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</si>
  <si>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</si>
  <si>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</si>
  <si>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</si>
  <si>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</si>
  <si>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</si>
  <si>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</si>
  <si>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</si>
  <si>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</si>
  <si>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</si>
  <si>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</si>
  <si>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</si>
  <si>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</si>
  <si>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</si>
  <si>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</si>
  <si>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</si>
  <si>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</si>
  <si>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</si>
  <si>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</si>
  <si>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</si>
  <si>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</si>
  <si>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</si>
  <si>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</si>
  <si>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</si>
  <si>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</si>
  <si>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</si>
  <si>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</si>
  <si>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</si>
  <si>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</si>
  <si>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</si>
  <si>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t>Note: This is the typical dv/dt rate, but max value can be 1.4x. This is because the gate source current can vary from 16uA to 22uA. Thus TI recommends keeping the overall SOA margin during start-up &gt;1.5 in order to compensate for this.</t>
  </si>
  <si>
    <r>
      <t xml:space="preserve">                         </t>
    </r>
    <r>
      <rPr>
        <sz val="22"/>
        <color theme="0"/>
        <rFont val="Arial"/>
        <family val="2"/>
      </rPr>
      <t>LM5069 Hot Swap Design Tool</t>
    </r>
  </si>
  <si>
    <t>Q1 FET Name</t>
  </si>
  <si>
    <t>PSMN4R8-100BSE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</si>
  <si>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</si>
  <si>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</si>
  <si>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</si>
  <si>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</si>
  <si>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</si>
  <si>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</si>
  <si>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</si>
  <si>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</si>
  <si>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</si>
  <si>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</si>
  <si>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</si>
  <si>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</si>
  <si>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</si>
  <si>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</si>
  <si>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</si>
  <si>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</si>
  <si>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</si>
  <si>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</si>
  <si>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</si>
  <si>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STL90N10F7</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</si>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</sst>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296">
    <xf numFmtId="0" fontId="0" fillId="0" borderId="0" xfId="0"/>
    <xf numFmtId="0" fontId="0" fillId="0" borderId="0" xfId="0" applyAlignment="1">
      <alignment horizontal="center"/>
    </xf>
    <xf numFmtId="0" fontId="0" fillId="0" borderId="0" xfId="0"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9" fillId="2" borderId="0" xfId="0" applyFont="1" applyFill="1" applyAlignment="1">
      <alignment horizontal="left"/>
    </xf>
    <xf numFmtId="14" fontId="9" fillId="2" borderId="0" xfId="0" applyNumberFormat="1" applyFont="1" applyFill="1" applyAlignment="1">
      <alignment horizontal="left"/>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2" borderId="0" xfId="0" applyFill="1" applyProtection="1">
      <protection locked="0"/>
    </xf>
    <xf numFmtId="0" fontId="2" fillId="0" borderId="0" xfId="0" applyFont="1"/>
    <xf numFmtId="0" fontId="2" fillId="0" borderId="0" xfId="0" applyFont="1" applyAlignment="1">
      <alignment horizontal="right"/>
    </xf>
    <xf numFmtId="0" fontId="2" fillId="2" borderId="0" xfId="0" applyFont="1" applyFill="1" applyAlignment="1">
      <alignment horizontal="left"/>
    </xf>
    <xf numFmtId="0" fontId="0" fillId="3" borderId="0" xfId="0" applyFill="1"/>
    <xf numFmtId="0" fontId="2" fillId="2" borderId="0" xfId="0" applyFont="1" applyFill="1" applyAlignment="1">
      <alignment horizontal="right"/>
    </xf>
    <xf numFmtId="0" fontId="15" fillId="2" borderId="0" xfId="1" applyFont="1" applyFill="1" applyAlignment="1" applyProtection="1"/>
    <xf numFmtId="0" fontId="16" fillId="3" borderId="0" xfId="0" applyFont="1" applyFill="1"/>
    <xf numFmtId="0" fontId="19" fillId="3" borderId="0" xfId="0" applyFont="1" applyFill="1"/>
    <xf numFmtId="0" fontId="18" fillId="3" borderId="24" xfId="0" applyFont="1" applyFill="1" applyBorder="1" applyAlignment="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1" xfId="0"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Alignment="1">
      <alignment horizontal="right" vertical="center"/>
    </xf>
    <xf numFmtId="0" fontId="2" fillId="2" borderId="0" xfId="0" applyFont="1" applyFill="1" applyAlignment="1">
      <alignment horizontal="right" vertical="center"/>
    </xf>
    <xf numFmtId="0" fontId="0" fillId="0" borderId="1" xfId="0" applyBorder="1" applyAlignment="1" applyProtection="1">
      <alignment horizontal="center" vertical="center"/>
      <protection locked="0"/>
    </xf>
    <xf numFmtId="0" fontId="2" fillId="0" borderId="0" xfId="2" applyAlignment="1">
      <alignment horizontal="center"/>
    </xf>
    <xf numFmtId="0" fontId="2" fillId="0" borderId="0" xfId="2"/>
    <xf numFmtId="164" fontId="2" fillId="0" borderId="0" xfId="2" applyNumberFormat="1" applyAlignment="1">
      <alignment horizontal="center"/>
    </xf>
    <xf numFmtId="166" fontId="2" fillId="0" borderId="0" xfId="2" applyNumberFormat="1" applyAlignment="1">
      <alignment horizontal="center"/>
    </xf>
    <xf numFmtId="2" fontId="2" fillId="0" borderId="25" xfId="2" applyNumberFormat="1" applyBorder="1" applyAlignment="1">
      <alignment horizontal="center"/>
    </xf>
    <xf numFmtId="0" fontId="2" fillId="0" borderId="1" xfId="2" applyBorder="1"/>
    <xf numFmtId="0" fontId="0" fillId="0" borderId="0" xfId="0" applyAlignment="1" applyProtection="1">
      <alignment horizontal="center" vertical="center"/>
      <protection locked="0"/>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2" fillId="0" borderId="1" xfId="0" applyFont="1" applyBorder="1"/>
    <xf numFmtId="2" fontId="0" fillId="0" borderId="1" xfId="0" applyNumberFormat="1" applyBorder="1"/>
    <xf numFmtId="0" fontId="27" fillId="0" borderId="0" xfId="0" applyFont="1"/>
    <xf numFmtId="0" fontId="28" fillId="0" borderId="0" xfId="0" applyFont="1" applyAlignment="1">
      <alignment horizontal="center"/>
    </xf>
    <xf numFmtId="2" fontId="2" fillId="0" borderId="0" xfId="0" applyNumberFormat="1" applyFont="1" applyAlignment="1">
      <alignment horizontal="left"/>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Alignment="1">
      <alignment horizontal="right"/>
    </xf>
    <xf numFmtId="0" fontId="3" fillId="2" borderId="0" xfId="0" applyFont="1" applyFill="1" applyAlignment="1">
      <alignment horizontal="center"/>
    </xf>
    <xf numFmtId="0" fontId="8" fillId="2" borderId="0" xfId="0" applyFont="1" applyFill="1"/>
    <xf numFmtId="0" fontId="0" fillId="2" borderId="30" xfId="0" applyFill="1" applyBorder="1"/>
    <xf numFmtId="0" fontId="2" fillId="2" borderId="29" xfId="0" applyFont="1" applyFill="1" applyBorder="1"/>
    <xf numFmtId="0" fontId="21" fillId="2" borderId="0" xfId="0" applyFont="1" applyFill="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Alignment="1">
      <alignment horizontal="center"/>
    </xf>
    <xf numFmtId="0" fontId="0" fillId="5" borderId="0" xfId="0" applyFill="1"/>
    <xf numFmtId="0" fontId="2" fillId="5" borderId="0" xfId="0" applyFont="1" applyFill="1" applyAlignment="1">
      <alignment horizontal="right" vertical="center"/>
    </xf>
    <xf numFmtId="0" fontId="0" fillId="6" borderId="0" xfId="0" applyFill="1"/>
    <xf numFmtId="0" fontId="2" fillId="6" borderId="0" xfId="0" applyFont="1" applyFill="1" applyAlignment="1">
      <alignment horizontal="right" vertical="center"/>
    </xf>
    <xf numFmtId="0" fontId="16" fillId="0" borderId="0" xfId="0" applyFont="1"/>
    <xf numFmtId="0" fontId="0" fillId="2" borderId="28" xfId="0" applyFill="1" applyBorder="1"/>
    <xf numFmtId="0" fontId="2" fillId="2" borderId="0" xfId="0" applyFont="1" applyFill="1"/>
    <xf numFmtId="0" fontId="21" fillId="2" borderId="24" xfId="0" applyFont="1" applyFill="1" applyBorder="1" applyAlignment="1">
      <alignment horizontal="right" vertical="center"/>
    </xf>
    <xf numFmtId="14" fontId="2" fillId="2" borderId="0" xfId="0" applyNumberFormat="1" applyFont="1" applyFill="1" applyAlignment="1">
      <alignment horizontal="center"/>
    </xf>
    <xf numFmtId="0" fontId="2" fillId="2" borderId="26" xfId="0" applyFont="1" applyFill="1" applyBorder="1" applyAlignment="1">
      <alignment horizontal="left"/>
    </xf>
    <xf numFmtId="0" fontId="2" fillId="2" borderId="0" xfId="0" applyFont="1" applyFill="1" applyAlignment="1">
      <alignment horizontal="center"/>
    </xf>
    <xf numFmtId="0" fontId="3" fillId="2" borderId="0" xfId="0" applyFont="1" applyFill="1"/>
    <xf numFmtId="0" fontId="3" fillId="2" borderId="29" xfId="0" applyFont="1" applyFill="1" applyBorder="1" applyAlignment="1">
      <alignment horizontal="left"/>
    </xf>
    <xf numFmtId="164" fontId="2" fillId="2" borderId="0" xfId="0" applyNumberFormat="1" applyFont="1" applyFill="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Alignment="1">
      <alignment horizontal="center" vertical="center"/>
    </xf>
    <xf numFmtId="2" fontId="0" fillId="3" borderId="1" xfId="0" applyNumberFormat="1" applyFill="1" applyBorder="1" applyAlignment="1">
      <alignment horizontal="center" vertical="center"/>
    </xf>
    <xf numFmtId="0" fontId="0" fillId="8" borderId="0" xfId="0" applyFill="1"/>
    <xf numFmtId="0" fontId="2" fillId="8" borderId="0" xfId="0" applyFont="1" applyFill="1" applyAlignment="1">
      <alignment horizontal="right" vertical="center"/>
    </xf>
    <xf numFmtId="0" fontId="23" fillId="7" borderId="23" xfId="0" applyFont="1" applyFill="1" applyBorder="1"/>
    <xf numFmtId="0" fontId="0" fillId="3" borderId="29" xfId="0" applyFill="1" applyBorder="1"/>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lignment horizontal="center"/>
    </xf>
    <xf numFmtId="10" fontId="2" fillId="0" borderId="0" xfId="2" applyNumberFormat="1"/>
    <xf numFmtId="9" fontId="0" fillId="2" borderId="1" xfId="0" applyNumberFormat="1" applyFill="1" applyBorder="1" applyAlignment="1">
      <alignment horizontal="center" vertical="center"/>
    </xf>
    <xf numFmtId="0" fontId="2" fillId="0" borderId="6" xfId="0" applyFont="1" applyBorder="1" applyAlignment="1">
      <alignment horizontal="center"/>
    </xf>
    <xf numFmtId="0" fontId="27" fillId="0" borderId="0" xfId="2" applyFont="1"/>
    <xf numFmtId="165" fontId="0" fillId="0" borderId="1" xfId="0" applyNumberFormat="1" applyBorder="1" applyAlignment="1">
      <alignment horizontal="center" vertical="center"/>
    </xf>
    <xf numFmtId="0" fontId="27" fillId="0" borderId="0" xfId="0" applyFont="1" applyAlignment="1">
      <alignment horizontal="center"/>
    </xf>
    <xf numFmtId="0" fontId="2" fillId="3" borderId="0" xfId="0" applyFont="1" applyFill="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Alignment="1">
      <alignment horizontal="center" vertical="center"/>
    </xf>
    <xf numFmtId="0" fontId="0" fillId="2" borderId="26" xfId="0" applyFill="1" applyBorder="1" applyAlignment="1">
      <alignment horizontal="center"/>
    </xf>
    <xf numFmtId="0" fontId="27" fillId="0" borderId="0" xfId="0" applyFont="1" applyAlignment="1">
      <alignment horizontal="left"/>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lignment horizontal="center"/>
    </xf>
    <xf numFmtId="0" fontId="0" fillId="0" borderId="11" xfId="0" applyBorder="1"/>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Alignment="1" applyProtection="1">
      <alignment horizontal="center" vertical="center"/>
      <protection locked="0"/>
    </xf>
    <xf numFmtId="0" fontId="3" fillId="0" borderId="0" xfId="0" applyFont="1" applyAlignment="1">
      <alignment horizontal="center"/>
    </xf>
    <xf numFmtId="0" fontId="26" fillId="0" borderId="0" xfId="0" applyFont="1" applyAlignment="1">
      <alignment horizontal="center"/>
    </xf>
    <xf numFmtId="2" fontId="2" fillId="0" borderId="0" xfId="0" applyNumberFormat="1" applyFont="1"/>
    <xf numFmtId="0" fontId="3" fillId="2" borderId="0" xfId="0" applyFont="1" applyFill="1" applyAlignment="1">
      <alignment horizontal="left"/>
    </xf>
    <xf numFmtId="0" fontId="0" fillId="2" borderId="25" xfId="0" applyFill="1" applyBorder="1" applyAlignment="1">
      <alignment wrapText="1"/>
    </xf>
    <xf numFmtId="0" fontId="0" fillId="11" borderId="35" xfId="0" applyFill="1" applyBorder="1"/>
    <xf numFmtId="0" fontId="0" fillId="11" borderId="36" xfId="0" applyFill="1" applyBorder="1"/>
    <xf numFmtId="0" fontId="0" fillId="11" borderId="37" xfId="0" applyFill="1" applyBorder="1"/>
    <xf numFmtId="0" fontId="0" fillId="11" borderId="38" xfId="0" applyFill="1" applyBorder="1"/>
    <xf numFmtId="0" fontId="0" fillId="11" borderId="0" xfId="0" applyFill="1"/>
    <xf numFmtId="0" fontId="0" fillId="11" borderId="39" xfId="0" applyFill="1" applyBorder="1"/>
    <xf numFmtId="0" fontId="33" fillId="11" borderId="0" xfId="0" applyFont="1" applyFill="1"/>
    <xf numFmtId="0" fontId="34" fillId="11" borderId="0" xfId="0" applyFont="1" applyFill="1"/>
    <xf numFmtId="0" fontId="35" fillId="11" borderId="0" xfId="0" applyFont="1" applyFill="1"/>
    <xf numFmtId="0" fontId="36" fillId="11" borderId="0" xfId="0" applyFont="1" applyFill="1"/>
    <xf numFmtId="0" fontId="37" fillId="11" borderId="0" xfId="0" applyFont="1" applyFill="1"/>
    <xf numFmtId="0" fontId="37" fillId="11" borderId="0" xfId="0" applyFont="1" applyFill="1" applyAlignment="1">
      <alignment wrapText="1"/>
    </xf>
    <xf numFmtId="0" fontId="38" fillId="11" borderId="0" xfId="0" applyFont="1" applyFill="1" applyAlignment="1">
      <alignment vertical="center"/>
    </xf>
    <xf numFmtId="0" fontId="38" fillId="11" borderId="0" xfId="0" applyFont="1" applyFill="1"/>
    <xf numFmtId="0" fontId="0" fillId="11" borderId="40" xfId="0" applyFill="1" applyBorder="1"/>
    <xf numFmtId="0" fontId="0" fillId="11" borderId="41" xfId="0" applyFill="1" applyBorder="1"/>
    <xf numFmtId="0" fontId="0" fillId="11" borderId="42" xfId="0" applyFill="1" applyBorder="1"/>
    <xf numFmtId="0" fontId="2" fillId="11" borderId="0" xfId="0" applyFont="1" applyFill="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lignment horizontal="right" vertical="center"/>
    </xf>
    <xf numFmtId="0" fontId="2" fillId="3" borderId="16" xfId="0" applyFont="1" applyFill="1" applyBorder="1" applyAlignment="1">
      <alignment horizontal="center" vertical="center"/>
    </xf>
    <xf numFmtId="0" fontId="2" fillId="0" borderId="7" xfId="0" applyFont="1" applyBorder="1" applyAlignment="1">
      <alignment horizontal="center"/>
    </xf>
    <xf numFmtId="164" fontId="0" fillId="2" borderId="0" xfId="0" applyNumberFormat="1" applyFill="1" applyAlignment="1">
      <alignment horizontal="center"/>
    </xf>
    <xf numFmtId="11" fontId="0" fillId="0" borderId="0" xfId="0" applyNumberFormat="1"/>
    <xf numFmtId="0" fontId="2" fillId="2" borderId="24" xfId="2" applyFill="1" applyBorder="1" applyAlignment="1">
      <alignment horizontal="right"/>
    </xf>
    <xf numFmtId="0" fontId="2" fillId="2" borderId="0" xfId="2" applyFill="1" applyAlignment="1">
      <alignment horizontal="right" vertical="center"/>
    </xf>
    <xf numFmtId="1" fontId="2" fillId="2" borderId="1" xfId="2" applyNumberForma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21" xfId="0" applyFont="1" applyFill="1" applyBorder="1" applyAlignment="1">
      <alignment horizontal="center" vertical="center"/>
    </xf>
    <xf numFmtId="0" fontId="2" fillId="2" borderId="0" xfId="2" applyFill="1"/>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3" fillId="7" borderId="23" xfId="2" applyFont="1" applyFill="1" applyBorder="1"/>
    <xf numFmtId="0" fontId="23" fillId="3" borderId="25" xfId="2" applyFont="1" applyFill="1" applyBorder="1"/>
    <xf numFmtId="0" fontId="44" fillId="2" borderId="0" xfId="2" applyFont="1" applyFill="1"/>
    <xf numFmtId="0" fontId="44" fillId="2" borderId="0" xfId="2" applyFont="1" applyFill="1" applyAlignment="1">
      <alignment horizontal="right" vertical="center"/>
    </xf>
    <xf numFmtId="0" fontId="2" fillId="2" borderId="26" xfId="2" applyFill="1" applyBorder="1" applyAlignment="1">
      <alignment horizontal="center" vertical="center"/>
    </xf>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ill="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xf numFmtId="0" fontId="44" fillId="3" borderId="24" xfId="2" applyFont="1" applyFill="1" applyBorder="1"/>
    <xf numFmtId="0" fontId="2" fillId="2" borderId="26" xfId="2"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Alignment="1">
      <alignment horizontal="center" vertical="center"/>
    </xf>
    <xf numFmtId="0" fontId="17" fillId="4" borderId="23" xfId="0" applyFont="1" applyFill="1" applyBorder="1" applyAlignment="1">
      <alignment horizontal="left" vertical="center"/>
    </xf>
    <xf numFmtId="0" fontId="17" fillId="4" borderId="24"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Alignment="1">
      <alignment horizontal="center"/>
    </xf>
    <xf numFmtId="0" fontId="27" fillId="0" borderId="0" xfId="0" applyFont="1" applyAlignment="1">
      <alignment horizontal="center"/>
    </xf>
    <xf numFmtId="0" fontId="3" fillId="0" borderId="0" xfId="0" applyFont="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dxf>
    <dxf>
      <font>
        <color theme="0"/>
      </font>
    </dxf>
    <dxf>
      <font>
        <condense val="0"/>
        <extend val="0"/>
        <color indexed="9"/>
      </font>
      <fill>
        <patternFill>
          <bgColor indexed="9"/>
        </patternFill>
      </fill>
      <border>
        <left/>
        <right/>
        <top/>
        <bottom/>
      </border>
    </dxf>
    <dxf>
      <font>
        <strike/>
        <color theme="0" tint="-0.24994659260841701"/>
      </font>
      <fill>
        <patternFill patternType="none">
          <bgColor auto="1"/>
        </patternFill>
      </fill>
    </dxf>
    <dxf>
      <font>
        <color theme="0"/>
      </font>
      <fill>
        <patternFill>
          <bgColor theme="0"/>
        </patternFill>
      </fill>
    </dxf>
    <dxf>
      <font>
        <condense val="0"/>
        <extend val="0"/>
        <color indexed="9"/>
      </font>
      <fill>
        <patternFill>
          <bgColor indexed="9"/>
        </patternFill>
      </fill>
      <border>
        <left/>
        <right/>
        <top style="thin">
          <color auto="1"/>
        </top>
        <bottom style="thin">
          <color auto="1"/>
        </bottom>
      </border>
    </dxf>
    <dxf>
      <fill>
        <patternFill>
          <bgColor indexed="1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indexed="10"/>
        </patternFill>
      </fill>
    </dxf>
    <dxf>
      <font>
        <color theme="0"/>
      </font>
      <fill>
        <patternFill>
          <fgColor theme="0"/>
          <bgColor theme="0"/>
        </patternFill>
      </fill>
    </dxf>
    <dxf>
      <font>
        <strike val="0"/>
        <color theme="0"/>
      </font>
      <fill>
        <patternFill patternType="none">
          <bgColor auto="1"/>
        </patternFill>
      </fill>
    </dxf>
    <dxf>
      <font>
        <color theme="0"/>
      </font>
      <fill>
        <patternFill>
          <bgColor theme="0"/>
        </patternFill>
      </fill>
    </dxf>
    <dxf>
      <font>
        <color theme="0"/>
      </font>
      <fill>
        <patternFill patternType="solid">
          <bgColor theme="0"/>
        </patternFill>
      </fill>
      <border>
        <left/>
        <right/>
      </border>
    </dxf>
    <dxf>
      <font>
        <color theme="0"/>
      </font>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bottom style="thin">
          <color auto="1"/>
        </bottom>
      </border>
    </dxf>
    <dxf>
      <fill>
        <patternFill>
          <bgColor rgb="FFFFFF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40.758446923523081</c:v>
                </c:pt>
                <c:pt idx="1">
                  <c:v>20.379223461761541</c:v>
                </c:pt>
                <c:pt idx="2">
                  <c:v>13.586148974507694</c:v>
                </c:pt>
                <c:pt idx="3">
                  <c:v>10.18961173088077</c:v>
                </c:pt>
                <c:pt idx="4">
                  <c:v>8.1516893847046159</c:v>
                </c:pt>
                <c:pt idx="5">
                  <c:v>6.7930744872538469</c:v>
                </c:pt>
                <c:pt idx="6">
                  <c:v>5.822635274789012</c:v>
                </c:pt>
                <c:pt idx="7">
                  <c:v>5.0948058654403852</c:v>
                </c:pt>
                <c:pt idx="8">
                  <c:v>4.5287163248358979</c:v>
                </c:pt>
                <c:pt idx="9">
                  <c:v>4.075844692352308</c:v>
                </c:pt>
                <c:pt idx="10">
                  <c:v>3.7053133566839165</c:v>
                </c:pt>
                <c:pt idx="11">
                  <c:v>3.3965372436269234</c:v>
                </c:pt>
                <c:pt idx="12">
                  <c:v>3.135265147963314</c:v>
                </c:pt>
                <c:pt idx="13">
                  <c:v>2.911317637394506</c:v>
                </c:pt>
                <c:pt idx="14">
                  <c:v>2.7172297949015389</c:v>
                </c:pt>
                <c:pt idx="15">
                  <c:v>2.5474029327201926</c:v>
                </c:pt>
                <c:pt idx="16">
                  <c:v>2.3975557013837108</c:v>
                </c:pt>
                <c:pt idx="17">
                  <c:v>2.264358162417949</c:v>
                </c:pt>
                <c:pt idx="18">
                  <c:v>2.1451814170275307</c:v>
                </c:pt>
                <c:pt idx="19">
                  <c:v>2.037922346176154</c:v>
                </c:pt>
                <c:pt idx="20">
                  <c:v>1.9408784249296704</c:v>
                </c:pt>
                <c:pt idx="21">
                  <c:v>1.8526566783419582</c:v>
                </c:pt>
                <c:pt idx="22">
                  <c:v>1.7721063879792645</c:v>
                </c:pt>
                <c:pt idx="23">
                  <c:v>1.6982686218134617</c:v>
                </c:pt>
                <c:pt idx="24">
                  <c:v>1.6303378769409234</c:v>
                </c:pt>
                <c:pt idx="25">
                  <c:v>1.567632573981657</c:v>
                </c:pt>
                <c:pt idx="26">
                  <c:v>1.5095721082786326</c:v>
                </c:pt>
                <c:pt idx="27">
                  <c:v>1.455658818697253</c:v>
                </c:pt>
                <c:pt idx="28">
                  <c:v>1.4054636870180373</c:v>
                </c:pt>
                <c:pt idx="29">
                  <c:v>1.3586148974507695</c:v>
                </c:pt>
                <c:pt idx="30">
                  <c:v>1.3147886104362285</c:v>
                </c:pt>
                <c:pt idx="31">
                  <c:v>1.2737014663600963</c:v>
                </c:pt>
                <c:pt idx="32">
                  <c:v>1.2351044522279722</c:v>
                </c:pt>
                <c:pt idx="33">
                  <c:v>1.1987778506918554</c:v>
                </c:pt>
                <c:pt idx="34">
                  <c:v>1.1645270549578024</c:v>
                </c:pt>
                <c:pt idx="35">
                  <c:v>1.1321790812089745</c:v>
                </c:pt>
                <c:pt idx="36">
                  <c:v>1.1015796465817049</c:v>
                </c:pt>
                <c:pt idx="37">
                  <c:v>1.0725907085137654</c:v>
                </c:pt>
                <c:pt idx="38">
                  <c:v>1.0450883826544379</c:v>
                </c:pt>
                <c:pt idx="39">
                  <c:v>1.018961173088077</c:v>
                </c:pt>
                <c:pt idx="40">
                  <c:v>0.9941084615493434</c:v>
                </c:pt>
                <c:pt idx="41">
                  <c:v>0.97043921246483522</c:v>
                </c:pt>
                <c:pt idx="42">
                  <c:v>0.94787085868658327</c:v>
                </c:pt>
                <c:pt idx="43">
                  <c:v>0.92632833917097912</c:v>
                </c:pt>
                <c:pt idx="44">
                  <c:v>0.90574326496717961</c:v>
                </c:pt>
                <c:pt idx="45">
                  <c:v>0.88605319398963223</c:v>
                </c:pt>
                <c:pt idx="46">
                  <c:v>0.86720099837283149</c:v>
                </c:pt>
                <c:pt idx="47">
                  <c:v>0.84913431090673086</c:v>
                </c:pt>
                <c:pt idx="48">
                  <c:v>0.83180503925557314</c:v>
                </c:pt>
                <c:pt idx="49">
                  <c:v>0.81516893847046168</c:v>
                </c:pt>
                <c:pt idx="50">
                  <c:v>0.79918523379457018</c:v>
                </c:pt>
                <c:pt idx="51">
                  <c:v>0.7838162869908285</c:v>
                </c:pt>
                <c:pt idx="52">
                  <c:v>0.76902730044383172</c:v>
                </c:pt>
                <c:pt idx="53">
                  <c:v>0.75478605413931632</c:v>
                </c:pt>
                <c:pt idx="54">
                  <c:v>0.74106267133678327</c:v>
                </c:pt>
                <c:pt idx="55">
                  <c:v>0.7278294093486265</c:v>
                </c:pt>
                <c:pt idx="56">
                  <c:v>0.71506047234251024</c:v>
                </c:pt>
                <c:pt idx="57">
                  <c:v>0.70273184350901863</c:v>
                </c:pt>
                <c:pt idx="58">
                  <c:v>0.69082113429700143</c:v>
                </c:pt>
                <c:pt idx="59">
                  <c:v>0.67930744872538473</c:v>
                </c:pt>
                <c:pt idx="60">
                  <c:v>0.66817126104136204</c:v>
                </c:pt>
                <c:pt idx="61">
                  <c:v>0.65739430521811426</c:v>
                </c:pt>
                <c:pt idx="62">
                  <c:v>0.64695947497655681</c:v>
                </c:pt>
                <c:pt idx="63">
                  <c:v>0.63685073318004815</c:v>
                </c:pt>
                <c:pt idx="64">
                  <c:v>0.62705302959266274</c:v>
                </c:pt>
                <c:pt idx="65">
                  <c:v>0.61755222611398608</c:v>
                </c:pt>
                <c:pt idx="66">
                  <c:v>0.60833502870929967</c:v>
                </c:pt>
                <c:pt idx="67">
                  <c:v>0.59938892534592769</c:v>
                </c:pt>
                <c:pt idx="68">
                  <c:v>0.59070212932642152</c:v>
                </c:pt>
                <c:pt idx="69">
                  <c:v>0.5822635274789012</c:v>
                </c:pt>
                <c:pt idx="70">
                  <c:v>0.57406263272567715</c:v>
                </c:pt>
                <c:pt idx="71">
                  <c:v>0.56608954060448724</c:v>
                </c:pt>
                <c:pt idx="72">
                  <c:v>0.55833488936332987</c:v>
                </c:pt>
                <c:pt idx="73">
                  <c:v>0.55078982329085246</c:v>
                </c:pt>
                <c:pt idx="74">
                  <c:v>0.54344595898030779</c:v>
                </c:pt>
                <c:pt idx="75">
                  <c:v>0.53629535425688268</c:v>
                </c:pt>
                <c:pt idx="76">
                  <c:v>0.52933047952627377</c:v>
                </c:pt>
                <c:pt idx="77">
                  <c:v>0.52254419132721897</c:v>
                </c:pt>
                <c:pt idx="78">
                  <c:v>0.51592970789269721</c:v>
                </c:pt>
                <c:pt idx="79">
                  <c:v>0.50948058654403849</c:v>
                </c:pt>
              </c:numCache>
            </c:numRef>
          </c:yVal>
          <c:smooth val="0"/>
          <c:extLst>
            <c:ext xmlns:c16="http://schemas.microsoft.com/office/drawing/2014/chart" uri="{C3380CC4-5D6E-409C-BE32-E72D297353CC}">
              <c16:uniqueId val="{00000000-073E-45E8-9BFE-26EC7FB986A1}"/>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55</c:v>
                </c:pt>
                <c:pt idx="1">
                  <c:v>55</c:v>
                </c:pt>
                <c:pt idx="2">
                  <c:v>55</c:v>
                </c:pt>
                <c:pt idx="3">
                  <c:v>55</c:v>
                </c:pt>
                <c:pt idx="4">
                  <c:v>55</c:v>
                </c:pt>
                <c:pt idx="5">
                  <c:v>47.866666666666667</c:v>
                </c:pt>
                <c:pt idx="6">
                  <c:v>41.171428571428571</c:v>
                </c:pt>
                <c:pt idx="7">
                  <c:v>36.15</c:v>
                </c:pt>
                <c:pt idx="8">
                  <c:v>32.24444444444444</c:v>
                </c:pt>
                <c:pt idx="9">
                  <c:v>29.119999999999997</c:v>
                </c:pt>
                <c:pt idx="10">
                  <c:v>26.563636363636363</c:v>
                </c:pt>
                <c:pt idx="11">
                  <c:v>24.433333333333334</c:v>
                </c:pt>
                <c:pt idx="12">
                  <c:v>22.630769230769229</c:v>
                </c:pt>
                <c:pt idx="13">
                  <c:v>21.085714285714285</c:v>
                </c:pt>
                <c:pt idx="14">
                  <c:v>19.746666666666666</c:v>
                </c:pt>
                <c:pt idx="15">
                  <c:v>18.574999999999999</c:v>
                </c:pt>
                <c:pt idx="16">
                  <c:v>17.541176470588233</c:v>
                </c:pt>
                <c:pt idx="17">
                  <c:v>16.62222222222222</c:v>
                </c:pt>
                <c:pt idx="18">
                  <c:v>15.799999999999999</c:v>
                </c:pt>
                <c:pt idx="19">
                  <c:v>15.059999999999999</c:v>
                </c:pt>
                <c:pt idx="20">
                  <c:v>14.390476190476189</c:v>
                </c:pt>
                <c:pt idx="21">
                  <c:v>13.781818181818181</c:v>
                </c:pt>
                <c:pt idx="22">
                  <c:v>13.226086956521739</c:v>
                </c:pt>
                <c:pt idx="23">
                  <c:v>12.716666666666667</c:v>
                </c:pt>
                <c:pt idx="24">
                  <c:v>12.247999999999999</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073E-45E8-9BFE-26EC7FB986A1}"/>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ABF6-4C92-9C5A-9B415DFFDC20}"/>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12.158730158730158</c:v>
                </c:pt>
                <c:pt idx="1">
                  <c:v>12.276776082601323</c:v>
                </c:pt>
                <c:pt idx="2">
                  <c:v>12.397136632430749</c:v>
                </c:pt>
                <c:pt idx="3">
                  <c:v>12.519880559484518</c:v>
                </c:pt>
                <c:pt idx="4">
                  <c:v>12.645079365079365</c:v>
                </c:pt>
                <c:pt idx="5">
                  <c:v>12.772807439474107</c:v>
                </c:pt>
                <c:pt idx="6">
                  <c:v>12.903142209264658</c:v>
                </c:pt>
                <c:pt idx="7">
                  <c:v>13.036164293896251</c:v>
                </c:pt>
                <c:pt idx="8">
                  <c:v>13.171957671957671</c:v>
                </c:pt>
                <c:pt idx="9">
                  <c:v>13.310609857978278</c:v>
                </c:pt>
                <c:pt idx="10">
                  <c:v>13.452212090509962</c:v>
                </c:pt>
                <c:pt idx="11">
                  <c:v>13.596859532343402</c:v>
                </c:pt>
                <c:pt idx="12">
                  <c:v>13.744651483781919</c:v>
                </c:pt>
                <c:pt idx="13">
                  <c:v>13.895691609977323</c:v>
                </c:pt>
                <c:pt idx="14">
                  <c:v>14.050088183421517</c:v>
                </c:pt>
                <c:pt idx="15">
                  <c:v>14.207954342785802</c:v>
                </c:pt>
                <c:pt idx="16">
                  <c:v>14.369408369408369</c:v>
                </c:pt>
                <c:pt idx="17">
                  <c:v>14.534573982849844</c:v>
                </c:pt>
                <c:pt idx="18">
                  <c:v>14.703580657069029</c:v>
                </c:pt>
                <c:pt idx="19">
                  <c:v>14.876563958916899</c:v>
                </c:pt>
                <c:pt idx="20">
                  <c:v>15.053665910808768</c:v>
                </c:pt>
                <c:pt idx="21">
                  <c:v>15.235035379613691</c:v>
                </c:pt>
                <c:pt idx="22">
                  <c:v>15.420828493999226</c:v>
                </c:pt>
                <c:pt idx="23">
                  <c:v>15.611209092690572</c:v>
                </c:pt>
                <c:pt idx="24">
                  <c:v>15.806349206349207</c:v>
                </c:pt>
                <c:pt idx="25">
                  <c:v>16.006429576049829</c:v>
                </c:pt>
                <c:pt idx="26">
                  <c:v>16.211640211640212</c:v>
                </c:pt>
                <c:pt idx="27">
                  <c:v>16.422180993609565</c:v>
                </c:pt>
                <c:pt idx="28">
                  <c:v>16.638262322472848</c:v>
                </c:pt>
                <c:pt idx="29">
                  <c:v>16.860105820105819</c:v>
                </c:pt>
                <c:pt idx="30">
                  <c:v>17.087945087945087</c:v>
                </c:pt>
                <c:pt idx="31">
                  <c:v>17.322026527505979</c:v>
                </c:pt>
                <c:pt idx="32">
                  <c:v>17.562610229276896</c:v>
                </c:pt>
                <c:pt idx="33">
                  <c:v>17.809970936731499</c:v>
                </c:pt>
                <c:pt idx="34">
                  <c:v>18.064399092970522</c:v>
                </c:pt>
                <c:pt idx="35">
                  <c:v>18.326201978375892</c:v>
                </c:pt>
                <c:pt idx="36">
                  <c:v>18.595704948646123</c:v>
                </c:pt>
                <c:pt idx="37">
                  <c:v>18.873252783700543</c:v>
                </c:pt>
                <c:pt idx="38">
                  <c:v>19.159211159211157</c:v>
                </c:pt>
                <c:pt idx="39">
                  <c:v>19.453968253968252</c:v>
                </c:pt>
                <c:pt idx="40">
                  <c:v>19.75793650793651</c:v>
                </c:pt>
                <c:pt idx="41">
                  <c:v>20.071554547745023</c:v>
                </c:pt>
                <c:pt idx="42">
                  <c:v>20.395289298515102</c:v>
                </c:pt>
                <c:pt idx="43">
                  <c:v>20.729638303408795</c:v>
                </c:pt>
                <c:pt idx="44">
                  <c:v>21.075132275132272</c:v>
                </c:pt>
                <c:pt idx="45">
                  <c:v>21.432337906914178</c:v>
                </c:pt>
                <c:pt idx="46">
                  <c:v>21.801860974274767</c:v>
                </c:pt>
                <c:pt idx="47">
                  <c:v>22.184349763297131</c:v>
                </c:pt>
                <c:pt idx="48">
                  <c:v>22.580498866213151</c:v>
                </c:pt>
                <c:pt idx="49">
                  <c:v>22.991053391053391</c:v>
                </c:pt>
                <c:pt idx="50">
                  <c:v>23.416813639035858</c:v>
                </c:pt>
                <c:pt idx="51">
                  <c:v>23.858640311470499</c:v>
                </c:pt>
                <c:pt idx="52">
                  <c:v>24.317460317460316</c:v>
                </c:pt>
                <c:pt idx="53">
                  <c:v>24.794273264861495</c:v>
                </c:pt>
                <c:pt idx="54">
                  <c:v>25.290158730158733</c:v>
                </c:pt>
                <c:pt idx="55">
                  <c:v>25.806284418529316</c:v>
                </c:pt>
                <c:pt idx="56">
                  <c:v>26.343915343915342</c:v>
                </c:pt>
                <c:pt idx="57">
                  <c:v>26.90442418101993</c:v>
                </c:pt>
                <c:pt idx="58">
                  <c:v>27.489302967563837</c:v>
                </c:pt>
                <c:pt idx="59">
                  <c:v>28.100176366843034</c:v>
                </c:pt>
                <c:pt idx="60">
                  <c:v>28.738816738816734</c:v>
                </c:pt>
                <c:pt idx="61">
                  <c:v>29.407161314138058</c:v>
                </c:pt>
                <c:pt idx="62">
                  <c:v>30.107331821617535</c:v>
                </c:pt>
                <c:pt idx="63">
                  <c:v>30.841656987998444</c:v>
                </c:pt>
                <c:pt idx="64">
                  <c:v>31.612698412698414</c:v>
                </c:pt>
                <c:pt idx="65">
                  <c:v>32.423280423280424</c:v>
                </c:pt>
                <c:pt idx="66">
                  <c:v>33.276524644945688</c:v>
                </c:pt>
                <c:pt idx="67">
                  <c:v>34.175890175890174</c:v>
                </c:pt>
                <c:pt idx="68">
                  <c:v>35.125220458553784</c:v>
                </c:pt>
                <c:pt idx="69">
                  <c:v>36.128798185941044</c:v>
                </c:pt>
                <c:pt idx="70">
                  <c:v>37.19140989729226</c:v>
                </c:pt>
                <c:pt idx="71">
                  <c:v>38.318422318422321</c:v>
                </c:pt>
                <c:pt idx="72">
                  <c:v>39.515873015873005</c:v>
                </c:pt>
                <c:pt idx="73">
                  <c:v>40.790578597030191</c:v>
                </c:pt>
                <c:pt idx="74">
                  <c:v>42.150264550264545</c:v>
                </c:pt>
                <c:pt idx="75">
                  <c:v>43.603721948549534</c:v>
                </c:pt>
                <c:pt idx="76">
                  <c:v>45.160997732426296</c:v>
                </c:pt>
                <c:pt idx="77">
                  <c:v>46.833627278071724</c:v>
                </c:pt>
                <c:pt idx="78">
                  <c:v>48.634920634920626</c:v>
                </c:pt>
                <c:pt idx="79">
                  <c:v>50.580317460317438</c:v>
                </c:pt>
                <c:pt idx="80">
                  <c:v>52.687830687830711</c:v>
                </c:pt>
                <c:pt idx="81">
                  <c:v>54.978605935127682</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numCache>
            </c:numRef>
          </c:yVal>
          <c:smooth val="1"/>
          <c:extLst>
            <c:ext xmlns:c16="http://schemas.microsoft.com/office/drawing/2014/chart" uri="{C3380CC4-5D6E-409C-BE32-E72D297353CC}">
              <c16:uniqueId val="{00000001-ABF6-4C92-9C5A-9B415DFFDC20}"/>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3.9474156843357491E-2</c:v>
                </c:pt>
                <c:pt idx="4" formatCode="0.0">
                  <c:v>7.8565069445517333E-2</c:v>
                </c:pt>
                <c:pt idx="5" formatCode="0.0">
                  <c:v>0.11727273780647954</c:v>
                </c:pt>
                <c:pt idx="6" formatCode="0.0">
                  <c:v>0.15559716192624409</c:v>
                </c:pt>
                <c:pt idx="7" formatCode="0.0">
                  <c:v>0.193538341804811</c:v>
                </c:pt>
                <c:pt idx="8" formatCode="0.0">
                  <c:v>0.23109627744218023</c:v>
                </c:pt>
                <c:pt idx="9" formatCode="0.0">
                  <c:v>0.26827096883835189</c:v>
                </c:pt>
                <c:pt idx="10" formatCode="0.0">
                  <c:v>0.30506241599332584</c:v>
                </c:pt>
                <c:pt idx="11" formatCode="0.0">
                  <c:v>0.34147061890710212</c:v>
                </c:pt>
                <c:pt idx="12" formatCode="0.0">
                  <c:v>0.37749557757968089</c:v>
                </c:pt>
                <c:pt idx="13" formatCode="0.0">
                  <c:v>0.41313729201106186</c:v>
                </c:pt>
                <c:pt idx="14" formatCode="0.0">
                  <c:v>0.44839576220124522</c:v>
                </c:pt>
                <c:pt idx="15" formatCode="0.0">
                  <c:v>0.48327098815023095</c:v>
                </c:pt>
                <c:pt idx="16" formatCode="0.0">
                  <c:v>0.51776296985801906</c:v>
                </c:pt>
                <c:pt idx="17" formatCode="0.0">
                  <c:v>0.55187170732460944</c:v>
                </c:pt>
                <c:pt idx="18" formatCode="0.0">
                  <c:v>0.58559720055000242</c:v>
                </c:pt>
                <c:pt idx="19" formatCode="0.0">
                  <c:v>0.61893944953419755</c:v>
                </c:pt>
                <c:pt idx="20" formatCode="0.0">
                  <c:v>0.65189845427719495</c:v>
                </c:pt>
                <c:pt idx="21" formatCode="0.0">
                  <c:v>0.68447421477899484</c:v>
                </c:pt>
                <c:pt idx="22" formatCode="0.0">
                  <c:v>0.7166667310395971</c:v>
                </c:pt>
                <c:pt idx="23" formatCode="0.0">
                  <c:v>0.74847600305900164</c:v>
                </c:pt>
                <c:pt idx="24" formatCode="0.0">
                  <c:v>0.77990203083720855</c:v>
                </c:pt>
                <c:pt idx="25" formatCode="0.0">
                  <c:v>0.81094481437421773</c:v>
                </c:pt>
                <c:pt idx="26" formatCode="0.0">
                  <c:v>0.84160435367002939</c:v>
                </c:pt>
                <c:pt idx="27" formatCode="0.0">
                  <c:v>0.87188064872464333</c:v>
                </c:pt>
                <c:pt idx="28" formatCode="0.0">
                  <c:v>0.90177369953805964</c:v>
                </c:pt>
                <c:pt idx="29" formatCode="0.0">
                  <c:v>0.93128350611027844</c:v>
                </c:pt>
                <c:pt idx="30" formatCode="0.0">
                  <c:v>0.96041006844129939</c:v>
                </c:pt>
                <c:pt idx="31" formatCode="0.0">
                  <c:v>0.98915338653112284</c:v>
                </c:pt>
                <c:pt idx="32" formatCode="0.0">
                  <c:v>1.0175134603797484</c:v>
                </c:pt>
                <c:pt idx="33" formatCode="0.0">
                  <c:v>1.0454902899871767</c:v>
                </c:pt>
                <c:pt idx="34" formatCode="0.0">
                  <c:v>1.0730838753534073</c:v>
                </c:pt>
                <c:pt idx="35" formatCode="0.0">
                  <c:v>1.1002942164784399</c:v>
                </c:pt>
                <c:pt idx="36" formatCode="0.0">
                  <c:v>1.1271213133622753</c:v>
                </c:pt>
                <c:pt idx="37" formatCode="0.0">
                  <c:v>1.1535651660049131</c:v>
                </c:pt>
                <c:pt idx="38" formatCode="0.0">
                  <c:v>1.1796257744063527</c:v>
                </c:pt>
                <c:pt idx="39" formatCode="0.0">
                  <c:v>1.2053031385665951</c:v>
                </c:pt>
                <c:pt idx="40" formatCode="0.0">
                  <c:v>1.2305972584856397</c:v>
                </c:pt>
                <c:pt idx="41" formatCode="0.0">
                  <c:v>1.2555081341634868</c:v>
                </c:pt>
                <c:pt idx="42" formatCode="0.0">
                  <c:v>1.2800357656001364</c:v>
                </c:pt>
                <c:pt idx="43" formatCode="0.0">
                  <c:v>1.3041801527955879</c:v>
                </c:pt>
                <c:pt idx="44" formatCode="0.0">
                  <c:v>1.327941295749842</c:v>
                </c:pt>
                <c:pt idx="45" formatCode="0.0">
                  <c:v>1.3513191944628984</c:v>
                </c:pt>
                <c:pt idx="46" formatCode="0.0">
                  <c:v>1.3743138489347573</c:v>
                </c:pt>
                <c:pt idx="47" formatCode="0.0">
                  <c:v>1.3969252591654184</c:v>
                </c:pt>
                <c:pt idx="48" formatCode="0.0">
                  <c:v>1.4191534251548819</c:v>
                </c:pt>
                <c:pt idx="49" formatCode="0.0">
                  <c:v>1.4409983469031478</c:v>
                </c:pt>
                <c:pt idx="50" formatCode="0.0">
                  <c:v>1.4624600244102159</c:v>
                </c:pt>
                <c:pt idx="51" formatCode="0.0">
                  <c:v>1.4835384576760864</c:v>
                </c:pt>
                <c:pt idx="52" formatCode="0.0">
                  <c:v>1.5042336467007593</c:v>
                </c:pt>
                <c:pt idx="53" formatCode="0.0">
                  <c:v>1.5245455914842345</c:v>
                </c:pt>
                <c:pt idx="54" formatCode="0.0">
                  <c:v>1.5444742920265122</c:v>
                </c:pt>
                <c:pt idx="55" formatCode="0.0">
                  <c:v>1.5640197483275919</c:v>
                </c:pt>
                <c:pt idx="56" formatCode="0.0">
                  <c:v>1.5831819603874746</c:v>
                </c:pt>
                <c:pt idx="57" formatCode="0.0">
                  <c:v>1.6019609282061591</c:v>
                </c:pt>
                <c:pt idx="58" formatCode="0.0">
                  <c:v>1.6203566517836461</c:v>
                </c:pt>
                <c:pt idx="59" formatCode="0.0">
                  <c:v>1.6383691311199353</c:v>
                </c:pt>
                <c:pt idx="60" formatCode="0.0">
                  <c:v>1.6559983662150271</c:v>
                </c:pt>
                <c:pt idx="61" formatCode="0.0">
                  <c:v>1.6732443570689211</c:v>
                </c:pt>
                <c:pt idx="62" formatCode="0.0">
                  <c:v>1.6901071036816173</c:v>
                </c:pt>
                <c:pt idx="63" formatCode="0.0">
                  <c:v>1.7065866060531161</c:v>
                </c:pt>
                <c:pt idx="64" formatCode="0.0">
                  <c:v>1.7226828641834173</c:v>
                </c:pt>
                <c:pt idx="65" formatCode="0.0">
                  <c:v>1.7383958780725206</c:v>
                </c:pt>
                <c:pt idx="66" formatCode="0.0">
                  <c:v>1.7537256477204264</c:v>
                </c:pt>
                <c:pt idx="67" formatCode="0.0">
                  <c:v>1.7686721731271347</c:v>
                </c:pt>
                <c:pt idx="68" formatCode="0.0">
                  <c:v>1.783235454292645</c:v>
                </c:pt>
                <c:pt idx="69" formatCode="0.0">
                  <c:v>1.7974154912169578</c:v>
                </c:pt>
                <c:pt idx="70" formatCode="0.0">
                  <c:v>1.8112122839000728</c:v>
                </c:pt>
                <c:pt idx="71" formatCode="0.0">
                  <c:v>1.8246258323419906</c:v>
                </c:pt>
                <c:pt idx="72" formatCode="0.0">
                  <c:v>1.8376561365427104</c:v>
                </c:pt>
                <c:pt idx="73" formatCode="0.0">
                  <c:v>1.8503031965022327</c:v>
                </c:pt>
                <c:pt idx="74" formatCode="0.0">
                  <c:v>1.8625670122205571</c:v>
                </c:pt>
                <c:pt idx="75" formatCode="0.0">
                  <c:v>1.8744475836976839</c:v>
                </c:pt>
                <c:pt idx="76" formatCode="0.0">
                  <c:v>1.8859449109336133</c:v>
                </c:pt>
                <c:pt idx="77" formatCode="0.0">
                  <c:v>1.8970589939283451</c:v>
                </c:pt>
                <c:pt idx="78" formatCode="0.0">
                  <c:v>1.9077898326818792</c:v>
                </c:pt>
                <c:pt idx="79" formatCode="0.0">
                  <c:v>1.9181374271942155</c:v>
                </c:pt>
                <c:pt idx="80" formatCode="0.0">
                  <c:v>1.9281017774653544</c:v>
                </c:pt>
                <c:pt idx="81" formatCode="0.0">
                  <c:v>1.9376828834952957</c:v>
                </c:pt>
                <c:pt idx="82" formatCode="0.0">
                  <c:v>1.9468807452840393</c:v>
                </c:pt>
                <c:pt idx="83" formatCode="0.0">
                  <c:v>1.955695362831585</c:v>
                </c:pt>
                <c:pt idx="84" formatCode="0.0">
                  <c:v>1.9645065516427735</c:v>
                </c:pt>
                <c:pt idx="85" formatCode="0.0">
                  <c:v>1.9733177404539626</c:v>
                </c:pt>
                <c:pt idx="86" formatCode="0.0">
                  <c:v>1.9821289292651509</c:v>
                </c:pt>
                <c:pt idx="87" formatCode="0.0">
                  <c:v>1.99094011807634</c:v>
                </c:pt>
                <c:pt idx="88" formatCode="0.0">
                  <c:v>1.9997513068875286</c:v>
                </c:pt>
                <c:pt idx="89" formatCode="0.0">
                  <c:v>2.0085624956987176</c:v>
                </c:pt>
                <c:pt idx="90" formatCode="0.0">
                  <c:v>2.0173736845099062</c:v>
                </c:pt>
                <c:pt idx="91" formatCode="0.0">
                  <c:v>2.0261848733210948</c:v>
                </c:pt>
                <c:pt idx="92" formatCode="0.0">
                  <c:v>2.0349960621322833</c:v>
                </c:pt>
                <c:pt idx="93" formatCode="0.0">
                  <c:v>2.0438072509434724</c:v>
                </c:pt>
                <c:pt idx="94" formatCode="0.0">
                  <c:v>2.052618439754661</c:v>
                </c:pt>
                <c:pt idx="95" formatCode="0.0">
                  <c:v>2.06142962856585</c:v>
                </c:pt>
                <c:pt idx="96" formatCode="0.0">
                  <c:v>2.0702408173770386</c:v>
                </c:pt>
                <c:pt idx="97" formatCode="0.0">
                  <c:v>2.0790520061882272</c:v>
                </c:pt>
                <c:pt idx="98" formatCode="0.0">
                  <c:v>2.0878631949994162</c:v>
                </c:pt>
                <c:pt idx="99" formatCode="0.0">
                  <c:v>2.0966743838106052</c:v>
                </c:pt>
                <c:pt idx="100" formatCode="0.0">
                  <c:v>2.1054855726217934</c:v>
                </c:pt>
                <c:pt idx="101" formatCode="0.0">
                  <c:v>2.114296761432982</c:v>
                </c:pt>
                <c:pt idx="102" formatCode="0.0">
                  <c:v>2.123107950244171</c:v>
                </c:pt>
                <c:pt idx="103" formatCode="0.0">
                  <c:v>2.1319191390553596</c:v>
                </c:pt>
                <c:pt idx="104" formatCode="0.0">
                  <c:v>2.1407303278665486</c:v>
                </c:pt>
                <c:pt idx="105" formatCode="0.0">
                  <c:v>2.1495415166777376</c:v>
                </c:pt>
                <c:pt idx="106" formatCode="0.0">
                  <c:v>2.1583527054889262</c:v>
                </c:pt>
                <c:pt idx="107" formatCode="0.0">
                  <c:v>2.6583527054889262</c:v>
                </c:pt>
              </c:numCache>
            </c:numRef>
          </c:xVal>
          <c:yVal>
            <c:numRef>
              <c:f>Start_up!$O$8:$O$115</c:f>
              <c:numCache>
                <c:formatCode>General</c:formatCode>
                <c:ptCount val="108"/>
                <c:pt idx="0">
                  <c:v>0</c:v>
                </c:pt>
                <c:pt idx="1">
                  <c:v>0</c:v>
                </c:pt>
                <c:pt idx="2">
                  <c:v>306.39999999999998</c:v>
                </c:pt>
                <c:pt idx="3">
                  <c:v>306.39999999999998</c:v>
                </c:pt>
                <c:pt idx="4">
                  <c:v>306.39999999999998</c:v>
                </c:pt>
                <c:pt idx="5">
                  <c:v>306.39999999999998</c:v>
                </c:pt>
                <c:pt idx="6">
                  <c:v>306.39999999999998</c:v>
                </c:pt>
                <c:pt idx="7">
                  <c:v>306.39999999999998</c:v>
                </c:pt>
                <c:pt idx="8">
                  <c:v>306.39999999999998</c:v>
                </c:pt>
                <c:pt idx="9">
                  <c:v>306.39999999999998</c:v>
                </c:pt>
                <c:pt idx="10">
                  <c:v>306.39999999999998</c:v>
                </c:pt>
                <c:pt idx="11">
                  <c:v>306.39999999999998</c:v>
                </c:pt>
                <c:pt idx="12">
                  <c:v>306.39999999999998</c:v>
                </c:pt>
                <c:pt idx="13">
                  <c:v>306.39999999999998</c:v>
                </c:pt>
                <c:pt idx="14">
                  <c:v>306.39999999999998</c:v>
                </c:pt>
                <c:pt idx="15">
                  <c:v>306.39999999999998</c:v>
                </c:pt>
                <c:pt idx="16">
                  <c:v>306.39999999999998</c:v>
                </c:pt>
                <c:pt idx="17">
                  <c:v>306.39999999999998</c:v>
                </c:pt>
                <c:pt idx="18">
                  <c:v>306.39999999999998</c:v>
                </c:pt>
                <c:pt idx="19">
                  <c:v>306.39999999999998</c:v>
                </c:pt>
                <c:pt idx="20">
                  <c:v>306.39999999999998</c:v>
                </c:pt>
                <c:pt idx="21">
                  <c:v>306.39999999999998</c:v>
                </c:pt>
                <c:pt idx="22">
                  <c:v>306.39999999999998</c:v>
                </c:pt>
                <c:pt idx="23">
                  <c:v>306.39999999999998</c:v>
                </c:pt>
                <c:pt idx="24">
                  <c:v>306.39999999999998</c:v>
                </c:pt>
                <c:pt idx="25">
                  <c:v>306.39999999999998</c:v>
                </c:pt>
                <c:pt idx="26">
                  <c:v>306.39999999999998</c:v>
                </c:pt>
                <c:pt idx="27">
                  <c:v>306.39999999999998</c:v>
                </c:pt>
                <c:pt idx="28">
                  <c:v>306.39999999999998</c:v>
                </c:pt>
                <c:pt idx="29">
                  <c:v>306.40000000000003</c:v>
                </c:pt>
                <c:pt idx="30">
                  <c:v>306.39999999999998</c:v>
                </c:pt>
                <c:pt idx="31">
                  <c:v>306.39999999999998</c:v>
                </c:pt>
                <c:pt idx="32">
                  <c:v>306.39999999999998</c:v>
                </c:pt>
                <c:pt idx="33">
                  <c:v>306.39999999999998</c:v>
                </c:pt>
                <c:pt idx="34">
                  <c:v>306.39999999999998</c:v>
                </c:pt>
                <c:pt idx="35">
                  <c:v>306.39999999999998</c:v>
                </c:pt>
                <c:pt idx="36">
                  <c:v>306.39999999999998</c:v>
                </c:pt>
                <c:pt idx="37">
                  <c:v>306.39999999999998</c:v>
                </c:pt>
                <c:pt idx="38">
                  <c:v>306.39999999999998</c:v>
                </c:pt>
                <c:pt idx="39">
                  <c:v>306.39999999999998</c:v>
                </c:pt>
                <c:pt idx="40">
                  <c:v>306.39999999999998</c:v>
                </c:pt>
                <c:pt idx="41">
                  <c:v>306.39999999999998</c:v>
                </c:pt>
                <c:pt idx="42">
                  <c:v>306.39999999999998</c:v>
                </c:pt>
                <c:pt idx="43">
                  <c:v>306.39999999999998</c:v>
                </c:pt>
                <c:pt idx="44">
                  <c:v>306.39999999999998</c:v>
                </c:pt>
                <c:pt idx="45">
                  <c:v>306.39999999999998</c:v>
                </c:pt>
                <c:pt idx="46">
                  <c:v>306.39999999999998</c:v>
                </c:pt>
                <c:pt idx="47">
                  <c:v>306.39999999999998</c:v>
                </c:pt>
                <c:pt idx="48">
                  <c:v>306.39999999999998</c:v>
                </c:pt>
                <c:pt idx="49">
                  <c:v>306.39999999999998</c:v>
                </c:pt>
                <c:pt idx="50">
                  <c:v>306.39999999999998</c:v>
                </c:pt>
                <c:pt idx="51">
                  <c:v>306.39999999999998</c:v>
                </c:pt>
                <c:pt idx="52">
                  <c:v>306.39999999999998</c:v>
                </c:pt>
                <c:pt idx="53">
                  <c:v>306.39999999999998</c:v>
                </c:pt>
                <c:pt idx="54">
                  <c:v>306.39999999999998</c:v>
                </c:pt>
                <c:pt idx="55">
                  <c:v>306.39999999999998</c:v>
                </c:pt>
                <c:pt idx="56">
                  <c:v>306.39999999999998</c:v>
                </c:pt>
                <c:pt idx="57">
                  <c:v>306.39999999999998</c:v>
                </c:pt>
                <c:pt idx="58">
                  <c:v>306.39999999999998</c:v>
                </c:pt>
                <c:pt idx="59">
                  <c:v>306.39999999999998</c:v>
                </c:pt>
                <c:pt idx="60">
                  <c:v>306.39999999999998</c:v>
                </c:pt>
                <c:pt idx="61">
                  <c:v>306.39999999999998</c:v>
                </c:pt>
                <c:pt idx="62">
                  <c:v>306.39999999999998</c:v>
                </c:pt>
                <c:pt idx="63">
                  <c:v>306.39999999999998</c:v>
                </c:pt>
                <c:pt idx="64">
                  <c:v>306.39999999999998</c:v>
                </c:pt>
                <c:pt idx="65">
                  <c:v>306.39999999999998</c:v>
                </c:pt>
                <c:pt idx="66">
                  <c:v>306.39999999999998</c:v>
                </c:pt>
                <c:pt idx="67">
                  <c:v>306.39999999999998</c:v>
                </c:pt>
                <c:pt idx="68">
                  <c:v>306.39999999999992</c:v>
                </c:pt>
                <c:pt idx="69">
                  <c:v>306.39999999999998</c:v>
                </c:pt>
                <c:pt idx="70">
                  <c:v>306.39999999999998</c:v>
                </c:pt>
                <c:pt idx="71">
                  <c:v>306.39999999999998</c:v>
                </c:pt>
                <c:pt idx="72">
                  <c:v>306.39999999999998</c:v>
                </c:pt>
                <c:pt idx="73">
                  <c:v>306.39999999999998</c:v>
                </c:pt>
                <c:pt idx="74">
                  <c:v>306.39999999999998</c:v>
                </c:pt>
                <c:pt idx="75">
                  <c:v>306.39999999999998</c:v>
                </c:pt>
                <c:pt idx="76">
                  <c:v>306.39999999999998</c:v>
                </c:pt>
                <c:pt idx="77">
                  <c:v>306.39999999999998</c:v>
                </c:pt>
                <c:pt idx="78">
                  <c:v>306.39999999999998</c:v>
                </c:pt>
                <c:pt idx="79">
                  <c:v>306.39999999999998</c:v>
                </c:pt>
                <c:pt idx="80">
                  <c:v>306.39999999999998</c:v>
                </c:pt>
                <c:pt idx="81">
                  <c:v>306.39999999999998</c:v>
                </c:pt>
                <c:pt idx="82">
                  <c:v>306.39999999999998</c:v>
                </c:pt>
                <c:pt idx="83">
                  <c:v>306.39999999999998</c:v>
                </c:pt>
                <c:pt idx="84">
                  <c:v>293.19230769230774</c:v>
                </c:pt>
                <c:pt idx="85">
                  <c:v>279.86538461538453</c:v>
                </c:pt>
                <c:pt idx="86">
                  <c:v>266.53846153846155</c:v>
                </c:pt>
                <c:pt idx="87">
                  <c:v>253.2115384615384</c:v>
                </c:pt>
                <c:pt idx="88">
                  <c:v>239.88461538461542</c:v>
                </c:pt>
                <c:pt idx="89">
                  <c:v>226.55769230769224</c:v>
                </c:pt>
                <c:pt idx="90">
                  <c:v>213.23076923076925</c:v>
                </c:pt>
                <c:pt idx="91">
                  <c:v>199.90384615384627</c:v>
                </c:pt>
                <c:pt idx="92">
                  <c:v>186.57692307692309</c:v>
                </c:pt>
                <c:pt idx="93">
                  <c:v>173.24999999999991</c:v>
                </c:pt>
                <c:pt idx="94">
                  <c:v>159.92307692307693</c:v>
                </c:pt>
                <c:pt idx="95">
                  <c:v>146.59615384615375</c:v>
                </c:pt>
                <c:pt idx="96">
                  <c:v>133.26923076923077</c:v>
                </c:pt>
                <c:pt idx="97">
                  <c:v>119.94230769230781</c:v>
                </c:pt>
                <c:pt idx="98">
                  <c:v>106.61538461538463</c:v>
                </c:pt>
                <c:pt idx="99">
                  <c:v>93.288461538461448</c:v>
                </c:pt>
                <c:pt idx="100">
                  <c:v>79.961538461538467</c:v>
                </c:pt>
                <c:pt idx="101">
                  <c:v>66.634615384615486</c:v>
                </c:pt>
                <c:pt idx="102">
                  <c:v>53.307692307692314</c:v>
                </c:pt>
                <c:pt idx="103">
                  <c:v>39.980769230769333</c:v>
                </c:pt>
                <c:pt idx="104">
                  <c:v>26.653846153846157</c:v>
                </c:pt>
                <c:pt idx="105">
                  <c:v>13.326923076922981</c:v>
                </c:pt>
                <c:pt idx="106">
                  <c:v>0</c:v>
                </c:pt>
                <c:pt idx="107">
                  <c:v>0</c:v>
                </c:pt>
              </c:numCache>
            </c:numRef>
          </c:yVal>
          <c:smooth val="0"/>
          <c:extLst>
            <c:ext xmlns:c16="http://schemas.microsoft.com/office/drawing/2014/chart" uri="{C3380CC4-5D6E-409C-BE32-E72D297353CC}">
              <c16:uniqueId val="{00000000-FF1B-473C-BB38-A2EFC7A97FFE}"/>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5849-4052-B606-AC1AAD4E004B}"/>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12.158730158730158</c:v>
                </c:pt>
                <c:pt idx="1">
                  <c:v>12.276776082601323</c:v>
                </c:pt>
                <c:pt idx="2">
                  <c:v>12.397136632430749</c:v>
                </c:pt>
                <c:pt idx="3">
                  <c:v>12.519880559484518</c:v>
                </c:pt>
                <c:pt idx="4">
                  <c:v>12.645079365079365</c:v>
                </c:pt>
                <c:pt idx="5">
                  <c:v>12.772807439474107</c:v>
                </c:pt>
                <c:pt idx="6">
                  <c:v>12.903142209264658</c:v>
                </c:pt>
                <c:pt idx="7">
                  <c:v>13.036164293896251</c:v>
                </c:pt>
                <c:pt idx="8">
                  <c:v>13.171957671957671</c:v>
                </c:pt>
                <c:pt idx="9">
                  <c:v>13.310609857978278</c:v>
                </c:pt>
                <c:pt idx="10">
                  <c:v>13.452212090509962</c:v>
                </c:pt>
                <c:pt idx="11">
                  <c:v>13.596859532343402</c:v>
                </c:pt>
                <c:pt idx="12">
                  <c:v>13.744651483781919</c:v>
                </c:pt>
                <c:pt idx="13">
                  <c:v>13.895691609977323</c:v>
                </c:pt>
                <c:pt idx="14">
                  <c:v>14.050088183421517</c:v>
                </c:pt>
                <c:pt idx="15">
                  <c:v>14.207954342785802</c:v>
                </c:pt>
                <c:pt idx="16">
                  <c:v>14.369408369408369</c:v>
                </c:pt>
                <c:pt idx="17">
                  <c:v>14.534573982849844</c:v>
                </c:pt>
                <c:pt idx="18">
                  <c:v>14.703580657069029</c:v>
                </c:pt>
                <c:pt idx="19">
                  <c:v>14.876563958916899</c:v>
                </c:pt>
                <c:pt idx="20">
                  <c:v>15.053665910808768</c:v>
                </c:pt>
                <c:pt idx="21">
                  <c:v>15.235035379613691</c:v>
                </c:pt>
                <c:pt idx="22">
                  <c:v>15.420828493999226</c:v>
                </c:pt>
                <c:pt idx="23">
                  <c:v>15.611209092690572</c:v>
                </c:pt>
                <c:pt idx="24">
                  <c:v>15.806349206349207</c:v>
                </c:pt>
                <c:pt idx="25">
                  <c:v>16.006429576049829</c:v>
                </c:pt>
                <c:pt idx="26">
                  <c:v>16.211640211640212</c:v>
                </c:pt>
                <c:pt idx="27">
                  <c:v>16.422180993609565</c:v>
                </c:pt>
                <c:pt idx="28">
                  <c:v>16.638262322472848</c:v>
                </c:pt>
                <c:pt idx="29">
                  <c:v>16.860105820105819</c:v>
                </c:pt>
                <c:pt idx="30">
                  <c:v>17.087945087945087</c:v>
                </c:pt>
                <c:pt idx="31">
                  <c:v>17.322026527505979</c:v>
                </c:pt>
                <c:pt idx="32">
                  <c:v>17.562610229276896</c:v>
                </c:pt>
                <c:pt idx="33">
                  <c:v>17.809970936731499</c:v>
                </c:pt>
                <c:pt idx="34">
                  <c:v>18.064399092970522</c:v>
                </c:pt>
                <c:pt idx="35">
                  <c:v>18.326201978375892</c:v>
                </c:pt>
                <c:pt idx="36">
                  <c:v>18.595704948646123</c:v>
                </c:pt>
                <c:pt idx="37">
                  <c:v>18.873252783700543</c:v>
                </c:pt>
                <c:pt idx="38">
                  <c:v>19.159211159211157</c:v>
                </c:pt>
                <c:pt idx="39">
                  <c:v>19.453968253968252</c:v>
                </c:pt>
                <c:pt idx="40">
                  <c:v>19.75793650793651</c:v>
                </c:pt>
                <c:pt idx="41">
                  <c:v>20.071554547745023</c:v>
                </c:pt>
                <c:pt idx="42">
                  <c:v>20.395289298515102</c:v>
                </c:pt>
                <c:pt idx="43">
                  <c:v>20.729638303408795</c:v>
                </c:pt>
                <c:pt idx="44">
                  <c:v>21.075132275132272</c:v>
                </c:pt>
                <c:pt idx="45">
                  <c:v>21.432337906914178</c:v>
                </c:pt>
                <c:pt idx="46">
                  <c:v>21.801860974274767</c:v>
                </c:pt>
                <c:pt idx="47">
                  <c:v>22.184349763297131</c:v>
                </c:pt>
                <c:pt idx="48">
                  <c:v>22.580498866213151</c:v>
                </c:pt>
                <c:pt idx="49">
                  <c:v>22.991053391053391</c:v>
                </c:pt>
                <c:pt idx="50">
                  <c:v>23.416813639035858</c:v>
                </c:pt>
                <c:pt idx="51">
                  <c:v>23.858640311470499</c:v>
                </c:pt>
                <c:pt idx="52">
                  <c:v>24.317460317460316</c:v>
                </c:pt>
                <c:pt idx="53">
                  <c:v>24.794273264861495</c:v>
                </c:pt>
                <c:pt idx="54">
                  <c:v>25.290158730158733</c:v>
                </c:pt>
                <c:pt idx="55">
                  <c:v>25.806284418529316</c:v>
                </c:pt>
                <c:pt idx="56">
                  <c:v>26.343915343915342</c:v>
                </c:pt>
                <c:pt idx="57">
                  <c:v>26.90442418101993</c:v>
                </c:pt>
                <c:pt idx="58">
                  <c:v>27.489302967563837</c:v>
                </c:pt>
                <c:pt idx="59">
                  <c:v>28.100176366843034</c:v>
                </c:pt>
                <c:pt idx="60">
                  <c:v>28.738816738816734</c:v>
                </c:pt>
                <c:pt idx="61">
                  <c:v>29.407161314138058</c:v>
                </c:pt>
                <c:pt idx="62">
                  <c:v>30.107331821617535</c:v>
                </c:pt>
                <c:pt idx="63">
                  <c:v>30.841656987998444</c:v>
                </c:pt>
                <c:pt idx="64">
                  <c:v>31.612698412698414</c:v>
                </c:pt>
                <c:pt idx="65">
                  <c:v>32.423280423280424</c:v>
                </c:pt>
                <c:pt idx="66">
                  <c:v>33.276524644945688</c:v>
                </c:pt>
                <c:pt idx="67">
                  <c:v>34.175890175890174</c:v>
                </c:pt>
                <c:pt idx="68">
                  <c:v>35.125220458553784</c:v>
                </c:pt>
                <c:pt idx="69">
                  <c:v>36.128798185941044</c:v>
                </c:pt>
                <c:pt idx="70">
                  <c:v>37.19140989729226</c:v>
                </c:pt>
                <c:pt idx="71">
                  <c:v>38.318422318422321</c:v>
                </c:pt>
                <c:pt idx="72">
                  <c:v>39.515873015873005</c:v>
                </c:pt>
                <c:pt idx="73">
                  <c:v>40.790578597030191</c:v>
                </c:pt>
                <c:pt idx="74">
                  <c:v>42.150264550264545</c:v>
                </c:pt>
                <c:pt idx="75">
                  <c:v>43.603721948549534</c:v>
                </c:pt>
                <c:pt idx="76">
                  <c:v>45.160997732426296</c:v>
                </c:pt>
                <c:pt idx="77">
                  <c:v>46.833627278071724</c:v>
                </c:pt>
                <c:pt idx="78">
                  <c:v>48.634920634920626</c:v>
                </c:pt>
                <c:pt idx="79">
                  <c:v>50.580317460317438</c:v>
                </c:pt>
                <c:pt idx="80">
                  <c:v>52.687830687830711</c:v>
                </c:pt>
                <c:pt idx="81">
                  <c:v>54.978605935127682</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numCache>
            </c:numRef>
          </c:yVal>
          <c:smooth val="1"/>
          <c:extLst>
            <c:ext xmlns:c16="http://schemas.microsoft.com/office/drawing/2014/chart" uri="{C3380CC4-5D6E-409C-BE32-E72D297353CC}">
              <c16:uniqueId val="{00000001-5849-4052-B606-AC1AAD4E004B}"/>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670184" y="7822197"/>
          <a:ext cx="3048000" cy="2728236"/>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8362951" y="19280074"/>
          <a:ext cx="3162860"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8345022" y="21552894"/>
          <a:ext cx="3234578"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1</xdr:col>
      <xdr:colOff>2004404</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2061080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35"/>
  <sheetData>
    <row r="1" spans="1:16" ht="13.15" thickTop="1" x14ac:dyDescent="0.35">
      <c r="A1" s="185"/>
      <c r="B1" s="186"/>
      <c r="C1" s="186"/>
      <c r="D1" s="186"/>
      <c r="E1" s="186"/>
      <c r="F1" s="186"/>
      <c r="G1" s="186"/>
      <c r="H1" s="186"/>
      <c r="I1" s="186"/>
      <c r="J1" s="186"/>
      <c r="K1" s="186"/>
      <c r="L1" s="186"/>
      <c r="M1" s="186"/>
      <c r="N1" s="186"/>
      <c r="O1" s="186"/>
      <c r="P1" s="187"/>
    </row>
    <row r="2" spans="1:16" x14ac:dyDescent="0.35">
      <c r="A2" s="188"/>
      <c r="B2" s="189"/>
      <c r="C2" s="189"/>
      <c r="D2" s="189"/>
      <c r="E2" s="189"/>
      <c r="F2" s="189"/>
      <c r="G2" s="189"/>
      <c r="H2" s="189"/>
      <c r="I2" s="189"/>
      <c r="J2" s="189"/>
      <c r="K2" s="189"/>
      <c r="L2" s="189"/>
      <c r="M2" s="189"/>
      <c r="N2" s="189"/>
      <c r="O2" s="189"/>
      <c r="P2" s="190"/>
    </row>
    <row r="3" spans="1:16" ht="30" x14ac:dyDescent="0.8">
      <c r="A3" s="188"/>
      <c r="B3" s="189"/>
      <c r="C3" s="189"/>
      <c r="D3" s="191"/>
      <c r="E3" s="189"/>
      <c r="F3" s="189"/>
      <c r="G3" s="189"/>
      <c r="H3" s="189"/>
      <c r="I3" s="189"/>
      <c r="J3" s="189"/>
      <c r="K3" s="189"/>
      <c r="L3" s="192"/>
      <c r="M3" s="189"/>
      <c r="N3" s="189"/>
      <c r="O3" s="189"/>
      <c r="P3" s="190"/>
    </row>
    <row r="4" spans="1:16" ht="22.5" x14ac:dyDescent="0.6">
      <c r="A4" s="188"/>
      <c r="B4" s="189"/>
      <c r="C4" s="189"/>
      <c r="D4" s="193"/>
      <c r="E4" s="189"/>
      <c r="F4" s="189"/>
      <c r="G4" s="189"/>
      <c r="H4" s="189"/>
      <c r="I4" s="189"/>
      <c r="J4" s="189"/>
      <c r="K4" s="189"/>
      <c r="L4" s="189"/>
      <c r="M4" s="189"/>
      <c r="N4" s="189"/>
      <c r="O4" s="189"/>
      <c r="P4" s="190"/>
    </row>
    <row r="5" spans="1:16" x14ac:dyDescent="0.35">
      <c r="A5" s="188"/>
      <c r="B5" s="189"/>
      <c r="C5" s="189"/>
      <c r="D5" s="189"/>
      <c r="E5" s="189"/>
      <c r="F5" s="189"/>
      <c r="G5" s="189"/>
      <c r="H5" s="189"/>
      <c r="I5" s="189"/>
      <c r="J5" s="189"/>
      <c r="K5" s="189"/>
      <c r="L5" s="189"/>
      <c r="M5" s="189"/>
      <c r="N5" s="189"/>
      <c r="O5" s="189"/>
      <c r="P5" s="190"/>
    </row>
    <row r="6" spans="1:16" x14ac:dyDescent="0.35">
      <c r="A6" s="188"/>
      <c r="B6" s="189"/>
      <c r="C6" s="189"/>
      <c r="D6" s="189"/>
      <c r="E6" s="189"/>
      <c r="F6" s="189"/>
      <c r="G6" s="189"/>
      <c r="H6" s="189"/>
      <c r="I6" s="189"/>
      <c r="J6" s="189"/>
      <c r="K6" s="189"/>
      <c r="L6" s="189"/>
      <c r="M6" s="189"/>
      <c r="N6" s="189"/>
      <c r="O6" s="189"/>
      <c r="P6" s="190"/>
    </row>
    <row r="7" spans="1:16" ht="15.4" x14ac:dyDescent="0.45">
      <c r="A7" s="188"/>
      <c r="B7" s="189"/>
      <c r="C7" s="189"/>
      <c r="D7" s="189"/>
      <c r="E7" s="189"/>
      <c r="F7" s="189"/>
      <c r="G7" s="189"/>
      <c r="H7" s="189"/>
      <c r="I7" s="189"/>
      <c r="J7" s="189"/>
      <c r="K7" s="189"/>
      <c r="L7" s="189"/>
      <c r="M7" s="192" t="s">
        <v>450</v>
      </c>
      <c r="N7" s="189"/>
      <c r="O7" s="189"/>
      <c r="P7" s="190"/>
    </row>
    <row r="8" spans="1:16" ht="30" x14ac:dyDescent="0.8">
      <c r="A8" s="188"/>
      <c r="B8" s="191" t="s">
        <v>494</v>
      </c>
      <c r="C8" s="189"/>
      <c r="D8" s="189"/>
      <c r="E8" s="189"/>
      <c r="F8" s="189"/>
      <c r="G8" s="189"/>
      <c r="H8" s="189"/>
      <c r="I8" s="189"/>
      <c r="J8" s="189"/>
      <c r="K8" s="189"/>
      <c r="L8" s="189"/>
      <c r="M8" s="189"/>
      <c r="N8" s="189"/>
      <c r="O8" s="189"/>
      <c r="P8" s="190"/>
    </row>
    <row r="9" spans="1:16" x14ac:dyDescent="0.35">
      <c r="A9" s="188"/>
      <c r="B9" s="189"/>
      <c r="C9" s="189"/>
      <c r="D9" s="189"/>
      <c r="E9" s="189"/>
      <c r="F9" s="189"/>
      <c r="G9" s="189"/>
      <c r="H9" s="189"/>
      <c r="I9" s="189"/>
      <c r="J9" s="189"/>
      <c r="K9" s="189"/>
      <c r="L9" s="189"/>
      <c r="M9" s="189"/>
      <c r="N9" s="189"/>
      <c r="O9" s="189"/>
      <c r="P9" s="190"/>
    </row>
    <row r="10" spans="1:16" ht="20.25" x14ac:dyDescent="0.55000000000000004">
      <c r="A10" s="188"/>
      <c r="B10" s="194" t="s">
        <v>443</v>
      </c>
      <c r="C10" s="189"/>
      <c r="D10" s="189"/>
      <c r="E10" s="189"/>
      <c r="F10" s="189"/>
      <c r="G10" s="189"/>
      <c r="H10" s="189"/>
      <c r="I10" s="189"/>
      <c r="J10" s="189"/>
      <c r="K10" s="189"/>
      <c r="L10" s="189"/>
      <c r="M10" s="189"/>
      <c r="N10" s="189"/>
      <c r="O10" s="189"/>
      <c r="P10" s="190"/>
    </row>
    <row r="11" spans="1:16" ht="13.9" x14ac:dyDescent="0.4">
      <c r="A11" s="188"/>
      <c r="B11" s="195" t="s">
        <v>444</v>
      </c>
      <c r="C11" s="196"/>
      <c r="D11" s="196"/>
      <c r="E11" s="196"/>
      <c r="F11" s="189"/>
      <c r="G11" s="189"/>
      <c r="H11" s="189"/>
      <c r="I11" s="189"/>
      <c r="J11" s="189"/>
      <c r="K11" s="189"/>
      <c r="L11" s="189"/>
      <c r="M11" s="189"/>
      <c r="N11" s="189"/>
      <c r="O11" s="189"/>
      <c r="P11" s="190"/>
    </row>
    <row r="12" spans="1:16" ht="13.9" x14ac:dyDescent="0.4">
      <c r="A12" s="188"/>
      <c r="B12" s="195" t="s">
        <v>445</v>
      </c>
      <c r="C12" s="196"/>
      <c r="D12" s="196"/>
      <c r="E12" s="196"/>
      <c r="F12" s="189"/>
      <c r="G12" s="189"/>
      <c r="H12" s="189"/>
      <c r="I12" s="189"/>
      <c r="J12" s="189"/>
      <c r="K12" s="189"/>
      <c r="L12" s="189"/>
      <c r="M12" s="189"/>
      <c r="N12" s="189"/>
      <c r="O12" s="189"/>
      <c r="P12" s="190"/>
    </row>
    <row r="13" spans="1:16" x14ac:dyDescent="0.35">
      <c r="A13" s="188"/>
      <c r="B13" s="189"/>
      <c r="C13" s="189"/>
      <c r="D13" s="189"/>
      <c r="E13" s="189"/>
      <c r="F13" s="189"/>
      <c r="G13" s="189"/>
      <c r="H13" s="189"/>
      <c r="I13" s="189"/>
      <c r="J13" s="189"/>
      <c r="K13" s="189"/>
      <c r="L13" s="189"/>
      <c r="M13" s="189"/>
      <c r="N13" s="189"/>
      <c r="O13" s="189"/>
      <c r="P13" s="190"/>
    </row>
    <row r="14" spans="1:16" x14ac:dyDescent="0.35">
      <c r="A14" s="188"/>
      <c r="B14" s="262" t="s">
        <v>481</v>
      </c>
      <c r="C14" s="262"/>
      <c r="D14" s="262"/>
      <c r="E14" s="189"/>
      <c r="F14" s="189"/>
      <c r="G14" s="189"/>
      <c r="H14" s="189"/>
      <c r="I14" s="189"/>
      <c r="J14" s="189"/>
      <c r="K14" s="189"/>
      <c r="L14" s="189"/>
      <c r="M14" s="189"/>
      <c r="N14" s="189"/>
      <c r="O14" s="189"/>
      <c r="P14" s="190"/>
    </row>
    <row r="15" spans="1:16" x14ac:dyDescent="0.35">
      <c r="A15" s="188"/>
      <c r="B15" s="252" t="s">
        <v>466</v>
      </c>
      <c r="C15" s="252"/>
      <c r="D15" s="252"/>
      <c r="E15" s="252"/>
      <c r="F15" s="252"/>
      <c r="G15" s="252"/>
      <c r="H15" s="252"/>
      <c r="I15" s="252"/>
      <c r="J15" s="189"/>
      <c r="K15" s="189"/>
      <c r="L15" s="189"/>
      <c r="M15" s="189"/>
      <c r="N15" s="189"/>
      <c r="O15" s="189"/>
      <c r="P15" s="190"/>
    </row>
    <row r="16" spans="1:16" x14ac:dyDescent="0.35">
      <c r="A16" s="188"/>
      <c r="B16" s="189"/>
      <c r="C16" s="189"/>
      <c r="D16" s="189"/>
      <c r="E16" s="189"/>
      <c r="F16" s="189"/>
      <c r="G16" s="189"/>
      <c r="H16" s="189"/>
      <c r="I16" s="189"/>
      <c r="J16" s="189"/>
      <c r="K16" s="189"/>
      <c r="L16" s="189"/>
      <c r="M16" s="189"/>
      <c r="N16" s="189"/>
      <c r="O16" s="189"/>
      <c r="P16" s="190"/>
    </row>
    <row r="17" spans="1:16" x14ac:dyDescent="0.35">
      <c r="A17" s="188"/>
      <c r="B17" s="197" t="s">
        <v>446</v>
      </c>
      <c r="C17" s="189"/>
      <c r="D17" s="189"/>
      <c r="E17" s="189"/>
      <c r="F17" s="189"/>
      <c r="G17" s="189"/>
      <c r="H17" s="189"/>
      <c r="I17" s="189"/>
      <c r="J17" s="189"/>
      <c r="K17" s="189"/>
      <c r="L17" s="189"/>
      <c r="M17" s="189"/>
      <c r="N17" s="189"/>
      <c r="O17" s="189"/>
      <c r="P17" s="190"/>
    </row>
    <row r="18" spans="1:16" x14ac:dyDescent="0.35">
      <c r="A18" s="188"/>
      <c r="B18" s="198" t="s">
        <v>460</v>
      </c>
      <c r="C18" s="189"/>
      <c r="D18" s="189"/>
      <c r="E18" s="189"/>
      <c r="F18" s="189"/>
      <c r="G18" s="189"/>
      <c r="H18" s="189"/>
      <c r="I18" s="189"/>
      <c r="J18" s="189"/>
      <c r="K18" s="189"/>
      <c r="L18" s="189"/>
      <c r="M18" s="189"/>
      <c r="N18" s="189"/>
      <c r="O18" s="189"/>
      <c r="P18" s="190"/>
    </row>
    <row r="19" spans="1:16" x14ac:dyDescent="0.35">
      <c r="A19" s="188"/>
      <c r="B19" s="198" t="s">
        <v>459</v>
      </c>
      <c r="C19" s="189"/>
      <c r="D19" s="189"/>
      <c r="E19" s="189"/>
      <c r="F19" s="189"/>
      <c r="G19" s="189"/>
      <c r="H19" s="189"/>
      <c r="I19" s="189"/>
      <c r="J19" s="189"/>
      <c r="K19" s="189"/>
      <c r="L19" s="189"/>
      <c r="M19" s="189"/>
      <c r="N19" s="189"/>
      <c r="O19" s="189"/>
      <c r="P19" s="190"/>
    </row>
    <row r="20" spans="1:16" x14ac:dyDescent="0.35">
      <c r="A20" s="188"/>
      <c r="B20" s="198" t="s">
        <v>458</v>
      </c>
      <c r="C20" s="189"/>
      <c r="D20" s="189"/>
      <c r="E20" s="189"/>
      <c r="F20" s="189"/>
      <c r="G20" s="189"/>
      <c r="H20" s="189"/>
      <c r="I20" s="189"/>
      <c r="J20" s="189"/>
      <c r="K20" s="189"/>
      <c r="L20" s="189"/>
      <c r="M20" s="189"/>
      <c r="N20" s="189"/>
      <c r="O20" s="189"/>
      <c r="P20" s="190"/>
    </row>
    <row r="21" spans="1:16" x14ac:dyDescent="0.35">
      <c r="A21" s="188"/>
      <c r="B21" s="198" t="s">
        <v>454</v>
      </c>
      <c r="C21" s="189"/>
      <c r="D21" s="189"/>
      <c r="E21" s="189"/>
      <c r="F21" s="189"/>
      <c r="G21" s="189"/>
      <c r="H21" s="189"/>
      <c r="I21" s="189"/>
      <c r="J21" s="189"/>
      <c r="K21" s="189"/>
      <c r="L21" s="189"/>
      <c r="M21" s="189"/>
      <c r="N21" s="189"/>
      <c r="O21" s="189"/>
      <c r="P21" s="190"/>
    </row>
    <row r="22" spans="1:16" x14ac:dyDescent="0.35">
      <c r="A22" s="188"/>
      <c r="B22" s="198" t="s">
        <v>457</v>
      </c>
      <c r="C22" s="189"/>
      <c r="D22" s="189"/>
      <c r="E22" s="189"/>
      <c r="F22" s="189"/>
      <c r="G22" s="189"/>
      <c r="H22" s="189"/>
      <c r="I22" s="189"/>
      <c r="J22" s="189"/>
      <c r="K22" s="189"/>
      <c r="L22" s="189"/>
      <c r="M22" s="189"/>
      <c r="N22" s="189"/>
      <c r="O22" s="189"/>
      <c r="P22" s="190"/>
    </row>
    <row r="23" spans="1:16" x14ac:dyDescent="0.35">
      <c r="A23" s="188"/>
      <c r="B23" s="198" t="s">
        <v>455</v>
      </c>
      <c r="C23" s="189"/>
      <c r="D23" s="189"/>
      <c r="E23" s="189"/>
      <c r="F23" s="189"/>
      <c r="G23" s="189"/>
      <c r="H23" s="189"/>
      <c r="I23" s="189"/>
      <c r="J23" s="189"/>
      <c r="K23" s="189"/>
      <c r="L23" s="189"/>
      <c r="M23" s="189"/>
      <c r="N23" s="189"/>
      <c r="O23" s="189"/>
      <c r="P23" s="190"/>
    </row>
    <row r="24" spans="1:16" x14ac:dyDescent="0.35">
      <c r="A24" s="188"/>
      <c r="B24" s="198" t="s">
        <v>456</v>
      </c>
      <c r="C24" s="189"/>
      <c r="D24" s="189"/>
      <c r="E24" s="189"/>
      <c r="F24" s="189"/>
      <c r="G24" s="189"/>
      <c r="H24" s="189"/>
      <c r="I24" s="189"/>
      <c r="J24" s="189"/>
      <c r="K24" s="189"/>
      <c r="L24" s="189"/>
      <c r="M24" s="189"/>
      <c r="N24" s="189"/>
      <c r="O24" s="189"/>
      <c r="P24" s="190"/>
    </row>
    <row r="25" spans="1:16" x14ac:dyDescent="0.35">
      <c r="A25" s="188"/>
      <c r="B25" s="198"/>
      <c r="C25" s="189"/>
      <c r="D25" s="189"/>
      <c r="E25" s="189"/>
      <c r="F25" s="189"/>
      <c r="G25" s="189"/>
      <c r="H25" s="189"/>
      <c r="I25" s="189"/>
      <c r="J25" s="189"/>
      <c r="K25" s="189"/>
      <c r="L25" s="189"/>
      <c r="M25" s="189"/>
      <c r="N25" s="189"/>
      <c r="O25" s="189"/>
      <c r="P25" s="190"/>
    </row>
    <row r="26" spans="1:16" ht="20.25" x14ac:dyDescent="0.55000000000000004">
      <c r="A26" s="188"/>
      <c r="B26" s="194" t="s">
        <v>447</v>
      </c>
      <c r="C26" s="189"/>
      <c r="D26" s="189"/>
      <c r="E26" s="189"/>
      <c r="F26" s="189"/>
      <c r="G26" s="189"/>
      <c r="H26" s="189"/>
      <c r="I26" s="189"/>
      <c r="J26" s="189"/>
      <c r="K26" s="189"/>
      <c r="L26" s="189"/>
      <c r="M26" s="189"/>
      <c r="N26" s="189"/>
      <c r="O26" s="189"/>
      <c r="P26" s="190"/>
    </row>
    <row r="27" spans="1:16" x14ac:dyDescent="0.35">
      <c r="A27" s="188"/>
      <c r="B27" s="202" t="s">
        <v>453</v>
      </c>
      <c r="C27" s="189"/>
      <c r="D27" s="189"/>
      <c r="E27" s="189"/>
      <c r="F27" s="189"/>
      <c r="G27" s="189"/>
      <c r="H27" s="189"/>
      <c r="I27" s="189"/>
      <c r="J27" s="189"/>
      <c r="K27" s="189"/>
      <c r="L27" s="189"/>
      <c r="M27" s="189"/>
      <c r="N27" s="189"/>
      <c r="O27" s="189"/>
      <c r="P27" s="190"/>
    </row>
    <row r="28" spans="1:16" x14ac:dyDescent="0.35">
      <c r="A28" s="188"/>
      <c r="B28" s="189" t="s">
        <v>448</v>
      </c>
      <c r="C28" s="189"/>
      <c r="D28" s="189"/>
      <c r="E28" s="189"/>
      <c r="F28" s="189"/>
      <c r="G28" s="189"/>
      <c r="H28" s="189"/>
      <c r="I28" s="189"/>
      <c r="J28" s="189"/>
      <c r="K28" s="189"/>
      <c r="L28" s="189"/>
      <c r="M28" s="189"/>
      <c r="N28" s="189"/>
      <c r="O28" s="189"/>
      <c r="P28" s="190"/>
    </row>
    <row r="29" spans="1:16" x14ac:dyDescent="0.35">
      <c r="A29" s="188"/>
      <c r="B29" s="189"/>
      <c r="C29" s="189"/>
      <c r="D29" s="189"/>
      <c r="E29" s="189"/>
      <c r="F29" s="189"/>
      <c r="G29" s="189"/>
      <c r="H29" s="189"/>
      <c r="I29" s="189"/>
      <c r="J29" s="189"/>
      <c r="K29" s="189"/>
      <c r="L29" s="189"/>
      <c r="M29" s="189"/>
      <c r="N29" s="189"/>
      <c r="O29" s="189"/>
      <c r="P29" s="190"/>
    </row>
    <row r="30" spans="1:16" x14ac:dyDescent="0.35">
      <c r="A30" s="188"/>
      <c r="B30" s="202" t="s">
        <v>452</v>
      </c>
      <c r="C30" s="189"/>
      <c r="D30" s="189"/>
      <c r="E30" s="189"/>
      <c r="F30" s="189"/>
      <c r="G30" s="189"/>
      <c r="H30" s="189"/>
      <c r="I30" s="189"/>
      <c r="J30" s="189"/>
      <c r="K30" s="189"/>
      <c r="L30" s="189"/>
      <c r="M30" s="189"/>
      <c r="N30" s="189"/>
      <c r="O30" s="189"/>
      <c r="P30" s="190"/>
    </row>
    <row r="31" spans="1:16" x14ac:dyDescent="0.35">
      <c r="A31" s="188"/>
      <c r="B31" s="189"/>
      <c r="C31" s="189"/>
      <c r="D31" s="189"/>
      <c r="E31" s="189"/>
      <c r="F31" s="189"/>
      <c r="G31" s="189"/>
      <c r="H31" s="189"/>
      <c r="I31" s="189"/>
      <c r="J31" s="189"/>
      <c r="K31" s="189"/>
      <c r="L31" s="189"/>
      <c r="M31" s="189"/>
      <c r="N31" s="189"/>
      <c r="O31" s="189"/>
      <c r="P31" s="190"/>
    </row>
    <row r="32" spans="1:16" x14ac:dyDescent="0.35">
      <c r="A32" s="188"/>
      <c r="B32" s="189" t="s">
        <v>449</v>
      </c>
      <c r="C32" s="189"/>
      <c r="D32" s="189"/>
      <c r="E32" s="189"/>
      <c r="F32" s="189"/>
      <c r="G32" s="189"/>
      <c r="H32" s="189"/>
      <c r="I32" s="189"/>
      <c r="J32" s="189"/>
      <c r="K32" s="189"/>
      <c r="L32" s="189"/>
      <c r="M32" s="189"/>
      <c r="N32" s="189"/>
      <c r="O32" s="189"/>
      <c r="P32" s="190"/>
    </row>
    <row r="33" spans="1:16" x14ac:dyDescent="0.35">
      <c r="A33" s="188"/>
      <c r="B33" s="202"/>
      <c r="C33" s="189"/>
      <c r="D33" s="189"/>
      <c r="E33" s="189"/>
      <c r="F33" s="189"/>
      <c r="G33" s="189"/>
      <c r="H33" s="189"/>
      <c r="I33" s="189"/>
      <c r="J33" s="189"/>
      <c r="K33" s="189"/>
      <c r="L33" s="189"/>
      <c r="M33" s="189"/>
      <c r="N33" s="189"/>
      <c r="O33" s="189"/>
      <c r="P33" s="190"/>
    </row>
    <row r="34" spans="1:16" ht="13.15" thickBot="1" x14ac:dyDescent="0.4">
      <c r="A34" s="188"/>
      <c r="B34" s="202"/>
      <c r="C34" s="189"/>
      <c r="D34" s="189"/>
      <c r="E34" s="189"/>
      <c r="F34" s="189"/>
      <c r="G34" s="189"/>
      <c r="H34" s="189"/>
      <c r="I34" s="189"/>
      <c r="J34" s="189"/>
      <c r="K34" s="189"/>
      <c r="L34" s="189"/>
      <c r="M34" s="189"/>
      <c r="N34" s="189"/>
      <c r="O34" s="189"/>
      <c r="P34" s="190"/>
    </row>
    <row r="35" spans="1:16" x14ac:dyDescent="0.35">
      <c r="A35" s="188"/>
      <c r="B35" s="253" t="s">
        <v>480</v>
      </c>
      <c r="C35" s="254"/>
      <c r="D35" s="254"/>
      <c r="E35" s="254"/>
      <c r="F35" s="254"/>
      <c r="G35" s="254"/>
      <c r="H35" s="254"/>
      <c r="I35" s="254"/>
      <c r="J35" s="254"/>
      <c r="K35" s="254"/>
      <c r="L35" s="254"/>
      <c r="M35" s="255"/>
      <c r="N35" s="189"/>
      <c r="O35" s="189"/>
      <c r="P35" s="190"/>
    </row>
    <row r="36" spans="1:16" x14ac:dyDescent="0.35">
      <c r="A36" s="188"/>
      <c r="B36" s="256"/>
      <c r="C36" s="257"/>
      <c r="D36" s="257"/>
      <c r="E36" s="257"/>
      <c r="F36" s="257"/>
      <c r="G36" s="257"/>
      <c r="H36" s="257"/>
      <c r="I36" s="257"/>
      <c r="J36" s="257"/>
      <c r="K36" s="257"/>
      <c r="L36" s="257"/>
      <c r="M36" s="258"/>
      <c r="N36" s="189"/>
      <c r="O36" s="189"/>
      <c r="P36" s="190"/>
    </row>
    <row r="37" spans="1:16" x14ac:dyDescent="0.35">
      <c r="A37" s="188"/>
      <c r="B37" s="256"/>
      <c r="C37" s="257"/>
      <c r="D37" s="257"/>
      <c r="E37" s="257"/>
      <c r="F37" s="257"/>
      <c r="G37" s="257"/>
      <c r="H37" s="257"/>
      <c r="I37" s="257"/>
      <c r="J37" s="257"/>
      <c r="K37" s="257"/>
      <c r="L37" s="257"/>
      <c r="M37" s="258"/>
      <c r="N37" s="189"/>
      <c r="O37" s="189"/>
      <c r="P37" s="190"/>
    </row>
    <row r="38" spans="1:16" x14ac:dyDescent="0.35">
      <c r="A38" s="188"/>
      <c r="B38" s="256"/>
      <c r="C38" s="257"/>
      <c r="D38" s="257"/>
      <c r="E38" s="257"/>
      <c r="F38" s="257"/>
      <c r="G38" s="257"/>
      <c r="H38" s="257"/>
      <c r="I38" s="257"/>
      <c r="J38" s="257"/>
      <c r="K38" s="257"/>
      <c r="L38" s="257"/>
      <c r="M38" s="258"/>
      <c r="N38" s="189"/>
      <c r="O38" s="189"/>
      <c r="P38" s="190"/>
    </row>
    <row r="39" spans="1:16" x14ac:dyDescent="0.35">
      <c r="A39" s="188"/>
      <c r="B39" s="256"/>
      <c r="C39" s="257"/>
      <c r="D39" s="257"/>
      <c r="E39" s="257"/>
      <c r="F39" s="257"/>
      <c r="G39" s="257"/>
      <c r="H39" s="257"/>
      <c r="I39" s="257"/>
      <c r="J39" s="257"/>
      <c r="K39" s="257"/>
      <c r="L39" s="257"/>
      <c r="M39" s="258"/>
      <c r="N39" s="189"/>
      <c r="O39" s="189"/>
      <c r="P39" s="190"/>
    </row>
    <row r="40" spans="1:16" x14ac:dyDescent="0.35">
      <c r="A40" s="188"/>
      <c r="B40" s="256"/>
      <c r="C40" s="257"/>
      <c r="D40" s="257"/>
      <c r="E40" s="257"/>
      <c r="F40" s="257"/>
      <c r="G40" s="257"/>
      <c r="H40" s="257"/>
      <c r="I40" s="257"/>
      <c r="J40" s="257"/>
      <c r="K40" s="257"/>
      <c r="L40" s="257"/>
      <c r="M40" s="258"/>
      <c r="N40" s="189"/>
      <c r="O40" s="189"/>
      <c r="P40" s="190"/>
    </row>
    <row r="41" spans="1:16" x14ac:dyDescent="0.35">
      <c r="A41" s="188"/>
      <c r="B41" s="256"/>
      <c r="C41" s="257"/>
      <c r="D41" s="257"/>
      <c r="E41" s="257"/>
      <c r="F41" s="257"/>
      <c r="G41" s="257"/>
      <c r="H41" s="257"/>
      <c r="I41" s="257"/>
      <c r="J41" s="257"/>
      <c r="K41" s="257"/>
      <c r="L41" s="257"/>
      <c r="M41" s="258"/>
      <c r="N41" s="189"/>
      <c r="O41" s="189"/>
      <c r="P41" s="190"/>
    </row>
    <row r="42" spans="1:16" x14ac:dyDescent="0.35">
      <c r="A42" s="188"/>
      <c r="B42" s="256"/>
      <c r="C42" s="257"/>
      <c r="D42" s="257"/>
      <c r="E42" s="257"/>
      <c r="F42" s="257"/>
      <c r="G42" s="257"/>
      <c r="H42" s="257"/>
      <c r="I42" s="257"/>
      <c r="J42" s="257"/>
      <c r="K42" s="257"/>
      <c r="L42" s="257"/>
      <c r="M42" s="258"/>
      <c r="N42" s="189"/>
      <c r="O42" s="189"/>
      <c r="P42" s="190"/>
    </row>
    <row r="43" spans="1:16" x14ac:dyDescent="0.35">
      <c r="A43" s="188"/>
      <c r="B43" s="256"/>
      <c r="C43" s="257"/>
      <c r="D43" s="257"/>
      <c r="E43" s="257"/>
      <c r="F43" s="257"/>
      <c r="G43" s="257"/>
      <c r="H43" s="257"/>
      <c r="I43" s="257"/>
      <c r="J43" s="257"/>
      <c r="K43" s="257"/>
      <c r="L43" s="257"/>
      <c r="M43" s="258"/>
      <c r="N43" s="189"/>
      <c r="O43" s="189"/>
      <c r="P43" s="190"/>
    </row>
    <row r="44" spans="1:16" x14ac:dyDescent="0.35">
      <c r="A44" s="188"/>
      <c r="B44" s="256"/>
      <c r="C44" s="257"/>
      <c r="D44" s="257"/>
      <c r="E44" s="257"/>
      <c r="F44" s="257"/>
      <c r="G44" s="257"/>
      <c r="H44" s="257"/>
      <c r="I44" s="257"/>
      <c r="J44" s="257"/>
      <c r="K44" s="257"/>
      <c r="L44" s="257"/>
      <c r="M44" s="258"/>
      <c r="N44" s="189"/>
      <c r="O44" s="189"/>
      <c r="P44" s="190"/>
    </row>
    <row r="45" spans="1:16" x14ac:dyDescent="0.35">
      <c r="A45" s="188"/>
      <c r="B45" s="256"/>
      <c r="C45" s="257"/>
      <c r="D45" s="257"/>
      <c r="E45" s="257"/>
      <c r="F45" s="257"/>
      <c r="G45" s="257"/>
      <c r="H45" s="257"/>
      <c r="I45" s="257"/>
      <c r="J45" s="257"/>
      <c r="K45" s="257"/>
      <c r="L45" s="257"/>
      <c r="M45" s="258"/>
      <c r="N45" s="189"/>
      <c r="O45" s="189"/>
      <c r="P45" s="190"/>
    </row>
    <row r="46" spans="1:16" x14ac:dyDescent="0.35">
      <c r="A46" s="188"/>
      <c r="B46" s="256"/>
      <c r="C46" s="257"/>
      <c r="D46" s="257"/>
      <c r="E46" s="257"/>
      <c r="F46" s="257"/>
      <c r="G46" s="257"/>
      <c r="H46" s="257"/>
      <c r="I46" s="257"/>
      <c r="J46" s="257"/>
      <c r="K46" s="257"/>
      <c r="L46" s="257"/>
      <c r="M46" s="258"/>
      <c r="N46" s="189"/>
      <c r="O46" s="189"/>
      <c r="P46" s="190"/>
    </row>
    <row r="47" spans="1:16" x14ac:dyDescent="0.35">
      <c r="A47" s="188"/>
      <c r="B47" s="256"/>
      <c r="C47" s="257"/>
      <c r="D47" s="257"/>
      <c r="E47" s="257"/>
      <c r="F47" s="257"/>
      <c r="G47" s="257"/>
      <c r="H47" s="257"/>
      <c r="I47" s="257"/>
      <c r="J47" s="257"/>
      <c r="K47" s="257"/>
      <c r="L47" s="257"/>
      <c r="M47" s="258"/>
      <c r="N47" s="189"/>
      <c r="O47" s="189"/>
      <c r="P47" s="190"/>
    </row>
    <row r="48" spans="1:16" x14ac:dyDescent="0.35">
      <c r="A48" s="188"/>
      <c r="B48" s="256"/>
      <c r="C48" s="257"/>
      <c r="D48" s="257"/>
      <c r="E48" s="257"/>
      <c r="F48" s="257"/>
      <c r="G48" s="257"/>
      <c r="H48" s="257"/>
      <c r="I48" s="257"/>
      <c r="J48" s="257"/>
      <c r="K48" s="257"/>
      <c r="L48" s="257"/>
      <c r="M48" s="258"/>
      <c r="N48" s="189"/>
      <c r="O48" s="189"/>
      <c r="P48" s="190"/>
    </row>
    <row r="49" spans="1:16" x14ac:dyDescent="0.35">
      <c r="A49" s="188"/>
      <c r="B49" s="256"/>
      <c r="C49" s="257"/>
      <c r="D49" s="257"/>
      <c r="E49" s="257"/>
      <c r="F49" s="257"/>
      <c r="G49" s="257"/>
      <c r="H49" s="257"/>
      <c r="I49" s="257"/>
      <c r="J49" s="257"/>
      <c r="K49" s="257"/>
      <c r="L49" s="257"/>
      <c r="M49" s="258"/>
      <c r="N49" s="189"/>
      <c r="O49" s="189"/>
      <c r="P49" s="190"/>
    </row>
    <row r="50" spans="1:16" x14ac:dyDescent="0.35">
      <c r="A50" s="188"/>
      <c r="B50" s="256"/>
      <c r="C50" s="257"/>
      <c r="D50" s="257"/>
      <c r="E50" s="257"/>
      <c r="F50" s="257"/>
      <c r="G50" s="257"/>
      <c r="H50" s="257"/>
      <c r="I50" s="257"/>
      <c r="J50" s="257"/>
      <c r="K50" s="257"/>
      <c r="L50" s="257"/>
      <c r="M50" s="258"/>
      <c r="N50" s="189"/>
      <c r="O50" s="189"/>
      <c r="P50" s="190"/>
    </row>
    <row r="51" spans="1:16" x14ac:dyDescent="0.35">
      <c r="A51" s="188"/>
      <c r="B51" s="256"/>
      <c r="C51" s="257"/>
      <c r="D51" s="257"/>
      <c r="E51" s="257"/>
      <c r="F51" s="257"/>
      <c r="G51" s="257"/>
      <c r="H51" s="257"/>
      <c r="I51" s="257"/>
      <c r="J51" s="257"/>
      <c r="K51" s="257"/>
      <c r="L51" s="257"/>
      <c r="M51" s="258"/>
      <c r="N51" s="189"/>
      <c r="O51" s="189"/>
      <c r="P51" s="190"/>
    </row>
    <row r="52" spans="1:16" x14ac:dyDescent="0.35">
      <c r="A52" s="188"/>
      <c r="B52" s="256"/>
      <c r="C52" s="257"/>
      <c r="D52" s="257"/>
      <c r="E52" s="257"/>
      <c r="F52" s="257"/>
      <c r="G52" s="257"/>
      <c r="H52" s="257"/>
      <c r="I52" s="257"/>
      <c r="J52" s="257"/>
      <c r="K52" s="257"/>
      <c r="L52" s="257"/>
      <c r="M52" s="258"/>
      <c r="N52" s="189"/>
      <c r="O52" s="189"/>
      <c r="P52" s="190"/>
    </row>
    <row r="53" spans="1:16" x14ac:dyDescent="0.35">
      <c r="A53" s="188"/>
      <c r="B53" s="256"/>
      <c r="C53" s="257"/>
      <c r="D53" s="257"/>
      <c r="E53" s="257"/>
      <c r="F53" s="257"/>
      <c r="G53" s="257"/>
      <c r="H53" s="257"/>
      <c r="I53" s="257"/>
      <c r="J53" s="257"/>
      <c r="K53" s="257"/>
      <c r="L53" s="257"/>
      <c r="M53" s="258"/>
      <c r="N53" s="189"/>
      <c r="O53" s="189"/>
      <c r="P53" s="190"/>
    </row>
    <row r="54" spans="1:16" x14ac:dyDescent="0.35">
      <c r="A54" s="188"/>
      <c r="B54" s="256"/>
      <c r="C54" s="257"/>
      <c r="D54" s="257"/>
      <c r="E54" s="257"/>
      <c r="F54" s="257"/>
      <c r="G54" s="257"/>
      <c r="H54" s="257"/>
      <c r="I54" s="257"/>
      <c r="J54" s="257"/>
      <c r="K54" s="257"/>
      <c r="L54" s="257"/>
      <c r="M54" s="258"/>
      <c r="N54" s="189"/>
      <c r="O54" s="189"/>
      <c r="P54" s="190"/>
    </row>
    <row r="55" spans="1:16" x14ac:dyDescent="0.35">
      <c r="A55" s="188"/>
      <c r="B55" s="256"/>
      <c r="C55" s="257"/>
      <c r="D55" s="257"/>
      <c r="E55" s="257"/>
      <c r="F55" s="257"/>
      <c r="G55" s="257"/>
      <c r="H55" s="257"/>
      <c r="I55" s="257"/>
      <c r="J55" s="257"/>
      <c r="K55" s="257"/>
      <c r="L55" s="257"/>
      <c r="M55" s="258"/>
      <c r="N55" s="189"/>
      <c r="O55" s="189"/>
      <c r="P55" s="190"/>
    </row>
    <row r="56" spans="1:16" x14ac:dyDescent="0.35">
      <c r="A56" s="188"/>
      <c r="B56" s="256"/>
      <c r="C56" s="257"/>
      <c r="D56" s="257"/>
      <c r="E56" s="257"/>
      <c r="F56" s="257"/>
      <c r="G56" s="257"/>
      <c r="H56" s="257"/>
      <c r="I56" s="257"/>
      <c r="J56" s="257"/>
      <c r="K56" s="257"/>
      <c r="L56" s="257"/>
      <c r="M56" s="258"/>
      <c r="N56" s="189"/>
      <c r="O56" s="189"/>
      <c r="P56" s="190"/>
    </row>
    <row r="57" spans="1:16" x14ac:dyDescent="0.35">
      <c r="A57" s="188"/>
      <c r="B57" s="256"/>
      <c r="C57" s="257"/>
      <c r="D57" s="257"/>
      <c r="E57" s="257"/>
      <c r="F57" s="257"/>
      <c r="G57" s="257"/>
      <c r="H57" s="257"/>
      <c r="I57" s="257"/>
      <c r="J57" s="257"/>
      <c r="K57" s="257"/>
      <c r="L57" s="257"/>
      <c r="M57" s="258"/>
      <c r="N57" s="189"/>
      <c r="O57" s="189"/>
      <c r="P57" s="190"/>
    </row>
    <row r="58" spans="1:16" x14ac:dyDescent="0.35">
      <c r="A58" s="188"/>
      <c r="B58" s="256"/>
      <c r="C58" s="257"/>
      <c r="D58" s="257"/>
      <c r="E58" s="257"/>
      <c r="F58" s="257"/>
      <c r="G58" s="257"/>
      <c r="H58" s="257"/>
      <c r="I58" s="257"/>
      <c r="J58" s="257"/>
      <c r="K58" s="257"/>
      <c r="L58" s="257"/>
      <c r="M58" s="258"/>
      <c r="N58" s="189"/>
      <c r="O58" s="189"/>
      <c r="P58" s="190"/>
    </row>
    <row r="59" spans="1:16" x14ac:dyDescent="0.35">
      <c r="A59" s="188"/>
      <c r="B59" s="256"/>
      <c r="C59" s="257"/>
      <c r="D59" s="257"/>
      <c r="E59" s="257"/>
      <c r="F59" s="257"/>
      <c r="G59" s="257"/>
      <c r="H59" s="257"/>
      <c r="I59" s="257"/>
      <c r="J59" s="257"/>
      <c r="K59" s="257"/>
      <c r="L59" s="257"/>
      <c r="M59" s="258"/>
      <c r="N59" s="189"/>
      <c r="O59" s="189"/>
      <c r="P59" s="190"/>
    </row>
    <row r="60" spans="1:16" x14ac:dyDescent="0.35">
      <c r="A60" s="188"/>
      <c r="B60" s="256"/>
      <c r="C60" s="257"/>
      <c r="D60" s="257"/>
      <c r="E60" s="257"/>
      <c r="F60" s="257"/>
      <c r="G60" s="257"/>
      <c r="H60" s="257"/>
      <c r="I60" s="257"/>
      <c r="J60" s="257"/>
      <c r="K60" s="257"/>
      <c r="L60" s="257"/>
      <c r="M60" s="258"/>
      <c r="N60" s="189"/>
      <c r="O60" s="189"/>
      <c r="P60" s="190"/>
    </row>
    <row r="61" spans="1:16" x14ac:dyDescent="0.35">
      <c r="A61" s="188"/>
      <c r="B61" s="256"/>
      <c r="C61" s="257"/>
      <c r="D61" s="257"/>
      <c r="E61" s="257"/>
      <c r="F61" s="257"/>
      <c r="G61" s="257"/>
      <c r="H61" s="257"/>
      <c r="I61" s="257"/>
      <c r="J61" s="257"/>
      <c r="K61" s="257"/>
      <c r="L61" s="257"/>
      <c r="M61" s="258"/>
      <c r="N61" s="189"/>
      <c r="O61" s="189"/>
      <c r="P61" s="190"/>
    </row>
    <row r="62" spans="1:16" x14ac:dyDescent="0.35">
      <c r="A62" s="188"/>
      <c r="B62" s="256"/>
      <c r="C62" s="257"/>
      <c r="D62" s="257"/>
      <c r="E62" s="257"/>
      <c r="F62" s="257"/>
      <c r="G62" s="257"/>
      <c r="H62" s="257"/>
      <c r="I62" s="257"/>
      <c r="J62" s="257"/>
      <c r="K62" s="257"/>
      <c r="L62" s="257"/>
      <c r="M62" s="258"/>
      <c r="N62" s="189"/>
      <c r="O62" s="189"/>
      <c r="P62" s="190"/>
    </row>
    <row r="63" spans="1:16" x14ac:dyDescent="0.35">
      <c r="A63" s="188"/>
      <c r="B63" s="256"/>
      <c r="C63" s="257"/>
      <c r="D63" s="257"/>
      <c r="E63" s="257"/>
      <c r="F63" s="257"/>
      <c r="G63" s="257"/>
      <c r="H63" s="257"/>
      <c r="I63" s="257"/>
      <c r="J63" s="257"/>
      <c r="K63" s="257"/>
      <c r="L63" s="257"/>
      <c r="M63" s="258"/>
      <c r="N63" s="189"/>
      <c r="O63" s="189"/>
      <c r="P63" s="190"/>
    </row>
    <row r="64" spans="1:16" x14ac:dyDescent="0.35">
      <c r="A64" s="188"/>
      <c r="B64" s="256"/>
      <c r="C64" s="257"/>
      <c r="D64" s="257"/>
      <c r="E64" s="257"/>
      <c r="F64" s="257"/>
      <c r="G64" s="257"/>
      <c r="H64" s="257"/>
      <c r="I64" s="257"/>
      <c r="J64" s="257"/>
      <c r="K64" s="257"/>
      <c r="L64" s="257"/>
      <c r="M64" s="258"/>
      <c r="N64" s="189"/>
      <c r="O64" s="189"/>
      <c r="P64" s="190"/>
    </row>
    <row r="65" spans="1:16" x14ac:dyDescent="0.35">
      <c r="A65" s="188"/>
      <c r="B65" s="256"/>
      <c r="C65" s="257"/>
      <c r="D65" s="257"/>
      <c r="E65" s="257"/>
      <c r="F65" s="257"/>
      <c r="G65" s="257"/>
      <c r="H65" s="257"/>
      <c r="I65" s="257"/>
      <c r="J65" s="257"/>
      <c r="K65" s="257"/>
      <c r="L65" s="257"/>
      <c r="M65" s="258"/>
      <c r="N65" s="189"/>
      <c r="O65" s="189"/>
      <c r="P65" s="190"/>
    </row>
    <row r="66" spans="1:16" x14ac:dyDescent="0.35">
      <c r="A66" s="188"/>
      <c r="B66" s="256"/>
      <c r="C66" s="257"/>
      <c r="D66" s="257"/>
      <c r="E66" s="257"/>
      <c r="F66" s="257"/>
      <c r="G66" s="257"/>
      <c r="H66" s="257"/>
      <c r="I66" s="257"/>
      <c r="J66" s="257"/>
      <c r="K66" s="257"/>
      <c r="L66" s="257"/>
      <c r="M66" s="258"/>
      <c r="N66" s="189"/>
      <c r="O66" s="189"/>
      <c r="P66" s="190"/>
    </row>
    <row r="67" spans="1:16" x14ac:dyDescent="0.35">
      <c r="A67" s="188"/>
      <c r="B67" s="256"/>
      <c r="C67" s="257"/>
      <c r="D67" s="257"/>
      <c r="E67" s="257"/>
      <c r="F67" s="257"/>
      <c r="G67" s="257"/>
      <c r="H67" s="257"/>
      <c r="I67" s="257"/>
      <c r="J67" s="257"/>
      <c r="K67" s="257"/>
      <c r="L67" s="257"/>
      <c r="M67" s="258"/>
      <c r="N67" s="189"/>
      <c r="O67" s="189"/>
      <c r="P67" s="190"/>
    </row>
    <row r="68" spans="1:16" x14ac:dyDescent="0.35">
      <c r="A68" s="188"/>
      <c r="B68" s="256"/>
      <c r="C68" s="257"/>
      <c r="D68" s="257"/>
      <c r="E68" s="257"/>
      <c r="F68" s="257"/>
      <c r="G68" s="257"/>
      <c r="H68" s="257"/>
      <c r="I68" s="257"/>
      <c r="J68" s="257"/>
      <c r="K68" s="257"/>
      <c r="L68" s="257"/>
      <c r="M68" s="258"/>
      <c r="N68" s="189"/>
      <c r="O68" s="189"/>
      <c r="P68" s="190"/>
    </row>
    <row r="69" spans="1:16" x14ac:dyDescent="0.35">
      <c r="A69" s="188"/>
      <c r="B69" s="256"/>
      <c r="C69" s="257"/>
      <c r="D69" s="257"/>
      <c r="E69" s="257"/>
      <c r="F69" s="257"/>
      <c r="G69" s="257"/>
      <c r="H69" s="257"/>
      <c r="I69" s="257"/>
      <c r="J69" s="257"/>
      <c r="K69" s="257"/>
      <c r="L69" s="257"/>
      <c r="M69" s="258"/>
      <c r="N69" s="189"/>
      <c r="O69" s="189"/>
      <c r="P69" s="190"/>
    </row>
    <row r="70" spans="1:16" x14ac:dyDescent="0.35">
      <c r="A70" s="188"/>
      <c r="B70" s="256"/>
      <c r="C70" s="257"/>
      <c r="D70" s="257"/>
      <c r="E70" s="257"/>
      <c r="F70" s="257"/>
      <c r="G70" s="257"/>
      <c r="H70" s="257"/>
      <c r="I70" s="257"/>
      <c r="J70" s="257"/>
      <c r="K70" s="257"/>
      <c r="L70" s="257"/>
      <c r="M70" s="258"/>
      <c r="N70" s="189"/>
      <c r="O70" s="189"/>
      <c r="P70" s="190"/>
    </row>
    <row r="71" spans="1:16" x14ac:dyDescent="0.35">
      <c r="A71" s="188"/>
      <c r="B71" s="256"/>
      <c r="C71" s="257"/>
      <c r="D71" s="257"/>
      <c r="E71" s="257"/>
      <c r="F71" s="257"/>
      <c r="G71" s="257"/>
      <c r="H71" s="257"/>
      <c r="I71" s="257"/>
      <c r="J71" s="257"/>
      <c r="K71" s="257"/>
      <c r="L71" s="257"/>
      <c r="M71" s="258"/>
      <c r="N71" s="189"/>
      <c r="O71" s="189"/>
      <c r="P71" s="190"/>
    </row>
    <row r="72" spans="1:16" x14ac:dyDescent="0.35">
      <c r="A72" s="188"/>
      <c r="B72" s="256"/>
      <c r="C72" s="257"/>
      <c r="D72" s="257"/>
      <c r="E72" s="257"/>
      <c r="F72" s="257"/>
      <c r="G72" s="257"/>
      <c r="H72" s="257"/>
      <c r="I72" s="257"/>
      <c r="J72" s="257"/>
      <c r="K72" s="257"/>
      <c r="L72" s="257"/>
      <c r="M72" s="258"/>
      <c r="N72" s="189"/>
      <c r="O72" s="189"/>
      <c r="P72" s="190"/>
    </row>
    <row r="73" spans="1:16" x14ac:dyDescent="0.35">
      <c r="A73" s="188"/>
      <c r="B73" s="256"/>
      <c r="C73" s="257"/>
      <c r="D73" s="257"/>
      <c r="E73" s="257"/>
      <c r="F73" s="257"/>
      <c r="G73" s="257"/>
      <c r="H73" s="257"/>
      <c r="I73" s="257"/>
      <c r="J73" s="257"/>
      <c r="K73" s="257"/>
      <c r="L73" s="257"/>
      <c r="M73" s="258"/>
      <c r="N73" s="189"/>
      <c r="O73" s="189"/>
      <c r="P73" s="190"/>
    </row>
    <row r="74" spans="1:16" x14ac:dyDescent="0.35">
      <c r="A74" s="188"/>
      <c r="B74" s="256"/>
      <c r="C74" s="257"/>
      <c r="D74" s="257"/>
      <c r="E74" s="257"/>
      <c r="F74" s="257"/>
      <c r="G74" s="257"/>
      <c r="H74" s="257"/>
      <c r="I74" s="257"/>
      <c r="J74" s="257"/>
      <c r="K74" s="257"/>
      <c r="L74" s="257"/>
      <c r="M74" s="258"/>
      <c r="N74" s="189"/>
      <c r="O74" s="189"/>
      <c r="P74" s="190"/>
    </row>
    <row r="75" spans="1:16" x14ac:dyDescent="0.35">
      <c r="A75" s="188"/>
      <c r="B75" s="256"/>
      <c r="C75" s="257"/>
      <c r="D75" s="257"/>
      <c r="E75" s="257"/>
      <c r="F75" s="257"/>
      <c r="G75" s="257"/>
      <c r="H75" s="257"/>
      <c r="I75" s="257"/>
      <c r="J75" s="257"/>
      <c r="K75" s="257"/>
      <c r="L75" s="257"/>
      <c r="M75" s="258"/>
      <c r="N75" s="189"/>
      <c r="O75" s="189"/>
      <c r="P75" s="190"/>
    </row>
    <row r="76" spans="1:16" x14ac:dyDescent="0.35">
      <c r="A76" s="188"/>
      <c r="B76" s="256"/>
      <c r="C76" s="257"/>
      <c r="D76" s="257"/>
      <c r="E76" s="257"/>
      <c r="F76" s="257"/>
      <c r="G76" s="257"/>
      <c r="H76" s="257"/>
      <c r="I76" s="257"/>
      <c r="J76" s="257"/>
      <c r="K76" s="257"/>
      <c r="L76" s="257"/>
      <c r="M76" s="258"/>
      <c r="N76" s="189"/>
      <c r="O76" s="189"/>
      <c r="P76" s="190"/>
    </row>
    <row r="77" spans="1:16" x14ac:dyDescent="0.35">
      <c r="A77" s="188"/>
      <c r="B77" s="256"/>
      <c r="C77" s="257"/>
      <c r="D77" s="257"/>
      <c r="E77" s="257"/>
      <c r="F77" s="257"/>
      <c r="G77" s="257"/>
      <c r="H77" s="257"/>
      <c r="I77" s="257"/>
      <c r="J77" s="257"/>
      <c r="K77" s="257"/>
      <c r="L77" s="257"/>
      <c r="M77" s="258"/>
      <c r="N77" s="189"/>
      <c r="O77" s="189"/>
      <c r="P77" s="190"/>
    </row>
    <row r="78" spans="1:16" x14ac:dyDescent="0.35">
      <c r="A78" s="188"/>
      <c r="B78" s="256"/>
      <c r="C78" s="257"/>
      <c r="D78" s="257"/>
      <c r="E78" s="257"/>
      <c r="F78" s="257"/>
      <c r="G78" s="257"/>
      <c r="H78" s="257"/>
      <c r="I78" s="257"/>
      <c r="J78" s="257"/>
      <c r="K78" s="257"/>
      <c r="L78" s="257"/>
      <c r="M78" s="258"/>
      <c r="N78" s="189"/>
      <c r="O78" s="189"/>
      <c r="P78" s="190"/>
    </row>
    <row r="79" spans="1:16" x14ac:dyDescent="0.35">
      <c r="A79" s="188"/>
      <c r="B79" s="256"/>
      <c r="C79" s="257"/>
      <c r="D79" s="257"/>
      <c r="E79" s="257"/>
      <c r="F79" s="257"/>
      <c r="G79" s="257"/>
      <c r="H79" s="257"/>
      <c r="I79" s="257"/>
      <c r="J79" s="257"/>
      <c r="K79" s="257"/>
      <c r="L79" s="257"/>
      <c r="M79" s="258"/>
      <c r="N79" s="189"/>
      <c r="O79" s="189"/>
      <c r="P79" s="190"/>
    </row>
    <row r="80" spans="1:16" x14ac:dyDescent="0.35">
      <c r="A80" s="188"/>
      <c r="B80" s="256"/>
      <c r="C80" s="257"/>
      <c r="D80" s="257"/>
      <c r="E80" s="257"/>
      <c r="F80" s="257"/>
      <c r="G80" s="257"/>
      <c r="H80" s="257"/>
      <c r="I80" s="257"/>
      <c r="J80" s="257"/>
      <c r="K80" s="257"/>
      <c r="L80" s="257"/>
      <c r="M80" s="258"/>
      <c r="N80" s="189"/>
      <c r="O80" s="189"/>
      <c r="P80" s="190"/>
    </row>
    <row r="81" spans="1:16" x14ac:dyDescent="0.35">
      <c r="A81" s="188"/>
      <c r="B81" s="256"/>
      <c r="C81" s="257"/>
      <c r="D81" s="257"/>
      <c r="E81" s="257"/>
      <c r="F81" s="257"/>
      <c r="G81" s="257"/>
      <c r="H81" s="257"/>
      <c r="I81" s="257"/>
      <c r="J81" s="257"/>
      <c r="K81" s="257"/>
      <c r="L81" s="257"/>
      <c r="M81" s="258"/>
      <c r="N81" s="189"/>
      <c r="O81" s="189"/>
      <c r="P81" s="190"/>
    </row>
    <row r="82" spans="1:16" x14ac:dyDescent="0.35">
      <c r="A82" s="188"/>
      <c r="B82" s="256"/>
      <c r="C82" s="257"/>
      <c r="D82" s="257"/>
      <c r="E82" s="257"/>
      <c r="F82" s="257"/>
      <c r="G82" s="257"/>
      <c r="H82" s="257"/>
      <c r="I82" s="257"/>
      <c r="J82" s="257"/>
      <c r="K82" s="257"/>
      <c r="L82" s="257"/>
      <c r="M82" s="258"/>
      <c r="N82" s="189"/>
      <c r="O82" s="189"/>
      <c r="P82" s="190"/>
    </row>
    <row r="83" spans="1:16" x14ac:dyDescent="0.35">
      <c r="A83" s="188"/>
      <c r="B83" s="256"/>
      <c r="C83" s="257"/>
      <c r="D83" s="257"/>
      <c r="E83" s="257"/>
      <c r="F83" s="257"/>
      <c r="G83" s="257"/>
      <c r="H83" s="257"/>
      <c r="I83" s="257"/>
      <c r="J83" s="257"/>
      <c r="K83" s="257"/>
      <c r="L83" s="257"/>
      <c r="M83" s="258"/>
      <c r="N83" s="189"/>
      <c r="O83" s="189"/>
      <c r="P83" s="190"/>
    </row>
    <row r="84" spans="1:16" x14ac:dyDescent="0.35">
      <c r="A84" s="188"/>
      <c r="B84" s="256"/>
      <c r="C84" s="257"/>
      <c r="D84" s="257"/>
      <c r="E84" s="257"/>
      <c r="F84" s="257"/>
      <c r="G84" s="257"/>
      <c r="H84" s="257"/>
      <c r="I84" s="257"/>
      <c r="J84" s="257"/>
      <c r="K84" s="257"/>
      <c r="L84" s="257"/>
      <c r="M84" s="258"/>
      <c r="N84" s="189"/>
      <c r="O84" s="189"/>
      <c r="P84" s="190"/>
    </row>
    <row r="85" spans="1:16" x14ac:dyDescent="0.35">
      <c r="A85" s="188"/>
      <c r="B85" s="256"/>
      <c r="C85" s="257"/>
      <c r="D85" s="257"/>
      <c r="E85" s="257"/>
      <c r="F85" s="257"/>
      <c r="G85" s="257"/>
      <c r="H85" s="257"/>
      <c r="I85" s="257"/>
      <c r="J85" s="257"/>
      <c r="K85" s="257"/>
      <c r="L85" s="257"/>
      <c r="M85" s="258"/>
      <c r="N85" s="189"/>
      <c r="O85" s="189"/>
      <c r="P85" s="190"/>
    </row>
    <row r="86" spans="1:16" x14ac:dyDescent="0.35">
      <c r="A86" s="188"/>
      <c r="B86" s="256"/>
      <c r="C86" s="257"/>
      <c r="D86" s="257"/>
      <c r="E86" s="257"/>
      <c r="F86" s="257"/>
      <c r="G86" s="257"/>
      <c r="H86" s="257"/>
      <c r="I86" s="257"/>
      <c r="J86" s="257"/>
      <c r="K86" s="257"/>
      <c r="L86" s="257"/>
      <c r="M86" s="258"/>
      <c r="N86" s="189"/>
      <c r="O86" s="189"/>
      <c r="P86" s="190"/>
    </row>
    <row r="87" spans="1:16" x14ac:dyDescent="0.35">
      <c r="A87" s="188"/>
      <c r="B87" s="256"/>
      <c r="C87" s="257"/>
      <c r="D87" s="257"/>
      <c r="E87" s="257"/>
      <c r="F87" s="257"/>
      <c r="G87" s="257"/>
      <c r="H87" s="257"/>
      <c r="I87" s="257"/>
      <c r="J87" s="257"/>
      <c r="K87" s="257"/>
      <c r="L87" s="257"/>
      <c r="M87" s="258"/>
      <c r="N87" s="189"/>
      <c r="O87" s="189"/>
      <c r="P87" s="190"/>
    </row>
    <row r="88" spans="1:16" x14ac:dyDescent="0.35">
      <c r="A88" s="188"/>
      <c r="B88" s="256"/>
      <c r="C88" s="257"/>
      <c r="D88" s="257"/>
      <c r="E88" s="257"/>
      <c r="F88" s="257"/>
      <c r="G88" s="257"/>
      <c r="H88" s="257"/>
      <c r="I88" s="257"/>
      <c r="J88" s="257"/>
      <c r="K88" s="257"/>
      <c r="L88" s="257"/>
      <c r="M88" s="258"/>
      <c r="N88" s="189"/>
      <c r="O88" s="189"/>
      <c r="P88" s="190"/>
    </row>
    <row r="89" spans="1:16" x14ac:dyDescent="0.35">
      <c r="A89" s="188"/>
      <c r="B89" s="256"/>
      <c r="C89" s="257"/>
      <c r="D89" s="257"/>
      <c r="E89" s="257"/>
      <c r="F89" s="257"/>
      <c r="G89" s="257"/>
      <c r="H89" s="257"/>
      <c r="I89" s="257"/>
      <c r="J89" s="257"/>
      <c r="K89" s="257"/>
      <c r="L89" s="257"/>
      <c r="M89" s="258"/>
      <c r="N89" s="189"/>
      <c r="O89" s="189"/>
      <c r="P89" s="190"/>
    </row>
    <row r="90" spans="1:16" x14ac:dyDescent="0.35">
      <c r="A90" s="188"/>
      <c r="B90" s="256"/>
      <c r="C90" s="257"/>
      <c r="D90" s="257"/>
      <c r="E90" s="257"/>
      <c r="F90" s="257"/>
      <c r="G90" s="257"/>
      <c r="H90" s="257"/>
      <c r="I90" s="257"/>
      <c r="J90" s="257"/>
      <c r="K90" s="257"/>
      <c r="L90" s="257"/>
      <c r="M90" s="258"/>
      <c r="N90" s="189"/>
      <c r="O90" s="189"/>
      <c r="P90" s="190"/>
    </row>
    <row r="91" spans="1:16" x14ac:dyDescent="0.35">
      <c r="A91" s="188"/>
      <c r="B91" s="256"/>
      <c r="C91" s="257"/>
      <c r="D91" s="257"/>
      <c r="E91" s="257"/>
      <c r="F91" s="257"/>
      <c r="G91" s="257"/>
      <c r="H91" s="257"/>
      <c r="I91" s="257"/>
      <c r="J91" s="257"/>
      <c r="K91" s="257"/>
      <c r="L91" s="257"/>
      <c r="M91" s="258"/>
      <c r="N91" s="189"/>
      <c r="O91" s="189"/>
      <c r="P91" s="190"/>
    </row>
    <row r="92" spans="1:16" x14ac:dyDescent="0.35">
      <c r="A92" s="188"/>
      <c r="B92" s="256"/>
      <c r="C92" s="257"/>
      <c r="D92" s="257"/>
      <c r="E92" s="257"/>
      <c r="F92" s="257"/>
      <c r="G92" s="257"/>
      <c r="H92" s="257"/>
      <c r="I92" s="257"/>
      <c r="J92" s="257"/>
      <c r="K92" s="257"/>
      <c r="L92" s="257"/>
      <c r="M92" s="258"/>
      <c r="N92" s="189"/>
      <c r="O92" s="189"/>
      <c r="P92" s="190"/>
    </row>
    <row r="93" spans="1:16" x14ac:dyDescent="0.35">
      <c r="A93" s="188"/>
      <c r="B93" s="256"/>
      <c r="C93" s="257"/>
      <c r="D93" s="257"/>
      <c r="E93" s="257"/>
      <c r="F93" s="257"/>
      <c r="G93" s="257"/>
      <c r="H93" s="257"/>
      <c r="I93" s="257"/>
      <c r="J93" s="257"/>
      <c r="K93" s="257"/>
      <c r="L93" s="257"/>
      <c r="M93" s="258"/>
      <c r="N93" s="189"/>
      <c r="O93" s="189"/>
      <c r="P93" s="190"/>
    </row>
    <row r="94" spans="1:16" x14ac:dyDescent="0.35">
      <c r="A94" s="188"/>
      <c r="B94" s="256"/>
      <c r="C94" s="257"/>
      <c r="D94" s="257"/>
      <c r="E94" s="257"/>
      <c r="F94" s="257"/>
      <c r="G94" s="257"/>
      <c r="H94" s="257"/>
      <c r="I94" s="257"/>
      <c r="J94" s="257"/>
      <c r="K94" s="257"/>
      <c r="L94" s="257"/>
      <c r="M94" s="258"/>
      <c r="N94" s="189"/>
      <c r="O94" s="189"/>
      <c r="P94" s="190"/>
    </row>
    <row r="95" spans="1:16" x14ac:dyDescent="0.35">
      <c r="A95" s="188"/>
      <c r="B95" s="256"/>
      <c r="C95" s="257"/>
      <c r="D95" s="257"/>
      <c r="E95" s="257"/>
      <c r="F95" s="257"/>
      <c r="G95" s="257"/>
      <c r="H95" s="257"/>
      <c r="I95" s="257"/>
      <c r="J95" s="257"/>
      <c r="K95" s="257"/>
      <c r="L95" s="257"/>
      <c r="M95" s="258"/>
      <c r="N95" s="189"/>
      <c r="O95" s="189"/>
      <c r="P95" s="190"/>
    </row>
    <row r="96" spans="1:16" x14ac:dyDescent="0.35">
      <c r="A96" s="188"/>
      <c r="B96" s="256"/>
      <c r="C96" s="257"/>
      <c r="D96" s="257"/>
      <c r="E96" s="257"/>
      <c r="F96" s="257"/>
      <c r="G96" s="257"/>
      <c r="H96" s="257"/>
      <c r="I96" s="257"/>
      <c r="J96" s="257"/>
      <c r="K96" s="257"/>
      <c r="L96" s="257"/>
      <c r="M96" s="258"/>
      <c r="N96" s="189"/>
      <c r="O96" s="189"/>
      <c r="P96" s="190"/>
    </row>
    <row r="97" spans="1:16" ht="13.15" thickBot="1" x14ac:dyDescent="0.4">
      <c r="A97" s="188"/>
      <c r="B97" s="259"/>
      <c r="C97" s="260"/>
      <c r="D97" s="260"/>
      <c r="E97" s="260"/>
      <c r="F97" s="260"/>
      <c r="G97" s="260"/>
      <c r="H97" s="260"/>
      <c r="I97" s="260"/>
      <c r="J97" s="260"/>
      <c r="K97" s="260"/>
      <c r="L97" s="260"/>
      <c r="M97" s="261"/>
      <c r="N97" s="189"/>
      <c r="O97" s="189"/>
      <c r="P97" s="190"/>
    </row>
    <row r="98" spans="1:16" x14ac:dyDescent="0.35">
      <c r="A98" s="188"/>
      <c r="B98" s="189"/>
      <c r="C98" s="189"/>
      <c r="D98" s="189"/>
      <c r="E98" s="189"/>
      <c r="F98" s="189"/>
      <c r="G98" s="189"/>
      <c r="H98" s="189"/>
      <c r="I98" s="189"/>
      <c r="J98" s="189"/>
      <c r="K98" s="189"/>
      <c r="L98" s="189"/>
      <c r="M98" s="189"/>
      <c r="N98" s="189"/>
      <c r="O98" s="189"/>
      <c r="P98" s="190"/>
    </row>
    <row r="99" spans="1:16" ht="13.15" thickBot="1" x14ac:dyDescent="0.4">
      <c r="A99" s="199"/>
      <c r="B99" s="200"/>
      <c r="C99" s="200"/>
      <c r="D99" s="200"/>
      <c r="E99" s="200"/>
      <c r="F99" s="200"/>
      <c r="G99" s="200"/>
      <c r="H99" s="200"/>
      <c r="I99" s="200"/>
      <c r="J99" s="200"/>
      <c r="K99" s="200"/>
      <c r="L99" s="200"/>
      <c r="M99" s="200"/>
      <c r="N99" s="200"/>
      <c r="O99" s="200"/>
      <c r="P99" s="201"/>
    </row>
    <row r="100" spans="1:16" ht="13.15" thickTop="1" x14ac:dyDescent="0.35"/>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37" zoomScale="85" zoomScaleNormal="85" zoomScaleSheetLayoutView="100" workbookViewId="0">
      <selection activeCell="F60" sqref="F60"/>
    </sheetView>
  </sheetViews>
  <sheetFormatPr defaultRowHeight="12.75" x14ac:dyDescent="0.35"/>
  <cols>
    <col min="1" max="1" width="0.3984375" customWidth="1"/>
    <col min="2" max="2" width="30" customWidth="1"/>
    <col min="3" max="3" width="15.1328125" customWidth="1"/>
    <col min="4" max="4" width="17.265625" customWidth="1"/>
    <col min="5" max="5" width="20.86328125" customWidth="1"/>
    <col min="6" max="6" width="16.86328125" customWidth="1"/>
    <col min="7" max="7" width="5.59765625" style="1" customWidth="1"/>
    <col min="8" max="8" width="9.59765625" customWidth="1"/>
    <col min="9" max="9" width="12.86328125" customWidth="1"/>
    <col min="11" max="11" width="10.265625" customWidth="1"/>
    <col min="12" max="12" width="8.86328125" customWidth="1"/>
    <col min="13" max="13" width="9.86328125" customWidth="1"/>
    <col min="14" max="19" width="0" hidden="1" customWidth="1"/>
    <col min="20" max="20" width="2.73046875" hidden="1" customWidth="1"/>
    <col min="21" max="21" width="3" hidden="1" customWidth="1"/>
    <col min="22" max="22" width="1.1328125" hidden="1" customWidth="1"/>
    <col min="23" max="23" width="3.73046875" hidden="1" customWidth="1"/>
    <col min="24" max="38" width="0" hidden="1" customWidth="1"/>
    <col min="39" max="39" width="11.73046875" customWidth="1"/>
    <col min="40" max="40" width="6.73046875" customWidth="1"/>
    <col min="41" max="41" width="9.265625" customWidth="1"/>
    <col min="42" max="42" width="12.265625" customWidth="1"/>
    <col min="43" max="43" width="12" customWidth="1"/>
    <col min="44" max="44" width="13.3984375" hidden="1" customWidth="1"/>
    <col min="45" max="45" width="14.59765625" customWidth="1"/>
    <col min="46" max="46" width="14.73046875" customWidth="1"/>
    <col min="47" max="47" width="11.265625" customWidth="1"/>
    <col min="48" max="48" width="13" customWidth="1"/>
    <col min="49" max="49" width="13.3984375" customWidth="1"/>
    <col min="50" max="50" width="14.73046875" customWidth="1"/>
    <col min="51" max="51" width="14.1328125" customWidth="1"/>
    <col min="52" max="52" width="12.86328125" customWidth="1"/>
    <col min="53" max="53" width="12.59765625" customWidth="1"/>
    <col min="54" max="54" width="9.86328125" customWidth="1"/>
    <col min="55" max="55" width="12.73046875" customWidth="1"/>
    <col min="56" max="56" width="13.73046875" customWidth="1"/>
    <col min="57" max="57" width="13.86328125" customWidth="1"/>
    <col min="58" max="59" width="14.3984375" customWidth="1"/>
    <col min="60" max="60" width="15.3984375" customWidth="1"/>
    <col min="61" max="61" width="15.265625" customWidth="1"/>
    <col min="62" max="62" width="15.73046875" customWidth="1"/>
    <col min="63" max="63" width="12.59765625" customWidth="1"/>
    <col min="64" max="64" width="16.86328125" customWidth="1"/>
    <col min="65" max="65" width="15.3984375" customWidth="1"/>
    <col min="66" max="66" width="14.59765625" customWidth="1"/>
    <col min="67" max="67" width="10" customWidth="1"/>
    <col min="68" max="68" width="6.1328125" customWidth="1"/>
    <col min="69" max="69" width="7.1328125" customWidth="1"/>
    <col min="70" max="70" width="8.265625" customWidth="1"/>
    <col min="71" max="71" width="4.73046875" customWidth="1"/>
  </cols>
  <sheetData>
    <row r="1" spans="1:44" s="106" customFormat="1" ht="60.75" customHeight="1" x14ac:dyDescent="0.4">
      <c r="A1" s="264" t="s">
        <v>473</v>
      </c>
      <c r="B1" s="265"/>
      <c r="C1" s="265"/>
      <c r="D1" s="265"/>
      <c r="E1" s="265"/>
      <c r="F1" s="265"/>
      <c r="G1" s="265"/>
      <c r="H1" s="265"/>
      <c r="I1" s="265"/>
      <c r="J1" s="265"/>
      <c r="K1" s="265"/>
      <c r="L1" s="265"/>
      <c r="M1" s="265"/>
      <c r="N1" s="36"/>
      <c r="O1" s="36"/>
      <c r="P1" s="36"/>
      <c r="Q1" s="36"/>
      <c r="R1" s="35"/>
      <c r="S1" s="35"/>
      <c r="T1" s="34"/>
      <c r="U1" s="34"/>
      <c r="V1" s="34"/>
      <c r="W1" s="34"/>
      <c r="X1" s="34"/>
      <c r="Y1" s="34"/>
      <c r="Z1" s="34"/>
      <c r="AA1" s="34"/>
      <c r="AB1" s="34"/>
      <c r="AC1" s="34"/>
      <c r="AD1" s="34"/>
      <c r="AE1" s="34"/>
      <c r="AF1" s="34"/>
      <c r="AG1" s="34"/>
      <c r="AH1" s="34"/>
      <c r="AI1" s="34"/>
      <c r="AJ1" s="34"/>
      <c r="AK1" s="34"/>
      <c r="AL1" s="34"/>
      <c r="AM1" s="34"/>
    </row>
    <row r="2" spans="1:44" ht="15.75" x14ac:dyDescent="0.35">
      <c r="A2" s="17"/>
      <c r="B2" s="33" t="s">
        <v>104</v>
      </c>
      <c r="C2" s="17"/>
      <c r="D2" s="17"/>
      <c r="E2" s="17"/>
      <c r="F2" s="18"/>
      <c r="G2" s="18"/>
      <c r="H2" s="17"/>
      <c r="I2" s="17"/>
      <c r="J2" s="17"/>
      <c r="K2" s="17"/>
      <c r="L2" s="263"/>
      <c r="M2" s="263"/>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44" x14ac:dyDescent="0.35">
      <c r="A3" s="17"/>
      <c r="B3" s="17"/>
      <c r="C3" s="17"/>
      <c r="D3" s="17"/>
      <c r="E3" s="17"/>
      <c r="F3" s="17"/>
      <c r="G3" s="18"/>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spans="1:44" x14ac:dyDescent="0.35">
      <c r="A4" s="17"/>
      <c r="B4" s="17"/>
      <c r="C4" s="17"/>
      <c r="D4" s="17"/>
      <c r="E4" s="17"/>
      <c r="F4" s="17"/>
      <c r="G4" s="18"/>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4" x14ac:dyDescent="0.35">
      <c r="A5" s="17"/>
      <c r="B5" s="17"/>
      <c r="C5" s="17"/>
      <c r="D5" s="17"/>
      <c r="E5" s="17"/>
      <c r="F5" s="17"/>
      <c r="G5" s="18"/>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4" x14ac:dyDescent="0.35">
      <c r="A6" s="17"/>
      <c r="B6" s="17"/>
      <c r="C6" s="17"/>
      <c r="D6" s="17"/>
      <c r="E6" s="17"/>
      <c r="F6" s="17"/>
      <c r="G6" s="18"/>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row>
    <row r="7" spans="1:44" ht="16.5" customHeight="1" x14ac:dyDescent="0.35">
      <c r="A7" s="17"/>
      <c r="B7" s="17"/>
      <c r="C7" s="17"/>
      <c r="D7" s="17"/>
      <c r="E7" s="17"/>
      <c r="F7" s="17"/>
      <c r="G7" s="18"/>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44" x14ac:dyDescent="0.3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row>
    <row r="9" spans="1:44" ht="15" customHeight="1" x14ac:dyDescent="0.35">
      <c r="A9" s="17"/>
      <c r="B9" s="21"/>
      <c r="C9" s="170"/>
      <c r="D9" s="108" t="s">
        <v>364</v>
      </c>
      <c r="E9" s="1"/>
      <c r="F9" s="17"/>
      <c r="G9" s="18"/>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row>
    <row r="10" spans="1:44" ht="15" customHeight="1" x14ac:dyDescent="0.35">
      <c r="A10" s="17"/>
      <c r="B10" s="22"/>
      <c r="C10" s="19"/>
      <c r="D10" s="17" t="s">
        <v>103</v>
      </c>
      <c r="E10" s="101"/>
      <c r="F10" s="17"/>
      <c r="G10" s="18"/>
      <c r="H10" s="17"/>
      <c r="I10" s="17"/>
      <c r="J10" s="17"/>
      <c r="K10" s="17"/>
      <c r="L10" s="31"/>
      <c r="M10" s="31"/>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row>
    <row r="11" spans="1:44" ht="22.9" customHeight="1" x14ac:dyDescent="0.35">
      <c r="A11" s="17"/>
      <c r="B11" s="22"/>
      <c r="C11" s="178"/>
      <c r="D11" s="266" t="s">
        <v>451</v>
      </c>
      <c r="E11" s="267"/>
      <c r="F11" s="17"/>
      <c r="G11" s="18"/>
      <c r="H11" s="17"/>
      <c r="I11" s="17"/>
      <c r="J11" s="17"/>
      <c r="K11" s="17"/>
      <c r="L11" s="31"/>
      <c r="M11" s="31"/>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row>
    <row r="12" spans="1:44" ht="18" customHeight="1" x14ac:dyDescent="0.35">
      <c r="A12" s="17"/>
      <c r="B12" s="22"/>
      <c r="C12" s="177"/>
      <c r="D12" s="266"/>
      <c r="E12" s="267"/>
      <c r="F12" s="17"/>
      <c r="G12" s="18"/>
      <c r="H12" s="17"/>
      <c r="I12" s="17"/>
      <c r="J12" s="17"/>
      <c r="K12" s="17"/>
      <c r="L12" s="31"/>
      <c r="M12" s="31"/>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row>
    <row r="13" spans="1:44" ht="15" customHeight="1" thickBot="1" x14ac:dyDescent="0.4">
      <c r="A13" s="17"/>
      <c r="B13" s="17"/>
      <c r="C13" s="17"/>
      <c r="D13" s="17"/>
      <c r="E13" s="17"/>
      <c r="F13" s="27"/>
      <c r="G13" s="18"/>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row>
    <row r="14" spans="1:44" ht="15" customHeight="1" x14ac:dyDescent="0.4">
      <c r="A14" s="17"/>
      <c r="B14" s="227" t="s">
        <v>482</v>
      </c>
      <c r="C14" s="238"/>
      <c r="D14" s="271" t="s">
        <v>483</v>
      </c>
      <c r="E14" s="271"/>
      <c r="F14" s="271"/>
      <c r="G14" s="271"/>
      <c r="H14" s="235"/>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6"/>
    </row>
    <row r="15" spans="1:44" ht="15" customHeight="1" x14ac:dyDescent="0.4">
      <c r="A15" s="17"/>
      <c r="B15" s="228"/>
      <c r="C15" s="237"/>
      <c r="D15" s="272"/>
      <c r="E15" s="272"/>
      <c r="F15" s="272"/>
      <c r="G15" s="272"/>
      <c r="H15" s="236"/>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24"/>
      <c r="AR15" s="28" t="s">
        <v>195</v>
      </c>
    </row>
    <row r="16" spans="1:44" ht="15" customHeight="1" x14ac:dyDescent="0.4">
      <c r="A16" s="17"/>
      <c r="B16" s="270"/>
      <c r="C16" s="229"/>
      <c r="D16" s="277" t="s">
        <v>484</v>
      </c>
      <c r="E16" s="277"/>
      <c r="F16" s="277"/>
      <c r="G16" s="277"/>
      <c r="H16" s="277"/>
      <c r="I16" s="277"/>
      <c r="J16" s="232"/>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24"/>
      <c r="AR16" s="28" t="s">
        <v>194</v>
      </c>
    </row>
    <row r="17" spans="1:39" ht="15" customHeight="1" x14ac:dyDescent="0.4">
      <c r="A17" s="17"/>
      <c r="B17" s="270"/>
      <c r="C17" s="229"/>
      <c r="D17" s="277" t="s">
        <v>485</v>
      </c>
      <c r="E17" s="277"/>
      <c r="F17" s="277"/>
      <c r="G17" s="277"/>
      <c r="H17" s="277"/>
      <c r="I17" s="277"/>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4"/>
    </row>
    <row r="18" spans="1:39" ht="15" customHeight="1" x14ac:dyDescent="0.4">
      <c r="A18" s="17"/>
      <c r="B18" s="270"/>
      <c r="C18" s="229"/>
      <c r="D18" s="277" t="s">
        <v>486</v>
      </c>
      <c r="E18" s="277"/>
      <c r="F18" s="277"/>
      <c r="G18" s="277"/>
      <c r="H18" s="277"/>
      <c r="I18" s="277"/>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24"/>
    </row>
    <row r="19" spans="1:39" ht="15" customHeight="1" x14ac:dyDescent="0.4">
      <c r="A19" s="17"/>
      <c r="B19" s="270"/>
      <c r="C19" s="229"/>
      <c r="D19" s="277" t="s">
        <v>487</v>
      </c>
      <c r="E19" s="277"/>
      <c r="F19" s="277"/>
      <c r="G19" s="277"/>
      <c r="H19" s="277"/>
      <c r="I19" s="277"/>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24"/>
    </row>
    <row r="20" spans="1:39" ht="15" customHeight="1" x14ac:dyDescent="0.4">
      <c r="A20" s="17"/>
      <c r="B20" s="233"/>
      <c r="C20" s="229"/>
      <c r="D20" s="242" t="s">
        <v>491</v>
      </c>
      <c r="E20" s="230"/>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24"/>
    </row>
    <row r="21" spans="1:39" ht="15" customHeight="1" thickBot="1" x14ac:dyDescent="0.4">
      <c r="A21" s="17"/>
      <c r="B21" s="221"/>
      <c r="C21" s="219"/>
      <c r="D21" s="219"/>
      <c r="E21" s="212"/>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24"/>
    </row>
    <row r="22" spans="1:39" ht="29.1" customHeight="1" thickBot="1" x14ac:dyDescent="0.4">
      <c r="A22" s="17"/>
      <c r="B22" s="221"/>
      <c r="C22" s="219"/>
      <c r="D22" s="273" t="s">
        <v>488</v>
      </c>
      <c r="E22" s="274"/>
      <c r="F22" s="275"/>
      <c r="G22" s="240" t="s">
        <v>195</v>
      </c>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24"/>
    </row>
    <row r="23" spans="1:39" ht="32.1" customHeight="1" thickBot="1" x14ac:dyDescent="0.45">
      <c r="A23" s="17"/>
      <c r="B23" s="221"/>
      <c r="C23" s="219"/>
      <c r="D23" s="278" t="s">
        <v>489</v>
      </c>
      <c r="E23" s="279"/>
      <c r="F23" s="280"/>
      <c r="G23" s="241" t="s">
        <v>195</v>
      </c>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24"/>
    </row>
    <row r="24" spans="1:39" ht="15" customHeight="1" x14ac:dyDescent="0.35">
      <c r="A24" s="17"/>
      <c r="B24" s="221"/>
      <c r="C24" s="219"/>
      <c r="D24" s="276" t="s">
        <v>490</v>
      </c>
      <c r="E24" s="276"/>
      <c r="F24" s="276"/>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24"/>
    </row>
    <row r="25" spans="1:39" ht="15" customHeight="1" x14ac:dyDescent="0.35">
      <c r="A25" s="17"/>
      <c r="B25" s="221"/>
      <c r="C25" s="219"/>
      <c r="D25" s="276"/>
      <c r="E25" s="276"/>
      <c r="F25" s="276"/>
      <c r="G25" s="234"/>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4"/>
    </row>
    <row r="26" spans="1:39" ht="15" customHeight="1" thickBot="1" x14ac:dyDescent="0.4">
      <c r="A26" s="17"/>
      <c r="B26" s="222"/>
      <c r="C26" s="223"/>
      <c r="D26" s="239"/>
      <c r="E26" s="239"/>
      <c r="F26" s="239"/>
      <c r="G26" s="231"/>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5"/>
    </row>
    <row r="27" spans="1:39" ht="15" customHeight="1" x14ac:dyDescent="0.4">
      <c r="A27" s="17"/>
      <c r="B27" s="130" t="s">
        <v>149</v>
      </c>
      <c r="C27" s="75"/>
      <c r="D27" s="75"/>
      <c r="E27" s="76" t="s">
        <v>111</v>
      </c>
      <c r="F27" s="164">
        <v>15</v>
      </c>
      <c r="G27" s="149" t="s">
        <v>86</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107"/>
    </row>
    <row r="28" spans="1:39" ht="15" customHeight="1" x14ac:dyDescent="0.4">
      <c r="A28" s="17"/>
      <c r="B28" s="77"/>
      <c r="C28" s="17"/>
      <c r="D28" s="17"/>
      <c r="E28" s="58" t="s">
        <v>119</v>
      </c>
      <c r="F28" s="165">
        <v>22.2</v>
      </c>
      <c r="G28" s="150" t="s">
        <v>86</v>
      </c>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90"/>
    </row>
    <row r="29" spans="1:39" ht="15" customHeight="1" x14ac:dyDescent="0.35">
      <c r="A29" s="17"/>
      <c r="B29" s="78"/>
      <c r="C29" s="17"/>
      <c r="D29" s="17"/>
      <c r="E29" s="58" t="s">
        <v>112</v>
      </c>
      <c r="F29" s="165">
        <v>25.2</v>
      </c>
      <c r="G29" s="150" t="s">
        <v>86</v>
      </c>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90"/>
    </row>
    <row r="30" spans="1:39" ht="15" customHeight="1" x14ac:dyDescent="0.35">
      <c r="A30" s="17"/>
      <c r="B30" s="78"/>
      <c r="C30" s="17"/>
      <c r="D30" s="17"/>
      <c r="E30" s="58" t="s">
        <v>121</v>
      </c>
      <c r="F30" s="165">
        <v>30</v>
      </c>
      <c r="G30" s="150" t="s">
        <v>25</v>
      </c>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90"/>
    </row>
    <row r="31" spans="1:39" ht="15" customHeight="1" x14ac:dyDescent="0.35">
      <c r="A31" s="17"/>
      <c r="B31" s="78"/>
      <c r="C31" s="17"/>
      <c r="D31" s="17"/>
      <c r="E31" s="58" t="s">
        <v>228</v>
      </c>
      <c r="F31" s="165">
        <v>2000</v>
      </c>
      <c r="G31" s="151" t="s">
        <v>83</v>
      </c>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90"/>
    </row>
    <row r="32" spans="1:39" ht="15" customHeight="1" x14ac:dyDescent="0.35">
      <c r="A32" s="17"/>
      <c r="B32" s="78"/>
      <c r="C32" s="17"/>
      <c r="D32" s="17"/>
      <c r="E32" s="58" t="s">
        <v>120</v>
      </c>
      <c r="F32" s="243">
        <v>85</v>
      </c>
      <c r="G32" s="150" t="s">
        <v>125</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90"/>
    </row>
    <row r="33" spans="1:40" ht="15" customHeight="1" x14ac:dyDescent="0.35">
      <c r="A33" s="17"/>
      <c r="B33" s="281" t="s">
        <v>492</v>
      </c>
      <c r="C33" s="17"/>
      <c r="D33" s="17"/>
      <c r="E33" s="58"/>
      <c r="F33" s="245"/>
      <c r="G33" s="15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90"/>
    </row>
    <row r="34" spans="1:40" ht="15" customHeight="1" x14ac:dyDescent="0.35">
      <c r="A34" s="17"/>
      <c r="B34" s="281"/>
      <c r="C34" s="17"/>
      <c r="D34" s="17"/>
      <c r="E34" s="58"/>
      <c r="F34" s="245"/>
      <c r="G34" s="15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90"/>
    </row>
    <row r="35" spans="1:40" ht="15" customHeight="1" thickBot="1" x14ac:dyDescent="0.4">
      <c r="A35" s="17"/>
      <c r="B35" s="79"/>
      <c r="C35" s="80"/>
      <c r="D35" s="80"/>
      <c r="E35" s="81"/>
      <c r="F35" s="246"/>
      <c r="G35" s="2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94"/>
    </row>
    <row r="36" spans="1:40" ht="15" customHeight="1" x14ac:dyDescent="0.4">
      <c r="A36" s="17"/>
      <c r="B36" s="130" t="s">
        <v>226</v>
      </c>
      <c r="C36" s="123"/>
      <c r="D36" s="75"/>
      <c r="E36" s="206" t="s">
        <v>468</v>
      </c>
      <c r="F36" s="207" t="s">
        <v>467</v>
      </c>
      <c r="G36" s="20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107"/>
      <c r="AN36" s="28"/>
    </row>
    <row r="37" spans="1:40" ht="15" customHeight="1" x14ac:dyDescent="0.4">
      <c r="A37" s="17"/>
      <c r="B37" s="82"/>
      <c r="C37" s="17"/>
      <c r="D37" s="17"/>
      <c r="E37" s="58" t="s">
        <v>261</v>
      </c>
      <c r="F37" s="54">
        <f>Equations!F20</f>
        <v>1.6006600660066006</v>
      </c>
      <c r="G37" s="150" t="s">
        <v>85</v>
      </c>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90"/>
      <c r="AN37" s="28"/>
    </row>
    <row r="38" spans="1:40" ht="15" customHeight="1" x14ac:dyDescent="0.35">
      <c r="A38" s="17"/>
      <c r="B38" s="78"/>
      <c r="C38" s="17"/>
      <c r="D38" s="17"/>
      <c r="E38" s="58" t="s">
        <v>198</v>
      </c>
      <c r="F38" s="166" t="s">
        <v>194</v>
      </c>
      <c r="G38" s="15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90"/>
      <c r="AN38" s="28" t="s">
        <v>195</v>
      </c>
    </row>
    <row r="39" spans="1:40" ht="15" customHeight="1" x14ac:dyDescent="0.35">
      <c r="A39" s="17"/>
      <c r="B39" s="78"/>
      <c r="C39" s="17"/>
      <c r="D39" s="17"/>
      <c r="E39" s="58" t="s">
        <v>109</v>
      </c>
      <c r="F39" s="167">
        <v>1</v>
      </c>
      <c r="G39" s="150" t="s">
        <v>85</v>
      </c>
      <c r="H39" s="108"/>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90"/>
      <c r="AN39" s="28" t="s">
        <v>194</v>
      </c>
    </row>
    <row r="40" spans="1:40" ht="15" customHeight="1" x14ac:dyDescent="0.35">
      <c r="A40" s="17"/>
      <c r="B40" s="78"/>
      <c r="C40" s="17"/>
      <c r="D40" s="17"/>
      <c r="E40" s="58" t="s">
        <v>201</v>
      </c>
      <c r="F40" s="87" t="str">
        <f>Equations!F21</f>
        <v>NA</v>
      </c>
      <c r="G40" s="153" t="s">
        <v>87</v>
      </c>
      <c r="H40" s="17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90"/>
    </row>
    <row r="41" spans="1:40" ht="15" customHeight="1" x14ac:dyDescent="0.35">
      <c r="A41" s="17"/>
      <c r="B41" s="78"/>
      <c r="C41" s="17"/>
      <c r="D41" s="17"/>
      <c r="E41" s="58" t="s">
        <v>202</v>
      </c>
      <c r="F41" s="86" t="str">
        <f>Equations!F22</f>
        <v>NA</v>
      </c>
      <c r="G41" s="153" t="s">
        <v>87</v>
      </c>
      <c r="H41" s="17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90"/>
    </row>
    <row r="42" spans="1:40" ht="15" customHeight="1" x14ac:dyDescent="0.35">
      <c r="A42" s="17"/>
      <c r="B42" s="78"/>
      <c r="C42" s="17"/>
      <c r="D42" s="17"/>
      <c r="E42" s="58" t="s">
        <v>203</v>
      </c>
      <c r="F42" s="166">
        <v>10</v>
      </c>
      <c r="G42" s="153" t="s">
        <v>87</v>
      </c>
      <c r="H42" s="172"/>
      <c r="I42" s="17"/>
      <c r="J42" s="108"/>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90"/>
      <c r="AN42" t="b">
        <f>AND(F38="No")</f>
        <v>1</v>
      </c>
    </row>
    <row r="43" spans="1:40" ht="29.45" customHeight="1" x14ac:dyDescent="0.35">
      <c r="A43" s="17"/>
      <c r="B43" s="247" t="s">
        <v>492</v>
      </c>
      <c r="C43" s="17"/>
      <c r="D43" s="17"/>
      <c r="E43" s="58" t="s">
        <v>204</v>
      </c>
      <c r="F43" s="166">
        <v>3.04</v>
      </c>
      <c r="G43" s="153" t="s">
        <v>87</v>
      </c>
      <c r="H43" s="17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90"/>
    </row>
    <row r="44" spans="1:40" ht="15" customHeight="1" x14ac:dyDescent="0.35">
      <c r="A44" s="17"/>
      <c r="B44" s="247"/>
      <c r="C44" s="17"/>
      <c r="D44" s="17"/>
      <c r="E44" s="58" t="s">
        <v>260</v>
      </c>
      <c r="F44" s="86">
        <f>RsEFF</f>
        <v>1</v>
      </c>
      <c r="G44" s="150" t="s">
        <v>85</v>
      </c>
      <c r="H44" s="17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90"/>
    </row>
    <row r="45" spans="1:40" ht="15" customHeight="1" x14ac:dyDescent="0.35">
      <c r="A45" s="17"/>
      <c r="B45" s="247"/>
      <c r="C45" s="17"/>
      <c r="D45" s="102"/>
      <c r="E45" s="103" t="s">
        <v>99</v>
      </c>
      <c r="F45" s="56">
        <f>CLMIN</f>
        <v>48.5</v>
      </c>
      <c r="G45" s="150" t="s">
        <v>25</v>
      </c>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90"/>
    </row>
    <row r="46" spans="1:40" ht="15" customHeight="1" x14ac:dyDescent="0.35">
      <c r="A46" s="17"/>
      <c r="B46" s="78"/>
      <c r="C46" s="17"/>
      <c r="D46" s="104"/>
      <c r="E46" s="105" t="s">
        <v>100</v>
      </c>
      <c r="F46" s="56">
        <f>CLNOM</f>
        <v>55</v>
      </c>
      <c r="G46" s="150" t="s">
        <v>25</v>
      </c>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90"/>
    </row>
    <row r="47" spans="1:40" ht="15" customHeight="1" x14ac:dyDescent="0.35">
      <c r="A47" s="17"/>
      <c r="B47" s="78"/>
      <c r="C47" s="17"/>
      <c r="D47" s="128"/>
      <c r="E47" s="129" t="s">
        <v>101</v>
      </c>
      <c r="F47" s="56">
        <f>CLMAX</f>
        <v>61.5</v>
      </c>
      <c r="G47" s="150" t="s">
        <v>25</v>
      </c>
      <c r="H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90"/>
      <c r="AN47" s="28" t="s">
        <v>240</v>
      </c>
    </row>
    <row r="48" spans="1:40" ht="15" customHeight="1" x14ac:dyDescent="0.35">
      <c r="A48" s="17"/>
      <c r="B48" s="78"/>
      <c r="C48" s="17"/>
      <c r="D48" s="17"/>
      <c r="E48" s="58" t="s">
        <v>113</v>
      </c>
      <c r="F48" s="41">
        <f>Equations!F27/1000</f>
        <v>3.7822499999999999</v>
      </c>
      <c r="G48" s="150" t="s">
        <v>87</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90"/>
      <c r="AN48" s="28" t="s">
        <v>241</v>
      </c>
    </row>
    <row r="49" spans="1:45" ht="15" customHeight="1" x14ac:dyDescent="0.35">
      <c r="A49" s="17"/>
      <c r="B49" s="78"/>
      <c r="C49" s="17"/>
      <c r="D49" s="17"/>
      <c r="E49" s="58" t="s">
        <v>239</v>
      </c>
      <c r="F49" s="217" t="s">
        <v>240</v>
      </c>
      <c r="G49" s="150"/>
      <c r="H49" s="108"/>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90"/>
      <c r="AN49" s="28" t="s">
        <v>420</v>
      </c>
    </row>
    <row r="50" spans="1:45" ht="15" customHeight="1" thickBot="1" x14ac:dyDescent="0.4">
      <c r="A50" s="17"/>
      <c r="B50" s="79"/>
      <c r="C50" s="80"/>
      <c r="D50" s="80"/>
      <c r="E50" s="120" t="s">
        <v>227</v>
      </c>
      <c r="F50" s="218" t="s">
        <v>420</v>
      </c>
      <c r="G50" s="152"/>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94"/>
      <c r="AN50" s="28" t="s">
        <v>421</v>
      </c>
    </row>
    <row r="51" spans="1:45" ht="13.9" x14ac:dyDescent="0.4">
      <c r="A51" s="17"/>
      <c r="B51" s="130" t="s">
        <v>122</v>
      </c>
      <c r="C51" s="75"/>
      <c r="D51" s="75"/>
      <c r="E51" s="211" t="s">
        <v>474</v>
      </c>
      <c r="F51" s="215" t="s">
        <v>495</v>
      </c>
      <c r="G51" s="154"/>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107"/>
    </row>
    <row r="52" spans="1:45" ht="15" x14ac:dyDescent="0.5">
      <c r="A52" s="17"/>
      <c r="B52" s="78"/>
      <c r="C52" s="17"/>
      <c r="D52" s="17"/>
      <c r="E52" s="32" t="s">
        <v>257</v>
      </c>
      <c r="F52" s="203">
        <v>31</v>
      </c>
      <c r="G52" s="150" t="s">
        <v>126</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90"/>
      <c r="AN52">
        <f>((((TJMAX-TAMB)/ThetaJA)/(CLMAX^2))*1000)*NUMFETS^2</f>
        <v>3.0703690199765883</v>
      </c>
      <c r="AO52">
        <f>((TJMAX-TAMB)/ThetaJA)</f>
        <v>2.903225806451613</v>
      </c>
    </row>
    <row r="53" spans="1:45" ht="13.15" x14ac:dyDescent="0.4">
      <c r="A53" s="17"/>
      <c r="B53" s="78"/>
      <c r="C53" s="17"/>
      <c r="D53" s="17"/>
      <c r="E53" s="32" t="s">
        <v>123</v>
      </c>
      <c r="F53" s="167">
        <v>2</v>
      </c>
      <c r="G53" s="150" t="s">
        <v>124</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90"/>
      <c r="AN53" s="23" t="s">
        <v>258</v>
      </c>
    </row>
    <row r="54" spans="1:45" ht="15.75" customHeight="1" x14ac:dyDescent="0.5">
      <c r="A54" s="17"/>
      <c r="B54" s="78"/>
      <c r="C54" s="17"/>
      <c r="D54" s="17"/>
      <c r="E54" s="32" t="s">
        <v>263</v>
      </c>
      <c r="F54" s="167">
        <v>7</v>
      </c>
      <c r="G54" s="150" t="s">
        <v>85</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90"/>
      <c r="AN54" s="28">
        <f>F54</f>
        <v>7</v>
      </c>
    </row>
    <row r="55" spans="1:45" ht="14.25" x14ac:dyDescent="0.35">
      <c r="A55" s="17"/>
      <c r="B55" s="184"/>
      <c r="C55" s="17"/>
      <c r="D55" s="17"/>
      <c r="E55" s="32" t="s">
        <v>127</v>
      </c>
      <c r="F55" s="167">
        <v>175</v>
      </c>
      <c r="G55" s="150" t="s">
        <v>186</v>
      </c>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90"/>
      <c r="AN55" s="28">
        <f t="shared" ref="AN55:AN60" si="0">F55</f>
        <v>175</v>
      </c>
    </row>
    <row r="56" spans="1:45" ht="22.15" customHeight="1" x14ac:dyDescent="0.5">
      <c r="A56" s="17"/>
      <c r="B56" s="248"/>
      <c r="C56" s="17"/>
      <c r="D56" s="17"/>
      <c r="E56" s="32" t="s">
        <v>373</v>
      </c>
      <c r="F56" s="167">
        <v>55</v>
      </c>
      <c r="G56" s="150" t="s">
        <v>25</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90"/>
      <c r="AN56" s="28">
        <f t="shared" si="0"/>
        <v>55</v>
      </c>
    </row>
    <row r="57" spans="1:45" ht="15.75" customHeight="1" x14ac:dyDescent="0.5">
      <c r="A57" s="17"/>
      <c r="B57" s="249" t="s">
        <v>122</v>
      </c>
      <c r="C57" s="17"/>
      <c r="D57" s="17"/>
      <c r="E57" s="32" t="s">
        <v>374</v>
      </c>
      <c r="F57" s="167">
        <v>20</v>
      </c>
      <c r="G57" s="150" t="s">
        <v>25</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90"/>
      <c r="AN57" s="28">
        <f t="shared" si="0"/>
        <v>20</v>
      </c>
    </row>
    <row r="58" spans="1:45" ht="15" x14ac:dyDescent="0.5">
      <c r="A58" s="17"/>
      <c r="B58" s="248"/>
      <c r="C58" s="17"/>
      <c r="D58" s="17"/>
      <c r="E58" s="32" t="s">
        <v>375</v>
      </c>
      <c r="F58" s="167">
        <v>6</v>
      </c>
      <c r="G58" s="150" t="s">
        <v>25</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90"/>
      <c r="AN58" s="28">
        <f t="shared" si="0"/>
        <v>6</v>
      </c>
    </row>
    <row r="59" spans="1:45" ht="15.75" customHeight="1" x14ac:dyDescent="0.5">
      <c r="A59" s="17"/>
      <c r="B59" s="248"/>
      <c r="C59" s="17"/>
      <c r="D59" s="17"/>
      <c r="E59" s="32" t="s">
        <v>441</v>
      </c>
      <c r="F59" s="166" t="s">
        <v>496</v>
      </c>
      <c r="G59" s="150" t="s">
        <v>25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90"/>
      <c r="AN59" s="28" t="str">
        <f t="shared" si="0"/>
        <v>NA</v>
      </c>
      <c r="AS59" s="284"/>
    </row>
    <row r="60" spans="1:45" ht="19.899999999999999" customHeight="1" x14ac:dyDescent="0.5">
      <c r="A60" s="17"/>
      <c r="B60" s="248"/>
      <c r="C60" s="17"/>
      <c r="D60" s="17"/>
      <c r="E60" s="32" t="s">
        <v>442</v>
      </c>
      <c r="F60" s="167" t="s">
        <v>496</v>
      </c>
      <c r="G60" s="150" t="s">
        <v>25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90"/>
      <c r="AN60" s="28" t="str">
        <f t="shared" si="0"/>
        <v>NA</v>
      </c>
      <c r="AS60" s="284"/>
    </row>
    <row r="61" spans="1:45" ht="15" customHeight="1" x14ac:dyDescent="0.35">
      <c r="A61" s="17"/>
      <c r="B61" s="284" t="s">
        <v>462</v>
      </c>
      <c r="C61" s="17"/>
      <c r="D61" s="17"/>
      <c r="E61" s="32" t="s">
        <v>322</v>
      </c>
      <c r="F61" s="144">
        <f>(IOUTMAX/NUMFETS)^2*RDSON/1000</f>
        <v>1.575</v>
      </c>
      <c r="G61" s="150" t="s">
        <v>87</v>
      </c>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90"/>
      <c r="AS61" s="284"/>
    </row>
    <row r="62" spans="1:45" ht="15" customHeight="1" x14ac:dyDescent="0.5">
      <c r="A62" s="17"/>
      <c r="B62" s="284"/>
      <c r="C62" s="17"/>
      <c r="D62" s="17"/>
      <c r="E62" s="32" t="s">
        <v>262</v>
      </c>
      <c r="F62" s="144">
        <f>TAMB+(FETPDISS*ThetaJA)</f>
        <v>133.82499999999999</v>
      </c>
      <c r="G62" s="150" t="s">
        <v>125</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90"/>
      <c r="AS62" s="284"/>
    </row>
    <row r="63" spans="1:45" ht="15" customHeight="1" x14ac:dyDescent="0.35">
      <c r="A63" s="17"/>
      <c r="B63" s="284"/>
      <c r="C63" s="17"/>
      <c r="D63" s="17"/>
      <c r="E63" s="58" t="s">
        <v>469</v>
      </c>
      <c r="F63" s="144">
        <f>Equations!F38</f>
        <v>126</v>
      </c>
      <c r="G63" s="150" t="s">
        <v>87</v>
      </c>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90"/>
      <c r="AS63" s="284"/>
    </row>
    <row r="64" spans="1:45" ht="15" customHeight="1" x14ac:dyDescent="0.35">
      <c r="A64" s="17"/>
      <c r="B64" s="284"/>
      <c r="C64" s="17"/>
      <c r="D64" s="17"/>
      <c r="E64" s="58" t="s">
        <v>278</v>
      </c>
      <c r="F64" s="216">
        <v>100</v>
      </c>
      <c r="G64" s="150" t="s">
        <v>87</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90"/>
      <c r="AS64" s="284"/>
    </row>
    <row r="65" spans="1:45" ht="15" customHeight="1" x14ac:dyDescent="0.35">
      <c r="A65" s="17"/>
      <c r="B65" s="284"/>
      <c r="C65" s="17"/>
      <c r="D65" s="17"/>
      <c r="E65" s="58" t="s">
        <v>279</v>
      </c>
      <c r="F65" s="127">
        <f>Equations!F40</f>
        <v>12.5</v>
      </c>
      <c r="G65" s="155" t="s">
        <v>84</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90"/>
      <c r="AS65" s="284"/>
    </row>
    <row r="66" spans="1:45" ht="15" customHeight="1" x14ac:dyDescent="0.35">
      <c r="A66" s="17"/>
      <c r="B66" s="284"/>
      <c r="C66" s="17"/>
      <c r="D66" s="17"/>
      <c r="E66" s="58" t="s">
        <v>282</v>
      </c>
      <c r="F66" s="167">
        <v>38.299999999999997</v>
      </c>
      <c r="G66" s="155" t="s">
        <v>84</v>
      </c>
      <c r="H66" s="17"/>
      <c r="I66" s="269" t="s">
        <v>493</v>
      </c>
      <c r="J66" s="282"/>
      <c r="K66" s="282"/>
      <c r="L66" s="282"/>
      <c r="M66" s="282"/>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90"/>
    </row>
    <row r="67" spans="1:45" ht="15" customHeight="1" thickBot="1" x14ac:dyDescent="0.4">
      <c r="A67" s="17"/>
      <c r="B67" s="284"/>
      <c r="C67" s="17"/>
      <c r="D67" s="17"/>
      <c r="E67" s="58" t="s">
        <v>285</v>
      </c>
      <c r="F67" s="127">
        <f>Equations!F42</f>
        <v>306.39999999999998</v>
      </c>
      <c r="G67" s="150" t="s">
        <v>87</v>
      </c>
      <c r="H67" s="17"/>
      <c r="I67" s="283"/>
      <c r="J67" s="283"/>
      <c r="K67" s="283"/>
      <c r="L67" s="283"/>
      <c r="M67" s="283"/>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90"/>
    </row>
    <row r="68" spans="1:45" ht="13.9" x14ac:dyDescent="0.4">
      <c r="A68" s="17"/>
      <c r="B68" s="130" t="s">
        <v>133</v>
      </c>
      <c r="C68" s="75"/>
      <c r="D68" s="75"/>
      <c r="E68" s="83" t="s">
        <v>189</v>
      </c>
      <c r="F68" s="168">
        <v>0</v>
      </c>
      <c r="G68" s="154" t="s">
        <v>86</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107"/>
      <c r="AN68" s="28"/>
    </row>
    <row r="69" spans="1:45" x14ac:dyDescent="0.35">
      <c r="A69" s="17"/>
      <c r="B69" s="84"/>
      <c r="C69" s="17"/>
      <c r="D69" s="17"/>
      <c r="E69" s="32" t="s">
        <v>134</v>
      </c>
      <c r="F69" s="167" t="s">
        <v>136</v>
      </c>
      <c r="G69" s="1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90"/>
      <c r="AN69" s="28"/>
    </row>
    <row r="70" spans="1:45" x14ac:dyDescent="0.35">
      <c r="A70" s="17"/>
      <c r="B70" s="78"/>
      <c r="C70" s="17"/>
      <c r="D70" s="17"/>
      <c r="E70" s="32" t="s">
        <v>135</v>
      </c>
      <c r="F70" s="167">
        <v>0</v>
      </c>
      <c r="G70" s="151" t="str">
        <f>IF(F69="Constant Current","A","Ohms")</f>
        <v>A</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90"/>
      <c r="AN70" t="s">
        <v>136</v>
      </c>
    </row>
    <row r="71" spans="1:45" x14ac:dyDescent="0.35">
      <c r="A71" s="17"/>
      <c r="B71" s="78"/>
      <c r="C71" s="17"/>
      <c r="D71" s="17"/>
      <c r="E71" s="58" t="s">
        <v>479</v>
      </c>
      <c r="F71" s="166" t="s">
        <v>194</v>
      </c>
      <c r="G71" s="151"/>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90"/>
      <c r="AN71" t="s">
        <v>137</v>
      </c>
    </row>
    <row r="72" spans="1:45" x14ac:dyDescent="0.35">
      <c r="A72" s="17"/>
      <c r="B72" s="78"/>
      <c r="C72" s="17"/>
      <c r="D72" s="17"/>
      <c r="E72" s="32" t="s">
        <v>301</v>
      </c>
      <c r="F72" s="48">
        <f>Start_up!M2</f>
        <v>2.1583527054889262</v>
      </c>
      <c r="G72" s="150" t="s">
        <v>8</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90"/>
      <c r="AN72" s="28"/>
    </row>
    <row r="73" spans="1:45" x14ac:dyDescent="0.35">
      <c r="A73" s="17"/>
      <c r="B73" s="78"/>
      <c r="C73" s="17"/>
      <c r="D73" s="17"/>
      <c r="E73" s="32" t="s">
        <v>308</v>
      </c>
      <c r="F73" s="141">
        <f>Start_up!O2</f>
        <v>1</v>
      </c>
      <c r="G73" s="15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90"/>
      <c r="AN73" s="28"/>
    </row>
    <row r="74" spans="1:45" ht="13.15" customHeight="1" x14ac:dyDescent="0.35">
      <c r="A74" s="17"/>
      <c r="B74" s="84"/>
      <c r="C74" s="17"/>
      <c r="D74" s="31"/>
      <c r="E74" s="146" t="s">
        <v>302</v>
      </c>
      <c r="F74" s="48">
        <f>Equations!F55</f>
        <v>3.2375290582333891</v>
      </c>
      <c r="G74" s="151" t="s">
        <v>8</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90"/>
    </row>
    <row r="75" spans="1:45" ht="12.6" customHeight="1" x14ac:dyDescent="0.35">
      <c r="A75" s="17"/>
      <c r="B75" s="78"/>
      <c r="C75" s="17"/>
      <c r="D75" s="31"/>
      <c r="E75" s="147" t="s">
        <v>306</v>
      </c>
      <c r="F75" s="48">
        <f>Equations!F56</f>
        <v>68.797492487459522</v>
      </c>
      <c r="G75" s="150" t="s">
        <v>118</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90"/>
    </row>
    <row r="76" spans="1:45" ht="15" customHeight="1" x14ac:dyDescent="0.35">
      <c r="A76" s="17"/>
      <c r="B76" s="78"/>
      <c r="C76" s="17"/>
      <c r="D76" s="31"/>
      <c r="E76" s="147" t="s">
        <v>309</v>
      </c>
      <c r="F76" s="167">
        <v>220</v>
      </c>
      <c r="G76" s="150" t="s">
        <v>118</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90"/>
    </row>
    <row r="77" spans="1:45" ht="15" customHeight="1" x14ac:dyDescent="0.35">
      <c r="A77" s="17"/>
      <c r="B77" s="78"/>
      <c r="C77" s="17"/>
      <c r="D77" s="31"/>
      <c r="E77" s="147" t="s">
        <v>361</v>
      </c>
      <c r="F77" s="48">
        <f>Equations!F58</f>
        <v>10.352941176470589</v>
      </c>
      <c r="G77" s="150" t="s">
        <v>8</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90"/>
    </row>
    <row r="78" spans="1:45" ht="15" customHeight="1" x14ac:dyDescent="0.35">
      <c r="A78" s="17"/>
      <c r="B78" s="250" t="s">
        <v>133</v>
      </c>
      <c r="C78" s="17"/>
      <c r="D78" s="31"/>
      <c r="E78" s="147" t="s">
        <v>317</v>
      </c>
      <c r="F78" s="48">
        <f>Equations!F59</f>
        <v>0.13302365183917456</v>
      </c>
      <c r="G78" s="15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90"/>
    </row>
    <row r="79" spans="1:45" ht="15" customHeight="1" x14ac:dyDescent="0.35">
      <c r="A79" s="17"/>
      <c r="B79" s="78"/>
      <c r="C79" s="17"/>
      <c r="D79" s="31"/>
      <c r="E79" s="147" t="s">
        <v>366</v>
      </c>
      <c r="F79" s="166" t="s">
        <v>194</v>
      </c>
      <c r="G79" s="15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90"/>
    </row>
    <row r="80" spans="1:45" ht="15" customHeight="1" x14ac:dyDescent="0.35">
      <c r="A80" s="17"/>
      <c r="B80" s="78"/>
      <c r="C80" s="17"/>
      <c r="D80" s="31"/>
      <c r="E80" s="147" t="s">
        <v>371</v>
      </c>
      <c r="F80" s="48">
        <f>dv_dt_recommendations!J28</f>
        <v>1.1912415855928926</v>
      </c>
      <c r="G80" s="150" t="s">
        <v>325</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90"/>
    </row>
    <row r="81" spans="1:40" ht="15" customHeight="1" x14ac:dyDescent="0.35">
      <c r="A81" s="17"/>
      <c r="B81" s="78"/>
      <c r="C81" s="17"/>
      <c r="D81" s="31"/>
      <c r="E81" s="147" t="s">
        <v>372</v>
      </c>
      <c r="F81" s="48">
        <f>dv_dt_recommendations!J29</f>
        <v>0.10708559822108767</v>
      </c>
      <c r="G81" s="150" t="s">
        <v>325</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90"/>
    </row>
    <row r="82" spans="1:40" ht="15" customHeight="1" x14ac:dyDescent="0.35">
      <c r="A82" s="17"/>
      <c r="B82" s="78"/>
      <c r="C82" s="17"/>
      <c r="D82" s="31"/>
      <c r="E82" s="29" t="s">
        <v>359</v>
      </c>
      <c r="F82" s="167">
        <v>2</v>
      </c>
      <c r="G82" s="150" t="s">
        <v>325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90"/>
    </row>
    <row r="83" spans="1:40" ht="15" customHeight="1" x14ac:dyDescent="0.35">
      <c r="A83" s="17"/>
      <c r="B83" s="78"/>
      <c r="C83" s="17"/>
      <c r="D83" s="31"/>
      <c r="E83" s="29" t="s">
        <v>348</v>
      </c>
      <c r="F83" s="48">
        <f>Equations!F62</f>
        <v>8</v>
      </c>
      <c r="G83" s="148" t="s">
        <v>118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90"/>
    </row>
    <row r="84" spans="1:40" ht="15" customHeight="1" x14ac:dyDescent="0.35">
      <c r="A84" s="17"/>
      <c r="B84" s="268" t="s">
        <v>472</v>
      </c>
      <c r="C84" s="269"/>
      <c r="D84" s="31"/>
      <c r="E84" s="29" t="s">
        <v>349</v>
      </c>
      <c r="F84" s="167">
        <v>10</v>
      </c>
      <c r="G84" s="150" t="s">
        <v>118</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90"/>
    </row>
    <row r="85" spans="1:40" ht="15" customHeight="1" x14ac:dyDescent="0.35">
      <c r="A85" s="17"/>
      <c r="B85" s="268"/>
      <c r="C85" s="269"/>
      <c r="D85" s="31"/>
      <c r="E85" s="29" t="s">
        <v>461</v>
      </c>
      <c r="F85" s="48">
        <f>Equations!F64</f>
        <v>1.6</v>
      </c>
      <c r="G85" s="150" t="s">
        <v>325</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90"/>
    </row>
    <row r="86" spans="1:40" ht="16.899999999999999" customHeight="1" x14ac:dyDescent="0.35">
      <c r="A86" s="17"/>
      <c r="B86" s="268"/>
      <c r="C86" s="269"/>
      <c r="D86" s="31"/>
      <c r="E86" s="29" t="s">
        <v>354</v>
      </c>
      <c r="F86" s="48">
        <f>Equations!F71</f>
        <v>0.67762515548486069</v>
      </c>
      <c r="G86" s="15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90"/>
    </row>
    <row r="87" spans="1:40" ht="16.899999999999999" customHeight="1" x14ac:dyDescent="0.35">
      <c r="A87" s="17"/>
      <c r="B87" s="268"/>
      <c r="C87" s="269"/>
      <c r="D87" s="31"/>
      <c r="E87" s="29" t="s">
        <v>351</v>
      </c>
      <c r="F87" s="167">
        <v>0.52</v>
      </c>
      <c r="G87" s="150" t="s">
        <v>8</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90"/>
    </row>
    <row r="88" spans="1:40" ht="16.899999999999999" customHeight="1" x14ac:dyDescent="0.35">
      <c r="A88" s="17"/>
      <c r="B88" s="268"/>
      <c r="C88" s="269"/>
      <c r="D88" s="31"/>
      <c r="E88" s="29" t="s">
        <v>352</v>
      </c>
      <c r="F88" s="48">
        <f>Equations!F76</f>
        <v>11.05</v>
      </c>
      <c r="G88" s="150" t="s">
        <v>118</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90"/>
    </row>
    <row r="89" spans="1:40" ht="16.899999999999999" customHeight="1" x14ac:dyDescent="0.5">
      <c r="A89" s="17"/>
      <c r="B89" s="78"/>
      <c r="C89" s="17"/>
      <c r="D89" s="31"/>
      <c r="E89" s="29" t="s">
        <v>356</v>
      </c>
      <c r="F89" s="167">
        <v>10</v>
      </c>
      <c r="G89" s="150" t="s">
        <v>118</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90"/>
    </row>
    <row r="90" spans="1:40" ht="15" customHeight="1" x14ac:dyDescent="0.35">
      <c r="A90" s="17"/>
      <c r="B90" s="78"/>
      <c r="C90" s="17"/>
      <c r="D90" s="31"/>
      <c r="E90" s="147" t="s">
        <v>358</v>
      </c>
      <c r="F90" s="48">
        <f>Equations!F78</f>
        <v>0.47058823529411764</v>
      </c>
      <c r="G90" s="150" t="s">
        <v>8</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95" t="s">
        <v>259</v>
      </c>
    </row>
    <row r="91" spans="1:40" ht="15" customHeight="1" x14ac:dyDescent="0.35">
      <c r="A91" s="17"/>
      <c r="B91" s="78"/>
      <c r="C91" s="17"/>
      <c r="D91" s="31"/>
      <c r="E91" s="147" t="s">
        <v>362</v>
      </c>
      <c r="F91" s="48">
        <f>Equations!F80</f>
        <v>0.13302365183917456</v>
      </c>
      <c r="G91" s="151"/>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95"/>
    </row>
    <row r="92" spans="1:40" ht="14.45" customHeight="1" x14ac:dyDescent="0.35">
      <c r="A92" s="17"/>
      <c r="B92" s="78"/>
      <c r="C92" s="17"/>
      <c r="D92" s="31"/>
      <c r="E92" s="146" t="s">
        <v>197</v>
      </c>
      <c r="F92" s="55">
        <f>Equations!F107</f>
        <v>160</v>
      </c>
      <c r="G92" s="151" t="s">
        <v>8</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90"/>
    </row>
    <row r="93" spans="1:40" ht="15" customHeight="1" thickBot="1" x14ac:dyDescent="0.4">
      <c r="A93" s="17"/>
      <c r="B93" s="78"/>
      <c r="C93" s="17"/>
      <c r="D93" s="31"/>
      <c r="E93" s="146" t="s">
        <v>91</v>
      </c>
      <c r="F93" s="48">
        <f>Equations!F110</f>
        <v>2069.4235294117652</v>
      </c>
      <c r="G93" s="150" t="s">
        <v>8</v>
      </c>
      <c r="H93" s="108"/>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90"/>
    </row>
    <row r="94" spans="1:40" ht="15" customHeight="1" x14ac:dyDescent="0.4">
      <c r="A94" s="17"/>
      <c r="B94" s="130" t="s">
        <v>211</v>
      </c>
      <c r="C94" s="123"/>
      <c r="D94" s="75"/>
      <c r="E94" s="89" t="s">
        <v>21</v>
      </c>
      <c r="F94" s="168" t="s">
        <v>20</v>
      </c>
      <c r="G94" s="156"/>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107"/>
      <c r="AN94" s="28" t="s">
        <v>19</v>
      </c>
    </row>
    <row r="95" spans="1:40" ht="15" customHeight="1" x14ac:dyDescent="0.35">
      <c r="A95" s="17"/>
      <c r="B95" s="78"/>
      <c r="C95" s="17"/>
      <c r="D95" s="17"/>
      <c r="E95" s="58" t="s">
        <v>92</v>
      </c>
      <c r="F95" s="167">
        <v>38</v>
      </c>
      <c r="G95" s="157" t="s">
        <v>86</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90"/>
      <c r="AN95" s="28" t="s">
        <v>20</v>
      </c>
    </row>
    <row r="96" spans="1:40" ht="15" customHeight="1" x14ac:dyDescent="0.35">
      <c r="A96" s="17"/>
      <c r="B96" s="78"/>
      <c r="C96" s="17"/>
      <c r="D96" s="17"/>
      <c r="E96" s="58" t="s">
        <v>93</v>
      </c>
      <c r="F96" s="167">
        <v>35</v>
      </c>
      <c r="G96" s="157" t="s">
        <v>86</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90"/>
      <c r="AN96" t="s">
        <v>425</v>
      </c>
    </row>
    <row r="97" spans="1:40" ht="15" customHeight="1" x14ac:dyDescent="0.35">
      <c r="A97" s="17"/>
      <c r="B97" s="78"/>
      <c r="C97" s="17"/>
      <c r="D97" s="17"/>
      <c r="E97" s="58" t="s">
        <v>102</v>
      </c>
      <c r="F97" s="167">
        <v>65</v>
      </c>
      <c r="G97" s="157" t="s">
        <v>86</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90"/>
      <c r="AN97" t="s">
        <v>426</v>
      </c>
    </row>
    <row r="98" spans="1:40" ht="15" customHeight="1" x14ac:dyDescent="0.35">
      <c r="A98" s="17"/>
      <c r="B98" s="78"/>
      <c r="C98" s="17"/>
      <c r="D98" s="17"/>
      <c r="E98" s="100" t="s">
        <v>94</v>
      </c>
      <c r="F98" s="167">
        <v>63</v>
      </c>
      <c r="G98" s="157" t="s">
        <v>86</v>
      </c>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90"/>
    </row>
    <row r="99" spans="1:40" ht="15" customHeight="1" x14ac:dyDescent="0.35">
      <c r="A99" s="17"/>
      <c r="B99" s="78"/>
      <c r="C99" s="17"/>
      <c r="D99" s="17"/>
      <c r="E99" s="99" t="s">
        <v>256</v>
      </c>
      <c r="F99" s="53">
        <f>IF(F94="Option A",Equations!F128,Equations!G128)</f>
        <v>142.85714285714286</v>
      </c>
      <c r="G99" s="158" t="s">
        <v>84</v>
      </c>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90"/>
    </row>
    <row r="100" spans="1:40" ht="15" customHeight="1" x14ac:dyDescent="0.35">
      <c r="A100" s="17"/>
      <c r="B100" s="78"/>
      <c r="C100" s="17"/>
      <c r="D100" s="17"/>
      <c r="E100" s="98" t="s">
        <v>22</v>
      </c>
      <c r="F100" s="53">
        <f>IF(F94="Option A",Equations!F129,Equations!G129)</f>
        <v>10.989010989010989</v>
      </c>
      <c r="G100" s="158" t="s">
        <v>84</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90"/>
    </row>
    <row r="101" spans="1:40" ht="15" customHeight="1" x14ac:dyDescent="0.35">
      <c r="A101" s="17"/>
      <c r="B101" s="251" t="s">
        <v>211</v>
      </c>
      <c r="C101" s="17"/>
      <c r="D101" s="17"/>
      <c r="E101" s="98" t="s">
        <v>23</v>
      </c>
      <c r="F101" s="53">
        <f>IF(F94="Option A",Equations!F130,Equations!G130)</f>
        <v>95.238095238095241</v>
      </c>
      <c r="G101" s="158" t="s">
        <v>84</v>
      </c>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90"/>
    </row>
    <row r="102" spans="1:40" ht="15" customHeight="1" x14ac:dyDescent="0.4">
      <c r="A102" s="17"/>
      <c r="B102" s="78"/>
      <c r="C102" s="17"/>
      <c r="D102" s="17"/>
      <c r="E102" s="98" t="s">
        <v>24</v>
      </c>
      <c r="F102" s="53">
        <f>IF(F94="Option A",Equations!F131,Equations!G131)</f>
        <v>3.8095238095238098</v>
      </c>
      <c r="G102" s="157" t="s">
        <v>84</v>
      </c>
      <c r="H102" s="17"/>
      <c r="I102" s="17"/>
      <c r="J102" s="93"/>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90"/>
    </row>
    <row r="103" spans="1:40" ht="15" customHeight="1" x14ac:dyDescent="0.4">
      <c r="A103" s="17"/>
      <c r="B103" s="78"/>
      <c r="C103" s="17"/>
      <c r="D103" s="17"/>
      <c r="E103" s="58" t="s">
        <v>105</v>
      </c>
      <c r="F103" s="167">
        <v>150</v>
      </c>
      <c r="G103" s="158" t="s">
        <v>84</v>
      </c>
      <c r="H103" s="17"/>
      <c r="I103" s="17"/>
      <c r="J103" s="93"/>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90"/>
    </row>
    <row r="104" spans="1:40" ht="15" customHeight="1" x14ac:dyDescent="0.4">
      <c r="A104" s="17"/>
      <c r="B104" s="78"/>
      <c r="C104" s="17"/>
      <c r="D104" s="17"/>
      <c r="E104" s="58" t="s">
        <v>106</v>
      </c>
      <c r="F104" s="167">
        <v>11.5</v>
      </c>
      <c r="G104" s="158" t="s">
        <v>84</v>
      </c>
      <c r="H104" s="17"/>
      <c r="I104" s="17"/>
      <c r="J104" s="93"/>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90"/>
    </row>
    <row r="105" spans="1:40" ht="15" customHeight="1" x14ac:dyDescent="0.4">
      <c r="A105" s="17"/>
      <c r="B105" s="78"/>
      <c r="C105" s="17"/>
      <c r="D105" s="17"/>
      <c r="E105" s="58" t="s">
        <v>107</v>
      </c>
      <c r="F105" s="167">
        <v>95.3</v>
      </c>
      <c r="G105" s="158" t="s">
        <v>84</v>
      </c>
      <c r="H105" s="17"/>
      <c r="I105" s="17"/>
      <c r="J105" s="93"/>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90"/>
    </row>
    <row r="106" spans="1:40" ht="15" customHeight="1" x14ac:dyDescent="0.35">
      <c r="A106" s="17"/>
      <c r="B106" s="78"/>
      <c r="C106" s="17"/>
      <c r="D106" s="17"/>
      <c r="E106" s="58" t="s">
        <v>108</v>
      </c>
      <c r="F106" s="167">
        <v>3.74</v>
      </c>
      <c r="G106" s="158" t="s">
        <v>84</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90"/>
    </row>
    <row r="107" spans="1:40" ht="15" customHeight="1" x14ac:dyDescent="0.35">
      <c r="A107" s="17"/>
      <c r="B107" s="78"/>
      <c r="C107" s="17"/>
      <c r="D107" s="17"/>
      <c r="E107" s="17"/>
      <c r="F107" s="17"/>
      <c r="G107" s="15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90"/>
    </row>
    <row r="108" spans="1:40" ht="15" customHeight="1" thickBot="1" x14ac:dyDescent="0.45">
      <c r="A108" s="17"/>
      <c r="B108" s="78"/>
      <c r="C108" s="91" t="s">
        <v>54</v>
      </c>
      <c r="D108" s="92" t="s">
        <v>35</v>
      </c>
      <c r="E108" s="92" t="s">
        <v>36</v>
      </c>
      <c r="F108" s="92" t="s">
        <v>37</v>
      </c>
      <c r="G108" s="159"/>
      <c r="H108" s="31"/>
      <c r="I108" s="31"/>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90"/>
    </row>
    <row r="109" spans="1:40" ht="15" customHeight="1" x14ac:dyDescent="0.35">
      <c r="A109" s="17"/>
      <c r="B109" s="78"/>
      <c r="C109" s="32" t="s">
        <v>95</v>
      </c>
      <c r="D109" s="44">
        <f>IF($F$94="Option A",Equations!F132,Equations!G132)</f>
        <v>36.206521739130444</v>
      </c>
      <c r="E109" s="45">
        <f>IF($F$94="Option A",Equations!F133,Equations!G133)</f>
        <v>38.258695652173913</v>
      </c>
      <c r="F109" s="46">
        <f>IF($F$94="Option A",Equations!F134,Equations!G134)</f>
        <v>40.310869565217381</v>
      </c>
      <c r="G109" s="157" t="s">
        <v>86</v>
      </c>
      <c r="H109" s="31"/>
      <c r="I109" s="31"/>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90"/>
    </row>
    <row r="110" spans="1:40" ht="15" customHeight="1" x14ac:dyDescent="0.35">
      <c r="A110" s="17"/>
      <c r="B110" s="78"/>
      <c r="C110" s="32" t="s">
        <v>96</v>
      </c>
      <c r="D110" s="47">
        <f>IF($F$94="Option A",Equations!F135,Equations!G135)</f>
        <v>34.406521739130433</v>
      </c>
      <c r="E110" s="48">
        <f>IF($F$94="Option A",Equations!F136,Equations!G136)</f>
        <v>35.108695652173914</v>
      </c>
      <c r="F110" s="49">
        <f>IF($F$94="Option A",Equations!F137,Equations!G137)</f>
        <v>35.810869565217388</v>
      </c>
      <c r="G110" s="157" t="s">
        <v>86</v>
      </c>
      <c r="H110" s="31"/>
      <c r="I110" s="31"/>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90"/>
    </row>
    <row r="111" spans="1:40" ht="15" customHeight="1" x14ac:dyDescent="0.35">
      <c r="A111" s="17"/>
      <c r="B111" s="78"/>
      <c r="C111" s="32" t="s">
        <v>97</v>
      </c>
      <c r="D111" s="47">
        <f>IF($F$94="Option A",Equations!F138,Equations!G138)</f>
        <v>64.879144385026734</v>
      </c>
      <c r="E111" s="48">
        <f>IF($F$94="Option A",Equations!F139,Equations!G139)</f>
        <v>66.203208556149718</v>
      </c>
      <c r="F111" s="49">
        <f>IF($F$94="Option A",Equations!F140,Equations!G140)</f>
        <v>67.527272727272717</v>
      </c>
      <c r="G111" s="157" t="s">
        <v>86</v>
      </c>
      <c r="H111" s="31"/>
      <c r="I111" s="31"/>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90"/>
    </row>
    <row r="112" spans="1:40" ht="15" customHeight="1" thickBot="1" x14ac:dyDescent="0.4">
      <c r="A112" s="17"/>
      <c r="B112" s="78"/>
      <c r="C112" s="32" t="s">
        <v>98</v>
      </c>
      <c r="D112" s="50">
        <f>IF($F$94="Option A",Equations!F141,Equations!G141)</f>
        <v>62.02014438502674</v>
      </c>
      <c r="E112" s="51">
        <f>IF($F$94="Option A",Equations!F142,Equations!G142)</f>
        <v>64.201908556149732</v>
      </c>
      <c r="F112" s="52">
        <f>IF($F$94="Option A",Equations!F143,Equations!G143)</f>
        <v>66.383672727272725</v>
      </c>
      <c r="G112" s="157" t="s">
        <v>86</v>
      </c>
      <c r="H112" s="31"/>
      <c r="I112" s="31"/>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90"/>
    </row>
    <row r="113" spans="1:39" ht="15" customHeight="1" x14ac:dyDescent="0.35">
      <c r="A113" s="17"/>
      <c r="B113" s="78"/>
      <c r="C113" s="285" t="s">
        <v>433</v>
      </c>
      <c r="D113" s="285"/>
      <c r="E113" s="285"/>
      <c r="F113" s="285"/>
      <c r="G113" s="286"/>
      <c r="H113" s="31"/>
      <c r="I113" s="31"/>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90"/>
    </row>
    <row r="114" spans="1:39" ht="15" customHeight="1" x14ac:dyDescent="0.35">
      <c r="A114" s="17"/>
      <c r="B114" s="78"/>
      <c r="C114" s="285"/>
      <c r="D114" s="285"/>
      <c r="E114" s="285"/>
      <c r="F114" s="285"/>
      <c r="G114" s="286"/>
      <c r="H114" s="31"/>
      <c r="I114" s="31"/>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90"/>
    </row>
    <row r="115" spans="1:39" ht="15" customHeight="1" x14ac:dyDescent="0.35">
      <c r="A115" s="17"/>
      <c r="B115" s="78"/>
      <c r="C115" s="285"/>
      <c r="D115" s="285"/>
      <c r="E115" s="285"/>
      <c r="F115" s="285"/>
      <c r="G115" s="286"/>
      <c r="H115" s="31"/>
      <c r="I115" s="31"/>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90"/>
    </row>
    <row r="116" spans="1:39" ht="15" customHeight="1" x14ac:dyDescent="0.5">
      <c r="A116" s="17"/>
      <c r="B116" s="77"/>
      <c r="C116" s="17"/>
      <c r="D116" s="17"/>
      <c r="E116" s="32" t="s">
        <v>114</v>
      </c>
      <c r="F116" s="169">
        <v>10</v>
      </c>
      <c r="G116" s="160" t="s">
        <v>84</v>
      </c>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90"/>
    </row>
    <row r="117" spans="1:39" ht="15" customHeight="1" x14ac:dyDescent="0.35">
      <c r="A117" s="17"/>
      <c r="B117" s="78"/>
      <c r="C117" s="17"/>
      <c r="D117" s="17"/>
      <c r="E117" s="32"/>
      <c r="F117" s="17"/>
      <c r="G117" s="16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90"/>
    </row>
    <row r="118" spans="1:39" ht="15" customHeight="1" x14ac:dyDescent="0.35">
      <c r="A118" s="17"/>
      <c r="B118" s="78"/>
      <c r="C118" s="17"/>
      <c r="D118" s="17"/>
      <c r="E118" s="32"/>
      <c r="F118" s="17"/>
      <c r="G118" s="16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90"/>
    </row>
    <row r="119" spans="1:39" ht="15" customHeight="1" x14ac:dyDescent="0.35">
      <c r="A119" s="17"/>
      <c r="B119" s="78"/>
      <c r="C119" s="17"/>
      <c r="D119" s="17"/>
      <c r="E119" s="32"/>
      <c r="F119" s="17"/>
      <c r="G119" s="16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90"/>
    </row>
    <row r="120" spans="1:39" ht="15" customHeight="1" thickBot="1" x14ac:dyDescent="0.4">
      <c r="A120" s="17"/>
      <c r="B120" s="78"/>
      <c r="C120" s="80"/>
      <c r="D120" s="80"/>
      <c r="E120" s="17"/>
      <c r="F120" s="17"/>
      <c r="G120" s="208"/>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94"/>
    </row>
    <row r="121" spans="1:39" ht="18.75" customHeight="1" x14ac:dyDescent="0.4">
      <c r="A121" s="17"/>
      <c r="B121" s="130" t="s">
        <v>214</v>
      </c>
      <c r="C121" s="75"/>
      <c r="D121" s="75"/>
      <c r="E121" s="109" t="s">
        <v>430</v>
      </c>
      <c r="F121" s="88">
        <f>Rs</f>
        <v>1</v>
      </c>
      <c r="G121" s="214" t="s">
        <v>85</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107"/>
    </row>
    <row r="122" spans="1:39" ht="15" customHeight="1" x14ac:dyDescent="0.4">
      <c r="A122" s="17"/>
      <c r="B122" s="77"/>
      <c r="C122" s="17"/>
      <c r="D122" s="17"/>
      <c r="E122" s="96" t="s">
        <v>212</v>
      </c>
      <c r="F122" s="97" t="str">
        <f>IF(RsMAX&gt;Rs,"DNP",RDIV1)</f>
        <v>DNP</v>
      </c>
      <c r="G122" s="153" t="s">
        <v>87</v>
      </c>
      <c r="H122" s="17"/>
      <c r="I122" s="17"/>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131"/>
    </row>
    <row r="123" spans="1:39" ht="14.25" customHeight="1" x14ac:dyDescent="0.4">
      <c r="A123" s="17"/>
      <c r="B123" s="77"/>
      <c r="C123" s="17"/>
      <c r="D123" s="17"/>
      <c r="E123" s="96" t="s">
        <v>213</v>
      </c>
      <c r="F123" s="97" t="str">
        <f>IF(RsMAX&gt;Rs,"0",RDIV2)</f>
        <v>0</v>
      </c>
      <c r="G123" s="153" t="s">
        <v>87</v>
      </c>
      <c r="H123" s="17"/>
      <c r="I123" s="17"/>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131"/>
    </row>
    <row r="124" spans="1:39" ht="15" customHeight="1" thickBot="1" x14ac:dyDescent="0.45">
      <c r="A124" s="17"/>
      <c r="B124" s="78"/>
      <c r="C124" s="17"/>
      <c r="D124" s="17"/>
      <c r="E124" s="57" t="s">
        <v>17</v>
      </c>
      <c r="F124" s="39">
        <f>F66</f>
        <v>38.299999999999997</v>
      </c>
      <c r="G124" s="155" t="s">
        <v>84</v>
      </c>
      <c r="H124" s="17"/>
      <c r="I124" s="17"/>
      <c r="J124" s="112"/>
      <c r="K124" s="92" t="s">
        <v>435</v>
      </c>
      <c r="L124" s="183" t="s">
        <v>158</v>
      </c>
      <c r="M124" s="31"/>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4"/>
    </row>
    <row r="125" spans="1:39" ht="15" customHeight="1" x14ac:dyDescent="0.35">
      <c r="A125" s="17"/>
      <c r="B125" s="78"/>
      <c r="C125" s="17"/>
      <c r="D125" s="17"/>
      <c r="E125" s="58" t="s">
        <v>431</v>
      </c>
      <c r="F125" s="48">
        <f>IF(F71="YES", F89, F76)</f>
        <v>220</v>
      </c>
      <c r="G125" s="150" t="s">
        <v>118</v>
      </c>
      <c r="H125" s="17"/>
      <c r="I125" s="17"/>
      <c r="J125" s="32" t="s">
        <v>215</v>
      </c>
      <c r="K125" s="116">
        <f>F46</f>
        <v>55</v>
      </c>
      <c r="L125" s="108" t="s">
        <v>25</v>
      </c>
      <c r="M125" s="31"/>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95"/>
    </row>
    <row r="126" spans="1:39" ht="15" customHeight="1" x14ac:dyDescent="0.35">
      <c r="A126" s="17"/>
      <c r="B126" s="78"/>
      <c r="C126" s="17"/>
      <c r="D126" s="17"/>
      <c r="E126" s="57" t="s">
        <v>11</v>
      </c>
      <c r="F126" s="39">
        <f>F103</f>
        <v>150</v>
      </c>
      <c r="G126" s="155" t="s">
        <v>84</v>
      </c>
      <c r="H126" s="17"/>
      <c r="I126" s="17"/>
      <c r="J126" s="32" t="s">
        <v>168</v>
      </c>
      <c r="K126" s="117">
        <f>F67</f>
        <v>306.39999999999998</v>
      </c>
      <c r="L126" s="108" t="s">
        <v>87</v>
      </c>
      <c r="M126" s="31"/>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95"/>
    </row>
    <row r="127" spans="1:39" ht="15" customHeight="1" x14ac:dyDescent="0.35">
      <c r="A127" s="17"/>
      <c r="B127" s="78"/>
      <c r="C127" s="17"/>
      <c r="D127" s="17"/>
      <c r="E127" s="57" t="s">
        <v>12</v>
      </c>
      <c r="F127" s="39">
        <f>F104</f>
        <v>11.5</v>
      </c>
      <c r="G127" s="155" t="s">
        <v>84</v>
      </c>
      <c r="H127" s="17"/>
      <c r="I127" s="17"/>
      <c r="J127" s="29" t="s">
        <v>224</v>
      </c>
      <c r="K127" s="121">
        <f>F46</f>
        <v>55</v>
      </c>
      <c r="L127" s="108" t="s">
        <v>25</v>
      </c>
      <c r="M127" s="31"/>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95"/>
    </row>
    <row r="128" spans="1:39" ht="15" customHeight="1" x14ac:dyDescent="0.35">
      <c r="A128" s="17"/>
      <c r="B128" s="78"/>
      <c r="C128" s="17"/>
      <c r="D128" s="17"/>
      <c r="E128" s="57" t="s">
        <v>13</v>
      </c>
      <c r="F128" s="39">
        <f>F105</f>
        <v>95.3</v>
      </c>
      <c r="G128" s="155" t="s">
        <v>84</v>
      </c>
      <c r="H128" s="17"/>
      <c r="I128" s="17"/>
      <c r="J128" s="32" t="s">
        <v>216</v>
      </c>
      <c r="K128" s="124">
        <f>IF(F71="YES",Equations!F66,Start_up!M2)</f>
        <v>2.1583527054889262</v>
      </c>
      <c r="L128" s="108" t="s">
        <v>8</v>
      </c>
      <c r="M128" s="31"/>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95"/>
    </row>
    <row r="129" spans="1:40" ht="15" customHeight="1" x14ac:dyDescent="0.35">
      <c r="A129" s="17"/>
      <c r="B129" s="78"/>
      <c r="C129" s="17"/>
      <c r="D129" s="17"/>
      <c r="E129" s="57" t="s">
        <v>14</v>
      </c>
      <c r="F129" s="40">
        <f>IF(F94="Option A","N/A",F106)</f>
        <v>3.74</v>
      </c>
      <c r="G129" s="155" t="s">
        <v>84</v>
      </c>
      <c r="H129" s="17"/>
      <c r="I129" s="17"/>
      <c r="J129" s="32" t="s">
        <v>217</v>
      </c>
      <c r="K129" s="122">
        <f>TINSERT</f>
        <v>160</v>
      </c>
      <c r="L129" s="108" t="s">
        <v>8</v>
      </c>
      <c r="M129" s="31"/>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95"/>
    </row>
    <row r="130" spans="1:40" ht="15" customHeight="1" x14ac:dyDescent="0.35">
      <c r="A130" s="17"/>
      <c r="B130" s="78"/>
      <c r="C130" s="17"/>
      <c r="D130" s="17"/>
      <c r="E130" s="58" t="s">
        <v>432</v>
      </c>
      <c r="F130" s="43" t="str">
        <f>IF(F71="YES", F84, "DNP")</f>
        <v>DNP</v>
      </c>
      <c r="G130" s="150" t="s">
        <v>118</v>
      </c>
      <c r="H130" s="17"/>
      <c r="I130" s="17"/>
      <c r="J130" s="32" t="s">
        <v>218</v>
      </c>
      <c r="K130" s="124">
        <f>IF(F71="YES", F90,F77)</f>
        <v>10.352941176470589</v>
      </c>
      <c r="L130" s="108" t="s">
        <v>8</v>
      </c>
      <c r="M130" s="31"/>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95"/>
    </row>
    <row r="131" spans="1:40" ht="15" customHeight="1" x14ac:dyDescent="0.35">
      <c r="A131" s="17"/>
      <c r="B131" s="78"/>
      <c r="C131" s="17"/>
      <c r="D131" s="17"/>
      <c r="E131" s="57" t="s">
        <v>55</v>
      </c>
      <c r="F131" s="42">
        <v>0.01</v>
      </c>
      <c r="G131" s="155" t="s">
        <v>83</v>
      </c>
      <c r="H131" s="17"/>
      <c r="I131" s="17"/>
      <c r="J131" s="32" t="s">
        <v>219</v>
      </c>
      <c r="K131" s="125">
        <f>F93</f>
        <v>2069.4235294117652</v>
      </c>
      <c r="L131" s="108" t="s">
        <v>8</v>
      </c>
      <c r="M131" s="31"/>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95"/>
    </row>
    <row r="132" spans="1:40" ht="15" customHeight="1" x14ac:dyDescent="0.35">
      <c r="A132" s="17"/>
      <c r="B132" s="78"/>
      <c r="C132" s="17"/>
      <c r="D132" s="17"/>
      <c r="E132" s="212" t="s">
        <v>464</v>
      </c>
      <c r="F132" s="213" t="s">
        <v>465</v>
      </c>
      <c r="G132" s="150"/>
      <c r="H132" s="17"/>
      <c r="I132" s="17"/>
      <c r="J132" s="115" t="s">
        <v>220</v>
      </c>
      <c r="K132" s="118">
        <f>E109</f>
        <v>38.258695652173913</v>
      </c>
      <c r="L132" s="108" t="s">
        <v>86</v>
      </c>
      <c r="M132" s="31"/>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95"/>
    </row>
    <row r="133" spans="1:40" ht="15" customHeight="1" x14ac:dyDescent="0.35">
      <c r="A133" s="17"/>
      <c r="B133" s="78"/>
      <c r="C133" s="17"/>
      <c r="D133" s="17"/>
      <c r="E133" s="212" t="s">
        <v>438</v>
      </c>
      <c r="F133" s="213" t="str">
        <f>IF(F71="YES","1N4148W-7-F","DNP")</f>
        <v>DNP</v>
      </c>
      <c r="G133" s="150"/>
      <c r="H133" s="17"/>
      <c r="I133" s="17"/>
      <c r="J133" s="115" t="s">
        <v>222</v>
      </c>
      <c r="K133" s="118">
        <f>E110</f>
        <v>35.108695652173914</v>
      </c>
      <c r="L133" s="108" t="s">
        <v>86</v>
      </c>
      <c r="M133" s="31"/>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95"/>
    </row>
    <row r="134" spans="1:40" ht="15" customHeight="1" x14ac:dyDescent="0.35">
      <c r="A134" s="17"/>
      <c r="B134" s="78"/>
      <c r="C134" s="17"/>
      <c r="D134" s="17"/>
      <c r="E134" s="212" t="s">
        <v>476</v>
      </c>
      <c r="F134" s="213" t="s">
        <v>475</v>
      </c>
      <c r="G134" s="150"/>
      <c r="H134" s="17"/>
      <c r="I134" s="17"/>
      <c r="J134" s="115" t="s">
        <v>223</v>
      </c>
      <c r="K134" s="118">
        <f>E111</f>
        <v>66.203208556149718</v>
      </c>
      <c r="L134" s="108" t="s">
        <v>86</v>
      </c>
      <c r="M134" s="31"/>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95"/>
    </row>
    <row r="135" spans="1:40" ht="15" customHeight="1" x14ac:dyDescent="0.35">
      <c r="A135" s="17"/>
      <c r="B135" s="78"/>
      <c r="C135" s="17"/>
      <c r="D135" s="17"/>
      <c r="E135" s="212" t="s">
        <v>477</v>
      </c>
      <c r="F135" s="213" t="str">
        <f>IF(F71="YES","MMBT5401LT1G","DNP")</f>
        <v>DNP</v>
      </c>
      <c r="G135" s="150"/>
      <c r="H135" s="17"/>
      <c r="I135" s="17"/>
      <c r="J135" s="115" t="s">
        <v>221</v>
      </c>
      <c r="K135" s="118">
        <f>E112</f>
        <v>64.201908556149732</v>
      </c>
      <c r="L135" s="108" t="s">
        <v>86</v>
      </c>
      <c r="M135" s="31"/>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95"/>
    </row>
    <row r="136" spans="1:40" ht="15" customHeight="1" x14ac:dyDescent="0.35">
      <c r="A136" s="17"/>
      <c r="B136" s="78"/>
      <c r="C136" s="17"/>
      <c r="D136" s="17"/>
      <c r="E136" s="212" t="s">
        <v>463</v>
      </c>
      <c r="F136" s="213" t="s">
        <v>478</v>
      </c>
      <c r="G136" s="150"/>
      <c r="H136" s="17"/>
      <c r="I136" s="17"/>
      <c r="J136" s="115"/>
      <c r="K136" s="209"/>
      <c r="L136" s="108"/>
      <c r="M136" s="31"/>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95"/>
    </row>
    <row r="137" spans="1:40" ht="15" customHeight="1" x14ac:dyDescent="0.35">
      <c r="A137" s="17"/>
      <c r="B137" s="78"/>
      <c r="C137" s="17"/>
      <c r="D137" s="17"/>
      <c r="F137" s="126"/>
      <c r="G137" s="161"/>
      <c r="H137" s="17"/>
      <c r="I137" s="17"/>
      <c r="J137" s="115"/>
      <c r="K137" s="209"/>
      <c r="L137" s="108"/>
      <c r="M137" s="31"/>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95"/>
    </row>
    <row r="138" spans="1:40" ht="15" customHeight="1" x14ac:dyDescent="0.35">
      <c r="A138" s="17"/>
      <c r="B138" s="78"/>
      <c r="C138" s="17"/>
      <c r="D138" s="17"/>
      <c r="E138" s="58"/>
      <c r="F138" s="126"/>
      <c r="G138" s="161"/>
      <c r="H138" s="17"/>
      <c r="I138" s="17"/>
      <c r="J138" s="17"/>
      <c r="K138" s="17"/>
      <c r="L138" s="17"/>
      <c r="M138" s="31"/>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90"/>
      <c r="AN138" s="28"/>
    </row>
    <row r="139" spans="1:40" ht="15" x14ac:dyDescent="0.5">
      <c r="A139" s="17"/>
      <c r="B139" s="204" t="s">
        <v>18</v>
      </c>
      <c r="C139" s="30" t="s">
        <v>90</v>
      </c>
      <c r="D139" s="20"/>
      <c r="E139" s="30"/>
      <c r="F139" s="110"/>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90"/>
      <c r="AN139" s="28"/>
    </row>
    <row r="140" spans="1:40" x14ac:dyDescent="0.35">
      <c r="A140" s="17"/>
      <c r="B140" s="78"/>
      <c r="C140" s="30" t="s">
        <v>110</v>
      </c>
      <c r="D140" s="17"/>
      <c r="E140" s="30"/>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90"/>
    </row>
    <row r="141" spans="1:40" x14ac:dyDescent="0.35">
      <c r="A141" s="17"/>
      <c r="B141" s="78"/>
      <c r="C141" s="30" t="s">
        <v>255</v>
      </c>
      <c r="D141" s="17"/>
      <c r="E141" s="30"/>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90"/>
    </row>
    <row r="142" spans="1:40" ht="13.15" thickBot="1" x14ac:dyDescent="0.4">
      <c r="A142" s="17"/>
      <c r="B142" s="79"/>
      <c r="C142" s="80"/>
      <c r="D142" s="80"/>
      <c r="E142" s="111"/>
      <c r="F142" s="80"/>
      <c r="G142" s="162"/>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94"/>
    </row>
    <row r="143" spans="1:40" x14ac:dyDescent="0.3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40" ht="13.9" x14ac:dyDescent="0.4">
      <c r="A144" s="17"/>
      <c r="B144" s="37"/>
      <c r="C144" s="17"/>
      <c r="D144" s="17"/>
      <c r="E144" s="17"/>
      <c r="F144" s="31"/>
      <c r="G144" s="101"/>
      <c r="H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35">
      <c r="A145" s="17"/>
      <c r="B145" s="17"/>
      <c r="C145" s="17"/>
      <c r="D145" s="17"/>
      <c r="E145" s="17"/>
      <c r="F145" s="31"/>
      <c r="G145" s="101"/>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35">
      <c r="A146" s="17"/>
      <c r="B146" s="17"/>
      <c r="C146" s="17"/>
      <c r="D146" s="17"/>
      <c r="E146" s="17"/>
      <c r="F146" s="31"/>
      <c r="G146" s="101"/>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35">
      <c r="A147" s="17"/>
      <c r="B147" s="17"/>
      <c r="C147" s="17"/>
      <c r="D147" s="17"/>
      <c r="E147" s="17"/>
      <c r="F147" s="31"/>
      <c r="G147" s="101"/>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35">
      <c r="A148" s="17"/>
      <c r="B148" s="17"/>
      <c r="C148" s="17"/>
      <c r="D148" s="17"/>
      <c r="E148" s="17"/>
      <c r="F148" s="31"/>
      <c r="G148" s="101"/>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35">
      <c r="A149" s="17"/>
      <c r="B149" s="17"/>
      <c r="C149" s="17"/>
      <c r="D149" s="17"/>
      <c r="E149" s="17"/>
      <c r="F149" s="31"/>
      <c r="G149" s="101"/>
      <c r="H149" s="31"/>
      <c r="I149" s="31"/>
      <c r="J149" s="31"/>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35">
      <c r="A150" s="17"/>
      <c r="B150" s="17"/>
      <c r="C150" s="17"/>
      <c r="D150" s="17"/>
      <c r="E150" s="17"/>
      <c r="F150" s="31"/>
      <c r="G150" s="101"/>
      <c r="H150" s="31"/>
      <c r="I150" s="31"/>
      <c r="J150" s="31"/>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35">
      <c r="A151" s="17"/>
      <c r="B151" s="17"/>
      <c r="C151" s="17"/>
      <c r="D151" s="17"/>
      <c r="E151" s="17"/>
      <c r="F151" s="31"/>
      <c r="G151" s="101"/>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35">
      <c r="A152" s="17"/>
      <c r="B152" s="17"/>
      <c r="C152" s="17"/>
      <c r="D152" s="17"/>
      <c r="E152" s="17"/>
      <c r="F152" s="17"/>
      <c r="G152" s="18"/>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35">
      <c r="A153" s="17"/>
      <c r="B153" s="17"/>
      <c r="C153" s="17"/>
      <c r="D153" s="17"/>
      <c r="E153" s="17"/>
      <c r="F153" s="31"/>
      <c r="G153" s="101"/>
      <c r="H153" s="31"/>
      <c r="I153" s="31"/>
      <c r="J153" s="31"/>
      <c r="K153" s="31"/>
      <c r="L153" s="31"/>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35">
      <c r="A154" s="17"/>
      <c r="B154" s="17"/>
      <c r="C154" s="17"/>
      <c r="D154" s="17"/>
      <c r="E154" s="17"/>
      <c r="F154" s="31"/>
      <c r="G154" s="101"/>
      <c r="H154" s="31"/>
      <c r="I154" s="31"/>
      <c r="J154" s="31"/>
      <c r="K154" s="31"/>
      <c r="L154" s="31"/>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35">
      <c r="A155" s="17"/>
      <c r="B155" s="17"/>
      <c r="C155" s="17"/>
      <c r="D155" s="17"/>
      <c r="E155" s="17"/>
      <c r="F155" s="31"/>
      <c r="G155" s="101"/>
      <c r="H155" s="31"/>
      <c r="I155" s="31"/>
      <c r="J155" s="31"/>
      <c r="K155" s="31"/>
      <c r="L155" s="31"/>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35">
      <c r="A156" s="17"/>
      <c r="B156" s="17"/>
      <c r="C156" s="17"/>
      <c r="D156" s="17"/>
      <c r="E156" s="17"/>
      <c r="F156" s="31"/>
      <c r="G156" s="101"/>
      <c r="H156" s="31"/>
      <c r="I156" s="31"/>
      <c r="J156" s="31"/>
      <c r="K156" s="31"/>
      <c r="L156" s="31"/>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35">
      <c r="A157" s="17"/>
      <c r="B157" s="17"/>
      <c r="C157" s="17"/>
      <c r="D157" s="17"/>
      <c r="E157" s="17"/>
      <c r="F157" s="31"/>
      <c r="G157" s="101"/>
      <c r="H157" s="31"/>
      <c r="I157" s="31"/>
      <c r="J157" s="31"/>
      <c r="K157" s="31"/>
      <c r="L157" s="31"/>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35">
      <c r="A158" s="17"/>
      <c r="B158" s="17"/>
      <c r="C158" s="17"/>
      <c r="D158" s="17"/>
      <c r="E158" s="17"/>
      <c r="F158" s="31"/>
      <c r="G158" s="101"/>
      <c r="H158" s="31"/>
      <c r="I158" s="31"/>
      <c r="J158" s="31"/>
      <c r="K158" s="31"/>
      <c r="L158" s="31"/>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35">
      <c r="A159" s="17"/>
      <c r="B159" s="17"/>
      <c r="C159" s="17"/>
      <c r="D159" s="17"/>
      <c r="E159" s="17"/>
      <c r="F159" s="17"/>
      <c r="G159" s="18"/>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35">
      <c r="A160" s="17"/>
      <c r="B160" s="17"/>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35">
      <c r="A161" s="17"/>
      <c r="B161" s="17"/>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35">
      <c r="A162" s="17"/>
      <c r="B162" s="17"/>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35">
      <c r="A163" s="17"/>
      <c r="B163" s="17"/>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3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3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3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35">
      <c r="A167" s="17"/>
      <c r="B167" s="17"/>
      <c r="C167" s="17"/>
      <c r="D167" s="17"/>
      <c r="E167" s="17"/>
      <c r="F167" s="17"/>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35">
      <c r="A168" s="17"/>
      <c r="B168" s="17"/>
      <c r="C168" s="17"/>
      <c r="D168" s="17"/>
      <c r="E168" s="17"/>
      <c r="F168" s="17"/>
      <c r="G168" s="18"/>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35">
      <c r="A169" s="17"/>
      <c r="B169" s="17"/>
      <c r="C169" s="17"/>
      <c r="D169" s="17"/>
      <c r="E169" s="17"/>
      <c r="F169" s="17"/>
      <c r="G169" s="18"/>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ht="13.9" x14ac:dyDescent="0.4">
      <c r="A170" s="17"/>
      <c r="B170" s="38"/>
      <c r="C170" s="17"/>
      <c r="D170" s="17"/>
      <c r="E170" s="17"/>
      <c r="F170" s="17"/>
      <c r="G170" s="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35">
      <c r="A171" s="17"/>
      <c r="B171" s="17"/>
      <c r="C171" s="17"/>
      <c r="D171" s="17"/>
      <c r="E171" s="17"/>
      <c r="F171" s="17"/>
      <c r="G171" s="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35">
      <c r="A172" s="17"/>
      <c r="B172" s="17"/>
      <c r="C172" s="17"/>
      <c r="D172" s="17"/>
      <c r="E172" s="17"/>
      <c r="F172" s="17"/>
      <c r="G172" s="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35">
      <c r="A173" s="17"/>
      <c r="B173" s="17"/>
      <c r="C173" s="17"/>
      <c r="D173" s="17"/>
      <c r="E173" s="17"/>
      <c r="F173" s="17"/>
      <c r="G173" s="18"/>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35">
      <c r="A174" s="17"/>
      <c r="B174" s="17"/>
      <c r="C174" s="17"/>
      <c r="D174" s="17"/>
      <c r="E174" s="17"/>
      <c r="F174" s="17"/>
      <c r="G174" s="18"/>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35">
      <c r="A175" s="17"/>
      <c r="B175" s="17"/>
      <c r="D175" s="17"/>
      <c r="E175" s="17"/>
      <c r="F175" s="17"/>
      <c r="G175" s="18"/>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35">
      <c r="A176" s="17"/>
      <c r="B176" s="17"/>
      <c r="C176" s="17"/>
      <c r="D176" s="17"/>
      <c r="E176" s="17"/>
      <c r="F176" s="17"/>
      <c r="G176" s="18"/>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35">
      <c r="A177" s="17"/>
      <c r="B177" s="17"/>
      <c r="C177" s="17"/>
      <c r="D177" s="17"/>
      <c r="E177" s="17"/>
      <c r="F177" s="17"/>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35">
      <c r="A178" s="17"/>
      <c r="B178" s="17"/>
      <c r="C178" s="17"/>
      <c r="D178" s="17"/>
      <c r="E178" s="17"/>
      <c r="F178" s="17"/>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35">
      <c r="A179" s="17"/>
      <c r="B179" s="17"/>
      <c r="C179" s="17"/>
      <c r="D179" s="17"/>
      <c r="E179" s="17"/>
      <c r="F179" s="17"/>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35">
      <c r="A180" s="17"/>
      <c r="B180" s="17"/>
      <c r="C180" s="17"/>
      <c r="D180" s="17"/>
      <c r="E180" s="17"/>
      <c r="F180" s="17"/>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35">
      <c r="A181" s="17"/>
      <c r="B181" s="17"/>
      <c r="C181" s="17"/>
      <c r="D181" s="17"/>
      <c r="E181" s="17"/>
      <c r="F181" s="17"/>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35">
      <c r="A182" s="17"/>
      <c r="B182" s="17"/>
      <c r="C182" s="17"/>
      <c r="D182" s="17"/>
      <c r="E182" s="17"/>
      <c r="F182" s="17"/>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35">
      <c r="A183" s="17"/>
      <c r="B183" s="17"/>
      <c r="C183" s="17"/>
      <c r="D183" s="17"/>
      <c r="E183" s="17"/>
      <c r="F183" s="17"/>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35">
      <c r="A184" s="17"/>
      <c r="B184" s="17"/>
      <c r="C184" s="17"/>
      <c r="D184" s="17"/>
      <c r="E184" s="17"/>
      <c r="F184" s="17"/>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35">
      <c r="A185" s="17"/>
      <c r="B185" s="17"/>
      <c r="C185" s="17"/>
      <c r="D185" s="17"/>
      <c r="E185" s="17"/>
      <c r="F185" s="17"/>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35">
      <c r="A186" s="17"/>
      <c r="B186" s="17"/>
      <c r="C186" s="17"/>
      <c r="D186" s="17"/>
      <c r="E186" s="17"/>
      <c r="F186" s="17"/>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35">
      <c r="A187" s="17"/>
      <c r="B187" s="17"/>
      <c r="C187" s="17"/>
      <c r="D187" s="17"/>
      <c r="E187" s="17"/>
      <c r="F187" s="17"/>
      <c r="G187" s="1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35">
      <c r="A188" s="17"/>
      <c r="B188" s="17"/>
      <c r="C188" s="17"/>
      <c r="D188" s="17"/>
      <c r="E188" s="17"/>
      <c r="F188" s="17"/>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35">
      <c r="A189" s="17"/>
      <c r="B189" s="17"/>
      <c r="C189" s="17"/>
      <c r="D189" s="17"/>
      <c r="E189" s="17"/>
      <c r="F189" s="17"/>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35">
      <c r="A190" s="17"/>
      <c r="B190" s="17"/>
      <c r="C190" s="17"/>
      <c r="D190" s="17"/>
      <c r="E190" s="17"/>
      <c r="F190" s="17"/>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35">
      <c r="A191" s="17"/>
      <c r="B191" s="17"/>
      <c r="C191" s="17"/>
      <c r="D191" s="17"/>
      <c r="E191" s="17"/>
      <c r="F191" s="17"/>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35">
      <c r="A192" s="17"/>
      <c r="B192" s="17"/>
      <c r="C192" s="17"/>
      <c r="D192" s="17"/>
      <c r="E192" s="17"/>
      <c r="F192" s="17"/>
      <c r="G192" s="18"/>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35">
      <c r="A193" s="17"/>
      <c r="B193" s="17"/>
      <c r="C193" s="17"/>
      <c r="D193" s="17"/>
      <c r="E193" s="17"/>
      <c r="F193" s="17"/>
      <c r="G193" s="18"/>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35">
      <c r="A194" s="17"/>
      <c r="B194" s="17"/>
      <c r="C194" s="17"/>
      <c r="D194" s="17"/>
      <c r="E194" s="17"/>
      <c r="F194" s="17"/>
      <c r="G194" s="18"/>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35">
      <c r="A195" s="17"/>
      <c r="B195" s="17"/>
      <c r="C195" s="17"/>
      <c r="D195" s="17"/>
      <c r="E195" s="17"/>
      <c r="F195" s="17"/>
      <c r="G195" s="1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35">
      <c r="A196" s="17"/>
      <c r="B196" s="17"/>
      <c r="C196" s="17"/>
      <c r="D196" s="17"/>
      <c r="E196" s="17"/>
      <c r="F196" s="17"/>
      <c r="G196" s="18"/>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35">
      <c r="A197" s="17"/>
      <c r="B197" s="17"/>
      <c r="C197" s="17"/>
      <c r="D197" s="17"/>
      <c r="E197" s="17"/>
      <c r="F197" s="17"/>
      <c r="G197" s="18"/>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35">
      <c r="A198" s="17"/>
      <c r="B198" s="17"/>
      <c r="C198" s="17"/>
      <c r="D198" s="17"/>
      <c r="E198" s="17"/>
      <c r="F198" s="17"/>
      <c r="G198" s="18"/>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35">
      <c r="A199" s="17"/>
      <c r="B199" s="17"/>
      <c r="C199" s="17"/>
      <c r="D199" s="17"/>
      <c r="E199" s="17"/>
      <c r="F199" s="17"/>
      <c r="G199" s="18"/>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35">
      <c r="A200" s="17"/>
      <c r="B200" s="17"/>
      <c r="C200" s="17"/>
      <c r="D200" s="17"/>
      <c r="E200" s="17"/>
      <c r="F200" s="17"/>
      <c r="G200" s="18"/>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35">
      <c r="A201" s="17"/>
      <c r="B201" s="17"/>
      <c r="C201" s="17"/>
      <c r="D201" s="17"/>
      <c r="E201" s="17"/>
      <c r="F201" s="17"/>
      <c r="G201" s="18"/>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35">
      <c r="A202" s="17"/>
      <c r="B202" s="17"/>
      <c r="C202" s="17"/>
      <c r="D202" s="17"/>
      <c r="E202" s="17"/>
      <c r="F202" s="17"/>
      <c r="G202" s="18"/>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35">
      <c r="A203" s="17"/>
      <c r="B203" s="17"/>
      <c r="C203" s="17"/>
      <c r="D203" s="17"/>
      <c r="E203" s="17"/>
      <c r="F203" s="17"/>
      <c r="G203" s="18"/>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35">
      <c r="A204" s="17"/>
      <c r="B204" s="17"/>
      <c r="C204" s="17"/>
      <c r="D204" s="17"/>
      <c r="E204" s="17"/>
      <c r="F204" s="17"/>
      <c r="G204" s="18"/>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35">
      <c r="A205" s="17"/>
      <c r="B205" s="17"/>
      <c r="C205" s="17"/>
      <c r="D205" s="17"/>
      <c r="E205" s="17"/>
      <c r="F205" s="17"/>
      <c r="G205" s="18"/>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35">
      <c r="A206" s="17"/>
      <c r="B206" s="17"/>
      <c r="C206" s="17"/>
      <c r="D206" s="17"/>
      <c r="E206" s="17"/>
      <c r="F206" s="17"/>
      <c r="G206" s="18"/>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35">
      <c r="A207" s="17"/>
      <c r="B207" s="17"/>
      <c r="C207" s="17"/>
      <c r="D207" s="17"/>
      <c r="E207" s="17"/>
      <c r="F207" s="17"/>
      <c r="G207" s="18"/>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35">
      <c r="A208" s="17"/>
      <c r="B208" s="17"/>
      <c r="C208" s="17"/>
      <c r="D208" s="17"/>
      <c r="E208" s="17"/>
      <c r="F208" s="17"/>
      <c r="G208" s="18"/>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35">
      <c r="A209" s="17"/>
      <c r="B209" s="17"/>
      <c r="C209" s="17"/>
      <c r="D209" s="17"/>
      <c r="E209" s="17"/>
      <c r="F209" s="17"/>
      <c r="G209" s="18"/>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35">
      <c r="A210" s="17"/>
      <c r="B210" s="17"/>
      <c r="C210" s="17"/>
      <c r="D210" s="17"/>
      <c r="E210" s="17"/>
      <c r="F210" s="17"/>
      <c r="G210" s="18"/>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35">
      <c r="A211" s="17"/>
      <c r="B211" s="17"/>
      <c r="C211" s="17"/>
      <c r="D211" s="17"/>
      <c r="E211" s="17"/>
      <c r="F211" s="17"/>
      <c r="G211" s="18"/>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35">
      <c r="A212" s="17"/>
      <c r="B212" s="17"/>
      <c r="C212" s="17"/>
      <c r="D212" s="17"/>
      <c r="E212" s="17"/>
      <c r="F212" s="17"/>
      <c r="G212" s="18"/>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35">
      <c r="A213" s="17"/>
      <c r="B213" s="17"/>
      <c r="C213" s="17"/>
      <c r="D213" s="17"/>
      <c r="E213" s="17"/>
      <c r="F213" s="17"/>
      <c r="G213" s="18"/>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35">
      <c r="A214" s="17"/>
      <c r="B214" s="17"/>
      <c r="C214" s="17"/>
      <c r="D214" s="17"/>
      <c r="E214" s="17"/>
      <c r="F214" s="17"/>
      <c r="G214" s="18"/>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B61:B67">
    <cfRule type="expression" dxfId="36" priority="1">
      <formula>$G$23="No"</formula>
    </cfRule>
    <cfRule type="expression" dxfId="35" priority="2">
      <formula>$G$22="No"</formula>
    </cfRule>
  </conditionalFormatting>
  <conditionalFormatting sqref="B27:AO60 C61:AO65 C66:I66 N66:AO67 C67:H67 B68:AO142">
    <cfRule type="expression" dxfId="34" priority="5">
      <formula>$G$23="No"</formula>
    </cfRule>
    <cfRule type="expression" dxfId="33" priority="6">
      <formula>$G$22="No"</formula>
    </cfRule>
  </conditionalFormatting>
  <conditionalFormatting sqref="D109:F112">
    <cfRule type="cellIs" dxfId="32" priority="74" stopIfTrue="1" operator="notBetween">
      <formula>10</formula>
      <formula>80</formula>
    </cfRule>
  </conditionalFormatting>
  <conditionalFormatting sqref="E98">
    <cfRule type="expression" dxfId="31" priority="68" stopIfTrue="1">
      <formula>F94="Option A"</formula>
    </cfRule>
  </conditionalFormatting>
  <conditionalFormatting sqref="E102">
    <cfRule type="expression" dxfId="30" priority="71" stopIfTrue="1">
      <formula>F94="Option A"</formula>
    </cfRule>
  </conditionalFormatting>
  <conditionalFormatting sqref="E106">
    <cfRule type="expression" dxfId="29" priority="59">
      <formula>F94="Option A"</formula>
    </cfRule>
  </conditionalFormatting>
  <conditionalFormatting sqref="E71:F71">
    <cfRule type="expression" dxfId="28" priority="76">
      <formula>#REF!="Yes"</formula>
    </cfRule>
  </conditionalFormatting>
  <conditionalFormatting sqref="E40:G44">
    <cfRule type="expression" dxfId="27" priority="11" stopIfTrue="1">
      <formula>IF($F$38="No", "TRUE", "FALSE")</formula>
    </cfRule>
  </conditionalFormatting>
  <conditionalFormatting sqref="E72:G78">
    <cfRule type="expression" dxfId="26" priority="22" stopIfTrue="1">
      <formula>$F$71="Yes"</formula>
    </cfRule>
  </conditionalFormatting>
  <conditionalFormatting sqref="E79:G79 D80:G91 B84">
    <cfRule type="expression" dxfId="25" priority="8" stopIfTrue="1">
      <formula>$F$71="NO"</formula>
    </cfRule>
  </conditionalFormatting>
  <conditionalFormatting sqref="F39">
    <cfRule type="cellIs" dxfId="24" priority="72" stopIfTrue="1" operator="greaterThan">
      <formula>200</formula>
    </cfRule>
  </conditionalFormatting>
  <conditionalFormatting sqref="F40:F41">
    <cfRule type="cellIs" dxfId="23" priority="39" operator="equal">
      <formula>"""NA"""</formula>
    </cfRule>
    <cfRule type="cellIs" dxfId="22" priority="33" operator="equal">
      <formula>"NA"</formula>
    </cfRule>
  </conditionalFormatting>
  <conditionalFormatting sqref="F45:F47">
    <cfRule type="cellIs" dxfId="21" priority="10" operator="lessThan">
      <formula>$F$30</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64">
    <cfRule type="cellIs" dxfId="20" priority="7" operator="lessThan">
      <formula>$F$63</formula>
    </cfRule>
  </conditionalFormatting>
  <conditionalFormatting sqref="F67">
    <cfRule type="cellIs" dxfId="19" priority="15" operator="lessThan">
      <formula>$F$63</formula>
    </cfRule>
  </conditionalFormatting>
  <conditionalFormatting sqref="F73">
    <cfRule type="cellIs" dxfId="18" priority="78" operator="lessThan">
      <formula>0.25</formula>
    </cfRule>
  </conditionalFormatting>
  <conditionalFormatting sqref="F76">
    <cfRule type="cellIs" dxfId="17" priority="29" operator="lessThan">
      <formula>$F$75</formula>
    </cfRule>
  </conditionalFormatting>
  <conditionalFormatting sqref="F78">
    <cfRule type="cellIs" dxfId="16" priority="26" operator="lessThan">
      <formula>1.1</formula>
    </cfRule>
    <cfRule type="cellIs" dxfId="15" priority="27" operator="between">
      <formula>1.1</formula>
      <formula>1.3</formula>
    </cfRule>
  </conditionalFormatting>
  <conditionalFormatting sqref="F79">
    <cfRule type="expression" dxfId="14" priority="14">
      <formula>#REF!="Yes"</formula>
    </cfRule>
  </conditionalFormatting>
  <conditionalFormatting sqref="F80:F81">
    <cfRule type="containsText" dxfId="13" priority="9" operator="containsText" text="NA">
      <formula>NOT(ISERROR(SEARCH("NA",F80)))</formula>
    </cfRule>
  </conditionalFormatting>
  <conditionalFormatting sqref="F82 F85">
    <cfRule type="cellIs" dxfId="12" priority="17" operator="greaterThanOrEqual">
      <formula>$F$80</formula>
    </cfRule>
  </conditionalFormatting>
  <conditionalFormatting sqref="F86 F91">
    <cfRule type="cellIs" dxfId="11" priority="19" operator="lessThan">
      <formula>1.1</formula>
    </cfRule>
  </conditionalFormatting>
  <conditionalFormatting sqref="F86">
    <cfRule type="cellIs" dxfId="10" priority="18" operator="between">
      <formula>1.1</formula>
      <formula>1.499999</formula>
    </cfRule>
  </conditionalFormatting>
  <conditionalFormatting sqref="F91">
    <cfRule type="cellIs" dxfId="9" priority="16" operator="between">
      <formula>1.1</formula>
      <formula>1.299999</formula>
    </cfRule>
  </conditionalFormatting>
  <conditionalFormatting sqref="F96">
    <cfRule type="cellIs" dxfId="8" priority="65" stopIfTrue="1" operator="greaterThanOrEqual">
      <formula>F95</formula>
    </cfRule>
  </conditionalFormatting>
  <conditionalFormatting sqref="F102">
    <cfRule type="expression" dxfId="7" priority="69" stopIfTrue="1">
      <formula>F94="Option A"</formula>
    </cfRule>
  </conditionalFormatting>
  <conditionalFormatting sqref="G54:G60">
    <cfRule type="expression" dxfId="6" priority="12" stopIfTrue="1">
      <formula>IF($F$51="Custom", "FALSE", "TRUE")</formula>
    </cfRule>
  </conditionalFormatting>
  <conditionalFormatting sqref="G82 G84:G89">
    <cfRule type="expression" dxfId="5" priority="24">
      <formula>#REF!="Yes"</formula>
    </cfRule>
  </conditionalFormatting>
  <conditionalFormatting sqref="G98">
    <cfRule type="expression" dxfId="4" priority="67" stopIfTrue="1">
      <formula>F94="Option A"</formula>
    </cfRule>
  </conditionalFormatting>
  <conditionalFormatting sqref="G102">
    <cfRule type="expression" dxfId="3" priority="62">
      <formula>F94="Option A"</formula>
    </cfRule>
  </conditionalFormatting>
  <conditionalFormatting sqref="G106">
    <cfRule type="expression" dxfId="2" priority="61">
      <formula>F94="Option A"</formula>
    </cfRule>
  </conditionalFormatting>
  <conditionalFormatting sqref="AS59:AS65">
    <cfRule type="expression" dxfId="1" priority="4">
      <formula>$G$22="No"</formula>
    </cfRule>
    <cfRule type="expression" dxfId="0" priority="3">
      <formula>$G$23="No"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35"/>
  <cols>
    <col min="1" max="1" width="9.3984375" customWidth="1"/>
    <col min="2" max="2" width="24.265625" customWidth="1"/>
    <col min="3" max="3" width="9.1328125" customWidth="1"/>
    <col min="12" max="12" width="13.59765625" customWidth="1"/>
  </cols>
  <sheetData>
    <row r="2" spans="1:17" x14ac:dyDescent="0.35">
      <c r="A2" s="28"/>
      <c r="C2" s="28" t="s">
        <v>71</v>
      </c>
      <c r="D2" s="28" t="s">
        <v>72</v>
      </c>
      <c r="E2" s="28" t="s">
        <v>73</v>
      </c>
      <c r="F2" s="28" t="s">
        <v>158</v>
      </c>
    </row>
    <row r="3" spans="1:17" ht="13.15" x14ac:dyDescent="0.4">
      <c r="A3" s="23" t="s">
        <v>155</v>
      </c>
      <c r="C3" s="28"/>
      <c r="D3" s="28"/>
      <c r="E3" s="28"/>
    </row>
    <row r="4" spans="1:17" ht="13.15" x14ac:dyDescent="0.4">
      <c r="A4" s="23"/>
      <c r="B4" s="28" t="s">
        <v>166</v>
      </c>
      <c r="C4" s="68">
        <v>-40</v>
      </c>
      <c r="D4" s="68"/>
      <c r="E4" s="68">
        <v>125</v>
      </c>
    </row>
    <row r="5" spans="1:17" x14ac:dyDescent="0.35">
      <c r="B5" s="29" t="s">
        <v>156</v>
      </c>
      <c r="C5" s="1">
        <v>9</v>
      </c>
      <c r="D5" s="1"/>
      <c r="E5" s="1">
        <v>80</v>
      </c>
      <c r="F5" s="28" t="s">
        <v>86</v>
      </c>
      <c r="J5" s="2"/>
    </row>
    <row r="6" spans="1:17" ht="16.5" customHeight="1" x14ac:dyDescent="0.4">
      <c r="A6" s="23" t="s">
        <v>132</v>
      </c>
      <c r="B6" s="29"/>
      <c r="C6" s="1"/>
      <c r="D6" s="1"/>
      <c r="E6" s="1"/>
      <c r="J6" s="2"/>
    </row>
    <row r="7" spans="1:17" x14ac:dyDescent="0.35">
      <c r="B7" s="29"/>
      <c r="C7" s="1"/>
      <c r="D7" s="1"/>
      <c r="E7" s="1"/>
      <c r="J7" s="2"/>
    </row>
    <row r="8" spans="1:17" x14ac:dyDescent="0.35">
      <c r="B8" s="29"/>
      <c r="C8" s="1">
        <v>48.5</v>
      </c>
      <c r="D8" s="1">
        <v>55</v>
      </c>
      <c r="E8" s="1">
        <v>61.5</v>
      </c>
      <c r="J8" s="29"/>
    </row>
    <row r="9" spans="1:17" x14ac:dyDescent="0.35">
      <c r="B9" s="29" t="s">
        <v>157</v>
      </c>
      <c r="C9" s="1"/>
      <c r="D9" s="1">
        <v>23</v>
      </c>
      <c r="E9" s="1"/>
      <c r="F9" s="28" t="s">
        <v>159</v>
      </c>
      <c r="J9" s="29"/>
    </row>
    <row r="10" spans="1:17" x14ac:dyDescent="0.35">
      <c r="C10" s="1"/>
      <c r="D10" s="1"/>
      <c r="E10" s="1"/>
    </row>
    <row r="11" spans="1:17" ht="13.15" x14ac:dyDescent="0.4">
      <c r="A11" s="23" t="s">
        <v>168</v>
      </c>
      <c r="C11" s="1"/>
      <c r="D11" s="1"/>
      <c r="E11" s="1"/>
    </row>
    <row r="12" spans="1:17" x14ac:dyDescent="0.35">
      <c r="B12" s="28" t="s">
        <v>264</v>
      </c>
      <c r="C12" s="1"/>
      <c r="D12" s="1"/>
      <c r="E12" s="1">
        <v>1E-3</v>
      </c>
      <c r="F12" s="28" t="s">
        <v>86</v>
      </c>
    </row>
    <row r="13" spans="1:17" x14ac:dyDescent="0.35">
      <c r="B13" s="28" t="s">
        <v>265</v>
      </c>
      <c r="C13" s="1"/>
      <c r="D13" s="1"/>
      <c r="E13" s="1">
        <v>5.0000000000000001E-3</v>
      </c>
      <c r="F13" s="28" t="s">
        <v>86</v>
      </c>
      <c r="G13" s="28" t="s">
        <v>266</v>
      </c>
    </row>
    <row r="14" spans="1:17" x14ac:dyDescent="0.35">
      <c r="B14" s="28" t="s">
        <v>267</v>
      </c>
      <c r="C14" s="1"/>
      <c r="D14" s="1"/>
      <c r="E14" s="134">
        <v>125000</v>
      </c>
      <c r="F14" s="28"/>
    </row>
    <row r="15" spans="1:17" x14ac:dyDescent="0.35">
      <c r="B15" s="28"/>
      <c r="C15" s="1"/>
      <c r="D15" s="1"/>
      <c r="E15" s="134"/>
      <c r="F15" s="28"/>
    </row>
    <row r="16" spans="1:17" x14ac:dyDescent="0.35">
      <c r="B16" s="28" t="s">
        <v>274</v>
      </c>
      <c r="C16" s="133" t="s">
        <v>268</v>
      </c>
      <c r="D16" s="1"/>
      <c r="E16" s="1"/>
      <c r="F16" s="28"/>
      <c r="I16" s="28" t="s">
        <v>269</v>
      </c>
      <c r="J16" s="28" t="s">
        <v>70</v>
      </c>
      <c r="K16" s="28" t="s">
        <v>270</v>
      </c>
      <c r="L16" s="28" t="s">
        <v>272</v>
      </c>
      <c r="M16" s="28" t="s">
        <v>271</v>
      </c>
      <c r="N16" s="28" t="s">
        <v>273</v>
      </c>
      <c r="P16" s="28" t="s">
        <v>271</v>
      </c>
      <c r="Q16" s="28" t="s">
        <v>270</v>
      </c>
    </row>
    <row r="17" spans="1:17" x14ac:dyDescent="0.35">
      <c r="B17" s="28"/>
      <c r="C17" s="133" t="s">
        <v>471</v>
      </c>
      <c r="D17" s="1"/>
      <c r="E17" s="1"/>
      <c r="F17" s="28"/>
      <c r="J17">
        <v>12</v>
      </c>
      <c r="K17">
        <v>25</v>
      </c>
      <c r="L17">
        <f>0.5</f>
        <v>0.5</v>
      </c>
      <c r="M17" s="136">
        <f>1/(0.001*L17)*(K17*1000/$E$14+J17*$E$12)</f>
        <v>424.00000000000006</v>
      </c>
      <c r="N17" s="135">
        <f>K17*1000/$E$14/J17+$E$12</f>
        <v>1.7666666666666667E-2</v>
      </c>
      <c r="P17">
        <v>82</v>
      </c>
      <c r="Q17">
        <f>E14*(P17*L17*0.001-J17*E12)</f>
        <v>3625</v>
      </c>
    </row>
    <row r="18" spans="1:17" x14ac:dyDescent="0.35">
      <c r="B18" s="28"/>
      <c r="C18" s="133" t="s">
        <v>470</v>
      </c>
      <c r="D18" s="1"/>
      <c r="E18" s="1"/>
      <c r="F18" s="28"/>
      <c r="J18">
        <v>12</v>
      </c>
      <c r="K18">
        <v>5</v>
      </c>
      <c r="L18">
        <f>0.5</f>
        <v>0.5</v>
      </c>
      <c r="M18" s="136">
        <f>1/(0.001*L18)*(K18*1000/$E$14+J18*$E$12)</f>
        <v>104.00000000000001</v>
      </c>
      <c r="N18" s="135">
        <f>K18*1000/$E$14/J18+$E$12*0.001</f>
        <v>3.3343333333333337E-3</v>
      </c>
    </row>
    <row r="19" spans="1:17" x14ac:dyDescent="0.35">
      <c r="B19" s="28" t="s">
        <v>275</v>
      </c>
      <c r="E19" s="1"/>
      <c r="F19" s="28"/>
      <c r="I19" s="28" t="s">
        <v>277</v>
      </c>
      <c r="M19" s="136"/>
      <c r="N19" s="135"/>
    </row>
    <row r="20" spans="1:17" x14ac:dyDescent="0.35">
      <c r="C20" s="1"/>
      <c r="D20" s="1"/>
      <c r="E20" s="1"/>
    </row>
    <row r="21" spans="1:17" ht="13.15" x14ac:dyDescent="0.4">
      <c r="A21" s="23" t="s">
        <v>161</v>
      </c>
      <c r="C21" s="1"/>
      <c r="D21" s="1"/>
      <c r="E21" s="1"/>
    </row>
    <row r="22" spans="1:17" x14ac:dyDescent="0.35">
      <c r="B22" s="29" t="s">
        <v>162</v>
      </c>
      <c r="C22" s="1">
        <v>3.76</v>
      </c>
      <c r="D22" s="1">
        <v>4</v>
      </c>
      <c r="E22" s="1">
        <v>4.16</v>
      </c>
      <c r="F22" s="28" t="s">
        <v>86</v>
      </c>
    </row>
    <row r="23" spans="1:17" x14ac:dyDescent="0.35">
      <c r="B23" s="29" t="s">
        <v>163</v>
      </c>
      <c r="C23" s="1">
        <v>-8</v>
      </c>
      <c r="D23" s="1">
        <v>-5.5</v>
      </c>
      <c r="E23" s="1">
        <v>-3</v>
      </c>
      <c r="F23" s="28" t="s">
        <v>159</v>
      </c>
    </row>
    <row r="24" spans="1:17" x14ac:dyDescent="0.35">
      <c r="B24" s="29" t="s">
        <v>363</v>
      </c>
      <c r="C24" s="1"/>
      <c r="D24" s="1"/>
      <c r="E24" s="1"/>
      <c r="F24" s="28"/>
    </row>
    <row r="25" spans="1:17" x14ac:dyDescent="0.35">
      <c r="B25" s="29" t="s">
        <v>164</v>
      </c>
      <c r="C25" s="1">
        <v>120</v>
      </c>
      <c r="D25" s="1">
        <v>85</v>
      </c>
      <c r="E25" s="1">
        <v>51</v>
      </c>
      <c r="F25" s="28" t="s">
        <v>159</v>
      </c>
    </row>
    <row r="26" spans="1:17" x14ac:dyDescent="0.35">
      <c r="B26" s="29" t="s">
        <v>300</v>
      </c>
      <c r="C26" s="1"/>
      <c r="D26" s="1">
        <f>SQRT(0.66^2+ ((120-90)/90)^2+ 0.1^2)</f>
        <v>0.74613076006227697</v>
      </c>
      <c r="E26" s="1"/>
      <c r="F26" s="28"/>
      <c r="G26" s="28" t="s">
        <v>299</v>
      </c>
    </row>
    <row r="27" spans="1:17" x14ac:dyDescent="0.35">
      <c r="B27" s="29" t="s">
        <v>297</v>
      </c>
      <c r="C27" s="1"/>
      <c r="D27" s="1">
        <v>0.5</v>
      </c>
      <c r="E27" s="1"/>
      <c r="F27" s="28"/>
      <c r="G27" s="28" t="s">
        <v>298</v>
      </c>
    </row>
    <row r="28" spans="1:17" x14ac:dyDescent="0.35">
      <c r="B28" s="2"/>
      <c r="C28" s="1"/>
      <c r="D28" s="1"/>
      <c r="E28" s="1"/>
    </row>
    <row r="29" spans="1:17" ht="13.15" x14ac:dyDescent="0.4">
      <c r="A29" s="23" t="s">
        <v>196</v>
      </c>
      <c r="B29" s="2"/>
      <c r="C29" s="1"/>
      <c r="D29" s="1"/>
      <c r="E29" s="1"/>
    </row>
    <row r="30" spans="1:17" x14ac:dyDescent="0.35">
      <c r="B30" s="29" t="s">
        <v>200</v>
      </c>
      <c r="C30" s="1">
        <v>10</v>
      </c>
      <c r="D30" s="1">
        <v>16</v>
      </c>
      <c r="E30" s="1">
        <v>22</v>
      </c>
    </row>
    <row r="31" spans="1:17" x14ac:dyDescent="0.35">
      <c r="B31" s="2"/>
      <c r="C31" s="1"/>
      <c r="D31" s="1"/>
      <c r="E31" s="1"/>
    </row>
    <row r="32" spans="1:17" ht="13.15" x14ac:dyDescent="0.4">
      <c r="A32" s="23" t="s">
        <v>160</v>
      </c>
      <c r="B32" s="2"/>
      <c r="C32" s="287"/>
      <c r="D32" s="287"/>
      <c r="E32" s="287"/>
      <c r="F32" s="287"/>
      <c r="G32" s="287"/>
      <c r="H32" s="287"/>
    </row>
    <row r="33" spans="1:8" x14ac:dyDescent="0.35">
      <c r="B33" s="29"/>
      <c r="C33" s="1"/>
      <c r="D33" s="1"/>
      <c r="E33" s="1"/>
      <c r="F33" s="1"/>
      <c r="G33" s="1"/>
      <c r="H33" s="1"/>
    </row>
    <row r="34" spans="1:8" x14ac:dyDescent="0.35">
      <c r="B34" s="29"/>
      <c r="C34" s="1"/>
      <c r="D34" s="1"/>
      <c r="E34" s="1"/>
      <c r="F34" s="1"/>
      <c r="G34" s="1"/>
      <c r="H34" s="1"/>
    </row>
    <row r="35" spans="1:8" x14ac:dyDescent="0.35">
      <c r="B35" s="29"/>
      <c r="C35" s="1"/>
      <c r="D35" s="1"/>
      <c r="E35" s="1"/>
      <c r="F35" s="1"/>
      <c r="G35" s="1"/>
      <c r="H35" s="1"/>
    </row>
    <row r="36" spans="1:8" x14ac:dyDescent="0.35">
      <c r="B36" s="29"/>
      <c r="C36" s="1"/>
      <c r="D36" s="1"/>
      <c r="E36" s="1"/>
      <c r="F36" s="1"/>
      <c r="G36" s="1"/>
      <c r="H36" s="1"/>
    </row>
    <row r="37" spans="1:8" x14ac:dyDescent="0.35">
      <c r="B37" s="2"/>
      <c r="C37" s="1"/>
      <c r="D37" s="1"/>
      <c r="E37" s="1"/>
    </row>
    <row r="38" spans="1:8" ht="13.15" x14ac:dyDescent="0.4">
      <c r="A38" s="23" t="s">
        <v>232</v>
      </c>
      <c r="B38" s="2"/>
    </row>
    <row r="39" spans="1:8" x14ac:dyDescent="0.35">
      <c r="B39" s="29" t="s">
        <v>162</v>
      </c>
      <c r="C39">
        <v>3.76</v>
      </c>
      <c r="D39">
        <v>4</v>
      </c>
      <c r="E39">
        <v>4.16</v>
      </c>
    </row>
    <row r="40" spans="1:8" x14ac:dyDescent="0.35">
      <c r="B40" s="29" t="s">
        <v>233</v>
      </c>
      <c r="C40">
        <v>1.1870000000000001</v>
      </c>
      <c r="D40">
        <v>1.25</v>
      </c>
      <c r="E40">
        <v>1.3129999999999999</v>
      </c>
    </row>
    <row r="41" spans="1:8" x14ac:dyDescent="0.35">
      <c r="B41" s="29" t="s">
        <v>234</v>
      </c>
      <c r="D41">
        <v>0.3</v>
      </c>
    </row>
    <row r="42" spans="1:8" x14ac:dyDescent="0.35">
      <c r="B42" s="29" t="s">
        <v>235</v>
      </c>
      <c r="D42">
        <v>0.3</v>
      </c>
    </row>
    <row r="43" spans="1:8" x14ac:dyDescent="0.35">
      <c r="B43" s="29" t="s">
        <v>236</v>
      </c>
      <c r="C43">
        <v>3</v>
      </c>
      <c r="D43">
        <v>5.5</v>
      </c>
      <c r="E43">
        <v>8</v>
      </c>
    </row>
    <row r="44" spans="1:8" x14ac:dyDescent="0.35">
      <c r="B44" s="29" t="s">
        <v>237</v>
      </c>
      <c r="C44">
        <v>1</v>
      </c>
      <c r="D44">
        <v>1.5</v>
      </c>
      <c r="E44">
        <v>2</v>
      </c>
    </row>
    <row r="45" spans="1:8" x14ac:dyDescent="0.35">
      <c r="B45" s="29" t="s">
        <v>164</v>
      </c>
      <c r="C45">
        <v>51</v>
      </c>
      <c r="D45">
        <v>85</v>
      </c>
      <c r="E45">
        <v>120</v>
      </c>
    </row>
    <row r="46" spans="1:8" x14ac:dyDescent="0.35">
      <c r="B46" s="29" t="s">
        <v>238</v>
      </c>
      <c r="C46">
        <v>1.25</v>
      </c>
      <c r="D46">
        <v>2.5</v>
      </c>
      <c r="E46">
        <v>3.75</v>
      </c>
    </row>
    <row r="48" spans="1:8" ht="13.15" x14ac:dyDescent="0.4">
      <c r="A48" s="23" t="s">
        <v>242</v>
      </c>
    </row>
    <row r="49" spans="1:8" x14ac:dyDescent="0.35">
      <c r="B49" s="29" t="s">
        <v>243</v>
      </c>
      <c r="D49">
        <v>60</v>
      </c>
      <c r="E49">
        <v>150</v>
      </c>
      <c r="F49" s="28" t="s">
        <v>169</v>
      </c>
      <c r="G49">
        <v>2</v>
      </c>
      <c r="H49" s="28" t="s">
        <v>244</v>
      </c>
    </row>
    <row r="50" spans="1:8" ht="13.15" x14ac:dyDescent="0.4">
      <c r="A50" s="23" t="s">
        <v>245</v>
      </c>
    </row>
    <row r="51" spans="1:8" x14ac:dyDescent="0.35">
      <c r="B51" s="28" t="s">
        <v>246</v>
      </c>
      <c r="C51">
        <v>2.41</v>
      </c>
      <c r="D51">
        <v>2.46</v>
      </c>
      <c r="E51">
        <v>2.52</v>
      </c>
      <c r="F51" s="28" t="s">
        <v>86</v>
      </c>
    </row>
    <row r="52" spans="1:8" x14ac:dyDescent="0.35">
      <c r="B52" s="28" t="s">
        <v>247</v>
      </c>
      <c r="C52">
        <v>15</v>
      </c>
      <c r="D52">
        <v>20</v>
      </c>
      <c r="E52">
        <v>25</v>
      </c>
      <c r="F52" s="28"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35"/>
  <cols>
    <col min="6" max="6" width="12.3984375" bestFit="1" customWidth="1"/>
    <col min="8" max="8" width="14" customWidth="1"/>
    <col min="9" max="9" width="12.73046875" customWidth="1"/>
    <col min="10" max="10" width="11.73046875" customWidth="1"/>
  </cols>
  <sheetData>
    <row r="13" spans="1:6" ht="13.15" x14ac:dyDescent="0.4">
      <c r="A13" s="23" t="s">
        <v>132</v>
      </c>
    </row>
    <row r="14" spans="1:6" x14ac:dyDescent="0.35">
      <c r="E14" s="2"/>
    </row>
    <row r="15" spans="1:6" x14ac:dyDescent="0.35">
      <c r="D15" t="s">
        <v>207</v>
      </c>
      <c r="E15">
        <f>IF('Design Calculator'!$F$36="26 mV",'Device Parameters'!C7,'Device Parameters'!C8)</f>
        <v>48.5</v>
      </c>
      <c r="F15" s="85" t="s">
        <v>169</v>
      </c>
    </row>
    <row r="16" spans="1:6" x14ac:dyDescent="0.35">
      <c r="D16" t="s">
        <v>206</v>
      </c>
      <c r="E16">
        <f>IF('Design Calculator'!$F$36="26 mV",'Device Parameters'!D7,'Device Parameters'!D8)</f>
        <v>55</v>
      </c>
      <c r="F16" s="85" t="s">
        <v>169</v>
      </c>
    </row>
    <row r="17" spans="1:8" x14ac:dyDescent="0.35">
      <c r="D17" t="s">
        <v>205</v>
      </c>
      <c r="E17">
        <f>IF('Design Calculator'!$F$36="26 mV",'Device Parameters'!E7,'Device Parameters'!E8)</f>
        <v>61.5</v>
      </c>
      <c r="F17" s="85" t="s">
        <v>169</v>
      </c>
    </row>
    <row r="18" spans="1:8" x14ac:dyDescent="0.35">
      <c r="E18" s="2"/>
    </row>
    <row r="19" spans="1:8" ht="13.15" x14ac:dyDescent="0.4">
      <c r="A19" s="23"/>
      <c r="E19" s="2"/>
    </row>
    <row r="20" spans="1:8" x14ac:dyDescent="0.35">
      <c r="E20" s="2" t="s">
        <v>0</v>
      </c>
      <c r="F20">
        <f>CLMIN_Threshold/('Design Calculator'!F30*1.01)</f>
        <v>1.6006600660066006</v>
      </c>
    </row>
    <row r="21" spans="1:8" x14ac:dyDescent="0.35">
      <c r="E21" s="29" t="s">
        <v>208</v>
      </c>
      <c r="F21" s="28" t="str">
        <f>IF(Rs&gt;RsMAX,10,"NA")</f>
        <v>NA</v>
      </c>
    </row>
    <row r="22" spans="1:8" x14ac:dyDescent="0.35">
      <c r="E22" s="29" t="s">
        <v>209</v>
      </c>
      <c r="F22" t="str">
        <f>IF(Rs&gt;RsMAX,(((IOUTMAX*Rs)/CLMIN_Threshold)-1)*F21,"NA")</f>
        <v>NA</v>
      </c>
    </row>
    <row r="23" spans="1:8" x14ac:dyDescent="0.35">
      <c r="E23" s="29" t="s">
        <v>210</v>
      </c>
      <c r="F23">
        <f>IF(RsMAX&gt;Rs,Rs,IF('Design Calculator'!F38="Yes",IF(Rs&gt;RsMAX,Rs/(1+RDIV2/RDIV1),Rs),Rs))</f>
        <v>1</v>
      </c>
      <c r="H23" s="119"/>
    </row>
    <row r="24" spans="1:8" x14ac:dyDescent="0.35">
      <c r="E24" s="2" t="s">
        <v>1</v>
      </c>
      <c r="F24" s="3">
        <f>CLMIN_Threshold/RsEFF</f>
        <v>48.5</v>
      </c>
      <c r="G24" s="3"/>
    </row>
    <row r="25" spans="1:8" x14ac:dyDescent="0.35">
      <c r="E25" s="2" t="s">
        <v>2</v>
      </c>
      <c r="F25">
        <f>CLNOM_Threshold/RsEFF</f>
        <v>55</v>
      </c>
    </row>
    <row r="26" spans="1:8" x14ac:dyDescent="0.35">
      <c r="E26" s="2" t="s">
        <v>3</v>
      </c>
      <c r="F26">
        <f>CLMAX_Threshold/RsEFF</f>
        <v>61.5</v>
      </c>
    </row>
    <row r="27" spans="1:8" x14ac:dyDescent="0.35">
      <c r="E27" s="2" t="s">
        <v>4</v>
      </c>
      <c r="F27">
        <f>F26^2*'Design Calculator'!F39</f>
        <v>3782.25</v>
      </c>
    </row>
    <row r="30" spans="1:8" x14ac:dyDescent="0.35">
      <c r="E30" s="2"/>
    </row>
    <row r="31" spans="1:8" ht="13.15" x14ac:dyDescent="0.4">
      <c r="A31" s="23" t="s">
        <v>152</v>
      </c>
    </row>
    <row r="32" spans="1:8" x14ac:dyDescent="0.35">
      <c r="A32" s="28"/>
      <c r="F32" s="28" t="s">
        <v>153</v>
      </c>
      <c r="H32" s="28" t="s">
        <v>154</v>
      </c>
    </row>
    <row r="33" spans="1:8" x14ac:dyDescent="0.35">
      <c r="A33" s="28"/>
      <c r="E33" s="32" t="s">
        <v>128</v>
      </c>
      <c r="F33" s="59">
        <f>VINMAX*'Design Calculator'!F56</f>
        <v>1386</v>
      </c>
      <c r="G33" s="28" t="s">
        <v>87</v>
      </c>
      <c r="H33">
        <f>F33*(TJMAX-TJ)/(TJMAX-25)</f>
        <v>380.45700000000011</v>
      </c>
    </row>
    <row r="34" spans="1:8" x14ac:dyDescent="0.35">
      <c r="A34" s="28"/>
      <c r="E34" s="32" t="s">
        <v>129</v>
      </c>
      <c r="F34" s="59">
        <f>VINMAX*'Design Calculator'!F57</f>
        <v>504</v>
      </c>
      <c r="G34" s="28" t="s">
        <v>87</v>
      </c>
      <c r="H34">
        <f>F34*(TJMAX-TJ)/(TJMAX-25)</f>
        <v>138.34800000000004</v>
      </c>
    </row>
    <row r="35" spans="1:8" x14ac:dyDescent="0.35">
      <c r="A35" s="28"/>
      <c r="E35" s="32" t="s">
        <v>130</v>
      </c>
      <c r="F35" s="59">
        <f>VINMAX*'Design Calculator'!F58</f>
        <v>151.19999999999999</v>
      </c>
      <c r="G35" s="28" t="s">
        <v>87</v>
      </c>
      <c r="H35">
        <f>F35*(TJMAX-TJ)/(TJMAX-25)</f>
        <v>41.504400000000011</v>
      </c>
    </row>
    <row r="36" spans="1:8" x14ac:dyDescent="0.35">
      <c r="A36" s="28"/>
      <c r="E36" s="32" t="s">
        <v>131</v>
      </c>
      <c r="F36" s="59" t="e">
        <f>VINMAX*'Design Calculator'!F59</f>
        <v>#VALUE!</v>
      </c>
      <c r="G36" s="28" t="s">
        <v>87</v>
      </c>
      <c r="H36" t="e">
        <f>F36*(TJMAX-TJ)/(TJMAX-25)</f>
        <v>#VALUE!</v>
      </c>
    </row>
    <row r="37" spans="1:8" x14ac:dyDescent="0.35">
      <c r="A37" s="28"/>
      <c r="E37" s="29"/>
      <c r="F37" s="66"/>
      <c r="G37" s="28"/>
    </row>
    <row r="38" spans="1:8" x14ac:dyDescent="0.35">
      <c r="A38" s="28"/>
      <c r="E38" s="29" t="s">
        <v>170</v>
      </c>
      <c r="F38" s="66">
        <f>VINMAX*'Device Parameters'!E13/RsEFF/0.001</f>
        <v>126</v>
      </c>
      <c r="G38" s="28" t="s">
        <v>87</v>
      </c>
    </row>
    <row r="39" spans="1:8" x14ac:dyDescent="0.35">
      <c r="A39" s="28"/>
      <c r="E39" s="29" t="s">
        <v>280</v>
      </c>
      <c r="F39" s="66">
        <f>'Design Calculator'!F64</f>
        <v>100</v>
      </c>
      <c r="G39" s="28" t="s">
        <v>87</v>
      </c>
    </row>
    <row r="40" spans="1:8" x14ac:dyDescent="0.35">
      <c r="A40" s="28"/>
      <c r="E40" s="29" t="s">
        <v>270</v>
      </c>
      <c r="F40" s="210">
        <f>'Device Parameters'!E14*RsEFF*0.001*F39/1000</f>
        <v>12.5</v>
      </c>
      <c r="G40" s="28" t="s">
        <v>281</v>
      </c>
    </row>
    <row r="41" spans="1:8" x14ac:dyDescent="0.35">
      <c r="A41" s="28"/>
      <c r="E41" s="29" t="s">
        <v>283</v>
      </c>
      <c r="F41" s="66">
        <f>RPWR</f>
        <v>38.299999999999997</v>
      </c>
      <c r="G41" s="28" t="s">
        <v>281</v>
      </c>
    </row>
    <row r="42" spans="1:8" x14ac:dyDescent="0.35">
      <c r="A42" s="28"/>
      <c r="E42" s="29" t="s">
        <v>284</v>
      </c>
      <c r="F42" s="179">
        <f>(1/RsEFF)*1000*(Equations!F41*1000/'Device Parameters'!E14)</f>
        <v>306.39999999999998</v>
      </c>
      <c r="G42" s="28" t="s">
        <v>87</v>
      </c>
    </row>
    <row r="43" spans="1:8" x14ac:dyDescent="0.35">
      <c r="A43" s="28"/>
      <c r="E43" s="29"/>
      <c r="G43" s="28"/>
    </row>
    <row r="44" spans="1:8" x14ac:dyDescent="0.35">
      <c r="A44" s="28"/>
      <c r="E44" s="29"/>
      <c r="G44" s="28"/>
    </row>
    <row r="45" spans="1:8" x14ac:dyDescent="0.35">
      <c r="A45" s="28"/>
      <c r="E45" s="29"/>
      <c r="G45" s="28"/>
    </row>
    <row r="46" spans="1:8" x14ac:dyDescent="0.35">
      <c r="E46" s="2" t="s">
        <v>5</v>
      </c>
      <c r="F46" s="3">
        <f>F47*(1-0.24)</f>
        <v>232.86399999999998</v>
      </c>
      <c r="G46" t="s">
        <v>15</v>
      </c>
    </row>
    <row r="47" spans="1:8" x14ac:dyDescent="0.35">
      <c r="E47" s="2" t="s">
        <v>6</v>
      </c>
      <c r="F47" s="3">
        <f>F42</f>
        <v>306.39999999999998</v>
      </c>
    </row>
    <row r="48" spans="1:8" x14ac:dyDescent="0.35">
      <c r="E48" s="2" t="s">
        <v>7</v>
      </c>
      <c r="F48" s="3">
        <f>F47*(1+0.24)</f>
        <v>379.93599999999998</v>
      </c>
    </row>
    <row r="49" spans="1:12" x14ac:dyDescent="0.35">
      <c r="E49" s="2"/>
      <c r="F49" s="1"/>
      <c r="H49" s="2"/>
      <c r="I49" s="1"/>
      <c r="K49" s="2"/>
      <c r="L49" s="1"/>
    </row>
    <row r="50" spans="1:12" x14ac:dyDescent="0.35">
      <c r="E50" s="2"/>
      <c r="F50" s="1"/>
      <c r="H50" s="2"/>
      <c r="I50" s="1"/>
      <c r="K50" s="2"/>
      <c r="L50" s="1"/>
    </row>
    <row r="51" spans="1:12" ht="13.15" x14ac:dyDescent="0.4">
      <c r="A51" s="23" t="s">
        <v>151</v>
      </c>
    </row>
    <row r="52" spans="1:12" ht="13.15" x14ac:dyDescent="0.4">
      <c r="A52" s="23"/>
      <c r="D52" s="288" t="s">
        <v>323</v>
      </c>
      <c r="E52" s="289"/>
      <c r="F52" s="289"/>
      <c r="G52" s="289"/>
    </row>
    <row r="53" spans="1:12" ht="13.15" x14ac:dyDescent="0.4">
      <c r="A53" s="23"/>
      <c r="E53" s="29" t="s">
        <v>303</v>
      </c>
      <c r="F53" s="3">
        <f>Start_up!M2</f>
        <v>2.1583527054889262</v>
      </c>
      <c r="G53" s="28" t="s">
        <v>8</v>
      </c>
    </row>
    <row r="54" spans="1:12" ht="13.15" x14ac:dyDescent="0.4">
      <c r="A54" s="23"/>
      <c r="E54" s="29" t="s">
        <v>304</v>
      </c>
      <c r="F54" s="3">
        <f>'Device Parameters'!D27</f>
        <v>0.5</v>
      </c>
    </row>
    <row r="55" spans="1:12" ht="13.15" x14ac:dyDescent="0.4">
      <c r="A55" s="23"/>
      <c r="E55" s="29" t="s">
        <v>305</v>
      </c>
      <c r="F55">
        <f>F53*(1+F54)</f>
        <v>3.2375290582333891</v>
      </c>
      <c r="G55" s="28" t="s">
        <v>8</v>
      </c>
    </row>
    <row r="56" spans="1:12" ht="13.15" x14ac:dyDescent="0.4">
      <c r="A56" s="23"/>
      <c r="E56" s="29" t="s">
        <v>306</v>
      </c>
      <c r="F56">
        <f>'Device Parameters'!D25/'Device Parameters'!D22*F55</f>
        <v>68.797492487459522</v>
      </c>
      <c r="G56" s="28" t="s">
        <v>118</v>
      </c>
    </row>
    <row r="57" spans="1:12" ht="13.15" x14ac:dyDescent="0.4">
      <c r="A57" s="23"/>
      <c r="E57" s="29" t="s">
        <v>307</v>
      </c>
      <c r="F57" s="3">
        <f>'Design Calculator'!F76</f>
        <v>220</v>
      </c>
      <c r="G57" s="28" t="s">
        <v>118</v>
      </c>
    </row>
    <row r="58" spans="1:12" ht="13.15" x14ac:dyDescent="0.4">
      <c r="A58" s="23"/>
      <c r="E58" s="29" t="s">
        <v>310</v>
      </c>
      <c r="F58">
        <f>'Device Parameters'!D22/'Device Parameters'!D25*F57</f>
        <v>10.352941176470589</v>
      </c>
      <c r="G58" s="28" t="s">
        <v>8</v>
      </c>
    </row>
    <row r="59" spans="1:12" ht="13.15" x14ac:dyDescent="0.4">
      <c r="A59" s="23"/>
      <c r="E59" s="29" t="s">
        <v>318</v>
      </c>
      <c r="F59">
        <f>SOA!C26/F47</f>
        <v>0.13302365183917456</v>
      </c>
      <c r="G59" s="28"/>
    </row>
    <row r="60" spans="1:12" ht="13.15" x14ac:dyDescent="0.4">
      <c r="A60" s="23"/>
      <c r="D60" s="288" t="s">
        <v>327</v>
      </c>
      <c r="E60" s="289"/>
      <c r="F60" s="289"/>
      <c r="G60" s="289"/>
    </row>
    <row r="61" spans="1:12" ht="13.15" x14ac:dyDescent="0.4">
      <c r="A61" s="23"/>
      <c r="C61" s="28"/>
      <c r="D61" s="180"/>
      <c r="E61" s="29" t="s">
        <v>324</v>
      </c>
      <c r="F61" s="68">
        <f>'Design Calculator'!F82</f>
        <v>2</v>
      </c>
      <c r="G61" s="68" t="s">
        <v>325</v>
      </c>
    </row>
    <row r="62" spans="1:12" ht="13.15" x14ac:dyDescent="0.4">
      <c r="A62" s="23"/>
      <c r="C62" s="28"/>
      <c r="D62" s="180"/>
      <c r="E62" s="29" t="s">
        <v>348</v>
      </c>
      <c r="F62" s="1">
        <f>'Device Parameters'!D30/ss_rate</f>
        <v>8</v>
      </c>
      <c r="G62" s="28" t="s">
        <v>118</v>
      </c>
    </row>
    <row r="63" spans="1:12" ht="13.15" x14ac:dyDescent="0.4">
      <c r="A63" s="23"/>
      <c r="C63" s="28"/>
      <c r="D63" s="180"/>
      <c r="E63" s="29" t="s">
        <v>349</v>
      </c>
      <c r="F63" s="68">
        <f>'Design Calculator'!F84</f>
        <v>10</v>
      </c>
      <c r="G63" s="28" t="s">
        <v>118</v>
      </c>
    </row>
    <row r="64" spans="1:12" ht="13.15" x14ac:dyDescent="0.4">
      <c r="A64" s="23"/>
      <c r="C64" s="28"/>
      <c r="D64" s="180"/>
      <c r="E64" s="29" t="s">
        <v>350</v>
      </c>
      <c r="F64" s="1">
        <f>ss_rate*F62/F63</f>
        <v>1.6</v>
      </c>
      <c r="G64" s="28" t="s">
        <v>325</v>
      </c>
    </row>
    <row r="65" spans="1:8" ht="13.15" x14ac:dyDescent="0.4">
      <c r="A65" s="23"/>
      <c r="C65" s="28"/>
      <c r="D65" s="180"/>
      <c r="E65" s="29" t="s">
        <v>326</v>
      </c>
      <c r="F65" s="68">
        <f>COUTMAX*F64/1000</f>
        <v>3.2</v>
      </c>
      <c r="G65" s="68" t="s">
        <v>25</v>
      </c>
    </row>
    <row r="66" spans="1:8" ht="13.15" x14ac:dyDescent="0.4">
      <c r="A66" s="23"/>
      <c r="C66" s="28"/>
      <c r="D66" s="180"/>
      <c r="E66" s="29" t="s">
        <v>341</v>
      </c>
      <c r="F66" s="68">
        <f>VINMAX/F64</f>
        <v>15.749999999999998</v>
      </c>
      <c r="G66" s="68" t="s">
        <v>8</v>
      </c>
    </row>
    <row r="67" spans="1:8" ht="13.15" x14ac:dyDescent="0.4">
      <c r="A67" s="23"/>
      <c r="C67" s="28"/>
      <c r="D67" s="180"/>
      <c r="E67" s="29" t="s">
        <v>342</v>
      </c>
      <c r="F67" s="68">
        <f>Start_up!N5</f>
        <v>0.62893384615384595</v>
      </c>
      <c r="G67" s="68" t="s">
        <v>331</v>
      </c>
    </row>
    <row r="68" spans="1:8" ht="13.15" x14ac:dyDescent="0.4">
      <c r="A68" s="23"/>
      <c r="C68" s="28"/>
      <c r="D68" s="180"/>
      <c r="E68" s="29" t="s">
        <v>343</v>
      </c>
      <c r="F68" s="68">
        <f>Start_up!Q4</f>
        <v>306.40000000000003</v>
      </c>
      <c r="G68" s="68" t="s">
        <v>87</v>
      </c>
    </row>
    <row r="69" spans="1:8" ht="13.15" x14ac:dyDescent="0.4">
      <c r="A69" s="23"/>
      <c r="D69" s="181"/>
      <c r="E69" s="29" t="s">
        <v>344</v>
      </c>
      <c r="F69" s="68">
        <f>F67/F68*1000</f>
        <v>2.0526561558545882</v>
      </c>
      <c r="G69" s="68" t="s">
        <v>8</v>
      </c>
    </row>
    <row r="70" spans="1:8" ht="13.15" x14ac:dyDescent="0.4">
      <c r="A70" s="23"/>
      <c r="E70" s="29" t="s">
        <v>345</v>
      </c>
      <c r="F70" s="28">
        <f>SOA!H28</f>
        <v>207.62434764056133</v>
      </c>
      <c r="G70" s="68" t="s">
        <v>87</v>
      </c>
    </row>
    <row r="71" spans="1:8" ht="13.15" x14ac:dyDescent="0.4">
      <c r="A71" s="23"/>
      <c r="E71" s="29" t="s">
        <v>346</v>
      </c>
      <c r="F71" s="28">
        <f>F70/F68</f>
        <v>0.67762515548486069</v>
      </c>
      <c r="G71" s="28"/>
    </row>
    <row r="72" spans="1:8" ht="13.15" x14ac:dyDescent="0.4">
      <c r="A72" s="23"/>
      <c r="E72" s="29"/>
      <c r="F72" s="28"/>
      <c r="G72" s="28"/>
    </row>
    <row r="73" spans="1:8" ht="13.15" x14ac:dyDescent="0.4">
      <c r="A73" s="23"/>
      <c r="E73" s="29"/>
      <c r="F73" s="28">
        <v>1</v>
      </c>
      <c r="G73" s="68" t="s">
        <v>8</v>
      </c>
    </row>
    <row r="74" spans="1:8" ht="13.15" x14ac:dyDescent="0.4">
      <c r="A74" s="23"/>
      <c r="D74" s="290" t="s">
        <v>355</v>
      </c>
      <c r="E74" s="290"/>
      <c r="F74" s="290"/>
      <c r="G74" s="290"/>
      <c r="H74" s="290"/>
    </row>
    <row r="75" spans="1:8" ht="13.15" x14ac:dyDescent="0.4">
      <c r="A75" s="23"/>
      <c r="E75" s="29" t="s">
        <v>351</v>
      </c>
      <c r="F75" s="182">
        <f>'Design Calculator'!F87</f>
        <v>0.52</v>
      </c>
      <c r="G75" s="28"/>
    </row>
    <row r="76" spans="1:8" ht="13.15" x14ac:dyDescent="0.4">
      <c r="A76" s="23"/>
      <c r="E76" s="29" t="s">
        <v>352</v>
      </c>
      <c r="F76" s="28">
        <f>'Device Parameters'!D25/'Device Parameters'!D22*F75</f>
        <v>11.05</v>
      </c>
      <c r="G76" s="28" t="s">
        <v>118</v>
      </c>
    </row>
    <row r="77" spans="1:8" ht="13.15" x14ac:dyDescent="0.4">
      <c r="A77" s="23"/>
      <c r="E77" s="29" t="s">
        <v>353</v>
      </c>
      <c r="F77" s="182">
        <f>'Design Calculator'!F89</f>
        <v>10</v>
      </c>
      <c r="G77" s="28" t="s">
        <v>118</v>
      </c>
    </row>
    <row r="78" spans="1:8" ht="13.15" x14ac:dyDescent="0.4">
      <c r="A78" s="23"/>
      <c r="E78" s="29" t="s">
        <v>358</v>
      </c>
      <c r="F78" s="28">
        <f>'Device Parameters'!D22/'Device Parameters'!D25*F77</f>
        <v>0.47058823529411764</v>
      </c>
      <c r="G78" s="28" t="s">
        <v>8</v>
      </c>
    </row>
    <row r="79" spans="1:8" ht="13.15" x14ac:dyDescent="0.4">
      <c r="A79" s="23"/>
      <c r="E79" s="29" t="s">
        <v>357</v>
      </c>
      <c r="F79" s="28">
        <f>SOA!C26</f>
        <v>40.758446923523081</v>
      </c>
      <c r="G79" s="28" t="s">
        <v>87</v>
      </c>
    </row>
    <row r="80" spans="1:8" ht="13.15" x14ac:dyDescent="0.4">
      <c r="A80" s="23"/>
      <c r="E80" s="29" t="s">
        <v>346</v>
      </c>
      <c r="F80" s="28">
        <f>F79/F42</f>
        <v>0.13302365183917456</v>
      </c>
      <c r="G80" s="28"/>
    </row>
    <row r="81" spans="1:13" ht="13.15" x14ac:dyDescent="0.4">
      <c r="A81" s="23"/>
      <c r="E81" s="29"/>
      <c r="F81" s="28"/>
      <c r="G81" s="28"/>
    </row>
    <row r="82" spans="1:13" ht="13.15" x14ac:dyDescent="0.4">
      <c r="A82" s="23"/>
      <c r="E82" s="29"/>
      <c r="F82" s="28"/>
      <c r="G82" s="28"/>
    </row>
    <row r="83" spans="1:13" ht="13.15" x14ac:dyDescent="0.4">
      <c r="A83" s="23"/>
      <c r="E83" s="29"/>
      <c r="F83" s="28"/>
      <c r="G83" s="28"/>
    </row>
    <row r="84" spans="1:13" ht="13.15" x14ac:dyDescent="0.4">
      <c r="A84" s="23"/>
      <c r="E84" s="29"/>
      <c r="F84" s="28"/>
      <c r="G84" s="28"/>
    </row>
    <row r="85" spans="1:13" ht="13.15" x14ac:dyDescent="0.4">
      <c r="A85" s="23"/>
      <c r="E85" s="29"/>
      <c r="F85" s="28"/>
      <c r="G85" s="28"/>
    </row>
    <row r="86" spans="1:13" ht="13.15" x14ac:dyDescent="0.4">
      <c r="A86" s="23"/>
      <c r="E86" s="29"/>
      <c r="F86" s="28"/>
      <c r="G86" s="28"/>
    </row>
    <row r="87" spans="1:13" ht="13.15" x14ac:dyDescent="0.4">
      <c r="A87" s="23"/>
      <c r="E87" s="29"/>
      <c r="F87" s="28"/>
      <c r="G87" s="28"/>
    </row>
    <row r="88" spans="1:13" ht="13.15" x14ac:dyDescent="0.4">
      <c r="A88" s="23"/>
      <c r="E88" s="29"/>
      <c r="F88" s="28"/>
      <c r="G88" s="28"/>
    </row>
    <row r="89" spans="1:13" ht="13.15" x14ac:dyDescent="0.4">
      <c r="A89" s="23"/>
      <c r="F89" s="28"/>
    </row>
    <row r="90" spans="1:13" x14ac:dyDescent="0.35">
      <c r="A90" s="28"/>
      <c r="E90" s="29"/>
      <c r="F90" s="28"/>
    </row>
    <row r="91" spans="1:13" x14ac:dyDescent="0.35">
      <c r="A91" s="28"/>
      <c r="E91" s="29"/>
      <c r="F91" s="28"/>
    </row>
    <row r="92" spans="1:13" x14ac:dyDescent="0.35">
      <c r="D92" s="28"/>
      <c r="E92" s="29"/>
      <c r="F92" s="28"/>
    </row>
    <row r="93" spans="1:13" x14ac:dyDescent="0.35">
      <c r="D93" s="28"/>
      <c r="E93" s="29"/>
      <c r="F93" s="28"/>
    </row>
    <row r="94" spans="1:13" x14ac:dyDescent="0.35">
      <c r="D94" s="28"/>
      <c r="E94" s="29"/>
      <c r="F94" s="28"/>
    </row>
    <row r="95" spans="1:13" x14ac:dyDescent="0.35">
      <c r="E95" s="29"/>
      <c r="F95" s="28"/>
      <c r="J95" s="5"/>
      <c r="M95" s="5"/>
    </row>
    <row r="96" spans="1:13" x14ac:dyDescent="0.35">
      <c r="E96" s="29"/>
      <c r="F96" s="28"/>
      <c r="J96" s="5"/>
      <c r="M96" s="5"/>
    </row>
    <row r="97" spans="5:13" x14ac:dyDescent="0.35">
      <c r="E97" s="2"/>
      <c r="F97" s="28"/>
      <c r="G97" t="s">
        <v>16</v>
      </c>
      <c r="J97" s="6"/>
      <c r="M97" s="6"/>
    </row>
    <row r="98" spans="5:13" x14ac:dyDescent="0.35">
      <c r="E98" s="29"/>
      <c r="F98" s="28"/>
      <c r="J98" s="6"/>
      <c r="M98" s="6"/>
    </row>
    <row r="99" spans="5:13" x14ac:dyDescent="0.35">
      <c r="E99" s="2"/>
      <c r="F99" s="28"/>
    </row>
    <row r="100" spans="5:13" x14ac:dyDescent="0.35">
      <c r="E100" s="2"/>
      <c r="F100" s="28"/>
      <c r="I100" t="s">
        <v>27</v>
      </c>
      <c r="L100" t="s">
        <v>50</v>
      </c>
    </row>
    <row r="101" spans="5:13" x14ac:dyDescent="0.35">
      <c r="E101" s="29"/>
      <c r="F101" s="28"/>
      <c r="G101" s="28" t="s">
        <v>25</v>
      </c>
    </row>
    <row r="102" spans="5:13" x14ac:dyDescent="0.35">
      <c r="E102" s="29"/>
      <c r="F102" s="28"/>
      <c r="G102" s="28" t="s">
        <v>199</v>
      </c>
    </row>
    <row r="103" spans="5:13" x14ac:dyDescent="0.35">
      <c r="E103" s="29"/>
      <c r="F103" s="28"/>
      <c r="G103" s="28" t="s">
        <v>118</v>
      </c>
    </row>
    <row r="104" spans="5:13" x14ac:dyDescent="0.35">
      <c r="E104" s="29"/>
      <c r="G104" s="28"/>
    </row>
    <row r="105" spans="5:13" x14ac:dyDescent="0.35">
      <c r="E105" s="29"/>
      <c r="G105" s="28"/>
    </row>
    <row r="106" spans="5:13" x14ac:dyDescent="0.35">
      <c r="E106" s="29" t="s">
        <v>229</v>
      </c>
      <c r="F106" s="3">
        <f>IF('Design Calculator'!F71="YES", Equations!F77, Equations!F57)*'Device Parameters'!C39*1000/'Device Parameters'!E43*0.001</f>
        <v>103.39999999999999</v>
      </c>
      <c r="G106" s="28" t="s">
        <v>8</v>
      </c>
    </row>
    <row r="107" spans="5:13" x14ac:dyDescent="0.35">
      <c r="E107" s="29" t="s">
        <v>9</v>
      </c>
      <c r="F107" s="3">
        <f>IF('Design Calculator'!F71="YES", Equations!F77, Equations!F57)*0.001*'Device Parameters'!D39*1000/'Device Parameters'!D43</f>
        <v>160</v>
      </c>
      <c r="G107" s="28" t="s">
        <v>8</v>
      </c>
    </row>
    <row r="108" spans="5:13" x14ac:dyDescent="0.35">
      <c r="E108" s="29" t="s">
        <v>230</v>
      </c>
      <c r="F108" s="3">
        <f>IF('Design Calculator'!F71="YES", Equations!F77, Equations!F57)*0.001*'Device Parameters'!E39*1000/'Device Parameters'!C43</f>
        <v>305.06666666666666</v>
      </c>
      <c r="G108" s="28" t="s">
        <v>8</v>
      </c>
    </row>
    <row r="109" spans="5:13" x14ac:dyDescent="0.35">
      <c r="E109" s="29" t="s">
        <v>231</v>
      </c>
      <c r="F109">
        <f>IF('Design Calculator'!F71="YES", Equations!F77, Equations!F57)*(H109+I109+J109)</f>
        <v>1920.8511666666666</v>
      </c>
      <c r="G109" s="28" t="s">
        <v>8</v>
      </c>
      <c r="H109">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5:13" x14ac:dyDescent="0.35">
      <c r="E110" s="29" t="s">
        <v>10</v>
      </c>
      <c r="F110">
        <f>IF('Design Calculator'!F71="YES", Equations!F77, Equations!F57)*(H110+I110+J110)</f>
        <v>2069.4235294117652</v>
      </c>
      <c r="G110" s="28" t="s">
        <v>8</v>
      </c>
      <c r="H11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5:13" x14ac:dyDescent="0.35">
      <c r="E111" s="29" t="s">
        <v>251</v>
      </c>
      <c r="F111">
        <f>IF('Design Calculator'!F71="YES", Equations!F77, Equations!F57)*(H111+I111+J111)</f>
        <v>2183.2049411764715</v>
      </c>
      <c r="G111" s="28" t="s">
        <v>8</v>
      </c>
      <c r="H111">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5:13" x14ac:dyDescent="0.35">
      <c r="E112" s="29" t="s">
        <v>250</v>
      </c>
      <c r="F112" t="e">
        <f>(1+'Design Calculator'!#REF!/'Design Calculator'!#REF!)*'Device Parameters'!C51</f>
        <v>#REF!</v>
      </c>
      <c r="G112" s="28"/>
    </row>
    <row r="113" spans="4:12" x14ac:dyDescent="0.35">
      <c r="E113" s="29" t="s">
        <v>249</v>
      </c>
      <c r="F113" t="e">
        <f>(1+'Design Calculator'!#REF!/'Design Calculator'!#REF!)*'Device Parameters'!D51</f>
        <v>#REF!</v>
      </c>
      <c r="G113" s="28"/>
    </row>
    <row r="114" spans="4:12" x14ac:dyDescent="0.35">
      <c r="E114" s="29" t="s">
        <v>248</v>
      </c>
      <c r="F114" t="e">
        <f>(1+'Design Calculator'!#REF!/'Design Calculator'!#REF!)*'Device Parameters'!E51</f>
        <v>#REF!</v>
      </c>
    </row>
    <row r="115" spans="4:12" x14ac:dyDescent="0.35">
      <c r="E115" s="29" t="s">
        <v>252</v>
      </c>
      <c r="F115" t="e">
        <f>('Design Calculator'!#REF!*'Device Parameters'!C52)</f>
        <v>#REF!</v>
      </c>
    </row>
    <row r="116" spans="4:12" x14ac:dyDescent="0.35">
      <c r="E116" s="29" t="s">
        <v>253</v>
      </c>
      <c r="F116" t="e">
        <f>('Design Calculator'!#REF!*'Device Parameters'!$D$52)</f>
        <v>#REF!</v>
      </c>
    </row>
    <row r="117" spans="4:12" x14ac:dyDescent="0.35">
      <c r="E117" s="29" t="s">
        <v>254</v>
      </c>
      <c r="F117" t="e">
        <f>('Design Calculator'!#REF!*'Device Parameters'!$E$52)</f>
        <v>#REF!</v>
      </c>
    </row>
    <row r="118" spans="4:12" x14ac:dyDescent="0.35">
      <c r="E118" s="29"/>
    </row>
    <row r="119" spans="4:12" x14ac:dyDescent="0.35">
      <c r="E119" s="29"/>
    </row>
    <row r="120" spans="4:12" ht="13.15" x14ac:dyDescent="0.4">
      <c r="D120" s="23"/>
      <c r="I120" t="s">
        <v>28</v>
      </c>
      <c r="L120" t="s">
        <v>51</v>
      </c>
    </row>
    <row r="121" spans="4:12" ht="13.15" x14ac:dyDescent="0.4">
      <c r="D121" s="23"/>
      <c r="I121" t="s">
        <v>29</v>
      </c>
      <c r="L121" t="s">
        <v>52</v>
      </c>
    </row>
    <row r="122" spans="4:12" ht="13.15" x14ac:dyDescent="0.4">
      <c r="D122" s="23"/>
      <c r="I122" t="s">
        <v>30</v>
      </c>
      <c r="L122" t="s">
        <v>53</v>
      </c>
    </row>
    <row r="125" spans="4:12" x14ac:dyDescent="0.35">
      <c r="E125" s="2" t="s">
        <v>19</v>
      </c>
    </row>
    <row r="126" spans="4:12" x14ac:dyDescent="0.35">
      <c r="E126" s="2" t="s">
        <v>20</v>
      </c>
    </row>
    <row r="127" spans="4:12" x14ac:dyDescent="0.35">
      <c r="E127" s="2"/>
      <c r="F127" s="1" t="s">
        <v>25</v>
      </c>
      <c r="G127" s="1" t="s">
        <v>26</v>
      </c>
      <c r="H127" s="1" t="s">
        <v>427</v>
      </c>
      <c r="I127" s="1" t="s">
        <v>428</v>
      </c>
    </row>
    <row r="128" spans="4:12" x14ac:dyDescent="0.35">
      <c r="E128" s="2" t="s">
        <v>33</v>
      </c>
      <c r="F128" s="16">
        <f>('Design Calculator'!F95-'Design Calculator'!F96)*1000/21</f>
        <v>142.85714285714286</v>
      </c>
      <c r="G128" s="16">
        <f>('Design Calculator'!F95-'Design Calculator'!F96)*1000/21</f>
        <v>142.85714285714286</v>
      </c>
    </row>
    <row r="129" spans="2:7" x14ac:dyDescent="0.35">
      <c r="E129" s="2" t="s">
        <v>32</v>
      </c>
      <c r="F129" s="16">
        <f>2.5*F128/('Design Calculator'!F96-2.5)-F130</f>
        <v>5.0718512256973796</v>
      </c>
      <c r="G129" s="16">
        <f>2.5*G128/('Design Calculator'!F96-2.5)</f>
        <v>10.989010989010989</v>
      </c>
    </row>
    <row r="130" spans="2:7" x14ac:dyDescent="0.35">
      <c r="E130" s="2" t="s">
        <v>31</v>
      </c>
      <c r="F130" s="16">
        <f>(F128*'Design Calculator'!F96*2.5)/('Design Calculator'!F97*('Design Calculator'!F96-2.5))</f>
        <v>5.9171597633136095</v>
      </c>
      <c r="G130" s="16">
        <f>('Design Calculator'!F97-'Design Calculator'!F98)*1000/21</f>
        <v>95.238095238095241</v>
      </c>
    </row>
    <row r="131" spans="2:7" x14ac:dyDescent="0.35">
      <c r="E131" s="2" t="s">
        <v>34</v>
      </c>
      <c r="F131" s="1"/>
      <c r="G131" s="16">
        <f>2.5*G130/('Design Calculator'!F97-2.5)</f>
        <v>3.8095238095238098</v>
      </c>
    </row>
    <row r="132" spans="2:7" x14ac:dyDescent="0.35">
      <c r="B132" s="8"/>
      <c r="C132" s="9"/>
      <c r="D132" s="9"/>
      <c r="E132" s="10" t="s">
        <v>38</v>
      </c>
      <c r="F132" s="16">
        <f>2.45+('Design Calculator'!F$103*((2.45/('Design Calculator'!F$104+'Design Calculator'!F$105))+(12/1000)))</f>
        <v>7.6910112359550569</v>
      </c>
      <c r="G132" s="16">
        <f>2.45+('Design Calculator'!F$103*((2.45/'Design Calculator'!F$104)+(12/1000)))</f>
        <v>36.206521739130444</v>
      </c>
    </row>
    <row r="133" spans="2:7" x14ac:dyDescent="0.35">
      <c r="B133" s="11"/>
      <c r="E133" s="12" t="s">
        <v>39</v>
      </c>
      <c r="F133" s="16">
        <f>2.5+('Design Calculator'!F$103*((2.5/('Design Calculator'!F$104+'Design Calculator'!F$105))+(21/1000)))</f>
        <v>9.1612359550561813</v>
      </c>
      <c r="G133" s="16">
        <f>2.5+('Design Calculator'!F$103*((2.5/'Design Calculator'!F$104)+(21/1000)))</f>
        <v>38.258695652173913</v>
      </c>
    </row>
    <row r="134" spans="2:7" x14ac:dyDescent="0.35">
      <c r="B134" s="13"/>
      <c r="C134" s="14"/>
      <c r="D134" s="14"/>
      <c r="E134" s="15" t="s">
        <v>40</v>
      </c>
      <c r="F134" s="16">
        <f>2.55+('Design Calculator'!F$103*((2.55/('Design Calculator'!F$104+'Design Calculator'!F$105))+(30/1000)))</f>
        <v>10.631460674157303</v>
      </c>
      <c r="G134" s="16">
        <f>2.55+('Design Calculator'!F$103*((2.55/'Design Calculator'!F$104)+(30/1000)))</f>
        <v>40.310869565217381</v>
      </c>
    </row>
    <row r="135" spans="2:7" x14ac:dyDescent="0.35">
      <c r="E135" s="2" t="s">
        <v>41</v>
      </c>
      <c r="F135" s="16">
        <f>2.45*('Design Calculator'!F$103+'Design Calculator'!F$104+'Design Calculator'!F$105)/('Design Calculator'!F$104+'Design Calculator'!F$105)</f>
        <v>5.891011235955057</v>
      </c>
      <c r="G135" s="16">
        <f>2.45*('Design Calculator'!F$103+'Design Calculator'!F$104)/'Design Calculator'!F$104</f>
        <v>34.406521739130433</v>
      </c>
    </row>
    <row r="136" spans="2:7" x14ac:dyDescent="0.35">
      <c r="E136" s="2" t="s">
        <v>42</v>
      </c>
      <c r="F136" s="16">
        <f>2.5*('Design Calculator'!F$103+'Design Calculator'!F$104+'Design Calculator'!F$105)/('Design Calculator'!F$104+'Design Calculator'!F$105)</f>
        <v>6.01123595505618</v>
      </c>
      <c r="G136" s="16">
        <f>2.5*('Design Calculator'!F$103+'Design Calculator'!F$104)/'Design Calculator'!F$104</f>
        <v>35.108695652173914</v>
      </c>
    </row>
    <row r="137" spans="2:7" x14ac:dyDescent="0.35">
      <c r="E137" s="2" t="s">
        <v>43</v>
      </c>
      <c r="F137" s="16">
        <f>2.55*('Design Calculator'!F$103+'Design Calculator'!F$104+'Design Calculator'!F$105)/('Design Calculator'!F$104+'Design Calculator'!F$105)</f>
        <v>6.1314606741573039</v>
      </c>
      <c r="G137" s="16">
        <f>2.55*('Design Calculator'!F$103+'Design Calculator'!F$104)/'Design Calculator'!F$104</f>
        <v>35.810869565217388</v>
      </c>
    </row>
    <row r="138" spans="2:7" x14ac:dyDescent="0.35">
      <c r="B138" s="8"/>
      <c r="C138" s="9"/>
      <c r="D138" s="9"/>
      <c r="E138" s="10" t="s">
        <v>44</v>
      </c>
      <c r="F138" s="16">
        <f>2.45*('Design Calculator'!F$103+'Design Calculator'!F$104+'Design Calculator'!F$105)/'Design Calculator'!F$105</f>
        <v>6.6018887722980075</v>
      </c>
      <c r="G138" s="16">
        <f>2.45*('Design Calculator'!F$105+'Design Calculator'!F$106)/'Design Calculator'!F$106</f>
        <v>64.879144385026734</v>
      </c>
    </row>
    <row r="139" spans="2:7" x14ac:dyDescent="0.35">
      <c r="B139" s="11"/>
      <c r="E139" s="12" t="s">
        <v>45</v>
      </c>
      <c r="F139" s="16">
        <f>2.5*('Design Calculator'!F$103+'Design Calculator'!F$104+'Design Calculator'!F$105)/'Design Calculator'!F$105</f>
        <v>6.7366211962224556</v>
      </c>
      <c r="G139" s="16">
        <f>2.5*('Design Calculator'!F$105+'Design Calculator'!F$106)/'Design Calculator'!F$106</f>
        <v>66.203208556149718</v>
      </c>
    </row>
    <row r="140" spans="2:7" x14ac:dyDescent="0.35">
      <c r="B140" s="13"/>
      <c r="C140" s="14"/>
      <c r="D140" s="14"/>
      <c r="E140" s="15" t="s">
        <v>46</v>
      </c>
      <c r="F140" s="16">
        <f>2.55*('Design Calculator'!F$103+'Design Calculator'!F$104+'Design Calculator'!F$105)/'Design Calculator'!F$105</f>
        <v>6.8713536201469054</v>
      </c>
      <c r="G140" s="16">
        <f>2.55*('Design Calculator'!F$105+'Design Calculator'!F$106)/'Design Calculator'!F$106</f>
        <v>67.527272727272717</v>
      </c>
    </row>
    <row r="141" spans="2:7" x14ac:dyDescent="0.35">
      <c r="E141" s="2" t="s">
        <v>47</v>
      </c>
      <c r="F141" s="16">
        <f>2.45+(('Design Calculator'!F$103+'Design Calculator'!F$104)*((2.45/'Design Calculator'!F$105)-(30/1000)))</f>
        <v>1.7568887722980069</v>
      </c>
      <c r="G141" s="16">
        <f>2.45+('Design Calculator'!F$105*((2.45/'Design Calculator'!F$106)-(30/1000)))</f>
        <v>62.02014438502674</v>
      </c>
    </row>
    <row r="142" spans="2:7" x14ac:dyDescent="0.35">
      <c r="E142" s="2" t="s">
        <v>48</v>
      </c>
      <c r="F142" s="16">
        <f>2.5+(('Design Calculator'!F$103+'Design Calculator'!F$104)*((2.5/'Design Calculator'!F$105)-(21/1000)))</f>
        <v>3.345121196222455</v>
      </c>
      <c r="G142" s="16">
        <f>2.5+('Design Calculator'!F$105*((2.5/'Design Calculator'!F$106)-(21/1000)))</f>
        <v>64.201908556149732</v>
      </c>
    </row>
    <row r="143" spans="2:7" x14ac:dyDescent="0.35">
      <c r="E143" s="2" t="s">
        <v>49</v>
      </c>
      <c r="F143" s="16">
        <f>2.55+(('Design Calculator'!F$103+'Design Calculator'!F$104)*((2.55/'Design Calculator'!F$105)-(12/1000)))</f>
        <v>4.9333536201469048</v>
      </c>
      <c r="G143" s="16">
        <f>2.55+('Design Calculator'!F$105*((2.55/'Design Calculator'!F$106)-(12/1000)))</f>
        <v>66.383672727272725</v>
      </c>
    </row>
    <row r="151" spans="5:7" x14ac:dyDescent="0.35">
      <c r="E151" s="29" t="s">
        <v>115</v>
      </c>
      <c r="F151" s="28" t="e">
        <f>'Design Calculator'!#REF!</f>
        <v>#REF!</v>
      </c>
      <c r="G151" s="28" t="s">
        <v>8</v>
      </c>
    </row>
    <row r="152" spans="5:7" x14ac:dyDescent="0.35">
      <c r="E152" s="29" t="s">
        <v>116</v>
      </c>
      <c r="F152" s="28">
        <f>'Design Calculator'!F28</f>
        <v>22.2</v>
      </c>
      <c r="G152" s="28" t="s">
        <v>86</v>
      </c>
    </row>
    <row r="153" spans="5:7" x14ac:dyDescent="0.35">
      <c r="E153" s="29" t="s">
        <v>117</v>
      </c>
      <c r="F153" t="e">
        <f>22/F152*F151</f>
        <v>#REF!</v>
      </c>
      <c r="G153" s="28" t="s">
        <v>118</v>
      </c>
    </row>
    <row r="174" spans="3:6" ht="13.15" x14ac:dyDescent="0.4">
      <c r="C174" s="23" t="s">
        <v>56</v>
      </c>
    </row>
    <row r="175" spans="3:6" x14ac:dyDescent="0.35">
      <c r="E175" s="2" t="s">
        <v>57</v>
      </c>
      <c r="F175" s="1">
        <f>'Design Calculator'!F39</f>
        <v>1</v>
      </c>
    </row>
    <row r="176" spans="3:6" ht="15" x14ac:dyDescent="0.5">
      <c r="E176" s="2" t="s">
        <v>58</v>
      </c>
      <c r="F176" s="1">
        <f>'Design Calculator'!F66</f>
        <v>38.299999999999997</v>
      </c>
    </row>
    <row r="177" spans="2:25" x14ac:dyDescent="0.35">
      <c r="E177" s="2" t="s">
        <v>59</v>
      </c>
      <c r="F177" s="1">
        <f>'Design Calculator'!F29</f>
        <v>25.2</v>
      </c>
    </row>
    <row r="179" spans="2:25" x14ac:dyDescent="0.35">
      <c r="E179" s="2" t="s">
        <v>60</v>
      </c>
      <c r="F179" s="16">
        <f>F24</f>
        <v>48.5</v>
      </c>
    </row>
    <row r="180" spans="2:25" x14ac:dyDescent="0.35">
      <c r="E180" s="2" t="s">
        <v>61</v>
      </c>
      <c r="F180" s="16">
        <f>F25</f>
        <v>55</v>
      </c>
    </row>
    <row r="181" spans="2:25" x14ac:dyDescent="0.35">
      <c r="E181" s="2" t="s">
        <v>62</v>
      </c>
      <c r="F181" s="16">
        <f>F26</f>
        <v>61.5</v>
      </c>
    </row>
    <row r="183" spans="2:25" x14ac:dyDescent="0.35">
      <c r="E183" s="2" t="s">
        <v>63</v>
      </c>
      <c r="F183" s="5">
        <f>F46</f>
        <v>232.86399999999998</v>
      </c>
    </row>
    <row r="184" spans="2:25" x14ac:dyDescent="0.35">
      <c r="E184" s="2" t="s">
        <v>64</v>
      </c>
      <c r="F184" s="5">
        <f>F47</f>
        <v>306.39999999999998</v>
      </c>
      <c r="Y184" s="28" t="s">
        <v>87</v>
      </c>
    </row>
    <row r="185" spans="2:25" x14ac:dyDescent="0.35">
      <c r="E185" s="2" t="s">
        <v>65</v>
      </c>
      <c r="F185" s="5">
        <f>F48</f>
        <v>379.93599999999998</v>
      </c>
    </row>
    <row r="190" spans="2:25" x14ac:dyDescent="0.35">
      <c r="D190" t="s">
        <v>66</v>
      </c>
      <c r="E190" s="2"/>
      <c r="I190" t="s">
        <v>67</v>
      </c>
      <c r="N190" t="s">
        <v>82</v>
      </c>
      <c r="R190" s="28" t="s">
        <v>88</v>
      </c>
    </row>
    <row r="191" spans="2:25" x14ac:dyDescent="0.35">
      <c r="D191" t="s">
        <v>68</v>
      </c>
      <c r="I191" t="s">
        <v>69</v>
      </c>
      <c r="N191" t="s">
        <v>74</v>
      </c>
      <c r="R191" s="28" t="s">
        <v>89</v>
      </c>
    </row>
    <row r="192" spans="2:25" x14ac:dyDescent="0.35">
      <c r="B192" s="28" t="s">
        <v>144</v>
      </c>
      <c r="D192" s="4" t="s">
        <v>70</v>
      </c>
      <c r="E192" s="4" t="s">
        <v>71</v>
      </c>
      <c r="F192" s="132" t="s">
        <v>72</v>
      </c>
      <c r="G192" s="4" t="s">
        <v>73</v>
      </c>
      <c r="I192" s="4" t="s">
        <v>70</v>
      </c>
      <c r="J192" s="4" t="s">
        <v>71</v>
      </c>
      <c r="K192" s="4" t="s">
        <v>72</v>
      </c>
      <c r="L192" s="4" t="s">
        <v>73</v>
      </c>
      <c r="N192" t="s">
        <v>75</v>
      </c>
      <c r="R192" s="4" t="s">
        <v>70</v>
      </c>
      <c r="S192" s="4" t="s">
        <v>71</v>
      </c>
      <c r="T192" s="4" t="s">
        <v>72</v>
      </c>
      <c r="U192" s="4" t="s">
        <v>73</v>
      </c>
      <c r="V192" s="132" t="s">
        <v>81</v>
      </c>
      <c r="X192" s="142" t="s">
        <v>316</v>
      </c>
    </row>
    <row r="193" spans="2:24" x14ac:dyDescent="0.35">
      <c r="B193">
        <f>D193*F193</f>
        <v>282.2</v>
      </c>
      <c r="D193" s="4">
        <v>1</v>
      </c>
      <c r="E193" s="24">
        <f t="shared" ref="E193:E209" si="0">(1-$F$280)*F193</f>
        <v>211.64999999999998</v>
      </c>
      <c r="F193" s="24">
        <f t="shared" ref="F193:F224" si="1">($F$184+(D193-VINMAX)*$E$277/$E$278)/D193</f>
        <v>282.2</v>
      </c>
      <c r="G193" s="24">
        <f t="shared" ref="G193:G209" si="2">F193*(1+$F$280)</f>
        <v>352.75</v>
      </c>
      <c r="I193" s="4">
        <v>1</v>
      </c>
      <c r="J193" s="24">
        <f t="shared" ref="J193:J209" si="3">IF(E193&gt;$F$179,$F$179,E193)</f>
        <v>48.5</v>
      </c>
      <c r="K193" s="24">
        <f t="shared" ref="K193:K209" si="4">IF(F193&gt;$F$180,$F$180,F193)</f>
        <v>55</v>
      </c>
      <c r="L193" s="24">
        <f t="shared" ref="L193:L209" si="5">IF(G193&gt;$F$181,$F$181,G193)</f>
        <v>61.5</v>
      </c>
      <c r="N193" t="s">
        <v>76</v>
      </c>
      <c r="R193" s="4">
        <v>1</v>
      </c>
      <c r="S193" s="24">
        <f>IF($R193&gt;$F$177,0.0000000005,J193)</f>
        <v>48.5</v>
      </c>
      <c r="T193" s="24">
        <f>IF($R193&gt;$F$177,0.0000000005,K193)</f>
        <v>55</v>
      </c>
      <c r="U193" s="24">
        <f t="shared" ref="U193:U209" si="6">IF($R193&gt;$F$177,0.0000000005,L193)</f>
        <v>61.5</v>
      </c>
      <c r="V193" s="24">
        <f t="shared" ref="V193:V209" si="7">$X$193/R193</f>
        <v>40.758446923523081</v>
      </c>
      <c r="X193">
        <f>SOA!C26</f>
        <v>40.758446923523081</v>
      </c>
    </row>
    <row r="194" spans="2:24" x14ac:dyDescent="0.35">
      <c r="B194">
        <f t="shared" ref="B194:B257" si="8">D194*F194</f>
        <v>283.2</v>
      </c>
      <c r="D194" s="4">
        <v>2</v>
      </c>
      <c r="E194" s="24">
        <f t="shared" si="0"/>
        <v>106.19999999999999</v>
      </c>
      <c r="F194" s="24">
        <f t="shared" si="1"/>
        <v>141.6</v>
      </c>
      <c r="G194" s="24">
        <f t="shared" si="2"/>
        <v>177</v>
      </c>
      <c r="I194" s="4">
        <v>2</v>
      </c>
      <c r="J194" s="24">
        <f t="shared" si="3"/>
        <v>48.5</v>
      </c>
      <c r="K194" s="24">
        <f t="shared" si="4"/>
        <v>55</v>
      </c>
      <c r="L194" s="24">
        <f t="shared" si="5"/>
        <v>61.5</v>
      </c>
      <c r="R194" s="4">
        <v>2</v>
      </c>
      <c r="S194" s="24">
        <f t="shared" ref="S194:S209" si="9">IF($R194&gt;$F$177,0.0000000005,J194)</f>
        <v>48.5</v>
      </c>
      <c r="T194" s="24">
        <f t="shared" ref="T194:T209" si="10">IF($R194&gt;$F$177,0.0000000005,K194)</f>
        <v>55</v>
      </c>
      <c r="U194" s="24">
        <f t="shared" si="6"/>
        <v>61.5</v>
      </c>
      <c r="V194" s="24">
        <f t="shared" si="7"/>
        <v>20.379223461761541</v>
      </c>
    </row>
    <row r="195" spans="2:24" x14ac:dyDescent="0.35">
      <c r="B195">
        <f t="shared" si="8"/>
        <v>284.2</v>
      </c>
      <c r="D195" s="4">
        <v>3</v>
      </c>
      <c r="E195" s="24">
        <f t="shared" si="0"/>
        <v>71.05</v>
      </c>
      <c r="F195" s="24">
        <f t="shared" si="1"/>
        <v>94.733333333333334</v>
      </c>
      <c r="G195" s="24">
        <f t="shared" si="2"/>
        <v>118.41666666666667</v>
      </c>
      <c r="I195" s="4">
        <v>3</v>
      </c>
      <c r="J195" s="24">
        <f t="shared" si="3"/>
        <v>48.5</v>
      </c>
      <c r="K195" s="24">
        <f t="shared" si="4"/>
        <v>55</v>
      </c>
      <c r="L195" s="24">
        <f t="shared" si="5"/>
        <v>61.5</v>
      </c>
      <c r="O195" s="25" t="s">
        <v>77</v>
      </c>
      <c r="R195" s="4">
        <v>3</v>
      </c>
      <c r="S195" s="24">
        <f t="shared" si="9"/>
        <v>48.5</v>
      </c>
      <c r="T195" s="24">
        <f t="shared" si="10"/>
        <v>55</v>
      </c>
      <c r="U195" s="24">
        <f t="shared" si="6"/>
        <v>61.5</v>
      </c>
      <c r="V195" s="24">
        <f t="shared" si="7"/>
        <v>13.586148974507694</v>
      </c>
    </row>
    <row r="196" spans="2:24" x14ac:dyDescent="0.35">
      <c r="B196">
        <f t="shared" si="8"/>
        <v>285.2</v>
      </c>
      <c r="D196" s="4">
        <v>4</v>
      </c>
      <c r="E196" s="24">
        <f t="shared" si="0"/>
        <v>53.474999999999994</v>
      </c>
      <c r="F196" s="24">
        <f t="shared" si="1"/>
        <v>71.3</v>
      </c>
      <c r="G196" s="24">
        <f t="shared" si="2"/>
        <v>89.125</v>
      </c>
      <c r="I196" s="4">
        <v>4</v>
      </c>
      <c r="J196" s="24">
        <f t="shared" si="3"/>
        <v>48.5</v>
      </c>
      <c r="K196" s="24">
        <f t="shared" si="4"/>
        <v>55</v>
      </c>
      <c r="L196" s="24">
        <f t="shared" si="5"/>
        <v>61.5</v>
      </c>
      <c r="N196" s="7" t="s">
        <v>70</v>
      </c>
      <c r="O196" s="26" t="s">
        <v>78</v>
      </c>
      <c r="R196" s="4">
        <v>4</v>
      </c>
      <c r="S196" s="24">
        <f t="shared" si="9"/>
        <v>48.5</v>
      </c>
      <c r="T196" s="24">
        <f t="shared" si="10"/>
        <v>55</v>
      </c>
      <c r="U196" s="24">
        <f t="shared" si="6"/>
        <v>61.5</v>
      </c>
      <c r="V196" s="24">
        <f t="shared" si="7"/>
        <v>10.18961173088077</v>
      </c>
    </row>
    <row r="197" spans="2:24" x14ac:dyDescent="0.35">
      <c r="B197">
        <f t="shared" si="8"/>
        <v>286.2</v>
      </c>
      <c r="D197" s="4">
        <v>5</v>
      </c>
      <c r="E197" s="24">
        <f t="shared" si="0"/>
        <v>42.929999999999993</v>
      </c>
      <c r="F197" s="24">
        <f t="shared" si="1"/>
        <v>57.239999999999995</v>
      </c>
      <c r="G197" s="24">
        <f t="shared" si="2"/>
        <v>71.55</v>
      </c>
      <c r="I197" s="4">
        <v>5</v>
      </c>
      <c r="J197" s="24">
        <f t="shared" si="3"/>
        <v>42.929999999999993</v>
      </c>
      <c r="K197" s="24">
        <f t="shared" si="4"/>
        <v>55</v>
      </c>
      <c r="L197" s="24">
        <f t="shared" si="5"/>
        <v>61.5</v>
      </c>
      <c r="N197" s="4">
        <v>1</v>
      </c>
      <c r="O197" s="4" t="e">
        <f>#REF!</f>
        <v>#REF!</v>
      </c>
      <c r="P197" t="s">
        <v>79</v>
      </c>
      <c r="R197" s="4">
        <v>5</v>
      </c>
      <c r="S197" s="24">
        <f t="shared" si="9"/>
        <v>42.929999999999993</v>
      </c>
      <c r="T197" s="24">
        <f t="shared" si="10"/>
        <v>55</v>
      </c>
      <c r="U197" s="24">
        <f t="shared" si="6"/>
        <v>61.5</v>
      </c>
      <c r="V197" s="24">
        <f t="shared" si="7"/>
        <v>8.1516893847046159</v>
      </c>
    </row>
    <row r="198" spans="2:24" x14ac:dyDescent="0.35">
      <c r="B198">
        <f t="shared" si="8"/>
        <v>287.2</v>
      </c>
      <c r="D198" s="4">
        <v>6</v>
      </c>
      <c r="E198" s="24">
        <f t="shared" si="0"/>
        <v>35.9</v>
      </c>
      <c r="F198" s="24">
        <f t="shared" si="1"/>
        <v>47.866666666666667</v>
      </c>
      <c r="G198" s="24">
        <f t="shared" si="2"/>
        <v>59.833333333333336</v>
      </c>
      <c r="I198" s="4">
        <v>6</v>
      </c>
      <c r="J198" s="24">
        <f t="shared" si="3"/>
        <v>35.9</v>
      </c>
      <c r="K198" s="24">
        <f t="shared" si="4"/>
        <v>47.866666666666667</v>
      </c>
      <c r="L198" s="24">
        <f t="shared" si="5"/>
        <v>59.833333333333336</v>
      </c>
      <c r="N198" s="4">
        <v>2</v>
      </c>
      <c r="O198" s="24" t="e">
        <f>O201+((O197-O201)*3/7)</f>
        <v>#REF!</v>
      </c>
      <c r="R198" s="4">
        <v>6</v>
      </c>
      <c r="S198" s="24">
        <f t="shared" si="9"/>
        <v>35.9</v>
      </c>
      <c r="T198" s="24">
        <f t="shared" si="10"/>
        <v>47.866666666666667</v>
      </c>
      <c r="U198" s="24">
        <f t="shared" si="6"/>
        <v>59.833333333333336</v>
      </c>
      <c r="V198" s="24">
        <f t="shared" si="7"/>
        <v>6.7930744872538469</v>
      </c>
    </row>
    <row r="199" spans="2:24" x14ac:dyDescent="0.35">
      <c r="B199">
        <f t="shared" si="8"/>
        <v>288.2</v>
      </c>
      <c r="D199" s="4">
        <v>7</v>
      </c>
      <c r="E199" s="24">
        <f t="shared" si="0"/>
        <v>30.878571428571426</v>
      </c>
      <c r="F199" s="24">
        <f t="shared" si="1"/>
        <v>41.171428571428571</v>
      </c>
      <c r="G199" s="24">
        <f t="shared" si="2"/>
        <v>51.464285714285715</v>
      </c>
      <c r="I199" s="4">
        <v>7</v>
      </c>
      <c r="J199" s="24">
        <f t="shared" si="3"/>
        <v>30.878571428571426</v>
      </c>
      <c r="K199" s="24">
        <f t="shared" si="4"/>
        <v>41.171428571428571</v>
      </c>
      <c r="L199" s="24">
        <f t="shared" si="5"/>
        <v>51.464285714285715</v>
      </c>
      <c r="N199" s="4">
        <v>3</v>
      </c>
      <c r="O199" s="24" t="e">
        <f>O201+((O197-O201)*2/8)</f>
        <v>#REF!</v>
      </c>
      <c r="R199" s="4">
        <v>7</v>
      </c>
      <c r="S199" s="24">
        <f t="shared" si="9"/>
        <v>30.878571428571426</v>
      </c>
      <c r="T199" s="24">
        <f t="shared" si="10"/>
        <v>41.171428571428571</v>
      </c>
      <c r="U199" s="24">
        <f t="shared" si="6"/>
        <v>51.464285714285715</v>
      </c>
      <c r="V199" s="24">
        <f t="shared" si="7"/>
        <v>5.822635274789012</v>
      </c>
    </row>
    <row r="200" spans="2:24" x14ac:dyDescent="0.35">
      <c r="B200">
        <f t="shared" si="8"/>
        <v>289.2</v>
      </c>
      <c r="D200" s="4">
        <v>8</v>
      </c>
      <c r="E200" s="24">
        <f t="shared" si="0"/>
        <v>27.112499999999997</v>
      </c>
      <c r="F200" s="24">
        <f t="shared" si="1"/>
        <v>36.15</v>
      </c>
      <c r="G200" s="24">
        <f t="shared" si="2"/>
        <v>45.1875</v>
      </c>
      <c r="I200" s="4">
        <v>8</v>
      </c>
      <c r="J200" s="24">
        <f t="shared" si="3"/>
        <v>27.112499999999997</v>
      </c>
      <c r="K200" s="24">
        <f t="shared" si="4"/>
        <v>36.15</v>
      </c>
      <c r="L200" s="24">
        <f t="shared" si="5"/>
        <v>45.1875</v>
      </c>
      <c r="N200" s="4">
        <v>4</v>
      </c>
      <c r="O200" s="24" t="e">
        <f>O201+((O197-O201)*1/9)</f>
        <v>#REF!</v>
      </c>
      <c r="R200" s="4">
        <v>8</v>
      </c>
      <c r="S200" s="24">
        <f t="shared" si="9"/>
        <v>27.112499999999997</v>
      </c>
      <c r="T200" s="24">
        <f t="shared" si="10"/>
        <v>36.15</v>
      </c>
      <c r="U200" s="24">
        <f t="shared" si="6"/>
        <v>45.1875</v>
      </c>
      <c r="V200" s="24">
        <f t="shared" si="7"/>
        <v>5.0948058654403852</v>
      </c>
    </row>
    <row r="201" spans="2:24" x14ac:dyDescent="0.35">
      <c r="B201">
        <f t="shared" si="8"/>
        <v>290.19999999999993</v>
      </c>
      <c r="D201" s="4">
        <v>9</v>
      </c>
      <c r="E201" s="24">
        <f t="shared" si="0"/>
        <v>24.18333333333333</v>
      </c>
      <c r="F201" s="24">
        <f t="shared" si="1"/>
        <v>32.24444444444444</v>
      </c>
      <c r="G201" s="24">
        <f t="shared" si="2"/>
        <v>40.30555555555555</v>
      </c>
      <c r="I201" s="4">
        <v>9</v>
      </c>
      <c r="J201" s="24">
        <f t="shared" si="3"/>
        <v>24.18333333333333</v>
      </c>
      <c r="K201" s="24">
        <f t="shared" si="4"/>
        <v>32.24444444444444</v>
      </c>
      <c r="L201" s="24">
        <f t="shared" si="5"/>
        <v>40.30555555555555</v>
      </c>
      <c r="N201" s="4">
        <v>5</v>
      </c>
      <c r="O201" s="24" t="e">
        <f>#REF!</f>
        <v>#REF!</v>
      </c>
      <c r="P201" t="s">
        <v>80</v>
      </c>
      <c r="R201" s="4">
        <v>9</v>
      </c>
      <c r="S201" s="24">
        <f t="shared" si="9"/>
        <v>24.18333333333333</v>
      </c>
      <c r="T201" s="24">
        <f t="shared" si="10"/>
        <v>32.24444444444444</v>
      </c>
      <c r="U201" s="24">
        <f t="shared" si="6"/>
        <v>40.30555555555555</v>
      </c>
      <c r="V201" s="24">
        <f t="shared" si="7"/>
        <v>4.5287163248358979</v>
      </c>
    </row>
    <row r="202" spans="2:24" x14ac:dyDescent="0.35">
      <c r="B202">
        <f t="shared" si="8"/>
        <v>291.2</v>
      </c>
      <c r="D202" s="4">
        <v>10</v>
      </c>
      <c r="E202" s="24">
        <f t="shared" si="0"/>
        <v>21.839999999999996</v>
      </c>
      <c r="F202" s="24">
        <f t="shared" si="1"/>
        <v>29.119999999999997</v>
      </c>
      <c r="G202" s="24">
        <f t="shared" si="2"/>
        <v>36.4</v>
      </c>
      <c r="I202" s="4">
        <v>10</v>
      </c>
      <c r="J202" s="24">
        <f t="shared" si="3"/>
        <v>21.839999999999996</v>
      </c>
      <c r="K202" s="24">
        <f t="shared" si="4"/>
        <v>29.119999999999997</v>
      </c>
      <c r="L202" s="24">
        <f t="shared" si="5"/>
        <v>36.4</v>
      </c>
      <c r="N202" s="4">
        <v>6</v>
      </c>
      <c r="O202" s="24" t="e">
        <f>O$206+((O$201-O$206)*4/6)</f>
        <v>#REF!</v>
      </c>
      <c r="R202" s="4">
        <v>10</v>
      </c>
      <c r="S202" s="24">
        <f t="shared" si="9"/>
        <v>21.839999999999996</v>
      </c>
      <c r="T202" s="24">
        <f t="shared" si="10"/>
        <v>29.119999999999997</v>
      </c>
      <c r="U202" s="24">
        <f t="shared" si="6"/>
        <v>36.4</v>
      </c>
      <c r="V202" s="24">
        <f t="shared" si="7"/>
        <v>4.075844692352308</v>
      </c>
    </row>
    <row r="203" spans="2:24" x14ac:dyDescent="0.35">
      <c r="B203">
        <f t="shared" si="8"/>
        <v>292.2</v>
      </c>
      <c r="D203" s="4">
        <v>11</v>
      </c>
      <c r="E203" s="24">
        <f t="shared" si="0"/>
        <v>19.922727272727272</v>
      </c>
      <c r="F203" s="24">
        <f t="shared" si="1"/>
        <v>26.563636363636363</v>
      </c>
      <c r="G203" s="24">
        <f t="shared" si="2"/>
        <v>33.204545454545453</v>
      </c>
      <c r="I203" s="4">
        <v>11</v>
      </c>
      <c r="J203" s="24">
        <f t="shared" si="3"/>
        <v>19.922727272727272</v>
      </c>
      <c r="K203" s="24">
        <f t="shared" si="4"/>
        <v>26.563636363636363</v>
      </c>
      <c r="L203" s="24">
        <f t="shared" si="5"/>
        <v>33.204545454545453</v>
      </c>
      <c r="N203" s="4">
        <v>7</v>
      </c>
      <c r="O203" s="24" t="e">
        <f>O$206+((O$201-O$206)*3/7)</f>
        <v>#REF!</v>
      </c>
      <c r="R203" s="4">
        <v>11</v>
      </c>
      <c r="S203" s="24">
        <f t="shared" si="9"/>
        <v>19.922727272727272</v>
      </c>
      <c r="T203" s="24">
        <f t="shared" si="10"/>
        <v>26.563636363636363</v>
      </c>
      <c r="U203" s="24">
        <f t="shared" si="6"/>
        <v>33.204545454545453</v>
      </c>
      <c r="V203" s="24">
        <f t="shared" si="7"/>
        <v>3.7053133566839165</v>
      </c>
    </row>
    <row r="204" spans="2:24" x14ac:dyDescent="0.35">
      <c r="B204">
        <f t="shared" si="8"/>
        <v>293.2</v>
      </c>
      <c r="D204" s="4">
        <v>12</v>
      </c>
      <c r="E204" s="24">
        <f t="shared" si="0"/>
        <v>18.324999999999999</v>
      </c>
      <c r="F204" s="24">
        <f t="shared" si="1"/>
        <v>24.433333333333334</v>
      </c>
      <c r="G204" s="24">
        <f t="shared" si="2"/>
        <v>30.541666666666668</v>
      </c>
      <c r="I204" s="4">
        <v>12</v>
      </c>
      <c r="J204" s="24">
        <f t="shared" si="3"/>
        <v>18.324999999999999</v>
      </c>
      <c r="K204" s="24">
        <f t="shared" si="4"/>
        <v>24.433333333333334</v>
      </c>
      <c r="L204" s="24">
        <f t="shared" si="5"/>
        <v>30.541666666666668</v>
      </c>
      <c r="N204" s="4">
        <v>8</v>
      </c>
      <c r="O204" s="24" t="e">
        <f>O$206+((O$201-O$206)*2/8)</f>
        <v>#REF!</v>
      </c>
      <c r="R204" s="4">
        <v>12</v>
      </c>
      <c r="S204" s="24">
        <f t="shared" si="9"/>
        <v>18.324999999999999</v>
      </c>
      <c r="T204" s="24">
        <f t="shared" si="10"/>
        <v>24.433333333333334</v>
      </c>
      <c r="U204" s="24">
        <f t="shared" si="6"/>
        <v>30.541666666666668</v>
      </c>
      <c r="V204" s="24">
        <f t="shared" si="7"/>
        <v>3.3965372436269234</v>
      </c>
    </row>
    <row r="205" spans="2:24" x14ac:dyDescent="0.35">
      <c r="B205">
        <f t="shared" si="8"/>
        <v>294.2</v>
      </c>
      <c r="D205" s="4">
        <v>13</v>
      </c>
      <c r="E205" s="24">
        <f t="shared" si="0"/>
        <v>16.973076923076921</v>
      </c>
      <c r="F205" s="24">
        <f t="shared" si="1"/>
        <v>22.630769230769229</v>
      </c>
      <c r="G205" s="24">
        <f t="shared" si="2"/>
        <v>28.288461538461537</v>
      </c>
      <c r="I205" s="4">
        <v>13</v>
      </c>
      <c r="J205" s="24">
        <f t="shared" si="3"/>
        <v>16.973076923076921</v>
      </c>
      <c r="K205" s="24">
        <f t="shared" si="4"/>
        <v>22.630769230769229</v>
      </c>
      <c r="L205" s="24">
        <f t="shared" si="5"/>
        <v>28.288461538461537</v>
      </c>
      <c r="N205" s="4">
        <v>9</v>
      </c>
      <c r="O205" s="24" t="e">
        <f>O$206+((O$201-O$206)*1/9)</f>
        <v>#REF!</v>
      </c>
      <c r="R205" s="4">
        <v>13</v>
      </c>
      <c r="S205" s="24">
        <f t="shared" si="9"/>
        <v>16.973076923076921</v>
      </c>
      <c r="T205" s="24">
        <f t="shared" si="10"/>
        <v>22.630769230769229</v>
      </c>
      <c r="U205" s="24">
        <f t="shared" si="6"/>
        <v>28.288461538461537</v>
      </c>
      <c r="V205" s="24">
        <f t="shared" si="7"/>
        <v>3.135265147963314</v>
      </c>
    </row>
    <row r="206" spans="2:24" x14ac:dyDescent="0.35">
      <c r="B206">
        <f t="shared" si="8"/>
        <v>295.2</v>
      </c>
      <c r="D206" s="4">
        <v>14</v>
      </c>
      <c r="E206" s="24">
        <f t="shared" si="0"/>
        <v>15.814285714285713</v>
      </c>
      <c r="F206" s="24">
        <f t="shared" si="1"/>
        <v>21.085714285714285</v>
      </c>
      <c r="G206" s="24">
        <f t="shared" si="2"/>
        <v>26.357142857142858</v>
      </c>
      <c r="I206" s="4">
        <v>14</v>
      </c>
      <c r="J206" s="24">
        <f t="shared" si="3"/>
        <v>15.814285714285713</v>
      </c>
      <c r="K206" s="24">
        <f t="shared" si="4"/>
        <v>21.085714285714285</v>
      </c>
      <c r="L206" s="24">
        <f t="shared" si="5"/>
        <v>26.357142857142858</v>
      </c>
      <c r="N206" s="4">
        <v>10</v>
      </c>
      <c r="O206" s="24" t="e">
        <f>#REF!</f>
        <v>#REF!</v>
      </c>
      <c r="P206" t="s">
        <v>80</v>
      </c>
      <c r="R206" s="4">
        <v>14</v>
      </c>
      <c r="S206" s="24">
        <f t="shared" si="9"/>
        <v>15.814285714285713</v>
      </c>
      <c r="T206" s="24">
        <f t="shared" si="10"/>
        <v>21.085714285714285</v>
      </c>
      <c r="U206" s="24">
        <f t="shared" si="6"/>
        <v>26.357142857142858</v>
      </c>
      <c r="V206" s="24">
        <f t="shared" si="7"/>
        <v>2.911317637394506</v>
      </c>
    </row>
    <row r="207" spans="2:24" x14ac:dyDescent="0.35">
      <c r="B207">
        <f t="shared" si="8"/>
        <v>296.2</v>
      </c>
      <c r="D207" s="4">
        <v>15</v>
      </c>
      <c r="E207" s="24">
        <f t="shared" si="0"/>
        <v>14.809999999999999</v>
      </c>
      <c r="F207" s="24">
        <f t="shared" si="1"/>
        <v>19.746666666666666</v>
      </c>
      <c r="G207" s="24">
        <f t="shared" si="2"/>
        <v>24.683333333333334</v>
      </c>
      <c r="I207" s="4">
        <v>15</v>
      </c>
      <c r="J207" s="24">
        <f t="shared" si="3"/>
        <v>14.809999999999999</v>
      </c>
      <c r="K207" s="24">
        <f t="shared" si="4"/>
        <v>19.746666666666666</v>
      </c>
      <c r="L207" s="24">
        <f t="shared" si="5"/>
        <v>24.683333333333334</v>
      </c>
      <c r="N207" s="4">
        <v>11</v>
      </c>
      <c r="O207" s="24" t="e">
        <f>O$211+((O$206-O$211)*4/6)</f>
        <v>#REF!</v>
      </c>
      <c r="R207" s="4">
        <v>15</v>
      </c>
      <c r="S207" s="24">
        <f t="shared" si="9"/>
        <v>14.809999999999999</v>
      </c>
      <c r="T207" s="24">
        <f t="shared" si="10"/>
        <v>19.746666666666666</v>
      </c>
      <c r="U207" s="24">
        <f t="shared" si="6"/>
        <v>24.683333333333334</v>
      </c>
      <c r="V207" s="24">
        <f t="shared" si="7"/>
        <v>2.7172297949015389</v>
      </c>
    </row>
    <row r="208" spans="2:24" x14ac:dyDescent="0.35">
      <c r="B208">
        <f t="shared" si="8"/>
        <v>297.2</v>
      </c>
      <c r="D208" s="4">
        <v>16</v>
      </c>
      <c r="E208" s="24">
        <f t="shared" si="0"/>
        <v>13.931249999999999</v>
      </c>
      <c r="F208" s="24">
        <f t="shared" si="1"/>
        <v>18.574999999999999</v>
      </c>
      <c r="G208" s="24">
        <f t="shared" si="2"/>
        <v>23.21875</v>
      </c>
      <c r="I208" s="4">
        <v>16</v>
      </c>
      <c r="J208" s="24">
        <f t="shared" si="3"/>
        <v>13.931249999999999</v>
      </c>
      <c r="K208" s="24">
        <f t="shared" si="4"/>
        <v>18.574999999999999</v>
      </c>
      <c r="L208" s="24">
        <f t="shared" si="5"/>
        <v>23.21875</v>
      </c>
      <c r="N208" s="4">
        <v>12</v>
      </c>
      <c r="O208" s="24" t="e">
        <f>O$211+((O$206-O$211)*3/7)</f>
        <v>#REF!</v>
      </c>
      <c r="R208" s="4">
        <v>16</v>
      </c>
      <c r="S208" s="24">
        <f t="shared" si="9"/>
        <v>13.931249999999999</v>
      </c>
      <c r="T208" s="24">
        <f t="shared" si="10"/>
        <v>18.574999999999999</v>
      </c>
      <c r="U208" s="24">
        <f t="shared" si="6"/>
        <v>23.21875</v>
      </c>
      <c r="V208" s="24">
        <f t="shared" si="7"/>
        <v>2.5474029327201926</v>
      </c>
    </row>
    <row r="209" spans="2:22" x14ac:dyDescent="0.35">
      <c r="B209">
        <f t="shared" si="8"/>
        <v>298.2</v>
      </c>
      <c r="D209" s="4">
        <v>17</v>
      </c>
      <c r="E209" s="24">
        <f t="shared" si="0"/>
        <v>13.155882352941175</v>
      </c>
      <c r="F209" s="24">
        <f t="shared" si="1"/>
        <v>17.541176470588233</v>
      </c>
      <c r="G209" s="24">
        <f t="shared" si="2"/>
        <v>21.92647058823529</v>
      </c>
      <c r="I209" s="4">
        <v>17</v>
      </c>
      <c r="J209" s="24">
        <f t="shared" si="3"/>
        <v>13.155882352941175</v>
      </c>
      <c r="K209" s="24">
        <f t="shared" si="4"/>
        <v>17.541176470588233</v>
      </c>
      <c r="L209" s="24">
        <f t="shared" si="5"/>
        <v>21.92647058823529</v>
      </c>
      <c r="N209" s="4">
        <v>13</v>
      </c>
      <c r="O209" s="24" t="e">
        <f>O$211+((O$206-O$211)*2/8)</f>
        <v>#REF!</v>
      </c>
      <c r="R209" s="4">
        <v>17</v>
      </c>
      <c r="S209" s="24">
        <f t="shared" si="9"/>
        <v>13.155882352941175</v>
      </c>
      <c r="T209" s="24">
        <f t="shared" si="10"/>
        <v>17.541176470588233</v>
      </c>
      <c r="U209" s="24">
        <f t="shared" si="6"/>
        <v>21.92647058823529</v>
      </c>
      <c r="V209" s="24">
        <f t="shared" si="7"/>
        <v>2.3975557013837108</v>
      </c>
    </row>
    <row r="210" spans="2:22" x14ac:dyDescent="0.35">
      <c r="B210">
        <f t="shared" si="8"/>
        <v>299.19999999999993</v>
      </c>
      <c r="D210" s="4">
        <v>18</v>
      </c>
      <c r="E210" s="24">
        <f t="shared" ref="E210:E272" si="11">(1-$F$280)*F210</f>
        <v>12.466666666666665</v>
      </c>
      <c r="F210" s="24">
        <f t="shared" si="1"/>
        <v>16.62222222222222</v>
      </c>
      <c r="G210" s="24">
        <f t="shared" ref="G210:G272" si="12">F210*(1+$F$280)</f>
        <v>20.777777777777775</v>
      </c>
      <c r="I210" s="4">
        <v>18</v>
      </c>
      <c r="J210" s="24">
        <f t="shared" ref="J210:J272" si="13">IF(E210&gt;$F$179,$F$179,E210)</f>
        <v>12.466666666666665</v>
      </c>
      <c r="K210" s="24">
        <f t="shared" ref="K210:K272" si="14">IF(F210&gt;$F$180,$F$180,F210)</f>
        <v>16.62222222222222</v>
      </c>
      <c r="L210" s="24">
        <f t="shared" ref="L210:L272" si="15">IF(G210&gt;$F$181,$F$181,G210)</f>
        <v>20.777777777777775</v>
      </c>
      <c r="N210" s="4">
        <v>14</v>
      </c>
      <c r="O210" s="24" t="e">
        <f>O$211+((O$206-O$211)*1/9)</f>
        <v>#REF!</v>
      </c>
      <c r="R210" s="4">
        <v>18</v>
      </c>
      <c r="S210" s="24">
        <f t="shared" ref="S210:S212" si="16">IF($R210&gt;$F$177,0.0000000005,J210)</f>
        <v>12.466666666666665</v>
      </c>
      <c r="T210" s="24">
        <f t="shared" ref="T210:T212" si="17">IF($R210&gt;$F$177,0.0000000005,K210)</f>
        <v>16.62222222222222</v>
      </c>
      <c r="U210" s="24">
        <f t="shared" ref="U210:U212" si="18">IF($R210&gt;$F$177,0.0000000005,L210)</f>
        <v>20.777777777777775</v>
      </c>
      <c r="V210" s="24">
        <f t="shared" ref="V210:V212" si="19">$X$193/R210</f>
        <v>2.264358162417949</v>
      </c>
    </row>
    <row r="211" spans="2:22" x14ac:dyDescent="0.35">
      <c r="B211">
        <f t="shared" si="8"/>
        <v>300.2</v>
      </c>
      <c r="D211" s="4">
        <v>19</v>
      </c>
      <c r="E211" s="24">
        <f t="shared" si="11"/>
        <v>11.85</v>
      </c>
      <c r="F211" s="24">
        <f t="shared" si="1"/>
        <v>15.799999999999999</v>
      </c>
      <c r="G211" s="24">
        <f t="shared" si="12"/>
        <v>19.75</v>
      </c>
      <c r="I211" s="4">
        <v>19</v>
      </c>
      <c r="J211" s="24">
        <f t="shared" si="13"/>
        <v>11.85</v>
      </c>
      <c r="K211" s="24">
        <f t="shared" si="14"/>
        <v>15.799999999999999</v>
      </c>
      <c r="L211" s="24">
        <f t="shared" si="15"/>
        <v>19.75</v>
      </c>
      <c r="N211" s="4">
        <v>15</v>
      </c>
      <c r="O211" s="24" t="e">
        <f>#REF!</f>
        <v>#REF!</v>
      </c>
      <c r="P211" t="s">
        <v>80</v>
      </c>
      <c r="R211" s="4">
        <v>19</v>
      </c>
      <c r="S211" s="24">
        <f t="shared" si="16"/>
        <v>11.85</v>
      </c>
      <c r="T211" s="24">
        <f t="shared" si="17"/>
        <v>15.799999999999999</v>
      </c>
      <c r="U211" s="24">
        <f t="shared" si="18"/>
        <v>19.75</v>
      </c>
      <c r="V211" s="24">
        <f t="shared" si="19"/>
        <v>2.1451814170275307</v>
      </c>
    </row>
    <row r="212" spans="2:22" x14ac:dyDescent="0.35">
      <c r="B212">
        <f t="shared" si="8"/>
        <v>301.2</v>
      </c>
      <c r="D212" s="4">
        <v>20</v>
      </c>
      <c r="E212" s="24">
        <f t="shared" si="11"/>
        <v>11.294999999999998</v>
      </c>
      <c r="F212" s="24">
        <f t="shared" si="1"/>
        <v>15.059999999999999</v>
      </c>
      <c r="G212" s="24">
        <f t="shared" si="12"/>
        <v>18.824999999999999</v>
      </c>
      <c r="I212" s="4">
        <v>20</v>
      </c>
      <c r="J212" s="24">
        <f t="shared" si="13"/>
        <v>11.294999999999998</v>
      </c>
      <c r="K212" s="24">
        <f t="shared" si="14"/>
        <v>15.059999999999999</v>
      </c>
      <c r="L212" s="24">
        <f t="shared" si="15"/>
        <v>18.824999999999999</v>
      </c>
      <c r="N212" s="4">
        <v>16</v>
      </c>
      <c r="O212" s="24" t="e">
        <f>O$216+((O$211-O$216)*4/6)</f>
        <v>#REF!</v>
      </c>
      <c r="R212" s="4">
        <v>20</v>
      </c>
      <c r="S212" s="24">
        <f t="shared" si="16"/>
        <v>11.294999999999998</v>
      </c>
      <c r="T212" s="24">
        <f t="shared" si="17"/>
        <v>15.059999999999999</v>
      </c>
      <c r="U212" s="24">
        <f t="shared" si="18"/>
        <v>18.824999999999999</v>
      </c>
      <c r="V212" s="24">
        <f t="shared" si="19"/>
        <v>2.037922346176154</v>
      </c>
    </row>
    <row r="213" spans="2:22" x14ac:dyDescent="0.35">
      <c r="B213">
        <f t="shared" si="8"/>
        <v>302.2</v>
      </c>
      <c r="D213" s="4">
        <v>21</v>
      </c>
      <c r="E213" s="24">
        <f t="shared" si="11"/>
        <v>10.792857142857141</v>
      </c>
      <c r="F213" s="24">
        <f t="shared" si="1"/>
        <v>14.390476190476189</v>
      </c>
      <c r="G213" s="24">
        <f t="shared" si="12"/>
        <v>17.988095238095237</v>
      </c>
      <c r="I213" s="4">
        <v>21</v>
      </c>
      <c r="J213" s="24">
        <f t="shared" si="13"/>
        <v>10.792857142857141</v>
      </c>
      <c r="K213" s="24">
        <f t="shared" si="14"/>
        <v>14.390476190476189</v>
      </c>
      <c r="L213" s="24">
        <f t="shared" si="15"/>
        <v>17.988095238095237</v>
      </c>
      <c r="N213" s="4">
        <v>17</v>
      </c>
      <c r="O213" s="24" t="e">
        <f>O$216+((O$211-O$216)*3/7)</f>
        <v>#REF!</v>
      </c>
      <c r="R213" s="4">
        <v>21</v>
      </c>
      <c r="S213" s="24">
        <f t="shared" ref="S213:S228" si="20">IF($R213&gt;$F$177,0.0000000005,J213)</f>
        <v>10.792857142857141</v>
      </c>
      <c r="T213" s="24">
        <f t="shared" ref="T213:T228" si="21">IF($R213&gt;$F$177,0.0000000005,K213)</f>
        <v>14.390476190476189</v>
      </c>
      <c r="U213" s="24">
        <f t="shared" ref="U213:U228" si="22">IF($R213&gt;$F$177,0.0000000005,L213)</f>
        <v>17.988095238095237</v>
      </c>
      <c r="V213" s="24">
        <f t="shared" ref="V213:V249" si="23">$X$193/R213</f>
        <v>1.9408784249296704</v>
      </c>
    </row>
    <row r="214" spans="2:22" x14ac:dyDescent="0.35">
      <c r="B214">
        <f t="shared" si="8"/>
        <v>303.2</v>
      </c>
      <c r="D214" s="4">
        <v>22</v>
      </c>
      <c r="E214" s="24">
        <f t="shared" si="11"/>
        <v>10.336363636363636</v>
      </c>
      <c r="F214" s="24">
        <f t="shared" si="1"/>
        <v>13.781818181818181</v>
      </c>
      <c r="G214" s="24">
        <f t="shared" si="12"/>
        <v>17.227272727272727</v>
      </c>
      <c r="I214" s="4">
        <v>22</v>
      </c>
      <c r="J214" s="24">
        <f t="shared" si="13"/>
        <v>10.336363636363636</v>
      </c>
      <c r="K214" s="24">
        <f t="shared" si="14"/>
        <v>13.781818181818181</v>
      </c>
      <c r="L214" s="24">
        <f t="shared" si="15"/>
        <v>17.227272727272727</v>
      </c>
      <c r="N214" s="4">
        <v>18</v>
      </c>
      <c r="O214" s="24" t="e">
        <f>O$216+((O$211-O$216)*2/8)</f>
        <v>#REF!</v>
      </c>
      <c r="R214" s="4">
        <v>22</v>
      </c>
      <c r="S214" s="24">
        <f t="shared" si="20"/>
        <v>10.336363636363636</v>
      </c>
      <c r="T214" s="24">
        <f t="shared" si="21"/>
        <v>13.781818181818181</v>
      </c>
      <c r="U214" s="24">
        <f t="shared" si="22"/>
        <v>17.227272727272727</v>
      </c>
      <c r="V214" s="24">
        <f t="shared" si="23"/>
        <v>1.8526566783419582</v>
      </c>
    </row>
    <row r="215" spans="2:22" x14ac:dyDescent="0.35">
      <c r="B215">
        <f t="shared" si="8"/>
        <v>304.2</v>
      </c>
      <c r="D215" s="4">
        <v>23</v>
      </c>
      <c r="E215" s="24">
        <f t="shared" si="11"/>
        <v>9.9195652173913036</v>
      </c>
      <c r="F215" s="24">
        <f t="shared" si="1"/>
        <v>13.226086956521739</v>
      </c>
      <c r="G215" s="24">
        <f t="shared" si="12"/>
        <v>16.532608695652172</v>
      </c>
      <c r="I215" s="4">
        <v>23</v>
      </c>
      <c r="J215" s="24">
        <f t="shared" si="13"/>
        <v>9.9195652173913036</v>
      </c>
      <c r="K215" s="24">
        <f t="shared" si="14"/>
        <v>13.226086956521739</v>
      </c>
      <c r="L215" s="24">
        <f t="shared" si="15"/>
        <v>16.532608695652172</v>
      </c>
      <c r="N215" s="4">
        <v>19</v>
      </c>
      <c r="O215" s="24" t="e">
        <f>O$216+((O$211-O$216)*1/9)</f>
        <v>#REF!</v>
      </c>
      <c r="R215" s="4">
        <v>23</v>
      </c>
      <c r="S215" s="24">
        <f t="shared" si="20"/>
        <v>9.9195652173913036</v>
      </c>
      <c r="T215" s="24">
        <f t="shared" si="21"/>
        <v>13.226086956521739</v>
      </c>
      <c r="U215" s="24">
        <f t="shared" si="22"/>
        <v>16.532608695652172</v>
      </c>
      <c r="V215" s="24">
        <f t="shared" si="23"/>
        <v>1.7721063879792645</v>
      </c>
    </row>
    <row r="216" spans="2:22" x14ac:dyDescent="0.35">
      <c r="B216">
        <f t="shared" si="8"/>
        <v>305.2</v>
      </c>
      <c r="D216" s="4">
        <v>24</v>
      </c>
      <c r="E216" s="24">
        <f t="shared" si="11"/>
        <v>9.5374999999999996</v>
      </c>
      <c r="F216" s="24">
        <f t="shared" si="1"/>
        <v>12.716666666666667</v>
      </c>
      <c r="G216" s="24">
        <f t="shared" si="12"/>
        <v>15.895833333333334</v>
      </c>
      <c r="I216" s="4">
        <v>24</v>
      </c>
      <c r="J216" s="24">
        <f t="shared" si="13"/>
        <v>9.5374999999999996</v>
      </c>
      <c r="K216" s="24">
        <f t="shared" si="14"/>
        <v>12.716666666666667</v>
      </c>
      <c r="L216" s="24">
        <f t="shared" si="15"/>
        <v>15.895833333333334</v>
      </c>
      <c r="N216" s="4">
        <v>20</v>
      </c>
      <c r="O216" s="24" t="e">
        <f>#REF!</f>
        <v>#REF!</v>
      </c>
      <c r="P216" t="s">
        <v>80</v>
      </c>
      <c r="R216" s="4">
        <v>24</v>
      </c>
      <c r="S216" s="24">
        <f t="shared" si="20"/>
        <v>9.5374999999999996</v>
      </c>
      <c r="T216" s="24">
        <f t="shared" si="21"/>
        <v>12.716666666666667</v>
      </c>
      <c r="U216" s="24">
        <f t="shared" si="22"/>
        <v>15.895833333333334</v>
      </c>
      <c r="V216" s="24">
        <f t="shared" si="23"/>
        <v>1.6982686218134617</v>
      </c>
    </row>
    <row r="217" spans="2:22" x14ac:dyDescent="0.35">
      <c r="B217">
        <f t="shared" si="8"/>
        <v>306.2</v>
      </c>
      <c r="D217" s="4">
        <v>25</v>
      </c>
      <c r="E217" s="24">
        <f t="shared" si="11"/>
        <v>9.1859999999999999</v>
      </c>
      <c r="F217" s="24">
        <f t="shared" si="1"/>
        <v>12.247999999999999</v>
      </c>
      <c r="G217" s="24">
        <f t="shared" si="12"/>
        <v>15.309999999999999</v>
      </c>
      <c r="I217" s="4">
        <v>25</v>
      </c>
      <c r="J217" s="24">
        <f t="shared" si="13"/>
        <v>9.1859999999999999</v>
      </c>
      <c r="K217" s="24">
        <f t="shared" si="14"/>
        <v>12.247999999999999</v>
      </c>
      <c r="L217" s="24">
        <f t="shared" si="15"/>
        <v>15.309999999999999</v>
      </c>
      <c r="R217" s="4">
        <v>25</v>
      </c>
      <c r="S217" s="24">
        <f t="shared" si="20"/>
        <v>9.1859999999999999</v>
      </c>
      <c r="T217" s="24">
        <f t="shared" si="21"/>
        <v>12.247999999999999</v>
      </c>
      <c r="U217" s="24">
        <f t="shared" si="22"/>
        <v>15.309999999999999</v>
      </c>
      <c r="V217" s="24">
        <f t="shared" si="23"/>
        <v>1.6303378769409234</v>
      </c>
    </row>
    <row r="218" spans="2:22" x14ac:dyDescent="0.35">
      <c r="B218">
        <f t="shared" si="8"/>
        <v>307.2</v>
      </c>
      <c r="D218" s="4">
        <v>26</v>
      </c>
      <c r="E218" s="24">
        <f t="shared" si="11"/>
        <v>8.8615384615384603</v>
      </c>
      <c r="F218" s="24">
        <f t="shared" si="1"/>
        <v>11.815384615384614</v>
      </c>
      <c r="G218" s="24">
        <f t="shared" si="12"/>
        <v>14.769230769230768</v>
      </c>
      <c r="I218" s="4">
        <v>26</v>
      </c>
      <c r="J218" s="24">
        <f t="shared" si="13"/>
        <v>8.8615384615384603</v>
      </c>
      <c r="K218" s="24">
        <f t="shared" si="14"/>
        <v>11.815384615384614</v>
      </c>
      <c r="L218" s="24">
        <f t="shared" si="15"/>
        <v>14.769230769230768</v>
      </c>
      <c r="R218" s="4">
        <v>26</v>
      </c>
      <c r="S218" s="24">
        <f t="shared" si="20"/>
        <v>5.0000000000000003E-10</v>
      </c>
      <c r="T218" s="24">
        <f t="shared" si="21"/>
        <v>5.0000000000000003E-10</v>
      </c>
      <c r="U218" s="24">
        <f t="shared" si="22"/>
        <v>5.0000000000000003E-10</v>
      </c>
      <c r="V218" s="24">
        <f t="shared" si="23"/>
        <v>1.567632573981657</v>
      </c>
    </row>
    <row r="219" spans="2:22" x14ac:dyDescent="0.35">
      <c r="B219">
        <f t="shared" si="8"/>
        <v>308.2</v>
      </c>
      <c r="D219" s="4">
        <v>27</v>
      </c>
      <c r="E219" s="24">
        <f t="shared" si="11"/>
        <v>8.56111111111111</v>
      </c>
      <c r="F219" s="24">
        <f t="shared" si="1"/>
        <v>11.414814814814815</v>
      </c>
      <c r="G219" s="24">
        <f t="shared" si="12"/>
        <v>14.268518518518519</v>
      </c>
      <c r="I219" s="4">
        <v>27</v>
      </c>
      <c r="J219" s="24">
        <f t="shared" si="13"/>
        <v>8.56111111111111</v>
      </c>
      <c r="K219" s="24">
        <f t="shared" si="14"/>
        <v>11.414814814814815</v>
      </c>
      <c r="L219" s="24">
        <f t="shared" si="15"/>
        <v>14.268518518518519</v>
      </c>
      <c r="R219" s="4">
        <v>27</v>
      </c>
      <c r="S219" s="24">
        <f t="shared" si="20"/>
        <v>5.0000000000000003E-10</v>
      </c>
      <c r="T219" s="24">
        <f t="shared" si="21"/>
        <v>5.0000000000000003E-10</v>
      </c>
      <c r="U219" s="24">
        <f t="shared" si="22"/>
        <v>5.0000000000000003E-10</v>
      </c>
      <c r="V219" s="24">
        <f t="shared" si="23"/>
        <v>1.5095721082786326</v>
      </c>
    </row>
    <row r="220" spans="2:22" x14ac:dyDescent="0.35">
      <c r="B220">
        <f t="shared" si="8"/>
        <v>309.2</v>
      </c>
      <c r="D220" s="4">
        <v>28</v>
      </c>
      <c r="E220" s="24">
        <f t="shared" si="11"/>
        <v>8.2821428571428566</v>
      </c>
      <c r="F220" s="24">
        <f t="shared" si="1"/>
        <v>11.042857142857143</v>
      </c>
      <c r="G220" s="24">
        <f t="shared" si="12"/>
        <v>13.803571428571429</v>
      </c>
      <c r="I220" s="4">
        <v>28</v>
      </c>
      <c r="J220" s="24">
        <f t="shared" si="13"/>
        <v>8.2821428571428566</v>
      </c>
      <c r="K220" s="24">
        <f t="shared" si="14"/>
        <v>11.042857142857143</v>
      </c>
      <c r="L220" s="24">
        <f t="shared" si="15"/>
        <v>13.803571428571429</v>
      </c>
      <c r="R220" s="4">
        <v>28</v>
      </c>
      <c r="S220" s="24">
        <f t="shared" si="20"/>
        <v>5.0000000000000003E-10</v>
      </c>
      <c r="T220" s="24">
        <f t="shared" si="21"/>
        <v>5.0000000000000003E-10</v>
      </c>
      <c r="U220" s="24">
        <f t="shared" si="22"/>
        <v>5.0000000000000003E-10</v>
      </c>
      <c r="V220" s="24">
        <f t="shared" si="23"/>
        <v>1.455658818697253</v>
      </c>
    </row>
    <row r="221" spans="2:22" x14ac:dyDescent="0.35">
      <c r="B221">
        <f t="shared" si="8"/>
        <v>310.2</v>
      </c>
      <c r="D221" s="4">
        <v>29</v>
      </c>
      <c r="E221" s="24">
        <f t="shared" si="11"/>
        <v>8.022413793103448</v>
      </c>
      <c r="F221" s="24">
        <f t="shared" si="1"/>
        <v>10.696551724137931</v>
      </c>
      <c r="G221" s="24">
        <f t="shared" si="12"/>
        <v>13.370689655172415</v>
      </c>
      <c r="I221" s="4">
        <v>29</v>
      </c>
      <c r="J221" s="24">
        <f t="shared" si="13"/>
        <v>8.022413793103448</v>
      </c>
      <c r="K221" s="24">
        <f t="shared" si="14"/>
        <v>10.696551724137931</v>
      </c>
      <c r="L221" s="24">
        <f t="shared" si="15"/>
        <v>13.370689655172415</v>
      </c>
      <c r="R221" s="4">
        <v>29</v>
      </c>
      <c r="S221" s="24">
        <f t="shared" si="20"/>
        <v>5.0000000000000003E-10</v>
      </c>
      <c r="T221" s="24">
        <f t="shared" si="21"/>
        <v>5.0000000000000003E-10</v>
      </c>
      <c r="U221" s="24">
        <f t="shared" si="22"/>
        <v>5.0000000000000003E-10</v>
      </c>
      <c r="V221" s="24">
        <f t="shared" si="23"/>
        <v>1.4054636870180373</v>
      </c>
    </row>
    <row r="222" spans="2:22" x14ac:dyDescent="0.35">
      <c r="B222">
        <f t="shared" si="8"/>
        <v>311.2</v>
      </c>
      <c r="D222" s="4">
        <v>30</v>
      </c>
      <c r="E222" s="24">
        <f t="shared" si="11"/>
        <v>7.7799999999999994</v>
      </c>
      <c r="F222" s="24">
        <f t="shared" si="1"/>
        <v>10.373333333333333</v>
      </c>
      <c r="G222" s="24">
        <f t="shared" si="12"/>
        <v>12.966666666666667</v>
      </c>
      <c r="I222" s="4">
        <v>30</v>
      </c>
      <c r="J222" s="24">
        <f t="shared" si="13"/>
        <v>7.7799999999999994</v>
      </c>
      <c r="K222" s="24">
        <f t="shared" si="14"/>
        <v>10.373333333333333</v>
      </c>
      <c r="L222" s="24">
        <f t="shared" si="15"/>
        <v>12.966666666666667</v>
      </c>
      <c r="R222" s="4">
        <v>30</v>
      </c>
      <c r="S222" s="24">
        <f t="shared" si="20"/>
        <v>5.0000000000000003E-10</v>
      </c>
      <c r="T222" s="24">
        <f t="shared" si="21"/>
        <v>5.0000000000000003E-10</v>
      </c>
      <c r="U222" s="24">
        <f t="shared" si="22"/>
        <v>5.0000000000000003E-10</v>
      </c>
      <c r="V222" s="24">
        <f t="shared" si="23"/>
        <v>1.3586148974507695</v>
      </c>
    </row>
    <row r="223" spans="2:22" x14ac:dyDescent="0.35">
      <c r="B223">
        <f t="shared" si="8"/>
        <v>312.2</v>
      </c>
      <c r="D223" s="4">
        <v>31</v>
      </c>
      <c r="E223" s="24">
        <f t="shared" si="11"/>
        <v>7.5532258064516125</v>
      </c>
      <c r="F223" s="24">
        <f t="shared" si="1"/>
        <v>10.070967741935483</v>
      </c>
      <c r="G223" s="24">
        <f t="shared" si="12"/>
        <v>12.588709677419354</v>
      </c>
      <c r="I223" s="4">
        <v>31</v>
      </c>
      <c r="J223" s="24">
        <f t="shared" si="13"/>
        <v>7.5532258064516125</v>
      </c>
      <c r="K223" s="24">
        <f t="shared" si="14"/>
        <v>10.070967741935483</v>
      </c>
      <c r="L223" s="24">
        <f t="shared" si="15"/>
        <v>12.588709677419354</v>
      </c>
      <c r="R223" s="4">
        <v>31</v>
      </c>
      <c r="S223" s="24">
        <f t="shared" si="20"/>
        <v>5.0000000000000003E-10</v>
      </c>
      <c r="T223" s="24">
        <f t="shared" si="21"/>
        <v>5.0000000000000003E-10</v>
      </c>
      <c r="U223" s="24">
        <f t="shared" si="22"/>
        <v>5.0000000000000003E-10</v>
      </c>
      <c r="V223" s="24">
        <f t="shared" si="23"/>
        <v>1.3147886104362285</v>
      </c>
    </row>
    <row r="224" spans="2:22" x14ac:dyDescent="0.35">
      <c r="B224">
        <f t="shared" si="8"/>
        <v>313.2</v>
      </c>
      <c r="D224" s="4">
        <v>32</v>
      </c>
      <c r="E224" s="24">
        <f t="shared" si="11"/>
        <v>7.3406249999999993</v>
      </c>
      <c r="F224" s="24">
        <f t="shared" si="1"/>
        <v>9.7874999999999996</v>
      </c>
      <c r="G224" s="24">
        <f t="shared" si="12"/>
        <v>12.234375</v>
      </c>
      <c r="I224" s="4">
        <v>32</v>
      </c>
      <c r="J224" s="24">
        <f t="shared" si="13"/>
        <v>7.3406249999999993</v>
      </c>
      <c r="K224" s="24">
        <f t="shared" si="14"/>
        <v>9.7874999999999996</v>
      </c>
      <c r="L224" s="24">
        <f t="shared" si="15"/>
        <v>12.234375</v>
      </c>
      <c r="R224" s="4">
        <v>32</v>
      </c>
      <c r="S224" s="24">
        <f t="shared" si="20"/>
        <v>5.0000000000000003E-10</v>
      </c>
      <c r="T224" s="24">
        <f t="shared" si="21"/>
        <v>5.0000000000000003E-10</v>
      </c>
      <c r="U224" s="24">
        <f t="shared" si="22"/>
        <v>5.0000000000000003E-10</v>
      </c>
      <c r="V224" s="24">
        <f t="shared" si="23"/>
        <v>1.2737014663600963</v>
      </c>
    </row>
    <row r="225" spans="2:22" x14ac:dyDescent="0.35">
      <c r="B225">
        <f t="shared" si="8"/>
        <v>314.2</v>
      </c>
      <c r="D225" s="4">
        <v>33</v>
      </c>
      <c r="E225" s="24">
        <f t="shared" si="11"/>
        <v>7.1409090909090907</v>
      </c>
      <c r="F225" s="24">
        <f t="shared" ref="F225:F256" si="24">($F$184+(D225-VINMAX)*$E$277/$E$278)/D225</f>
        <v>9.5212121212121215</v>
      </c>
      <c r="G225" s="24">
        <f t="shared" si="12"/>
        <v>11.901515151515152</v>
      </c>
      <c r="I225" s="4">
        <v>33</v>
      </c>
      <c r="J225" s="24">
        <f t="shared" si="13"/>
        <v>7.1409090909090907</v>
      </c>
      <c r="K225" s="24">
        <f t="shared" si="14"/>
        <v>9.5212121212121215</v>
      </c>
      <c r="L225" s="24">
        <f t="shared" si="15"/>
        <v>11.901515151515152</v>
      </c>
      <c r="R225" s="4">
        <v>33</v>
      </c>
      <c r="S225" s="24">
        <f t="shared" si="20"/>
        <v>5.0000000000000003E-10</v>
      </c>
      <c r="T225" s="24">
        <f t="shared" si="21"/>
        <v>5.0000000000000003E-10</v>
      </c>
      <c r="U225" s="24">
        <f t="shared" si="22"/>
        <v>5.0000000000000003E-10</v>
      </c>
      <c r="V225" s="24">
        <f t="shared" si="23"/>
        <v>1.2351044522279722</v>
      </c>
    </row>
    <row r="226" spans="2:22" x14ac:dyDescent="0.35">
      <c r="B226">
        <f t="shared" si="8"/>
        <v>315.2</v>
      </c>
      <c r="D226" s="4">
        <v>34</v>
      </c>
      <c r="E226" s="24">
        <f t="shared" si="11"/>
        <v>6.9529411764705875</v>
      </c>
      <c r="F226" s="24">
        <f t="shared" si="24"/>
        <v>9.2705882352941167</v>
      </c>
      <c r="G226" s="24">
        <f t="shared" si="12"/>
        <v>11.588235294117645</v>
      </c>
      <c r="I226" s="4">
        <v>34</v>
      </c>
      <c r="J226" s="24">
        <f t="shared" si="13"/>
        <v>6.9529411764705875</v>
      </c>
      <c r="K226" s="24">
        <f t="shared" si="14"/>
        <v>9.2705882352941167</v>
      </c>
      <c r="L226" s="24">
        <f t="shared" si="15"/>
        <v>11.588235294117645</v>
      </c>
      <c r="R226" s="4">
        <v>34</v>
      </c>
      <c r="S226" s="24">
        <f t="shared" si="20"/>
        <v>5.0000000000000003E-10</v>
      </c>
      <c r="T226" s="24">
        <f t="shared" si="21"/>
        <v>5.0000000000000003E-10</v>
      </c>
      <c r="U226" s="24">
        <f t="shared" si="22"/>
        <v>5.0000000000000003E-10</v>
      </c>
      <c r="V226" s="24">
        <f t="shared" si="23"/>
        <v>1.1987778506918554</v>
      </c>
    </row>
    <row r="227" spans="2:22" x14ac:dyDescent="0.35">
      <c r="B227">
        <f t="shared" si="8"/>
        <v>316.2</v>
      </c>
      <c r="D227" s="4">
        <v>35</v>
      </c>
      <c r="E227" s="24">
        <f t="shared" si="11"/>
        <v>6.7757142857142849</v>
      </c>
      <c r="F227" s="24">
        <f t="shared" si="24"/>
        <v>9.0342857142857138</v>
      </c>
      <c r="G227" s="24">
        <f t="shared" si="12"/>
        <v>11.292857142857143</v>
      </c>
      <c r="I227" s="4">
        <v>35</v>
      </c>
      <c r="J227" s="24">
        <f t="shared" si="13"/>
        <v>6.7757142857142849</v>
      </c>
      <c r="K227" s="24">
        <f t="shared" si="14"/>
        <v>9.0342857142857138</v>
      </c>
      <c r="L227" s="24">
        <f t="shared" si="15"/>
        <v>11.292857142857143</v>
      </c>
      <c r="R227" s="4">
        <v>35</v>
      </c>
      <c r="S227" s="24">
        <f t="shared" si="20"/>
        <v>5.0000000000000003E-10</v>
      </c>
      <c r="T227" s="24">
        <f t="shared" si="21"/>
        <v>5.0000000000000003E-10</v>
      </c>
      <c r="U227" s="24">
        <f t="shared" si="22"/>
        <v>5.0000000000000003E-10</v>
      </c>
      <c r="V227" s="24">
        <f t="shared" si="23"/>
        <v>1.1645270549578024</v>
      </c>
    </row>
    <row r="228" spans="2:22" x14ac:dyDescent="0.35">
      <c r="B228">
        <f t="shared" si="8"/>
        <v>317.19999999999993</v>
      </c>
      <c r="D228" s="4">
        <v>36</v>
      </c>
      <c r="E228" s="24">
        <f t="shared" si="11"/>
        <v>6.6083333333333325</v>
      </c>
      <c r="F228" s="24">
        <f t="shared" si="24"/>
        <v>8.81111111111111</v>
      </c>
      <c r="G228" s="24">
        <f t="shared" si="12"/>
        <v>11.013888888888888</v>
      </c>
      <c r="I228" s="4">
        <v>36</v>
      </c>
      <c r="J228" s="24">
        <f t="shared" si="13"/>
        <v>6.6083333333333325</v>
      </c>
      <c r="K228" s="24">
        <f t="shared" si="14"/>
        <v>8.81111111111111</v>
      </c>
      <c r="L228" s="24">
        <f t="shared" si="15"/>
        <v>11.013888888888888</v>
      </c>
      <c r="R228" s="4">
        <v>36</v>
      </c>
      <c r="S228" s="24">
        <f t="shared" si="20"/>
        <v>5.0000000000000003E-10</v>
      </c>
      <c r="T228" s="24">
        <f t="shared" si="21"/>
        <v>5.0000000000000003E-10</v>
      </c>
      <c r="U228" s="24">
        <f t="shared" si="22"/>
        <v>5.0000000000000003E-10</v>
      </c>
      <c r="V228" s="24">
        <f t="shared" si="23"/>
        <v>1.1321790812089745</v>
      </c>
    </row>
    <row r="229" spans="2:22" x14ac:dyDescent="0.35">
      <c r="B229">
        <f t="shared" si="8"/>
        <v>318.2</v>
      </c>
      <c r="D229" s="4">
        <v>37</v>
      </c>
      <c r="E229" s="24">
        <f t="shared" si="11"/>
        <v>6.4499999999999993</v>
      </c>
      <c r="F229" s="24">
        <f t="shared" si="24"/>
        <v>8.6</v>
      </c>
      <c r="G229" s="24">
        <f t="shared" si="12"/>
        <v>10.75</v>
      </c>
      <c r="I229" s="4">
        <v>37</v>
      </c>
      <c r="J229" s="24">
        <f t="shared" si="13"/>
        <v>6.4499999999999993</v>
      </c>
      <c r="K229" s="24">
        <f t="shared" si="14"/>
        <v>8.6</v>
      </c>
      <c r="L229" s="24">
        <f t="shared" si="15"/>
        <v>10.75</v>
      </c>
      <c r="R229" s="4">
        <v>37</v>
      </c>
      <c r="S229" s="24">
        <f t="shared" ref="S229:S233" si="25">IF($R229&gt;$F$177,0.0000000005,J229)</f>
        <v>5.0000000000000003E-10</v>
      </c>
      <c r="T229" s="24">
        <f t="shared" ref="T229:T233" si="26">IF($R229&gt;$F$177,0.0000000005,K229)</f>
        <v>5.0000000000000003E-10</v>
      </c>
      <c r="U229" s="24">
        <f t="shared" ref="U229:U233" si="27">IF($R229&gt;$F$177,0.0000000005,L229)</f>
        <v>5.0000000000000003E-10</v>
      </c>
      <c r="V229" s="24">
        <f t="shared" ref="V229:V233" si="28">$X$193/R229</f>
        <v>1.1015796465817049</v>
      </c>
    </row>
    <row r="230" spans="2:22" x14ac:dyDescent="0.35">
      <c r="B230">
        <f t="shared" si="8"/>
        <v>319.2</v>
      </c>
      <c r="D230" s="4">
        <v>38</v>
      </c>
      <c r="E230" s="24">
        <f t="shared" si="11"/>
        <v>6.3000000000000007</v>
      </c>
      <c r="F230" s="24">
        <f t="shared" si="24"/>
        <v>8.4</v>
      </c>
      <c r="G230" s="24">
        <f t="shared" si="12"/>
        <v>10.5</v>
      </c>
      <c r="I230" s="4">
        <v>38</v>
      </c>
      <c r="J230" s="24">
        <f t="shared" si="13"/>
        <v>6.3000000000000007</v>
      </c>
      <c r="K230" s="24">
        <f t="shared" si="14"/>
        <v>8.4</v>
      </c>
      <c r="L230" s="24">
        <f t="shared" si="15"/>
        <v>10.5</v>
      </c>
      <c r="R230" s="4">
        <v>38</v>
      </c>
      <c r="S230" s="24">
        <f t="shared" si="25"/>
        <v>5.0000000000000003E-10</v>
      </c>
      <c r="T230" s="24">
        <f t="shared" si="26"/>
        <v>5.0000000000000003E-10</v>
      </c>
      <c r="U230" s="24">
        <f t="shared" si="27"/>
        <v>5.0000000000000003E-10</v>
      </c>
      <c r="V230" s="24">
        <f t="shared" si="28"/>
        <v>1.0725907085137654</v>
      </c>
    </row>
    <row r="231" spans="2:22" x14ac:dyDescent="0.35">
      <c r="B231">
        <f t="shared" si="8"/>
        <v>320.2</v>
      </c>
      <c r="D231" s="4">
        <v>39</v>
      </c>
      <c r="E231" s="24">
        <f t="shared" si="11"/>
        <v>6.1576923076923071</v>
      </c>
      <c r="F231" s="24">
        <f t="shared" si="24"/>
        <v>8.2102564102564095</v>
      </c>
      <c r="G231" s="24">
        <f t="shared" si="12"/>
        <v>10.262820512820511</v>
      </c>
      <c r="I231" s="4">
        <v>39</v>
      </c>
      <c r="J231" s="24">
        <f t="shared" si="13"/>
        <v>6.1576923076923071</v>
      </c>
      <c r="K231" s="24">
        <f t="shared" si="14"/>
        <v>8.2102564102564095</v>
      </c>
      <c r="L231" s="24">
        <f t="shared" si="15"/>
        <v>10.262820512820511</v>
      </c>
      <c r="R231" s="4">
        <v>39</v>
      </c>
      <c r="S231" s="24">
        <f t="shared" si="25"/>
        <v>5.0000000000000003E-10</v>
      </c>
      <c r="T231" s="24">
        <f t="shared" si="26"/>
        <v>5.0000000000000003E-10</v>
      </c>
      <c r="U231" s="24">
        <f t="shared" si="27"/>
        <v>5.0000000000000003E-10</v>
      </c>
      <c r="V231" s="24">
        <f t="shared" si="28"/>
        <v>1.0450883826544379</v>
      </c>
    </row>
    <row r="232" spans="2:22" x14ac:dyDescent="0.35">
      <c r="B232">
        <f t="shared" si="8"/>
        <v>321.2</v>
      </c>
      <c r="D232" s="4">
        <v>40</v>
      </c>
      <c r="E232" s="24">
        <f t="shared" si="11"/>
        <v>6.0224999999999991</v>
      </c>
      <c r="F232" s="24">
        <f t="shared" si="24"/>
        <v>8.0299999999999994</v>
      </c>
      <c r="G232" s="24">
        <f t="shared" si="12"/>
        <v>10.0375</v>
      </c>
      <c r="I232" s="4">
        <v>40</v>
      </c>
      <c r="J232" s="24">
        <f t="shared" si="13"/>
        <v>6.0224999999999991</v>
      </c>
      <c r="K232" s="24">
        <f t="shared" si="14"/>
        <v>8.0299999999999994</v>
      </c>
      <c r="L232" s="24">
        <f t="shared" si="15"/>
        <v>10.0375</v>
      </c>
      <c r="R232" s="4">
        <v>40</v>
      </c>
      <c r="S232" s="24">
        <f t="shared" si="25"/>
        <v>5.0000000000000003E-10</v>
      </c>
      <c r="T232" s="24">
        <f t="shared" si="26"/>
        <v>5.0000000000000003E-10</v>
      </c>
      <c r="U232" s="24">
        <f t="shared" si="27"/>
        <v>5.0000000000000003E-10</v>
      </c>
      <c r="V232" s="24">
        <f t="shared" si="28"/>
        <v>1.018961173088077</v>
      </c>
    </row>
    <row r="233" spans="2:22" x14ac:dyDescent="0.35">
      <c r="B233">
        <f t="shared" si="8"/>
        <v>322.2</v>
      </c>
      <c r="D233" s="4">
        <v>41</v>
      </c>
      <c r="E233" s="24">
        <f t="shared" si="11"/>
        <v>5.8939024390243899</v>
      </c>
      <c r="F233" s="24">
        <f t="shared" si="24"/>
        <v>7.8585365853658535</v>
      </c>
      <c r="G233" s="24">
        <f t="shared" si="12"/>
        <v>9.8231707317073162</v>
      </c>
      <c r="I233" s="4">
        <v>41</v>
      </c>
      <c r="J233" s="24">
        <f t="shared" si="13"/>
        <v>5.8939024390243899</v>
      </c>
      <c r="K233" s="24">
        <f t="shared" si="14"/>
        <v>7.8585365853658535</v>
      </c>
      <c r="L233" s="24">
        <f t="shared" si="15"/>
        <v>9.8231707317073162</v>
      </c>
      <c r="R233" s="4">
        <v>41</v>
      </c>
      <c r="S233" s="24">
        <f t="shared" si="25"/>
        <v>5.0000000000000003E-10</v>
      </c>
      <c r="T233" s="24">
        <f t="shared" si="26"/>
        <v>5.0000000000000003E-10</v>
      </c>
      <c r="U233" s="24">
        <f t="shared" si="27"/>
        <v>5.0000000000000003E-10</v>
      </c>
      <c r="V233" s="24">
        <f t="shared" si="28"/>
        <v>0.9941084615493434</v>
      </c>
    </row>
    <row r="234" spans="2:22" x14ac:dyDescent="0.35">
      <c r="B234">
        <f t="shared" si="8"/>
        <v>323.2</v>
      </c>
      <c r="D234" s="4">
        <v>42</v>
      </c>
      <c r="E234" s="24">
        <f t="shared" si="11"/>
        <v>5.7714285714285705</v>
      </c>
      <c r="F234" s="24">
        <f t="shared" si="24"/>
        <v>7.6952380952380945</v>
      </c>
      <c r="G234" s="24">
        <f t="shared" si="12"/>
        <v>9.6190476190476186</v>
      </c>
      <c r="I234" s="4">
        <v>42</v>
      </c>
      <c r="J234" s="24">
        <f t="shared" si="13"/>
        <v>5.7714285714285705</v>
      </c>
      <c r="K234" s="24">
        <f t="shared" si="14"/>
        <v>7.6952380952380945</v>
      </c>
      <c r="L234" s="24">
        <f t="shared" si="15"/>
        <v>9.6190476190476186</v>
      </c>
      <c r="R234" s="4">
        <v>42</v>
      </c>
      <c r="S234" s="24">
        <f t="shared" ref="S234:S249" si="29">IF($R234&gt;$F$177,0.0000000005,J234)</f>
        <v>5.0000000000000003E-10</v>
      </c>
      <c r="T234" s="24">
        <f t="shared" ref="T234:T249" si="30">IF($R234&gt;$F$177,0.0000000005,K234)</f>
        <v>5.0000000000000003E-10</v>
      </c>
      <c r="U234" s="24">
        <f t="shared" ref="U234:U249" si="31">IF($R234&gt;$F$177,0.0000000005,L234)</f>
        <v>5.0000000000000003E-10</v>
      </c>
      <c r="V234" s="24">
        <f t="shared" si="23"/>
        <v>0.97043921246483522</v>
      </c>
    </row>
    <row r="235" spans="2:22" x14ac:dyDescent="0.35">
      <c r="B235">
        <f t="shared" si="8"/>
        <v>324.2</v>
      </c>
      <c r="D235" s="4">
        <v>43</v>
      </c>
      <c r="E235" s="24">
        <f t="shared" si="11"/>
        <v>5.6546511627906977</v>
      </c>
      <c r="F235" s="24">
        <f t="shared" si="24"/>
        <v>7.5395348837209299</v>
      </c>
      <c r="G235" s="24">
        <f t="shared" si="12"/>
        <v>9.4244186046511622</v>
      </c>
      <c r="I235" s="4">
        <v>43</v>
      </c>
      <c r="J235" s="24">
        <f t="shared" si="13"/>
        <v>5.6546511627906977</v>
      </c>
      <c r="K235" s="24">
        <f t="shared" si="14"/>
        <v>7.5395348837209299</v>
      </c>
      <c r="L235" s="24">
        <f t="shared" si="15"/>
        <v>9.4244186046511622</v>
      </c>
      <c r="R235" s="4">
        <v>43</v>
      </c>
      <c r="S235" s="24">
        <f t="shared" si="29"/>
        <v>5.0000000000000003E-10</v>
      </c>
      <c r="T235" s="24">
        <f t="shared" si="30"/>
        <v>5.0000000000000003E-10</v>
      </c>
      <c r="U235" s="24">
        <f t="shared" si="31"/>
        <v>5.0000000000000003E-10</v>
      </c>
      <c r="V235" s="24">
        <f t="shared" si="23"/>
        <v>0.94787085868658327</v>
      </c>
    </row>
    <row r="236" spans="2:22" x14ac:dyDescent="0.35">
      <c r="B236">
        <f t="shared" si="8"/>
        <v>325.2</v>
      </c>
      <c r="D236" s="4">
        <v>44</v>
      </c>
      <c r="E236" s="24">
        <f t="shared" si="11"/>
        <v>5.543181818181818</v>
      </c>
      <c r="F236" s="24">
        <f t="shared" si="24"/>
        <v>7.3909090909090907</v>
      </c>
      <c r="G236" s="24">
        <f t="shared" si="12"/>
        <v>9.2386363636363633</v>
      </c>
      <c r="I236" s="4">
        <v>44</v>
      </c>
      <c r="J236" s="24">
        <f t="shared" si="13"/>
        <v>5.543181818181818</v>
      </c>
      <c r="K236" s="24">
        <f t="shared" si="14"/>
        <v>7.3909090909090907</v>
      </c>
      <c r="L236" s="24">
        <f t="shared" si="15"/>
        <v>9.2386363636363633</v>
      </c>
      <c r="R236" s="4">
        <v>44</v>
      </c>
      <c r="S236" s="24">
        <f t="shared" si="29"/>
        <v>5.0000000000000003E-10</v>
      </c>
      <c r="T236" s="24">
        <f t="shared" si="30"/>
        <v>5.0000000000000003E-10</v>
      </c>
      <c r="U236" s="24">
        <f t="shared" si="31"/>
        <v>5.0000000000000003E-10</v>
      </c>
      <c r="V236" s="24">
        <f t="shared" si="23"/>
        <v>0.92632833917097912</v>
      </c>
    </row>
    <row r="237" spans="2:22" x14ac:dyDescent="0.35">
      <c r="B237">
        <f t="shared" si="8"/>
        <v>326.2</v>
      </c>
      <c r="D237" s="4">
        <v>45</v>
      </c>
      <c r="E237" s="24">
        <f t="shared" si="11"/>
        <v>5.4366666666666665</v>
      </c>
      <c r="F237" s="24">
        <f t="shared" si="24"/>
        <v>7.2488888888888887</v>
      </c>
      <c r="G237" s="24">
        <f t="shared" si="12"/>
        <v>9.06111111111111</v>
      </c>
      <c r="I237" s="4">
        <v>45</v>
      </c>
      <c r="J237" s="24">
        <f t="shared" si="13"/>
        <v>5.4366666666666665</v>
      </c>
      <c r="K237" s="24">
        <f t="shared" si="14"/>
        <v>7.2488888888888887</v>
      </c>
      <c r="L237" s="24">
        <f t="shared" si="15"/>
        <v>9.06111111111111</v>
      </c>
      <c r="R237" s="4">
        <v>45</v>
      </c>
      <c r="S237" s="24">
        <f t="shared" si="29"/>
        <v>5.0000000000000003E-10</v>
      </c>
      <c r="T237" s="24">
        <f t="shared" si="30"/>
        <v>5.0000000000000003E-10</v>
      </c>
      <c r="U237" s="24">
        <f t="shared" si="31"/>
        <v>5.0000000000000003E-10</v>
      </c>
      <c r="V237" s="24">
        <f t="shared" si="23"/>
        <v>0.90574326496717961</v>
      </c>
    </row>
    <row r="238" spans="2:22" x14ac:dyDescent="0.35">
      <c r="B238">
        <f t="shared" si="8"/>
        <v>327.2</v>
      </c>
      <c r="D238" s="4">
        <v>46</v>
      </c>
      <c r="E238" s="24">
        <f t="shared" si="11"/>
        <v>5.3347826086956518</v>
      </c>
      <c r="F238" s="24">
        <f t="shared" si="24"/>
        <v>7.1130434782608694</v>
      </c>
      <c r="G238" s="24">
        <f t="shared" si="12"/>
        <v>8.891304347826086</v>
      </c>
      <c r="I238" s="4">
        <v>46</v>
      </c>
      <c r="J238" s="24">
        <f t="shared" si="13"/>
        <v>5.3347826086956518</v>
      </c>
      <c r="K238" s="24">
        <f t="shared" si="14"/>
        <v>7.1130434782608694</v>
      </c>
      <c r="L238" s="24">
        <f t="shared" si="15"/>
        <v>8.891304347826086</v>
      </c>
      <c r="R238" s="4">
        <v>46</v>
      </c>
      <c r="S238" s="24">
        <f t="shared" si="29"/>
        <v>5.0000000000000003E-10</v>
      </c>
      <c r="T238" s="24">
        <f t="shared" si="30"/>
        <v>5.0000000000000003E-10</v>
      </c>
      <c r="U238" s="24">
        <f t="shared" si="31"/>
        <v>5.0000000000000003E-10</v>
      </c>
      <c r="V238" s="24">
        <f t="shared" si="23"/>
        <v>0.88605319398963223</v>
      </c>
    </row>
    <row r="239" spans="2:22" x14ac:dyDescent="0.35">
      <c r="B239">
        <f t="shared" si="8"/>
        <v>328.2</v>
      </c>
      <c r="D239" s="4">
        <v>47</v>
      </c>
      <c r="E239" s="24">
        <f t="shared" si="11"/>
        <v>5.2372340425531911</v>
      </c>
      <c r="F239" s="24">
        <f t="shared" si="24"/>
        <v>6.9829787234042549</v>
      </c>
      <c r="G239" s="24">
        <f t="shared" si="12"/>
        <v>8.7287234042553195</v>
      </c>
      <c r="I239" s="4">
        <v>47</v>
      </c>
      <c r="J239" s="24">
        <f t="shared" si="13"/>
        <v>5.2372340425531911</v>
      </c>
      <c r="K239" s="24">
        <f t="shared" si="14"/>
        <v>6.9829787234042549</v>
      </c>
      <c r="L239" s="24">
        <f t="shared" si="15"/>
        <v>8.7287234042553195</v>
      </c>
      <c r="R239" s="4">
        <v>47</v>
      </c>
      <c r="S239" s="24">
        <f t="shared" si="29"/>
        <v>5.0000000000000003E-10</v>
      </c>
      <c r="T239" s="24">
        <f t="shared" si="30"/>
        <v>5.0000000000000003E-10</v>
      </c>
      <c r="U239" s="24">
        <f t="shared" si="31"/>
        <v>5.0000000000000003E-10</v>
      </c>
      <c r="V239" s="24">
        <f t="shared" si="23"/>
        <v>0.86720099837283149</v>
      </c>
    </row>
    <row r="240" spans="2:22" x14ac:dyDescent="0.35">
      <c r="B240">
        <f t="shared" si="8"/>
        <v>329.2</v>
      </c>
      <c r="D240" s="4">
        <v>48</v>
      </c>
      <c r="E240" s="24">
        <f t="shared" si="11"/>
        <v>5.1437499999999998</v>
      </c>
      <c r="F240" s="24">
        <f t="shared" si="24"/>
        <v>6.8583333333333334</v>
      </c>
      <c r="G240" s="24">
        <f t="shared" si="12"/>
        <v>8.5729166666666661</v>
      </c>
      <c r="I240" s="4">
        <v>48</v>
      </c>
      <c r="J240" s="24">
        <f t="shared" si="13"/>
        <v>5.1437499999999998</v>
      </c>
      <c r="K240" s="24">
        <f t="shared" si="14"/>
        <v>6.8583333333333334</v>
      </c>
      <c r="L240" s="24">
        <f t="shared" si="15"/>
        <v>8.5729166666666661</v>
      </c>
      <c r="R240" s="4">
        <v>48</v>
      </c>
      <c r="S240" s="24">
        <f t="shared" si="29"/>
        <v>5.0000000000000003E-10</v>
      </c>
      <c r="T240" s="24">
        <f t="shared" si="30"/>
        <v>5.0000000000000003E-10</v>
      </c>
      <c r="U240" s="24">
        <f t="shared" si="31"/>
        <v>5.0000000000000003E-10</v>
      </c>
      <c r="V240" s="24">
        <f t="shared" si="23"/>
        <v>0.84913431090673086</v>
      </c>
    </row>
    <row r="241" spans="2:22" x14ac:dyDescent="0.35">
      <c r="B241">
        <f t="shared" si="8"/>
        <v>330.2</v>
      </c>
      <c r="D241" s="4">
        <v>49</v>
      </c>
      <c r="E241" s="24">
        <f t="shared" si="11"/>
        <v>5.0540816326530607</v>
      </c>
      <c r="F241" s="24">
        <f t="shared" si="24"/>
        <v>6.7387755102040812</v>
      </c>
      <c r="G241" s="24">
        <f t="shared" si="12"/>
        <v>8.4234693877551017</v>
      </c>
      <c r="I241" s="4">
        <v>49</v>
      </c>
      <c r="J241" s="24">
        <f t="shared" si="13"/>
        <v>5.0540816326530607</v>
      </c>
      <c r="K241" s="24">
        <f t="shared" si="14"/>
        <v>6.7387755102040812</v>
      </c>
      <c r="L241" s="24">
        <f t="shared" si="15"/>
        <v>8.4234693877551017</v>
      </c>
      <c r="R241" s="4">
        <v>49</v>
      </c>
      <c r="S241" s="24">
        <f t="shared" si="29"/>
        <v>5.0000000000000003E-10</v>
      </c>
      <c r="T241" s="24">
        <f t="shared" si="30"/>
        <v>5.0000000000000003E-10</v>
      </c>
      <c r="U241" s="24">
        <f t="shared" si="31"/>
        <v>5.0000000000000003E-10</v>
      </c>
      <c r="V241" s="24">
        <f t="shared" si="23"/>
        <v>0.83180503925557314</v>
      </c>
    </row>
    <row r="242" spans="2:22" x14ac:dyDescent="0.35">
      <c r="B242">
        <f t="shared" si="8"/>
        <v>331.2</v>
      </c>
      <c r="D242" s="4">
        <v>50</v>
      </c>
      <c r="E242" s="24">
        <f t="shared" si="11"/>
        <v>4.968</v>
      </c>
      <c r="F242" s="24">
        <f t="shared" si="24"/>
        <v>6.6239999999999997</v>
      </c>
      <c r="G242" s="24">
        <f t="shared" si="12"/>
        <v>8.2799999999999994</v>
      </c>
      <c r="I242" s="4">
        <v>50</v>
      </c>
      <c r="J242" s="24">
        <f t="shared" si="13"/>
        <v>4.968</v>
      </c>
      <c r="K242" s="24">
        <f t="shared" si="14"/>
        <v>6.6239999999999997</v>
      </c>
      <c r="L242" s="24">
        <f t="shared" si="15"/>
        <v>8.2799999999999994</v>
      </c>
      <c r="R242" s="4">
        <v>50</v>
      </c>
      <c r="S242" s="24">
        <f t="shared" si="29"/>
        <v>5.0000000000000003E-10</v>
      </c>
      <c r="T242" s="24">
        <f t="shared" si="30"/>
        <v>5.0000000000000003E-10</v>
      </c>
      <c r="U242" s="24">
        <f t="shared" si="31"/>
        <v>5.0000000000000003E-10</v>
      </c>
      <c r="V242" s="24">
        <f t="shared" si="23"/>
        <v>0.81516893847046168</v>
      </c>
    </row>
    <row r="243" spans="2:22" x14ac:dyDescent="0.35">
      <c r="B243">
        <f t="shared" si="8"/>
        <v>332.2</v>
      </c>
      <c r="D243" s="4">
        <v>51</v>
      </c>
      <c r="E243" s="24">
        <f t="shared" si="11"/>
        <v>4.8852941176470583</v>
      </c>
      <c r="F243" s="24">
        <f t="shared" si="24"/>
        <v>6.5137254901960784</v>
      </c>
      <c r="G243" s="24">
        <f t="shared" si="12"/>
        <v>8.1421568627450984</v>
      </c>
      <c r="I243" s="4">
        <v>51</v>
      </c>
      <c r="J243" s="24">
        <f t="shared" si="13"/>
        <v>4.8852941176470583</v>
      </c>
      <c r="K243" s="24">
        <f t="shared" si="14"/>
        <v>6.5137254901960784</v>
      </c>
      <c r="L243" s="24">
        <f t="shared" si="15"/>
        <v>8.1421568627450984</v>
      </c>
      <c r="R243" s="4">
        <v>51</v>
      </c>
      <c r="S243" s="24">
        <f t="shared" si="29"/>
        <v>5.0000000000000003E-10</v>
      </c>
      <c r="T243" s="24">
        <f t="shared" si="30"/>
        <v>5.0000000000000003E-10</v>
      </c>
      <c r="U243" s="24">
        <f t="shared" si="31"/>
        <v>5.0000000000000003E-10</v>
      </c>
      <c r="V243" s="24">
        <f t="shared" si="23"/>
        <v>0.79918523379457018</v>
      </c>
    </row>
    <row r="244" spans="2:22" x14ac:dyDescent="0.35">
      <c r="B244">
        <f t="shared" si="8"/>
        <v>333.2</v>
      </c>
      <c r="D244" s="4">
        <v>52</v>
      </c>
      <c r="E244" s="24">
        <f t="shared" si="11"/>
        <v>4.8057692307692301</v>
      </c>
      <c r="F244" s="24">
        <f t="shared" si="24"/>
        <v>6.4076923076923071</v>
      </c>
      <c r="G244" s="24">
        <f t="shared" si="12"/>
        <v>8.0096153846153832</v>
      </c>
      <c r="I244" s="4">
        <v>52</v>
      </c>
      <c r="J244" s="24">
        <f t="shared" si="13"/>
        <v>4.8057692307692301</v>
      </c>
      <c r="K244" s="24">
        <f t="shared" si="14"/>
        <v>6.4076923076923071</v>
      </c>
      <c r="L244" s="24">
        <f t="shared" si="15"/>
        <v>8.0096153846153832</v>
      </c>
      <c r="R244" s="4">
        <v>52</v>
      </c>
      <c r="S244" s="24">
        <f t="shared" si="29"/>
        <v>5.0000000000000003E-10</v>
      </c>
      <c r="T244" s="24">
        <f t="shared" si="30"/>
        <v>5.0000000000000003E-10</v>
      </c>
      <c r="U244" s="24">
        <f t="shared" si="31"/>
        <v>5.0000000000000003E-10</v>
      </c>
      <c r="V244" s="24">
        <f t="shared" si="23"/>
        <v>0.7838162869908285</v>
      </c>
    </row>
    <row r="245" spans="2:22" x14ac:dyDescent="0.35">
      <c r="B245">
        <f t="shared" si="8"/>
        <v>334.2</v>
      </c>
      <c r="D245" s="4">
        <v>53</v>
      </c>
      <c r="E245" s="24">
        <f t="shared" si="11"/>
        <v>4.7292452830188676</v>
      </c>
      <c r="F245" s="24">
        <f t="shared" si="24"/>
        <v>6.3056603773584907</v>
      </c>
      <c r="G245" s="24">
        <f t="shared" si="12"/>
        <v>7.8820754716981138</v>
      </c>
      <c r="I245" s="4">
        <v>53</v>
      </c>
      <c r="J245" s="24">
        <f t="shared" si="13"/>
        <v>4.7292452830188676</v>
      </c>
      <c r="K245" s="24">
        <f t="shared" si="14"/>
        <v>6.3056603773584907</v>
      </c>
      <c r="L245" s="24">
        <f t="shared" si="15"/>
        <v>7.8820754716981138</v>
      </c>
      <c r="R245" s="4">
        <v>53</v>
      </c>
      <c r="S245" s="24">
        <f t="shared" si="29"/>
        <v>5.0000000000000003E-10</v>
      </c>
      <c r="T245" s="24">
        <f t="shared" si="30"/>
        <v>5.0000000000000003E-10</v>
      </c>
      <c r="U245" s="24">
        <f t="shared" si="31"/>
        <v>5.0000000000000003E-10</v>
      </c>
      <c r="V245" s="24">
        <f t="shared" si="23"/>
        <v>0.76902730044383172</v>
      </c>
    </row>
    <row r="246" spans="2:22" x14ac:dyDescent="0.35">
      <c r="B246">
        <f t="shared" si="8"/>
        <v>335.2</v>
      </c>
      <c r="D246" s="4">
        <v>54</v>
      </c>
      <c r="E246" s="24">
        <f t="shared" si="11"/>
        <v>4.655555555555555</v>
      </c>
      <c r="F246" s="24">
        <f t="shared" si="24"/>
        <v>6.2074074074074073</v>
      </c>
      <c r="G246" s="24">
        <f t="shared" si="12"/>
        <v>7.7592592592592595</v>
      </c>
      <c r="I246" s="4">
        <v>54</v>
      </c>
      <c r="J246" s="24">
        <f t="shared" si="13"/>
        <v>4.655555555555555</v>
      </c>
      <c r="K246" s="24">
        <f t="shared" si="14"/>
        <v>6.2074074074074073</v>
      </c>
      <c r="L246" s="24">
        <f t="shared" si="15"/>
        <v>7.7592592592592595</v>
      </c>
      <c r="R246" s="4">
        <v>54</v>
      </c>
      <c r="S246" s="24">
        <f t="shared" si="29"/>
        <v>5.0000000000000003E-10</v>
      </c>
      <c r="T246" s="24">
        <f t="shared" si="30"/>
        <v>5.0000000000000003E-10</v>
      </c>
      <c r="U246" s="24">
        <f t="shared" si="31"/>
        <v>5.0000000000000003E-10</v>
      </c>
      <c r="V246" s="24">
        <f t="shared" si="23"/>
        <v>0.75478605413931632</v>
      </c>
    </row>
    <row r="247" spans="2:22" x14ac:dyDescent="0.35">
      <c r="B247">
        <f t="shared" si="8"/>
        <v>336.2</v>
      </c>
      <c r="D247" s="4">
        <v>55</v>
      </c>
      <c r="E247" s="24">
        <f t="shared" si="11"/>
        <v>4.584545454545454</v>
      </c>
      <c r="F247" s="24">
        <f t="shared" si="24"/>
        <v>6.1127272727272723</v>
      </c>
      <c r="G247" s="24">
        <f t="shared" si="12"/>
        <v>7.6409090909090907</v>
      </c>
      <c r="I247" s="4">
        <v>55</v>
      </c>
      <c r="J247" s="24">
        <f t="shared" si="13"/>
        <v>4.584545454545454</v>
      </c>
      <c r="K247" s="24">
        <f t="shared" si="14"/>
        <v>6.1127272727272723</v>
      </c>
      <c r="L247" s="24">
        <f t="shared" si="15"/>
        <v>7.6409090909090907</v>
      </c>
      <c r="R247" s="4">
        <v>55</v>
      </c>
      <c r="S247" s="24">
        <f t="shared" si="29"/>
        <v>5.0000000000000003E-10</v>
      </c>
      <c r="T247" s="24">
        <f t="shared" si="30"/>
        <v>5.0000000000000003E-10</v>
      </c>
      <c r="U247" s="24">
        <f t="shared" si="31"/>
        <v>5.0000000000000003E-10</v>
      </c>
      <c r="V247" s="24">
        <f t="shared" si="23"/>
        <v>0.74106267133678327</v>
      </c>
    </row>
    <row r="248" spans="2:22" x14ac:dyDescent="0.35">
      <c r="B248">
        <f t="shared" si="8"/>
        <v>337.2</v>
      </c>
      <c r="D248" s="4">
        <v>56</v>
      </c>
      <c r="E248" s="24">
        <f t="shared" si="11"/>
        <v>4.5160714285714283</v>
      </c>
      <c r="F248" s="24">
        <f t="shared" si="24"/>
        <v>6.0214285714285714</v>
      </c>
      <c r="G248" s="24">
        <f t="shared" si="12"/>
        <v>7.5267857142857144</v>
      </c>
      <c r="I248" s="4">
        <v>56</v>
      </c>
      <c r="J248" s="24">
        <f t="shared" si="13"/>
        <v>4.5160714285714283</v>
      </c>
      <c r="K248" s="24">
        <f t="shared" si="14"/>
        <v>6.0214285714285714</v>
      </c>
      <c r="L248" s="24">
        <f t="shared" si="15"/>
        <v>7.5267857142857144</v>
      </c>
      <c r="R248" s="4">
        <v>56</v>
      </c>
      <c r="S248" s="24">
        <f t="shared" si="29"/>
        <v>5.0000000000000003E-10</v>
      </c>
      <c r="T248" s="24">
        <f t="shared" si="30"/>
        <v>5.0000000000000003E-10</v>
      </c>
      <c r="U248" s="24">
        <f t="shared" si="31"/>
        <v>5.0000000000000003E-10</v>
      </c>
      <c r="V248" s="24">
        <f t="shared" si="23"/>
        <v>0.7278294093486265</v>
      </c>
    </row>
    <row r="249" spans="2:22" x14ac:dyDescent="0.35">
      <c r="B249">
        <f t="shared" si="8"/>
        <v>338.2</v>
      </c>
      <c r="D249" s="4">
        <v>57</v>
      </c>
      <c r="E249" s="24">
        <f t="shared" si="11"/>
        <v>4.45</v>
      </c>
      <c r="F249" s="24">
        <f t="shared" si="24"/>
        <v>5.9333333333333336</v>
      </c>
      <c r="G249" s="24">
        <f t="shared" si="12"/>
        <v>7.416666666666667</v>
      </c>
      <c r="I249" s="4">
        <v>57</v>
      </c>
      <c r="J249" s="24">
        <f t="shared" si="13"/>
        <v>4.45</v>
      </c>
      <c r="K249" s="24">
        <f t="shared" si="14"/>
        <v>5.9333333333333336</v>
      </c>
      <c r="L249" s="24">
        <f t="shared" si="15"/>
        <v>7.416666666666667</v>
      </c>
      <c r="R249" s="4">
        <v>57</v>
      </c>
      <c r="S249" s="24">
        <f t="shared" si="29"/>
        <v>5.0000000000000003E-10</v>
      </c>
      <c r="T249" s="24">
        <f t="shared" si="30"/>
        <v>5.0000000000000003E-10</v>
      </c>
      <c r="U249" s="24">
        <f t="shared" si="31"/>
        <v>5.0000000000000003E-10</v>
      </c>
      <c r="V249" s="24">
        <f t="shared" si="23"/>
        <v>0.71506047234251024</v>
      </c>
    </row>
    <row r="250" spans="2:22" x14ac:dyDescent="0.35">
      <c r="B250">
        <f t="shared" si="8"/>
        <v>339.2</v>
      </c>
      <c r="D250" s="4">
        <v>58</v>
      </c>
      <c r="E250" s="24">
        <f t="shared" si="11"/>
        <v>4.386206896551724</v>
      </c>
      <c r="F250" s="24">
        <f t="shared" si="24"/>
        <v>5.8482758620689657</v>
      </c>
      <c r="G250" s="24">
        <f t="shared" si="12"/>
        <v>7.3103448275862073</v>
      </c>
      <c r="I250" s="4">
        <v>58</v>
      </c>
      <c r="J250" s="24">
        <f t="shared" si="13"/>
        <v>4.386206896551724</v>
      </c>
      <c r="K250" s="24">
        <f t="shared" si="14"/>
        <v>5.8482758620689657</v>
      </c>
      <c r="L250" s="24">
        <f t="shared" si="15"/>
        <v>7.3103448275862073</v>
      </c>
      <c r="R250" s="4">
        <v>58</v>
      </c>
      <c r="S250" s="24">
        <f t="shared" ref="S250:S272" si="32">IF($R250&gt;$F$177,0.0000000005,J250)</f>
        <v>5.0000000000000003E-10</v>
      </c>
      <c r="T250" s="24">
        <f t="shared" ref="T250:T272" si="33">IF($R250&gt;$F$177,0.0000000005,K250)</f>
        <v>5.0000000000000003E-10</v>
      </c>
      <c r="U250" s="24">
        <f t="shared" ref="U250:U272" si="34">IF($R250&gt;$F$177,0.0000000005,L250)</f>
        <v>5.0000000000000003E-10</v>
      </c>
      <c r="V250" s="24">
        <f t="shared" ref="V250:V272" si="35">$X$193/R250</f>
        <v>0.70273184350901863</v>
      </c>
    </row>
    <row r="251" spans="2:22" x14ac:dyDescent="0.35">
      <c r="B251">
        <f t="shared" si="8"/>
        <v>340.2</v>
      </c>
      <c r="D251" s="4">
        <v>59</v>
      </c>
      <c r="E251" s="24">
        <f t="shared" si="11"/>
        <v>4.3245762711864408</v>
      </c>
      <c r="F251" s="24">
        <f t="shared" si="24"/>
        <v>5.7661016949152541</v>
      </c>
      <c r="G251" s="24">
        <f t="shared" si="12"/>
        <v>7.2076271186440675</v>
      </c>
      <c r="I251" s="4">
        <v>59</v>
      </c>
      <c r="J251" s="24">
        <f t="shared" si="13"/>
        <v>4.3245762711864408</v>
      </c>
      <c r="K251" s="24">
        <f t="shared" si="14"/>
        <v>5.7661016949152541</v>
      </c>
      <c r="L251" s="24">
        <f t="shared" si="15"/>
        <v>7.2076271186440675</v>
      </c>
      <c r="R251" s="4">
        <v>59</v>
      </c>
      <c r="S251" s="24">
        <f t="shared" si="32"/>
        <v>5.0000000000000003E-10</v>
      </c>
      <c r="T251" s="24">
        <f t="shared" si="33"/>
        <v>5.0000000000000003E-10</v>
      </c>
      <c r="U251" s="24">
        <f t="shared" si="34"/>
        <v>5.0000000000000003E-10</v>
      </c>
      <c r="V251" s="24">
        <f t="shared" si="35"/>
        <v>0.69082113429700143</v>
      </c>
    </row>
    <row r="252" spans="2:22" x14ac:dyDescent="0.35">
      <c r="B252">
        <f t="shared" si="8"/>
        <v>341.2</v>
      </c>
      <c r="D252" s="4">
        <v>60</v>
      </c>
      <c r="E252" s="24">
        <f t="shared" si="11"/>
        <v>4.2649999999999997</v>
      </c>
      <c r="F252" s="24">
        <f t="shared" si="24"/>
        <v>5.6866666666666665</v>
      </c>
      <c r="G252" s="24">
        <f t="shared" si="12"/>
        <v>7.1083333333333334</v>
      </c>
      <c r="I252" s="4">
        <v>60</v>
      </c>
      <c r="J252" s="24">
        <f t="shared" si="13"/>
        <v>4.2649999999999997</v>
      </c>
      <c r="K252" s="24">
        <f t="shared" si="14"/>
        <v>5.6866666666666665</v>
      </c>
      <c r="L252" s="24">
        <f t="shared" si="15"/>
        <v>7.1083333333333334</v>
      </c>
      <c r="R252" s="4">
        <v>60</v>
      </c>
      <c r="S252" s="24">
        <f t="shared" si="32"/>
        <v>5.0000000000000003E-10</v>
      </c>
      <c r="T252" s="24">
        <f t="shared" si="33"/>
        <v>5.0000000000000003E-10</v>
      </c>
      <c r="U252" s="24">
        <f t="shared" si="34"/>
        <v>5.0000000000000003E-10</v>
      </c>
      <c r="V252" s="24">
        <f t="shared" si="35"/>
        <v>0.67930744872538473</v>
      </c>
    </row>
    <row r="253" spans="2:22" x14ac:dyDescent="0.35">
      <c r="B253">
        <f t="shared" si="8"/>
        <v>342.2</v>
      </c>
      <c r="D253" s="4">
        <v>61</v>
      </c>
      <c r="E253" s="24">
        <f t="shared" si="11"/>
        <v>4.2073770491803275</v>
      </c>
      <c r="F253" s="24">
        <f t="shared" si="24"/>
        <v>5.60983606557377</v>
      </c>
      <c r="G253" s="24">
        <f t="shared" si="12"/>
        <v>7.0122950819672125</v>
      </c>
      <c r="I253" s="4">
        <v>61</v>
      </c>
      <c r="J253" s="24">
        <f t="shared" si="13"/>
        <v>4.2073770491803275</v>
      </c>
      <c r="K253" s="24">
        <f t="shared" si="14"/>
        <v>5.60983606557377</v>
      </c>
      <c r="L253" s="24">
        <f t="shared" si="15"/>
        <v>7.0122950819672125</v>
      </c>
      <c r="R253" s="4">
        <v>61</v>
      </c>
      <c r="S253" s="24">
        <f t="shared" si="32"/>
        <v>5.0000000000000003E-10</v>
      </c>
      <c r="T253" s="24">
        <f t="shared" si="33"/>
        <v>5.0000000000000003E-10</v>
      </c>
      <c r="U253" s="24">
        <f t="shared" si="34"/>
        <v>5.0000000000000003E-10</v>
      </c>
      <c r="V253" s="24">
        <f t="shared" si="35"/>
        <v>0.66817126104136204</v>
      </c>
    </row>
    <row r="254" spans="2:22" x14ac:dyDescent="0.35">
      <c r="B254">
        <f t="shared" si="8"/>
        <v>343.2</v>
      </c>
      <c r="D254" s="4">
        <v>62</v>
      </c>
      <c r="E254" s="24">
        <f t="shared" si="11"/>
        <v>4.1516129032258062</v>
      </c>
      <c r="F254" s="24">
        <f t="shared" si="24"/>
        <v>5.5354838709677416</v>
      </c>
      <c r="G254" s="24">
        <f t="shared" si="12"/>
        <v>6.919354838709677</v>
      </c>
      <c r="I254" s="4">
        <v>62</v>
      </c>
      <c r="J254" s="24">
        <f t="shared" si="13"/>
        <v>4.1516129032258062</v>
      </c>
      <c r="K254" s="24">
        <f t="shared" si="14"/>
        <v>5.5354838709677416</v>
      </c>
      <c r="L254" s="24">
        <f t="shared" si="15"/>
        <v>6.919354838709677</v>
      </c>
      <c r="R254" s="4">
        <v>62</v>
      </c>
      <c r="S254" s="24">
        <f t="shared" si="32"/>
        <v>5.0000000000000003E-10</v>
      </c>
      <c r="T254" s="24">
        <f t="shared" si="33"/>
        <v>5.0000000000000003E-10</v>
      </c>
      <c r="U254" s="24">
        <f t="shared" si="34"/>
        <v>5.0000000000000003E-10</v>
      </c>
      <c r="V254" s="24">
        <f t="shared" si="35"/>
        <v>0.65739430521811426</v>
      </c>
    </row>
    <row r="255" spans="2:22" x14ac:dyDescent="0.35">
      <c r="B255">
        <f t="shared" si="8"/>
        <v>344.2</v>
      </c>
      <c r="D255" s="4">
        <v>63</v>
      </c>
      <c r="E255" s="24">
        <f t="shared" si="11"/>
        <v>4.0976190476190482</v>
      </c>
      <c r="F255" s="24">
        <f t="shared" si="24"/>
        <v>5.4634920634920636</v>
      </c>
      <c r="G255" s="24">
        <f t="shared" si="12"/>
        <v>6.8293650793650791</v>
      </c>
      <c r="I255" s="4">
        <v>63</v>
      </c>
      <c r="J255" s="24">
        <f t="shared" si="13"/>
        <v>4.0976190476190482</v>
      </c>
      <c r="K255" s="24">
        <f t="shared" si="14"/>
        <v>5.4634920634920636</v>
      </c>
      <c r="L255" s="24">
        <f t="shared" si="15"/>
        <v>6.8293650793650791</v>
      </c>
      <c r="R255" s="4">
        <v>63</v>
      </c>
      <c r="S255" s="24">
        <f t="shared" si="32"/>
        <v>5.0000000000000003E-10</v>
      </c>
      <c r="T255" s="24">
        <f t="shared" si="33"/>
        <v>5.0000000000000003E-10</v>
      </c>
      <c r="U255" s="24">
        <f t="shared" si="34"/>
        <v>5.0000000000000003E-10</v>
      </c>
      <c r="V255" s="24">
        <f t="shared" si="35"/>
        <v>0.64695947497655681</v>
      </c>
    </row>
    <row r="256" spans="2:22" x14ac:dyDescent="0.35">
      <c r="B256">
        <f t="shared" si="8"/>
        <v>345.2</v>
      </c>
      <c r="D256" s="4">
        <v>64</v>
      </c>
      <c r="E256" s="24">
        <f t="shared" si="11"/>
        <v>4.0453124999999996</v>
      </c>
      <c r="F256" s="24">
        <f t="shared" si="24"/>
        <v>5.3937499999999998</v>
      </c>
      <c r="G256" s="24">
        <f t="shared" si="12"/>
        <v>6.7421875</v>
      </c>
      <c r="I256" s="4">
        <v>64</v>
      </c>
      <c r="J256" s="24">
        <f t="shared" si="13"/>
        <v>4.0453124999999996</v>
      </c>
      <c r="K256" s="24">
        <f t="shared" si="14"/>
        <v>5.3937499999999998</v>
      </c>
      <c r="L256" s="24">
        <f t="shared" si="15"/>
        <v>6.7421875</v>
      </c>
      <c r="R256" s="4">
        <v>64</v>
      </c>
      <c r="S256" s="24">
        <f t="shared" si="32"/>
        <v>5.0000000000000003E-10</v>
      </c>
      <c r="T256" s="24">
        <f t="shared" si="33"/>
        <v>5.0000000000000003E-10</v>
      </c>
      <c r="U256" s="24">
        <f t="shared" si="34"/>
        <v>5.0000000000000003E-10</v>
      </c>
      <c r="V256" s="24">
        <f t="shared" si="35"/>
        <v>0.63685073318004815</v>
      </c>
    </row>
    <row r="257" spans="2:22" x14ac:dyDescent="0.35">
      <c r="B257">
        <f t="shared" si="8"/>
        <v>346.2</v>
      </c>
      <c r="D257" s="4">
        <v>65</v>
      </c>
      <c r="E257" s="24">
        <f t="shared" si="11"/>
        <v>3.9946153846153845</v>
      </c>
      <c r="F257" s="24">
        <f t="shared" ref="F257:F272" si="36">($F$184+(D257-VINMAX)*$E$277/$E$278)/D257</f>
        <v>5.3261538461538462</v>
      </c>
      <c r="G257" s="24">
        <f t="shared" si="12"/>
        <v>6.657692307692308</v>
      </c>
      <c r="I257" s="4">
        <v>65</v>
      </c>
      <c r="J257" s="24">
        <f t="shared" si="13"/>
        <v>3.9946153846153845</v>
      </c>
      <c r="K257" s="24">
        <f t="shared" si="14"/>
        <v>5.3261538461538462</v>
      </c>
      <c r="L257" s="24">
        <f t="shared" si="15"/>
        <v>6.657692307692308</v>
      </c>
      <c r="R257" s="4">
        <v>65</v>
      </c>
      <c r="S257" s="24">
        <f t="shared" si="32"/>
        <v>5.0000000000000003E-10</v>
      </c>
      <c r="T257" s="24">
        <f t="shared" si="33"/>
        <v>5.0000000000000003E-10</v>
      </c>
      <c r="U257" s="24">
        <f t="shared" si="34"/>
        <v>5.0000000000000003E-10</v>
      </c>
      <c r="V257" s="24">
        <f t="shared" si="35"/>
        <v>0.62705302959266274</v>
      </c>
    </row>
    <row r="258" spans="2:22" x14ac:dyDescent="0.35">
      <c r="B258">
        <f t="shared" ref="B258:B272" si="37">D258*F258</f>
        <v>347.2</v>
      </c>
      <c r="D258" s="4">
        <v>66</v>
      </c>
      <c r="E258" s="24">
        <f t="shared" si="11"/>
        <v>3.9454545454545453</v>
      </c>
      <c r="F258" s="24">
        <f t="shared" si="36"/>
        <v>5.2606060606060607</v>
      </c>
      <c r="G258" s="24">
        <f t="shared" si="12"/>
        <v>6.5757575757575761</v>
      </c>
      <c r="I258" s="4">
        <v>66</v>
      </c>
      <c r="J258" s="24">
        <f t="shared" si="13"/>
        <v>3.9454545454545453</v>
      </c>
      <c r="K258" s="24">
        <f t="shared" si="14"/>
        <v>5.2606060606060607</v>
      </c>
      <c r="L258" s="24">
        <f t="shared" si="15"/>
        <v>6.5757575757575761</v>
      </c>
      <c r="R258" s="4">
        <v>66</v>
      </c>
      <c r="S258" s="24">
        <f t="shared" si="32"/>
        <v>5.0000000000000003E-10</v>
      </c>
      <c r="T258" s="24">
        <f t="shared" si="33"/>
        <v>5.0000000000000003E-10</v>
      </c>
      <c r="U258" s="24">
        <f t="shared" si="34"/>
        <v>5.0000000000000003E-10</v>
      </c>
      <c r="V258" s="24">
        <f t="shared" si="35"/>
        <v>0.61755222611398608</v>
      </c>
    </row>
    <row r="259" spans="2:22" x14ac:dyDescent="0.35">
      <c r="B259">
        <f t="shared" si="37"/>
        <v>348.2</v>
      </c>
      <c r="D259" s="4">
        <v>67</v>
      </c>
      <c r="E259" s="24">
        <f t="shared" si="11"/>
        <v>3.8977611940298504</v>
      </c>
      <c r="F259" s="24">
        <f t="shared" si="36"/>
        <v>5.1970149253731339</v>
      </c>
      <c r="G259" s="24">
        <f t="shared" si="12"/>
        <v>6.496268656716417</v>
      </c>
      <c r="I259" s="4">
        <v>67</v>
      </c>
      <c r="J259" s="24">
        <f t="shared" si="13"/>
        <v>3.8977611940298504</v>
      </c>
      <c r="K259" s="24">
        <f t="shared" si="14"/>
        <v>5.1970149253731339</v>
      </c>
      <c r="L259" s="24">
        <f t="shared" si="15"/>
        <v>6.496268656716417</v>
      </c>
      <c r="R259" s="4">
        <v>67</v>
      </c>
      <c r="S259" s="24">
        <f t="shared" si="32"/>
        <v>5.0000000000000003E-10</v>
      </c>
      <c r="T259" s="24">
        <f t="shared" si="33"/>
        <v>5.0000000000000003E-10</v>
      </c>
      <c r="U259" s="24">
        <f t="shared" si="34"/>
        <v>5.0000000000000003E-10</v>
      </c>
      <c r="V259" s="24">
        <f t="shared" si="35"/>
        <v>0.60833502870929967</v>
      </c>
    </row>
    <row r="260" spans="2:22" x14ac:dyDescent="0.35">
      <c r="B260">
        <f t="shared" si="37"/>
        <v>349.2</v>
      </c>
      <c r="D260" s="4">
        <v>68</v>
      </c>
      <c r="E260" s="24">
        <f t="shared" si="11"/>
        <v>3.8514705882352938</v>
      </c>
      <c r="F260" s="24">
        <f t="shared" si="36"/>
        <v>5.1352941176470583</v>
      </c>
      <c r="G260" s="24">
        <f t="shared" si="12"/>
        <v>6.4191176470588225</v>
      </c>
      <c r="I260" s="4">
        <v>68</v>
      </c>
      <c r="J260" s="24">
        <f t="shared" si="13"/>
        <v>3.8514705882352938</v>
      </c>
      <c r="K260" s="24">
        <f t="shared" si="14"/>
        <v>5.1352941176470583</v>
      </c>
      <c r="L260" s="24">
        <f t="shared" si="15"/>
        <v>6.4191176470588225</v>
      </c>
      <c r="R260" s="4">
        <v>68</v>
      </c>
      <c r="S260" s="24">
        <f t="shared" si="32"/>
        <v>5.0000000000000003E-10</v>
      </c>
      <c r="T260" s="24">
        <f t="shared" si="33"/>
        <v>5.0000000000000003E-10</v>
      </c>
      <c r="U260" s="24">
        <f t="shared" si="34"/>
        <v>5.0000000000000003E-10</v>
      </c>
      <c r="V260" s="24">
        <f t="shared" si="35"/>
        <v>0.59938892534592769</v>
      </c>
    </row>
    <row r="261" spans="2:22" x14ac:dyDescent="0.35">
      <c r="B261">
        <f t="shared" si="37"/>
        <v>350.2</v>
      </c>
      <c r="D261" s="4">
        <v>69</v>
      </c>
      <c r="E261" s="24">
        <f t="shared" si="11"/>
        <v>3.8065217391304351</v>
      </c>
      <c r="F261" s="24">
        <f t="shared" si="36"/>
        <v>5.0753623188405799</v>
      </c>
      <c r="G261" s="24">
        <f t="shared" si="12"/>
        <v>6.3442028985507246</v>
      </c>
      <c r="I261" s="4">
        <v>69</v>
      </c>
      <c r="J261" s="24">
        <f t="shared" si="13"/>
        <v>3.8065217391304351</v>
      </c>
      <c r="K261" s="24">
        <f t="shared" si="14"/>
        <v>5.0753623188405799</v>
      </c>
      <c r="L261" s="24">
        <f t="shared" si="15"/>
        <v>6.3442028985507246</v>
      </c>
      <c r="R261" s="4">
        <v>69</v>
      </c>
      <c r="S261" s="24">
        <f t="shared" si="32"/>
        <v>5.0000000000000003E-10</v>
      </c>
      <c r="T261" s="24">
        <f t="shared" si="33"/>
        <v>5.0000000000000003E-10</v>
      </c>
      <c r="U261" s="24">
        <f t="shared" si="34"/>
        <v>5.0000000000000003E-10</v>
      </c>
      <c r="V261" s="24">
        <f t="shared" si="35"/>
        <v>0.59070212932642152</v>
      </c>
    </row>
    <row r="262" spans="2:22" x14ac:dyDescent="0.35">
      <c r="B262">
        <f t="shared" si="37"/>
        <v>351.2</v>
      </c>
      <c r="D262" s="4">
        <v>70</v>
      </c>
      <c r="E262" s="24">
        <f t="shared" si="11"/>
        <v>3.7628571428571425</v>
      </c>
      <c r="F262" s="24">
        <f t="shared" si="36"/>
        <v>5.0171428571428569</v>
      </c>
      <c r="G262" s="24">
        <f t="shared" si="12"/>
        <v>6.2714285714285714</v>
      </c>
      <c r="I262" s="4">
        <v>70</v>
      </c>
      <c r="J262" s="24">
        <f t="shared" si="13"/>
        <v>3.7628571428571425</v>
      </c>
      <c r="K262" s="24">
        <f t="shared" si="14"/>
        <v>5.0171428571428569</v>
      </c>
      <c r="L262" s="24">
        <f t="shared" si="15"/>
        <v>6.2714285714285714</v>
      </c>
      <c r="R262" s="4">
        <v>70</v>
      </c>
      <c r="S262" s="24">
        <f t="shared" si="32"/>
        <v>5.0000000000000003E-10</v>
      </c>
      <c r="T262" s="24">
        <f t="shared" si="33"/>
        <v>5.0000000000000003E-10</v>
      </c>
      <c r="U262" s="24">
        <f t="shared" si="34"/>
        <v>5.0000000000000003E-10</v>
      </c>
      <c r="V262" s="24">
        <f t="shared" si="35"/>
        <v>0.5822635274789012</v>
      </c>
    </row>
    <row r="263" spans="2:22" x14ac:dyDescent="0.35">
      <c r="B263">
        <f t="shared" si="37"/>
        <v>352.2</v>
      </c>
      <c r="D263" s="4">
        <v>71</v>
      </c>
      <c r="E263" s="24">
        <f t="shared" si="11"/>
        <v>3.7204225352112674</v>
      </c>
      <c r="F263" s="24">
        <f t="shared" si="36"/>
        <v>4.9605633802816902</v>
      </c>
      <c r="G263" s="24">
        <f t="shared" si="12"/>
        <v>6.200704225352113</v>
      </c>
      <c r="I263" s="4">
        <v>71</v>
      </c>
      <c r="J263" s="24">
        <f t="shared" si="13"/>
        <v>3.7204225352112674</v>
      </c>
      <c r="K263" s="24">
        <f t="shared" si="14"/>
        <v>4.9605633802816902</v>
      </c>
      <c r="L263" s="24">
        <f t="shared" si="15"/>
        <v>6.200704225352113</v>
      </c>
      <c r="R263" s="4">
        <v>71</v>
      </c>
      <c r="S263" s="24">
        <f t="shared" si="32"/>
        <v>5.0000000000000003E-10</v>
      </c>
      <c r="T263" s="24">
        <f t="shared" si="33"/>
        <v>5.0000000000000003E-10</v>
      </c>
      <c r="U263" s="24">
        <f t="shared" si="34"/>
        <v>5.0000000000000003E-10</v>
      </c>
      <c r="V263" s="24">
        <f t="shared" si="35"/>
        <v>0.57406263272567715</v>
      </c>
    </row>
    <row r="264" spans="2:22" x14ac:dyDescent="0.35">
      <c r="B264">
        <f t="shared" si="37"/>
        <v>353.19999999999993</v>
      </c>
      <c r="D264" s="4">
        <v>72</v>
      </c>
      <c r="E264" s="24">
        <f t="shared" si="11"/>
        <v>3.6791666666666663</v>
      </c>
      <c r="F264" s="24">
        <f t="shared" si="36"/>
        <v>4.905555555555555</v>
      </c>
      <c r="G264" s="24">
        <f t="shared" si="12"/>
        <v>6.1319444444444438</v>
      </c>
      <c r="I264" s="4">
        <v>72</v>
      </c>
      <c r="J264" s="24">
        <f t="shared" si="13"/>
        <v>3.6791666666666663</v>
      </c>
      <c r="K264" s="24">
        <f t="shared" si="14"/>
        <v>4.905555555555555</v>
      </c>
      <c r="L264" s="24">
        <f t="shared" si="15"/>
        <v>6.1319444444444438</v>
      </c>
      <c r="R264" s="4">
        <v>72</v>
      </c>
      <c r="S264" s="24">
        <f t="shared" si="32"/>
        <v>5.0000000000000003E-10</v>
      </c>
      <c r="T264" s="24">
        <f t="shared" si="33"/>
        <v>5.0000000000000003E-10</v>
      </c>
      <c r="U264" s="24">
        <f t="shared" si="34"/>
        <v>5.0000000000000003E-10</v>
      </c>
      <c r="V264" s="24">
        <f t="shared" si="35"/>
        <v>0.56608954060448724</v>
      </c>
    </row>
    <row r="265" spans="2:22" x14ac:dyDescent="0.35">
      <c r="B265">
        <f t="shared" si="37"/>
        <v>354.2</v>
      </c>
      <c r="D265" s="4">
        <v>73</v>
      </c>
      <c r="E265" s="24">
        <f t="shared" si="11"/>
        <v>3.6390410958904109</v>
      </c>
      <c r="F265" s="24">
        <f t="shared" si="36"/>
        <v>4.8520547945205479</v>
      </c>
      <c r="G265" s="24">
        <f t="shared" si="12"/>
        <v>6.0650684931506849</v>
      </c>
      <c r="I265" s="4">
        <v>73</v>
      </c>
      <c r="J265" s="24">
        <f t="shared" si="13"/>
        <v>3.6390410958904109</v>
      </c>
      <c r="K265" s="24">
        <f t="shared" si="14"/>
        <v>4.8520547945205479</v>
      </c>
      <c r="L265" s="24">
        <f t="shared" si="15"/>
        <v>6.0650684931506849</v>
      </c>
      <c r="R265" s="4">
        <v>73</v>
      </c>
      <c r="S265" s="24">
        <f t="shared" si="32"/>
        <v>5.0000000000000003E-10</v>
      </c>
      <c r="T265" s="24">
        <f t="shared" si="33"/>
        <v>5.0000000000000003E-10</v>
      </c>
      <c r="U265" s="24">
        <f t="shared" si="34"/>
        <v>5.0000000000000003E-10</v>
      </c>
      <c r="V265" s="24">
        <f t="shared" si="35"/>
        <v>0.55833488936332987</v>
      </c>
    </row>
    <row r="266" spans="2:22" x14ac:dyDescent="0.35">
      <c r="B266">
        <f t="shared" si="37"/>
        <v>355.2</v>
      </c>
      <c r="D266" s="4">
        <v>74</v>
      </c>
      <c r="E266" s="24">
        <f t="shared" si="11"/>
        <v>3.5999999999999996</v>
      </c>
      <c r="F266" s="24">
        <f t="shared" si="36"/>
        <v>4.8</v>
      </c>
      <c r="G266" s="24">
        <f t="shared" si="12"/>
        <v>6</v>
      </c>
      <c r="I266" s="4">
        <v>74</v>
      </c>
      <c r="J266" s="24">
        <f t="shared" si="13"/>
        <v>3.5999999999999996</v>
      </c>
      <c r="K266" s="24">
        <f t="shared" si="14"/>
        <v>4.8</v>
      </c>
      <c r="L266" s="24">
        <f t="shared" si="15"/>
        <v>6</v>
      </c>
      <c r="R266" s="4">
        <v>74</v>
      </c>
      <c r="S266" s="24">
        <f t="shared" si="32"/>
        <v>5.0000000000000003E-10</v>
      </c>
      <c r="T266" s="24">
        <f t="shared" si="33"/>
        <v>5.0000000000000003E-10</v>
      </c>
      <c r="U266" s="24">
        <f t="shared" si="34"/>
        <v>5.0000000000000003E-10</v>
      </c>
      <c r="V266" s="24">
        <f t="shared" si="35"/>
        <v>0.55078982329085246</v>
      </c>
    </row>
    <row r="267" spans="2:22" x14ac:dyDescent="0.35">
      <c r="B267">
        <f t="shared" si="37"/>
        <v>356.2</v>
      </c>
      <c r="D267" s="4">
        <v>75</v>
      </c>
      <c r="E267" s="24">
        <f t="shared" si="11"/>
        <v>3.5620000000000003</v>
      </c>
      <c r="F267" s="24">
        <f t="shared" si="36"/>
        <v>4.7493333333333334</v>
      </c>
      <c r="G267" s="24">
        <f t="shared" si="12"/>
        <v>5.9366666666666665</v>
      </c>
      <c r="I267" s="4">
        <v>75</v>
      </c>
      <c r="J267" s="24">
        <f t="shared" si="13"/>
        <v>3.5620000000000003</v>
      </c>
      <c r="K267" s="24">
        <f t="shared" si="14"/>
        <v>4.7493333333333334</v>
      </c>
      <c r="L267" s="24">
        <f t="shared" si="15"/>
        <v>5.9366666666666665</v>
      </c>
      <c r="R267" s="4">
        <v>75</v>
      </c>
      <c r="S267" s="24">
        <f t="shared" si="32"/>
        <v>5.0000000000000003E-10</v>
      </c>
      <c r="T267" s="24">
        <f t="shared" si="33"/>
        <v>5.0000000000000003E-10</v>
      </c>
      <c r="U267" s="24">
        <f t="shared" si="34"/>
        <v>5.0000000000000003E-10</v>
      </c>
      <c r="V267" s="24">
        <f t="shared" si="35"/>
        <v>0.54344595898030779</v>
      </c>
    </row>
    <row r="268" spans="2:22" x14ac:dyDescent="0.35">
      <c r="B268">
        <f t="shared" si="37"/>
        <v>357.2</v>
      </c>
      <c r="D268" s="4">
        <v>76</v>
      </c>
      <c r="E268" s="24">
        <f t="shared" si="11"/>
        <v>3.5250000000000004</v>
      </c>
      <c r="F268" s="24">
        <f t="shared" si="36"/>
        <v>4.7</v>
      </c>
      <c r="G268" s="24">
        <f t="shared" si="12"/>
        <v>5.875</v>
      </c>
      <c r="I268" s="4">
        <v>76</v>
      </c>
      <c r="J268" s="24">
        <f t="shared" si="13"/>
        <v>3.5250000000000004</v>
      </c>
      <c r="K268" s="24">
        <f t="shared" si="14"/>
        <v>4.7</v>
      </c>
      <c r="L268" s="24">
        <f t="shared" si="15"/>
        <v>5.875</v>
      </c>
      <c r="R268" s="4">
        <v>76</v>
      </c>
      <c r="S268" s="24">
        <f t="shared" si="32"/>
        <v>5.0000000000000003E-10</v>
      </c>
      <c r="T268" s="24">
        <f t="shared" si="33"/>
        <v>5.0000000000000003E-10</v>
      </c>
      <c r="U268" s="24">
        <f t="shared" si="34"/>
        <v>5.0000000000000003E-10</v>
      </c>
      <c r="V268" s="24">
        <f t="shared" si="35"/>
        <v>0.53629535425688268</v>
      </c>
    </row>
    <row r="269" spans="2:22" x14ac:dyDescent="0.35">
      <c r="B269">
        <f t="shared" si="37"/>
        <v>358.2</v>
      </c>
      <c r="D269" s="4">
        <v>77</v>
      </c>
      <c r="E269" s="24">
        <f t="shared" si="11"/>
        <v>3.488961038961039</v>
      </c>
      <c r="F269" s="24">
        <f t="shared" si="36"/>
        <v>4.6519480519480521</v>
      </c>
      <c r="G269" s="24">
        <f t="shared" si="12"/>
        <v>5.8149350649350655</v>
      </c>
      <c r="I269" s="4">
        <v>77</v>
      </c>
      <c r="J269" s="24">
        <f t="shared" si="13"/>
        <v>3.488961038961039</v>
      </c>
      <c r="K269" s="24">
        <f t="shared" si="14"/>
        <v>4.6519480519480521</v>
      </c>
      <c r="L269" s="24">
        <f t="shared" si="15"/>
        <v>5.8149350649350655</v>
      </c>
      <c r="R269" s="4">
        <v>77</v>
      </c>
      <c r="S269" s="24">
        <f t="shared" si="32"/>
        <v>5.0000000000000003E-10</v>
      </c>
      <c r="T269" s="24">
        <f t="shared" si="33"/>
        <v>5.0000000000000003E-10</v>
      </c>
      <c r="U269" s="24">
        <f t="shared" si="34"/>
        <v>5.0000000000000003E-10</v>
      </c>
      <c r="V269" s="24">
        <f t="shared" si="35"/>
        <v>0.52933047952627377</v>
      </c>
    </row>
    <row r="270" spans="2:22" x14ac:dyDescent="0.35">
      <c r="B270">
        <f t="shared" si="37"/>
        <v>359.2</v>
      </c>
      <c r="D270" s="4">
        <v>78</v>
      </c>
      <c r="E270" s="24">
        <f t="shared" si="11"/>
        <v>3.4538461538461536</v>
      </c>
      <c r="F270" s="24">
        <f t="shared" si="36"/>
        <v>4.6051282051282048</v>
      </c>
      <c r="G270" s="24">
        <f t="shared" si="12"/>
        <v>5.7564102564102555</v>
      </c>
      <c r="I270" s="4">
        <v>78</v>
      </c>
      <c r="J270" s="24">
        <f t="shared" si="13"/>
        <v>3.4538461538461536</v>
      </c>
      <c r="K270" s="24">
        <f t="shared" si="14"/>
        <v>4.6051282051282048</v>
      </c>
      <c r="L270" s="24">
        <f t="shared" si="15"/>
        <v>5.7564102564102555</v>
      </c>
      <c r="R270" s="4">
        <v>78</v>
      </c>
      <c r="S270" s="24">
        <f t="shared" si="32"/>
        <v>5.0000000000000003E-10</v>
      </c>
      <c r="T270" s="24">
        <f t="shared" si="33"/>
        <v>5.0000000000000003E-10</v>
      </c>
      <c r="U270" s="24">
        <f t="shared" si="34"/>
        <v>5.0000000000000003E-10</v>
      </c>
      <c r="V270" s="24">
        <f t="shared" si="35"/>
        <v>0.52254419132721897</v>
      </c>
    </row>
    <row r="271" spans="2:22" x14ac:dyDescent="0.35">
      <c r="B271">
        <f t="shared" si="37"/>
        <v>360.19999999999993</v>
      </c>
      <c r="D271" s="4">
        <v>79</v>
      </c>
      <c r="E271" s="24">
        <f t="shared" si="11"/>
        <v>3.4196202531645565</v>
      </c>
      <c r="F271" s="24">
        <f t="shared" si="36"/>
        <v>4.5594936708860754</v>
      </c>
      <c r="G271" s="24">
        <f t="shared" si="12"/>
        <v>5.6993670886075947</v>
      </c>
      <c r="I271" s="4">
        <v>79</v>
      </c>
      <c r="J271" s="24">
        <f t="shared" si="13"/>
        <v>3.4196202531645565</v>
      </c>
      <c r="K271" s="24">
        <f t="shared" si="14"/>
        <v>4.5594936708860754</v>
      </c>
      <c r="L271" s="24">
        <f t="shared" si="15"/>
        <v>5.6993670886075947</v>
      </c>
      <c r="R271" s="4">
        <v>79</v>
      </c>
      <c r="S271" s="24">
        <f t="shared" si="32"/>
        <v>5.0000000000000003E-10</v>
      </c>
      <c r="T271" s="24">
        <f t="shared" si="33"/>
        <v>5.0000000000000003E-10</v>
      </c>
      <c r="U271" s="24">
        <f t="shared" si="34"/>
        <v>5.0000000000000003E-10</v>
      </c>
      <c r="V271" s="24">
        <f t="shared" si="35"/>
        <v>0.51592970789269721</v>
      </c>
    </row>
    <row r="272" spans="2:22" x14ac:dyDescent="0.35">
      <c r="B272">
        <f t="shared" si="37"/>
        <v>361.2</v>
      </c>
      <c r="D272" s="4">
        <v>80</v>
      </c>
      <c r="E272" s="24">
        <f t="shared" si="11"/>
        <v>3.3862499999999995</v>
      </c>
      <c r="F272" s="24">
        <f t="shared" si="36"/>
        <v>4.5149999999999997</v>
      </c>
      <c r="G272" s="24">
        <f t="shared" si="12"/>
        <v>5.6437499999999998</v>
      </c>
      <c r="I272" s="4">
        <v>80</v>
      </c>
      <c r="J272" s="24">
        <f t="shared" si="13"/>
        <v>3.3862499999999995</v>
      </c>
      <c r="K272" s="24">
        <f t="shared" si="14"/>
        <v>4.5149999999999997</v>
      </c>
      <c r="L272" s="24">
        <f t="shared" si="15"/>
        <v>5.6437499999999998</v>
      </c>
      <c r="R272" s="4">
        <v>80</v>
      </c>
      <c r="S272" s="24">
        <f t="shared" si="32"/>
        <v>5.0000000000000003E-10</v>
      </c>
      <c r="T272" s="24">
        <f t="shared" si="33"/>
        <v>5.0000000000000003E-10</v>
      </c>
      <c r="U272" s="24">
        <f t="shared" si="34"/>
        <v>5.0000000000000003E-10</v>
      </c>
      <c r="V272" s="24">
        <f t="shared" si="35"/>
        <v>0.50948058654403849</v>
      </c>
    </row>
    <row r="273" spans="4:12" x14ac:dyDescent="0.35">
      <c r="D273" s="1"/>
      <c r="E273" s="16"/>
      <c r="F273" s="16"/>
      <c r="G273" s="16"/>
      <c r="I273" s="1"/>
      <c r="J273" s="16"/>
      <c r="K273" s="16"/>
      <c r="L273" s="16"/>
    </row>
    <row r="275" spans="4:12" x14ac:dyDescent="0.35">
      <c r="D275" s="28" t="s">
        <v>311</v>
      </c>
    </row>
    <row r="277" spans="4:12" x14ac:dyDescent="0.35">
      <c r="D277" s="28" t="s">
        <v>312</v>
      </c>
      <c r="E277">
        <f>'Device Parameters'!E12</f>
        <v>1E-3</v>
      </c>
    </row>
    <row r="278" spans="4:12" x14ac:dyDescent="0.35">
      <c r="D278" s="28" t="s">
        <v>313</v>
      </c>
      <c r="E278">
        <f>RsEFF*0.001</f>
        <v>1E-3</v>
      </c>
    </row>
    <row r="279" spans="4:12" x14ac:dyDescent="0.35">
      <c r="D279" s="28" t="s">
        <v>314</v>
      </c>
      <c r="E279">
        <f>VINMAX</f>
        <v>25.2</v>
      </c>
    </row>
    <row r="280" spans="4:12" x14ac:dyDescent="0.35">
      <c r="D280" s="28" t="s">
        <v>315</v>
      </c>
      <c r="E280" s="1"/>
      <c r="F280">
        <v>0.25</v>
      </c>
    </row>
    <row r="282" spans="4:12" x14ac:dyDescent="0.35">
      <c r="D282" s="133"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328125" defaultRowHeight="12.75" x14ac:dyDescent="0.35"/>
  <cols>
    <col min="1" max="1" width="11" style="61" customWidth="1"/>
    <col min="2" max="3" width="9.1328125" style="61"/>
    <col min="4" max="5" width="15" style="61" customWidth="1"/>
    <col min="6" max="6" width="15.3984375" style="61" customWidth="1"/>
    <col min="7" max="7" width="14.86328125" style="61" customWidth="1"/>
    <col min="8" max="8" width="10.73046875" style="61" customWidth="1"/>
    <col min="9" max="9" width="12.3984375" style="61" bestFit="1" customWidth="1"/>
    <col min="10" max="10" width="14.86328125" style="61" customWidth="1"/>
    <col min="11" max="11" width="12.86328125" style="61" customWidth="1"/>
    <col min="12" max="12" width="14.265625" style="61" customWidth="1"/>
    <col min="13" max="13" width="20.86328125" style="61" customWidth="1"/>
    <col min="14" max="14" width="12.73046875" style="61" customWidth="1"/>
    <col min="15" max="15" width="10.1328125" style="61" bestFit="1" customWidth="1"/>
    <col min="16" max="16" width="18.86328125" style="61" customWidth="1"/>
    <col min="17" max="17" width="10.86328125" style="61" customWidth="1"/>
    <col min="18" max="16384" width="9.1328125" style="61"/>
  </cols>
  <sheetData>
    <row r="1" spans="1:25" x14ac:dyDescent="0.35">
      <c r="B1" s="61" t="s">
        <v>144</v>
      </c>
      <c r="C1" s="61" t="s">
        <v>286</v>
      </c>
      <c r="D1" s="61" t="s">
        <v>287</v>
      </c>
      <c r="F1" s="143" t="s">
        <v>321</v>
      </c>
      <c r="G1" s="143" t="s">
        <v>288</v>
      </c>
      <c r="H1" s="143" t="s">
        <v>289</v>
      </c>
      <c r="I1" s="143" t="s">
        <v>290</v>
      </c>
      <c r="J1" s="143" t="s">
        <v>291</v>
      </c>
      <c r="K1" s="143"/>
      <c r="L1" s="143"/>
      <c r="M1" s="143" t="s">
        <v>295</v>
      </c>
      <c r="N1" s="143"/>
      <c r="O1" s="143" t="s">
        <v>296</v>
      </c>
      <c r="Q1" s="61" t="s">
        <v>336</v>
      </c>
      <c r="R1" s="61" t="s">
        <v>337</v>
      </c>
    </row>
    <row r="2" spans="1:25" x14ac:dyDescent="0.35">
      <c r="B2" s="137">
        <f>'Design Calculator'!F67</f>
        <v>306.39999999999998</v>
      </c>
      <c r="C2" s="61">
        <f>'Design Calculator'!F46</f>
        <v>55</v>
      </c>
      <c r="D2" s="61" t="str">
        <f>IF( 'Design Calculator'!F69 = "Constant Current", "CC", "R")</f>
        <v>CC</v>
      </c>
      <c r="F2" s="61" t="str">
        <f>'Design Calculator'!F71</f>
        <v>No</v>
      </c>
      <c r="G2" s="61">
        <f>'Design Calculator'!F70</f>
        <v>0</v>
      </c>
      <c r="H2" s="61">
        <f>'Design Calculator'!F68</f>
        <v>0</v>
      </c>
      <c r="I2" s="61">
        <f>RsEFF</f>
        <v>1</v>
      </c>
      <c r="J2" s="61">
        <f>'Device Parameters'!E12</f>
        <v>1E-3</v>
      </c>
      <c r="M2" s="137">
        <f>J114*1000</f>
        <v>2.1583527054889262</v>
      </c>
      <c r="N2" s="61" t="s">
        <v>8</v>
      </c>
      <c r="O2" s="140">
        <f>MIN(L10:L111)</f>
        <v>1</v>
      </c>
      <c r="Q2" s="61">
        <f>'Device Parameters'!E30/'Device Parameters'!D30</f>
        <v>1.375</v>
      </c>
      <c r="R2" s="61">
        <f>'Device Parameters'!C30/'Device Parameters'!D30</f>
        <v>0.625</v>
      </c>
    </row>
    <row r="3" spans="1:25" x14ac:dyDescent="0.35">
      <c r="B3" s="137"/>
      <c r="M3" s="137"/>
      <c r="O3" s="140"/>
    </row>
    <row r="4" spans="1:25" x14ac:dyDescent="0.35">
      <c r="B4" s="137"/>
      <c r="D4" s="61" t="s">
        <v>328</v>
      </c>
      <c r="M4" s="137" t="s">
        <v>329</v>
      </c>
      <c r="N4" s="61">
        <f>MIN(M10:M114)</f>
        <v>3.0396825396825395</v>
      </c>
      <c r="O4" s="140" t="s">
        <v>325</v>
      </c>
      <c r="P4" s="61" t="s">
        <v>338</v>
      </c>
      <c r="Q4" s="61">
        <f>MAX(O10:O114)</f>
        <v>306.40000000000003</v>
      </c>
      <c r="R4" s="61" t="s">
        <v>87</v>
      </c>
    </row>
    <row r="5" spans="1:25" x14ac:dyDescent="0.35">
      <c r="B5" s="137"/>
      <c r="M5" s="61" t="s">
        <v>330</v>
      </c>
      <c r="N5" s="61">
        <f>SUM(N10:N114)</f>
        <v>0.62893384615384595</v>
      </c>
      <c r="O5" s="140" t="s">
        <v>331</v>
      </c>
      <c r="P5" s="61" t="s">
        <v>340</v>
      </c>
      <c r="Q5" s="61">
        <f>MAX(P10:P114)</f>
        <v>110.88000000000001</v>
      </c>
      <c r="R5" s="61" t="s">
        <v>87</v>
      </c>
    </row>
    <row r="6" spans="1:25" x14ac:dyDescent="0.35">
      <c r="P6" s="61" t="s">
        <v>339</v>
      </c>
      <c r="Q6" s="61">
        <f>MAX(Q10:Q114)</f>
        <v>50.4</v>
      </c>
      <c r="R6" s="61" t="s">
        <v>87</v>
      </c>
    </row>
    <row r="7" spans="1:25" ht="13.15" x14ac:dyDescent="0.4">
      <c r="A7" s="138" t="s">
        <v>167</v>
      </c>
      <c r="B7" s="139" t="s">
        <v>138</v>
      </c>
      <c r="C7" s="139" t="s">
        <v>139</v>
      </c>
      <c r="D7" s="139" t="s">
        <v>144</v>
      </c>
      <c r="E7" s="139" t="s">
        <v>319</v>
      </c>
      <c r="F7" s="139" t="s">
        <v>320</v>
      </c>
      <c r="G7" s="139" t="s">
        <v>293</v>
      </c>
      <c r="H7" s="139" t="s">
        <v>165</v>
      </c>
      <c r="I7" s="139" t="s">
        <v>292</v>
      </c>
      <c r="J7" s="139" t="s">
        <v>150</v>
      </c>
      <c r="K7" s="139" t="s">
        <v>370</v>
      </c>
      <c r="L7" s="138" t="s">
        <v>294</v>
      </c>
      <c r="M7" s="138" t="s">
        <v>332</v>
      </c>
      <c r="N7" s="138" t="s">
        <v>369</v>
      </c>
      <c r="O7" s="138" t="s">
        <v>333</v>
      </c>
      <c r="P7" s="61" t="s">
        <v>334</v>
      </c>
      <c r="Q7" s="61" t="s">
        <v>335</v>
      </c>
    </row>
    <row r="8" spans="1:25" ht="13.15" x14ac:dyDescent="0.4">
      <c r="A8" s="138"/>
      <c r="B8" s="139"/>
      <c r="C8" s="139"/>
      <c r="D8" s="139"/>
      <c r="E8" s="139"/>
      <c r="F8" s="139"/>
      <c r="G8" s="139"/>
      <c r="H8" s="139"/>
      <c r="I8" s="139"/>
      <c r="J8" s="139"/>
      <c r="K8" s="173">
        <v>-1</v>
      </c>
      <c r="L8" s="138"/>
      <c r="M8" s="138"/>
      <c r="N8" s="138"/>
      <c r="O8" s="61">
        <v>0</v>
      </c>
    </row>
    <row r="9" spans="1:25" ht="13.15" x14ac:dyDescent="0.4">
      <c r="A9" s="138"/>
      <c r="B9" s="139"/>
      <c r="C9" s="139"/>
      <c r="D9" s="139"/>
      <c r="E9" s="139"/>
      <c r="F9" s="139"/>
      <c r="G9" s="139"/>
      <c r="H9" s="139"/>
      <c r="I9" s="139"/>
      <c r="J9" s="139"/>
      <c r="K9" s="67">
        <v>-0.01</v>
      </c>
      <c r="L9" s="138"/>
      <c r="M9" s="138"/>
      <c r="N9" s="138"/>
      <c r="O9" s="61">
        <v>0</v>
      </c>
    </row>
    <row r="10" spans="1:25" x14ac:dyDescent="0.35">
      <c r="A10" s="61">
        <f t="shared" ref="A10:A41" si="0">VINMAX</f>
        <v>25.2</v>
      </c>
      <c r="B10" s="64">
        <f t="shared" ref="B10:B41" si="1">VINMAX*((ROW()-10)/104)</f>
        <v>0</v>
      </c>
      <c r="C10" s="62">
        <f t="shared" ref="C10:C41" si="2">IF(B10&gt;=$H$2,IF($D$2="CC", $G$2, B10/$G$2), 0)</f>
        <v>0</v>
      </c>
      <c r="D10" s="67">
        <f>B2</f>
        <v>306.39999999999998</v>
      </c>
      <c r="E10" s="60">
        <f>MIN(D10/(A10-B10),$C$2)</f>
        <v>12.158730158730158</v>
      </c>
      <c r="F10" s="62">
        <f>I_Cout_ss+C10</f>
        <v>3.2</v>
      </c>
      <c r="G10" s="60">
        <f>IF($F$2="YES", F10, E10)</f>
        <v>12.158730158730158</v>
      </c>
      <c r="H10" s="62">
        <f t="shared" ref="H10:H41" si="3">G10-C10</f>
        <v>12.158730158730158</v>
      </c>
      <c r="I10" s="63">
        <f>(COUTMAX/1000000)*(B10)/H10</f>
        <v>0</v>
      </c>
      <c r="J10" s="63">
        <f>I10</f>
        <v>0</v>
      </c>
      <c r="K10" s="173">
        <f>J10*1000</f>
        <v>0</v>
      </c>
      <c r="L10" s="140">
        <f>H10/G10</f>
        <v>1</v>
      </c>
      <c r="M10" s="61">
        <f t="shared" ref="M10:M41" si="4">1/COUTMAX*(E10/2-C10)*1000</f>
        <v>3.0396825396825395</v>
      </c>
      <c r="N10" s="61">
        <f>I10*G10*(A10-B10)</f>
        <v>0</v>
      </c>
      <c r="O10" s="61">
        <f>G10*(A10-B10)</f>
        <v>306.39999999999998</v>
      </c>
      <c r="P10" s="61">
        <f t="shared" ref="P10:P41" si="5">(A10-B10)*(I_Cout_ss*$Q$2+C10)</f>
        <v>110.88000000000001</v>
      </c>
      <c r="Q10" s="61">
        <f t="shared" ref="Q10:Q41" si="6">(A10-B10)*(I_Cout_ss*$R$2+C10)</f>
        <v>50.4</v>
      </c>
    </row>
    <row r="11" spans="1:25" x14ac:dyDescent="0.35">
      <c r="A11" s="61">
        <f t="shared" si="0"/>
        <v>25.2</v>
      </c>
      <c r="B11" s="64">
        <f t="shared" si="1"/>
        <v>0.24230769230769231</v>
      </c>
      <c r="C11" s="62">
        <f t="shared" si="2"/>
        <v>0</v>
      </c>
      <c r="D11" s="67">
        <f>B2</f>
        <v>306.39999999999998</v>
      </c>
      <c r="E11" s="60">
        <f t="shared" ref="E11:E74" si="7">MIN(D11/(A11-B11),$C$2)</f>
        <v>12.276776082601323</v>
      </c>
      <c r="F11" s="62">
        <f t="shared" ref="F11:F41" si="8">I_Cout_ss+C11</f>
        <v>3.2</v>
      </c>
      <c r="G11" s="60">
        <f t="shared" ref="G11:G74" si="9">IF($F$2="YES", F11, E11)</f>
        <v>12.276776082601323</v>
      </c>
      <c r="H11" s="62">
        <f t="shared" si="3"/>
        <v>12.276776082601323</v>
      </c>
      <c r="I11" s="63">
        <f t="shared" ref="I11:I42" si="10">(COUTMAX/1000000)*(B11-B10)/H11</f>
        <v>3.947415684335749E-5</v>
      </c>
      <c r="J11" s="63">
        <f>J10+I11</f>
        <v>3.947415684335749E-5</v>
      </c>
      <c r="K11" s="173">
        <f t="shared" ref="K11:K74" si="11">J11*1000</f>
        <v>3.9474156843357491E-2</v>
      </c>
      <c r="L11" s="140">
        <f t="shared" ref="L11:L74" si="12">H11/G11</f>
        <v>1</v>
      </c>
      <c r="M11" s="61">
        <f t="shared" si="4"/>
        <v>3.0691940206503308</v>
      </c>
      <c r="N11" s="61">
        <f t="shared" ref="N11:N13" si="13">I11*G11*(A11-B11)</f>
        <v>1.2094881656804732E-2</v>
      </c>
      <c r="O11" s="61">
        <f t="shared" ref="O11:O74" si="14">G11*(A11-B11)</f>
        <v>306.39999999999998</v>
      </c>
      <c r="P11" s="61">
        <f t="shared" si="5"/>
        <v>109.81384615384617</v>
      </c>
      <c r="Q11" s="61">
        <f t="shared" si="6"/>
        <v>49.915384615384617</v>
      </c>
    </row>
    <row r="12" spans="1:25" ht="13.15" x14ac:dyDescent="0.4">
      <c r="A12" s="61">
        <f t="shared" si="0"/>
        <v>25.2</v>
      </c>
      <c r="B12" s="64">
        <f t="shared" si="1"/>
        <v>0.48461538461538461</v>
      </c>
      <c r="C12" s="62">
        <f t="shared" si="2"/>
        <v>0</v>
      </c>
      <c r="D12" s="67">
        <f>B2</f>
        <v>306.39999999999998</v>
      </c>
      <c r="E12" s="60">
        <f t="shared" si="7"/>
        <v>12.397136632430749</v>
      </c>
      <c r="F12" s="62">
        <f t="shared" si="8"/>
        <v>3.2</v>
      </c>
      <c r="G12" s="60">
        <f t="shared" si="9"/>
        <v>12.397136632430749</v>
      </c>
      <c r="H12" s="62">
        <f t="shared" si="3"/>
        <v>12.397136632430749</v>
      </c>
      <c r="I12" s="63">
        <f t="shared" si="10"/>
        <v>3.9090912602159844E-5</v>
      </c>
      <c r="J12" s="63">
        <f t="shared" ref="J12:J75" si="15">J11+I12</f>
        <v>7.8565069445517334E-5</v>
      </c>
      <c r="K12" s="173">
        <f t="shared" si="11"/>
        <v>7.8565069445517333E-2</v>
      </c>
      <c r="L12" s="140">
        <f t="shared" si="12"/>
        <v>1</v>
      </c>
      <c r="M12" s="61">
        <f t="shared" si="4"/>
        <v>3.0992841581076873</v>
      </c>
      <c r="N12" s="61">
        <f>I12*G12*(A12-B12)</f>
        <v>1.1977455621301775E-2</v>
      </c>
      <c r="O12" s="61">
        <f t="shared" si="14"/>
        <v>306.39999999999998</v>
      </c>
      <c r="P12" s="61">
        <f t="shared" si="5"/>
        <v>108.74769230769232</v>
      </c>
      <c r="Q12" s="61">
        <f t="shared" si="6"/>
        <v>49.430769230769229</v>
      </c>
      <c r="X12" s="291" t="s">
        <v>140</v>
      </c>
      <c r="Y12" s="291"/>
    </row>
    <row r="13" spans="1:25" x14ac:dyDescent="0.35">
      <c r="A13" s="61">
        <f t="shared" si="0"/>
        <v>25.2</v>
      </c>
      <c r="B13" s="64">
        <f t="shared" si="1"/>
        <v>0.72692307692307689</v>
      </c>
      <c r="C13" s="62">
        <f t="shared" si="2"/>
        <v>0</v>
      </c>
      <c r="D13" s="67">
        <f>B2</f>
        <v>306.39999999999998</v>
      </c>
      <c r="E13" s="60">
        <f t="shared" si="7"/>
        <v>12.519880559484518</v>
      </c>
      <c r="F13" s="62">
        <f t="shared" si="8"/>
        <v>3.2</v>
      </c>
      <c r="G13" s="60">
        <f t="shared" si="9"/>
        <v>12.519880559484518</v>
      </c>
      <c r="H13" s="62">
        <f t="shared" si="3"/>
        <v>12.519880559484518</v>
      </c>
      <c r="I13" s="63">
        <f t="shared" si="10"/>
        <v>3.8707668360962197E-5</v>
      </c>
      <c r="J13" s="63">
        <f t="shared" si="15"/>
        <v>1.1727273780647954E-4</v>
      </c>
      <c r="K13" s="173">
        <f t="shared" si="11"/>
        <v>0.11727273780647954</v>
      </c>
      <c r="L13" s="140">
        <f t="shared" si="12"/>
        <v>1</v>
      </c>
      <c r="M13" s="61">
        <f t="shared" si="4"/>
        <v>3.1299701398711295</v>
      </c>
      <c r="N13" s="61">
        <f t="shared" si="13"/>
        <v>1.1860029585798815E-2</v>
      </c>
      <c r="O13" s="61">
        <f t="shared" si="14"/>
        <v>306.39999999999998</v>
      </c>
      <c r="P13" s="61">
        <f t="shared" si="5"/>
        <v>107.68153846153848</v>
      </c>
      <c r="Q13" s="61">
        <f t="shared" si="6"/>
        <v>48.946153846153848</v>
      </c>
      <c r="X13" s="65" t="s">
        <v>141</v>
      </c>
      <c r="Y13" s="65">
        <v>0.3</v>
      </c>
    </row>
    <row r="14" spans="1:25" x14ac:dyDescent="0.35">
      <c r="A14" s="61">
        <f t="shared" si="0"/>
        <v>25.2</v>
      </c>
      <c r="B14" s="64">
        <f t="shared" si="1"/>
        <v>0.96923076923076923</v>
      </c>
      <c r="C14" s="62">
        <f t="shared" si="2"/>
        <v>0</v>
      </c>
      <c r="D14" s="67">
        <f>B2</f>
        <v>306.39999999999998</v>
      </c>
      <c r="E14" s="60">
        <f t="shared" si="7"/>
        <v>12.645079365079365</v>
      </c>
      <c r="F14" s="62">
        <f t="shared" si="8"/>
        <v>3.2</v>
      </c>
      <c r="G14" s="60">
        <f t="shared" si="9"/>
        <v>12.645079365079365</v>
      </c>
      <c r="H14" s="62">
        <f t="shared" si="3"/>
        <v>12.645079365079365</v>
      </c>
      <c r="I14" s="63">
        <f t="shared" si="10"/>
        <v>3.8324424119764551E-5</v>
      </c>
      <c r="J14" s="63">
        <f t="shared" si="15"/>
        <v>1.5559716192624408E-4</v>
      </c>
      <c r="K14" s="173">
        <f t="shared" si="11"/>
        <v>0.15559716192624409</v>
      </c>
      <c r="L14" s="140">
        <f t="shared" si="12"/>
        <v>1</v>
      </c>
      <c r="M14" s="61">
        <f t="shared" si="4"/>
        <v>3.1612698412698412</v>
      </c>
      <c r="N14" s="61">
        <f t="shared" ref="N14:N74" si="16">I14*G14*(A14-B14)</f>
        <v>1.1742603550295857E-2</v>
      </c>
      <c r="O14" s="61">
        <f t="shared" si="14"/>
        <v>306.39999999999998</v>
      </c>
      <c r="P14" s="61">
        <f t="shared" si="5"/>
        <v>106.61538461538463</v>
      </c>
      <c r="Q14" s="61">
        <f t="shared" si="6"/>
        <v>48.46153846153846</v>
      </c>
      <c r="X14" s="65" t="s">
        <v>142</v>
      </c>
      <c r="Y14" s="65">
        <v>0.3</v>
      </c>
    </row>
    <row r="15" spans="1:25" x14ac:dyDescent="0.35">
      <c r="A15" s="61">
        <f t="shared" si="0"/>
        <v>25.2</v>
      </c>
      <c r="B15" s="64">
        <f t="shared" si="1"/>
        <v>1.2115384615384617</v>
      </c>
      <c r="C15" s="62">
        <f t="shared" si="2"/>
        <v>0</v>
      </c>
      <c r="D15" s="67">
        <f>B2</f>
        <v>306.39999999999998</v>
      </c>
      <c r="E15" s="60">
        <f t="shared" si="7"/>
        <v>12.772807439474107</v>
      </c>
      <c r="F15" s="62">
        <f t="shared" si="8"/>
        <v>3.2</v>
      </c>
      <c r="G15" s="60">
        <f t="shared" si="9"/>
        <v>12.772807439474107</v>
      </c>
      <c r="H15" s="62">
        <f t="shared" si="3"/>
        <v>12.772807439474107</v>
      </c>
      <c r="I15" s="63">
        <f t="shared" si="10"/>
        <v>3.7941179878566925E-5</v>
      </c>
      <c r="J15" s="63">
        <f t="shared" si="15"/>
        <v>1.9353834180481101E-4</v>
      </c>
      <c r="K15" s="173">
        <f t="shared" si="11"/>
        <v>0.193538341804811</v>
      </c>
      <c r="L15" s="140">
        <f t="shared" si="12"/>
        <v>1</v>
      </c>
      <c r="M15" s="61">
        <f t="shared" si="4"/>
        <v>3.1932018598685268</v>
      </c>
      <c r="N15" s="61">
        <f t="shared" si="16"/>
        <v>1.1625177514792905E-2</v>
      </c>
      <c r="O15" s="61">
        <f t="shared" si="14"/>
        <v>306.39999999999998</v>
      </c>
      <c r="P15" s="61">
        <f t="shared" si="5"/>
        <v>105.54923076923076</v>
      </c>
      <c r="Q15" s="61">
        <f t="shared" si="6"/>
        <v>47.976923076923072</v>
      </c>
      <c r="X15" s="65" t="s">
        <v>143</v>
      </c>
      <c r="Y15" s="65">
        <f>SQRT(Y14^2+Y13^2)</f>
        <v>0.42426406871192851</v>
      </c>
    </row>
    <row r="16" spans="1:25" x14ac:dyDescent="0.35">
      <c r="A16" s="61">
        <f t="shared" si="0"/>
        <v>25.2</v>
      </c>
      <c r="B16" s="64">
        <f t="shared" si="1"/>
        <v>1.4538461538461538</v>
      </c>
      <c r="C16" s="62">
        <f t="shared" si="2"/>
        <v>0</v>
      </c>
      <c r="D16" s="67">
        <f>B2</f>
        <v>306.39999999999998</v>
      </c>
      <c r="E16" s="60">
        <f t="shared" si="7"/>
        <v>12.903142209264658</v>
      </c>
      <c r="F16" s="62">
        <f t="shared" si="8"/>
        <v>3.2</v>
      </c>
      <c r="G16" s="60">
        <f t="shared" si="9"/>
        <v>12.903142209264658</v>
      </c>
      <c r="H16" s="62">
        <f t="shared" si="3"/>
        <v>12.903142209264658</v>
      </c>
      <c r="I16" s="63">
        <f t="shared" si="10"/>
        <v>3.7557935637369231E-5</v>
      </c>
      <c r="J16" s="63">
        <f t="shared" si="15"/>
        <v>2.3109627744218023E-4</v>
      </c>
      <c r="K16" s="173">
        <f t="shared" si="11"/>
        <v>0.23109627744218023</v>
      </c>
      <c r="L16" s="140">
        <f t="shared" si="12"/>
        <v>1</v>
      </c>
      <c r="M16" s="61">
        <f t="shared" si="4"/>
        <v>3.2257855523161645</v>
      </c>
      <c r="N16" s="61">
        <f t="shared" si="16"/>
        <v>1.1507751479289931E-2</v>
      </c>
      <c r="O16" s="61">
        <f t="shared" si="14"/>
        <v>306.39999999999998</v>
      </c>
      <c r="P16" s="61">
        <f t="shared" si="5"/>
        <v>104.48307692307692</v>
      </c>
      <c r="Q16" s="61">
        <f t="shared" si="6"/>
        <v>47.492307692307691</v>
      </c>
      <c r="X16" s="65"/>
      <c r="Y16" s="65"/>
    </row>
    <row r="17" spans="1:25" x14ac:dyDescent="0.35">
      <c r="A17" s="61">
        <f t="shared" si="0"/>
        <v>25.2</v>
      </c>
      <c r="B17" s="64">
        <f t="shared" si="1"/>
        <v>1.6961538461538461</v>
      </c>
      <c r="C17" s="62">
        <f t="shared" si="2"/>
        <v>0</v>
      </c>
      <c r="D17" s="67">
        <f>B2</f>
        <v>306.39999999999998</v>
      </c>
      <c r="E17" s="60">
        <f t="shared" si="7"/>
        <v>13.036164293896251</v>
      </c>
      <c r="F17" s="62">
        <f t="shared" si="8"/>
        <v>3.2</v>
      </c>
      <c r="G17" s="60">
        <f t="shared" si="9"/>
        <v>13.036164293896251</v>
      </c>
      <c r="H17" s="62">
        <f t="shared" si="3"/>
        <v>13.036164293896251</v>
      </c>
      <c r="I17" s="63">
        <f t="shared" si="10"/>
        <v>3.7174691396171625E-5</v>
      </c>
      <c r="J17" s="63">
        <f t="shared" si="15"/>
        <v>2.6827096883835186E-4</v>
      </c>
      <c r="K17" s="173">
        <f t="shared" si="11"/>
        <v>0.26827096883835189</v>
      </c>
      <c r="L17" s="140">
        <f t="shared" si="12"/>
        <v>1</v>
      </c>
      <c r="M17" s="61">
        <f t="shared" si="4"/>
        <v>3.2590410734740627</v>
      </c>
      <c r="N17" s="61">
        <f t="shared" si="16"/>
        <v>1.1390325443786984E-2</v>
      </c>
      <c r="O17" s="61">
        <f t="shared" si="14"/>
        <v>306.39999999999998</v>
      </c>
      <c r="P17" s="61">
        <f t="shared" si="5"/>
        <v>103.41692307692308</v>
      </c>
      <c r="Q17" s="61">
        <f t="shared" si="6"/>
        <v>47.007692307692309</v>
      </c>
      <c r="X17" s="65" t="s">
        <v>144</v>
      </c>
      <c r="Y17" s="65">
        <v>0.3</v>
      </c>
    </row>
    <row r="18" spans="1:25" x14ac:dyDescent="0.35">
      <c r="A18" s="61">
        <f t="shared" si="0"/>
        <v>25.2</v>
      </c>
      <c r="B18" s="64">
        <f t="shared" si="1"/>
        <v>1.9384615384615385</v>
      </c>
      <c r="C18" s="62">
        <f t="shared" si="2"/>
        <v>0</v>
      </c>
      <c r="D18" s="67">
        <f>B2</f>
        <v>306.39999999999998</v>
      </c>
      <c r="E18" s="60">
        <f t="shared" si="7"/>
        <v>13.171957671957671</v>
      </c>
      <c r="F18" s="62">
        <f t="shared" si="8"/>
        <v>3.2</v>
      </c>
      <c r="G18" s="60">
        <f t="shared" si="9"/>
        <v>13.171957671957671</v>
      </c>
      <c r="H18" s="62">
        <f t="shared" si="3"/>
        <v>13.171957671957671</v>
      </c>
      <c r="I18" s="63">
        <f t="shared" si="10"/>
        <v>3.6791447154973971E-5</v>
      </c>
      <c r="J18" s="63">
        <f t="shared" si="15"/>
        <v>3.0506241599332582E-4</v>
      </c>
      <c r="K18" s="173">
        <f t="shared" si="11"/>
        <v>0.30506241599332584</v>
      </c>
      <c r="L18" s="140">
        <f t="shared" si="12"/>
        <v>1</v>
      </c>
      <c r="M18" s="61">
        <f t="shared" si="4"/>
        <v>3.2929894179894177</v>
      </c>
      <c r="N18" s="61">
        <f t="shared" si="16"/>
        <v>1.1272899408284022E-2</v>
      </c>
      <c r="O18" s="61">
        <f t="shared" si="14"/>
        <v>306.39999999999998</v>
      </c>
      <c r="P18" s="61">
        <f t="shared" si="5"/>
        <v>102.35076923076923</v>
      </c>
      <c r="Q18" s="61">
        <f t="shared" si="6"/>
        <v>46.523076923076921</v>
      </c>
      <c r="X18" s="65" t="s">
        <v>145</v>
      </c>
      <c r="Y18" s="65">
        <f>MAX(Y15:Y17)</f>
        <v>0.42426406871192851</v>
      </c>
    </row>
    <row r="19" spans="1:25" x14ac:dyDescent="0.35">
      <c r="A19" s="61">
        <f t="shared" si="0"/>
        <v>25.2</v>
      </c>
      <c r="B19" s="64">
        <f t="shared" si="1"/>
        <v>2.1807692307692306</v>
      </c>
      <c r="C19" s="62">
        <f t="shared" si="2"/>
        <v>0</v>
      </c>
      <c r="D19" s="67">
        <f>B2</f>
        <v>306.39999999999998</v>
      </c>
      <c r="E19" s="60">
        <f t="shared" si="7"/>
        <v>13.310609857978278</v>
      </c>
      <c r="F19" s="62">
        <f t="shared" si="8"/>
        <v>3.2</v>
      </c>
      <c r="G19" s="60">
        <f t="shared" si="9"/>
        <v>13.310609857978278</v>
      </c>
      <c r="H19" s="62">
        <f t="shared" si="3"/>
        <v>13.310609857978278</v>
      </c>
      <c r="I19" s="63">
        <f t="shared" si="10"/>
        <v>3.6408202913776298E-5</v>
      </c>
      <c r="J19" s="63">
        <f t="shared" si="15"/>
        <v>3.4147061890710213E-4</v>
      </c>
      <c r="K19" s="173">
        <f t="shared" si="11"/>
        <v>0.34147061890710212</v>
      </c>
      <c r="L19" s="140">
        <f t="shared" si="12"/>
        <v>1</v>
      </c>
      <c r="M19" s="61">
        <f t="shared" si="4"/>
        <v>3.3276524644945695</v>
      </c>
      <c r="N19" s="61">
        <f t="shared" si="16"/>
        <v>1.1155473372781059E-2</v>
      </c>
      <c r="O19" s="61">
        <f t="shared" si="14"/>
        <v>306.39999999999998</v>
      </c>
      <c r="P19" s="61">
        <f t="shared" si="5"/>
        <v>101.28461538461539</v>
      </c>
      <c r="Q19" s="61">
        <f t="shared" si="6"/>
        <v>46.03846153846154</v>
      </c>
      <c r="X19" s="65"/>
      <c r="Y19" s="65"/>
    </row>
    <row r="20" spans="1:25" x14ac:dyDescent="0.35">
      <c r="A20" s="61">
        <f t="shared" si="0"/>
        <v>25.2</v>
      </c>
      <c r="B20" s="64">
        <f t="shared" si="1"/>
        <v>2.4230769230769234</v>
      </c>
      <c r="C20" s="62">
        <f t="shared" si="2"/>
        <v>0</v>
      </c>
      <c r="D20" s="67">
        <f>B2</f>
        <v>306.39999999999998</v>
      </c>
      <c r="E20" s="60">
        <f t="shared" si="7"/>
        <v>13.452212090509962</v>
      </c>
      <c r="F20" s="62">
        <f t="shared" si="8"/>
        <v>3.2</v>
      </c>
      <c r="G20" s="60">
        <f t="shared" si="9"/>
        <v>13.452212090509962</v>
      </c>
      <c r="H20" s="62">
        <f t="shared" si="3"/>
        <v>13.452212090509962</v>
      </c>
      <c r="I20" s="63">
        <f t="shared" si="10"/>
        <v>3.6024958672578753E-5</v>
      </c>
      <c r="J20" s="63">
        <f t="shared" si="15"/>
        <v>3.774955775796809E-4</v>
      </c>
      <c r="K20" s="173">
        <f t="shared" si="11"/>
        <v>0.37749557757968089</v>
      </c>
      <c r="L20" s="140">
        <f t="shared" si="12"/>
        <v>1</v>
      </c>
      <c r="M20" s="61">
        <f t="shared" si="4"/>
        <v>3.3630530226274904</v>
      </c>
      <c r="N20" s="61">
        <f t="shared" si="16"/>
        <v>1.1038047337278128E-2</v>
      </c>
      <c r="O20" s="61">
        <f t="shared" si="14"/>
        <v>306.39999999999998</v>
      </c>
      <c r="P20" s="61">
        <f t="shared" si="5"/>
        <v>100.21846153846154</v>
      </c>
      <c r="Q20" s="61">
        <f t="shared" si="6"/>
        <v>45.553846153846152</v>
      </c>
      <c r="X20" s="65" t="s">
        <v>146</v>
      </c>
      <c r="Y20" s="65">
        <v>0.2</v>
      </c>
    </row>
    <row r="21" spans="1:25" x14ac:dyDescent="0.35">
      <c r="A21" s="61">
        <f t="shared" si="0"/>
        <v>25.2</v>
      </c>
      <c r="B21" s="64">
        <f t="shared" si="1"/>
        <v>2.6653846153846152</v>
      </c>
      <c r="C21" s="62">
        <f t="shared" si="2"/>
        <v>0</v>
      </c>
      <c r="D21" s="67">
        <f>B2</f>
        <v>306.39999999999998</v>
      </c>
      <c r="E21" s="60">
        <f t="shared" si="7"/>
        <v>13.596859532343402</v>
      </c>
      <c r="F21" s="62">
        <f t="shared" si="8"/>
        <v>3.2</v>
      </c>
      <c r="G21" s="60">
        <f t="shared" si="9"/>
        <v>13.596859532343402</v>
      </c>
      <c r="H21" s="62">
        <f t="shared" si="3"/>
        <v>13.596859532343402</v>
      </c>
      <c r="I21" s="63">
        <f t="shared" si="10"/>
        <v>3.5641714431380978E-5</v>
      </c>
      <c r="J21" s="63">
        <f t="shared" si="15"/>
        <v>4.1313729201106187E-4</v>
      </c>
      <c r="K21" s="173">
        <f t="shared" si="11"/>
        <v>0.41313729201106186</v>
      </c>
      <c r="L21" s="140">
        <f t="shared" si="12"/>
        <v>1</v>
      </c>
      <c r="M21" s="61">
        <f t="shared" si="4"/>
        <v>3.3992148830858504</v>
      </c>
      <c r="N21" s="61">
        <f t="shared" si="16"/>
        <v>1.0920621301775131E-2</v>
      </c>
      <c r="O21" s="61">
        <f t="shared" si="14"/>
        <v>306.39999999999998</v>
      </c>
      <c r="P21" s="61">
        <f t="shared" si="5"/>
        <v>99.152307692307701</v>
      </c>
      <c r="Q21" s="61">
        <f t="shared" si="6"/>
        <v>45.069230769230771</v>
      </c>
      <c r="X21" s="65" t="s">
        <v>147</v>
      </c>
      <c r="Y21" s="65">
        <v>0.2</v>
      </c>
    </row>
    <row r="22" spans="1:25" x14ac:dyDescent="0.35">
      <c r="A22" s="61">
        <f t="shared" si="0"/>
        <v>25.2</v>
      </c>
      <c r="B22" s="64">
        <f t="shared" si="1"/>
        <v>2.9076923076923076</v>
      </c>
      <c r="C22" s="62">
        <f t="shared" si="2"/>
        <v>0</v>
      </c>
      <c r="D22" s="67">
        <f>B2</f>
        <v>306.39999999999998</v>
      </c>
      <c r="E22" s="60">
        <f t="shared" si="7"/>
        <v>13.744651483781919</v>
      </c>
      <c r="F22" s="62">
        <f t="shared" si="8"/>
        <v>3.2</v>
      </c>
      <c r="G22" s="60">
        <f t="shared" si="9"/>
        <v>13.744651483781919</v>
      </c>
      <c r="H22" s="62">
        <f t="shared" si="3"/>
        <v>13.744651483781919</v>
      </c>
      <c r="I22" s="63">
        <f t="shared" si="10"/>
        <v>3.5258470190183385E-5</v>
      </c>
      <c r="J22" s="63">
        <f t="shared" si="15"/>
        <v>4.4839576220124524E-4</v>
      </c>
      <c r="K22" s="173">
        <f t="shared" si="11"/>
        <v>0.44839576220124522</v>
      </c>
      <c r="L22" s="140">
        <f t="shared" si="12"/>
        <v>1</v>
      </c>
      <c r="M22" s="61">
        <f t="shared" si="4"/>
        <v>3.4361628709454797</v>
      </c>
      <c r="N22" s="61">
        <f t="shared" si="16"/>
        <v>1.0803195266272188E-2</v>
      </c>
      <c r="O22" s="61">
        <f t="shared" si="14"/>
        <v>306.39999999999998</v>
      </c>
      <c r="P22" s="61">
        <f t="shared" si="5"/>
        <v>98.086153846153849</v>
      </c>
      <c r="Q22" s="61">
        <f t="shared" si="6"/>
        <v>44.584615384615383</v>
      </c>
      <c r="X22" s="65" t="s">
        <v>143</v>
      </c>
      <c r="Y22" s="65">
        <f>SQRT(Y21^2+Y20^2)</f>
        <v>0.28284271247461906</v>
      </c>
    </row>
    <row r="23" spans="1:25" x14ac:dyDescent="0.35">
      <c r="A23" s="61">
        <f t="shared" si="0"/>
        <v>25.2</v>
      </c>
      <c r="B23" s="64">
        <f t="shared" si="1"/>
        <v>3.15</v>
      </c>
      <c r="C23" s="62">
        <f t="shared" si="2"/>
        <v>0</v>
      </c>
      <c r="D23" s="67">
        <f>B2</f>
        <v>306.39999999999998</v>
      </c>
      <c r="E23" s="60">
        <f t="shared" si="7"/>
        <v>13.895691609977323</v>
      </c>
      <c r="F23" s="62">
        <f t="shared" si="8"/>
        <v>3.2</v>
      </c>
      <c r="G23" s="60">
        <f t="shared" si="9"/>
        <v>13.895691609977323</v>
      </c>
      <c r="H23" s="62">
        <f t="shared" si="3"/>
        <v>13.895691609977323</v>
      </c>
      <c r="I23" s="63">
        <f t="shared" si="10"/>
        <v>3.4875225948985746E-5</v>
      </c>
      <c r="J23" s="63">
        <f t="shared" si="15"/>
        <v>4.8327098815023097E-4</v>
      </c>
      <c r="K23" s="173">
        <f t="shared" si="11"/>
        <v>0.48327098815023095</v>
      </c>
      <c r="L23" s="140">
        <f t="shared" si="12"/>
        <v>1</v>
      </c>
      <c r="M23" s="61">
        <f t="shared" si="4"/>
        <v>3.4739229024943308</v>
      </c>
      <c r="N23" s="61">
        <f t="shared" si="16"/>
        <v>1.0685769230769231E-2</v>
      </c>
      <c r="O23" s="61">
        <f t="shared" si="14"/>
        <v>306.39999999999998</v>
      </c>
      <c r="P23" s="61">
        <f t="shared" si="5"/>
        <v>97.02000000000001</v>
      </c>
      <c r="Q23" s="61">
        <f t="shared" si="6"/>
        <v>44.1</v>
      </c>
      <c r="X23" s="65"/>
      <c r="Y23" s="65"/>
    </row>
    <row r="24" spans="1:25" x14ac:dyDescent="0.35">
      <c r="A24" s="61">
        <f t="shared" si="0"/>
        <v>25.2</v>
      </c>
      <c r="B24" s="64">
        <f t="shared" si="1"/>
        <v>3.3923076923076922</v>
      </c>
      <c r="C24" s="62">
        <f t="shared" si="2"/>
        <v>0</v>
      </c>
      <c r="D24" s="67">
        <f>B2</f>
        <v>306.39999999999998</v>
      </c>
      <c r="E24" s="60">
        <f t="shared" si="7"/>
        <v>14.050088183421517</v>
      </c>
      <c r="F24" s="62">
        <f t="shared" si="8"/>
        <v>3.2</v>
      </c>
      <c r="G24" s="60">
        <f t="shared" si="9"/>
        <v>14.050088183421517</v>
      </c>
      <c r="H24" s="62">
        <f t="shared" si="3"/>
        <v>14.050088183421517</v>
      </c>
      <c r="I24" s="63">
        <f t="shared" si="10"/>
        <v>3.4491981707788099E-5</v>
      </c>
      <c r="J24" s="63">
        <f t="shared" si="15"/>
        <v>5.1776296985801904E-4</v>
      </c>
      <c r="K24" s="173">
        <f t="shared" si="11"/>
        <v>0.51776296985801906</v>
      </c>
      <c r="L24" s="140">
        <f t="shared" si="12"/>
        <v>1</v>
      </c>
      <c r="M24" s="61">
        <f t="shared" si="4"/>
        <v>3.5125220458553792</v>
      </c>
      <c r="N24" s="61">
        <f t="shared" si="16"/>
        <v>1.0568343195266273E-2</v>
      </c>
      <c r="O24" s="61">
        <f t="shared" si="14"/>
        <v>306.39999999999998</v>
      </c>
      <c r="P24" s="61">
        <f t="shared" si="5"/>
        <v>95.953846153846158</v>
      </c>
      <c r="Q24" s="61">
        <f t="shared" si="6"/>
        <v>43.615384615384613</v>
      </c>
      <c r="X24" s="65" t="s">
        <v>148</v>
      </c>
      <c r="Y24" s="65">
        <f>SQRT(Y18^2+Y22^2)</f>
        <v>0.50990195135927852</v>
      </c>
    </row>
    <row r="25" spans="1:25" x14ac:dyDescent="0.35">
      <c r="A25" s="61">
        <f t="shared" si="0"/>
        <v>25.2</v>
      </c>
      <c r="B25" s="64">
        <f t="shared" si="1"/>
        <v>3.6346153846153841</v>
      </c>
      <c r="C25" s="62">
        <f t="shared" si="2"/>
        <v>0</v>
      </c>
      <c r="D25" s="67">
        <f>B2</f>
        <v>306.39999999999998</v>
      </c>
      <c r="E25" s="60">
        <f t="shared" si="7"/>
        <v>14.207954342785802</v>
      </c>
      <c r="F25" s="62">
        <f t="shared" si="8"/>
        <v>3.2</v>
      </c>
      <c r="G25" s="60">
        <f t="shared" si="9"/>
        <v>14.207954342785802</v>
      </c>
      <c r="H25" s="62">
        <f t="shared" si="3"/>
        <v>14.207954342785802</v>
      </c>
      <c r="I25" s="63">
        <f t="shared" si="10"/>
        <v>3.4108737466590392E-5</v>
      </c>
      <c r="J25" s="63">
        <f t="shared" si="15"/>
        <v>5.5187170732460948E-4</v>
      </c>
      <c r="K25" s="173">
        <f t="shared" si="11"/>
        <v>0.55187170732460944</v>
      </c>
      <c r="L25" s="140">
        <f t="shared" si="12"/>
        <v>1</v>
      </c>
      <c r="M25" s="61">
        <f t="shared" si="4"/>
        <v>3.551988585696451</v>
      </c>
      <c r="N25" s="61">
        <f t="shared" si="16"/>
        <v>1.0450917159763295E-2</v>
      </c>
      <c r="O25" s="61">
        <f t="shared" si="14"/>
        <v>306.39999999999998</v>
      </c>
      <c r="P25" s="61">
        <f t="shared" si="5"/>
        <v>94.887692307692319</v>
      </c>
      <c r="Q25" s="61">
        <f t="shared" si="6"/>
        <v>43.130769230769232</v>
      </c>
    </row>
    <row r="26" spans="1:25" x14ac:dyDescent="0.35">
      <c r="A26" s="61">
        <f t="shared" si="0"/>
        <v>25.2</v>
      </c>
      <c r="B26" s="64">
        <f t="shared" si="1"/>
        <v>3.8769230769230769</v>
      </c>
      <c r="C26" s="62">
        <f t="shared" si="2"/>
        <v>0</v>
      </c>
      <c r="D26" s="67">
        <f>B2</f>
        <v>306.39999999999998</v>
      </c>
      <c r="E26" s="60">
        <f t="shared" si="7"/>
        <v>14.369408369408369</v>
      </c>
      <c r="F26" s="62">
        <f t="shared" si="8"/>
        <v>3.2</v>
      </c>
      <c r="G26" s="60">
        <f t="shared" si="9"/>
        <v>14.369408369408369</v>
      </c>
      <c r="H26" s="62">
        <f t="shared" si="3"/>
        <v>14.369408369408369</v>
      </c>
      <c r="I26" s="63">
        <f t="shared" si="10"/>
        <v>3.3725493225392874E-5</v>
      </c>
      <c r="J26" s="63">
        <f t="shared" si="15"/>
        <v>5.8559720055000237E-4</v>
      </c>
      <c r="K26" s="173">
        <f t="shared" si="11"/>
        <v>0.58559720055000242</v>
      </c>
      <c r="L26" s="140">
        <f t="shared" si="12"/>
        <v>1</v>
      </c>
      <c r="M26" s="61">
        <f t="shared" si="4"/>
        <v>3.5923520923520922</v>
      </c>
      <c r="N26" s="61">
        <f t="shared" si="16"/>
        <v>1.0333491124260375E-2</v>
      </c>
      <c r="O26" s="61">
        <f t="shared" si="14"/>
        <v>306.39999999999998</v>
      </c>
      <c r="P26" s="61">
        <f t="shared" si="5"/>
        <v>93.821538461538466</v>
      </c>
      <c r="Q26" s="61">
        <f t="shared" si="6"/>
        <v>42.646153846153844</v>
      </c>
    </row>
    <row r="27" spans="1:25" x14ac:dyDescent="0.35">
      <c r="A27" s="61">
        <f t="shared" si="0"/>
        <v>25.2</v>
      </c>
      <c r="B27" s="64">
        <f t="shared" si="1"/>
        <v>4.1192307692307688</v>
      </c>
      <c r="C27" s="62">
        <f t="shared" si="2"/>
        <v>0</v>
      </c>
      <c r="D27" s="67">
        <f>B2</f>
        <v>306.39999999999998</v>
      </c>
      <c r="E27" s="60">
        <f t="shared" si="7"/>
        <v>14.534573982849844</v>
      </c>
      <c r="F27" s="62">
        <f t="shared" si="8"/>
        <v>3.2</v>
      </c>
      <c r="G27" s="60">
        <f t="shared" si="9"/>
        <v>14.534573982849844</v>
      </c>
      <c r="H27" s="62">
        <f t="shared" si="3"/>
        <v>14.534573982849844</v>
      </c>
      <c r="I27" s="63">
        <f t="shared" si="10"/>
        <v>3.3342248984195105E-5</v>
      </c>
      <c r="J27" s="63">
        <f t="shared" si="15"/>
        <v>6.1893944953419751E-4</v>
      </c>
      <c r="K27" s="173">
        <f t="shared" si="11"/>
        <v>0.61893944953419755</v>
      </c>
      <c r="L27" s="140">
        <f t="shared" si="12"/>
        <v>1</v>
      </c>
      <c r="M27" s="61">
        <f t="shared" si="4"/>
        <v>3.6336434957124615</v>
      </c>
      <c r="N27" s="61">
        <f t="shared" si="16"/>
        <v>1.021606508875738E-2</v>
      </c>
      <c r="O27" s="61">
        <f t="shared" si="14"/>
        <v>306.39999999999998</v>
      </c>
      <c r="P27" s="61">
        <f t="shared" si="5"/>
        <v>92.755384615384628</v>
      </c>
      <c r="Q27" s="61">
        <f t="shared" si="6"/>
        <v>42.161538461538463</v>
      </c>
    </row>
    <row r="28" spans="1:25" x14ac:dyDescent="0.35">
      <c r="A28" s="61">
        <f t="shared" si="0"/>
        <v>25.2</v>
      </c>
      <c r="B28" s="64">
        <f t="shared" si="1"/>
        <v>4.3615384615384611</v>
      </c>
      <c r="C28" s="62">
        <f t="shared" si="2"/>
        <v>0</v>
      </c>
      <c r="D28" s="67">
        <f>B2</f>
        <v>306.39999999999998</v>
      </c>
      <c r="E28" s="60">
        <f t="shared" si="7"/>
        <v>14.703580657069029</v>
      </c>
      <c r="F28" s="62">
        <f t="shared" si="8"/>
        <v>3.2</v>
      </c>
      <c r="G28" s="60">
        <f t="shared" si="9"/>
        <v>14.703580657069029</v>
      </c>
      <c r="H28" s="62">
        <f t="shared" si="3"/>
        <v>14.703580657069029</v>
      </c>
      <c r="I28" s="63">
        <f t="shared" si="10"/>
        <v>3.2959004742997513E-5</v>
      </c>
      <c r="J28" s="63">
        <f t="shared" si="15"/>
        <v>6.51898454277195E-4</v>
      </c>
      <c r="K28" s="173">
        <f t="shared" si="11"/>
        <v>0.65189845427719495</v>
      </c>
      <c r="L28" s="140">
        <f t="shared" si="12"/>
        <v>1</v>
      </c>
      <c r="M28" s="61">
        <f t="shared" si="4"/>
        <v>3.6758951642672577</v>
      </c>
      <c r="N28" s="61">
        <f t="shared" si="16"/>
        <v>1.0098639053254437E-2</v>
      </c>
      <c r="O28" s="61">
        <f t="shared" si="14"/>
        <v>306.39999999999998</v>
      </c>
      <c r="P28" s="61">
        <f t="shared" si="5"/>
        <v>91.689230769230775</v>
      </c>
      <c r="Q28" s="61">
        <f t="shared" si="6"/>
        <v>41.676923076923075</v>
      </c>
    </row>
    <row r="29" spans="1:25" x14ac:dyDescent="0.35">
      <c r="A29" s="61">
        <f t="shared" si="0"/>
        <v>25.2</v>
      </c>
      <c r="B29" s="64">
        <f t="shared" si="1"/>
        <v>4.6038461538461535</v>
      </c>
      <c r="C29" s="62">
        <f t="shared" si="2"/>
        <v>0</v>
      </c>
      <c r="D29" s="67">
        <f>B2</f>
        <v>306.39999999999998</v>
      </c>
      <c r="E29" s="60">
        <f t="shared" si="7"/>
        <v>14.876563958916899</v>
      </c>
      <c r="F29" s="62">
        <f t="shared" si="8"/>
        <v>3.2</v>
      </c>
      <c r="G29" s="60">
        <f t="shared" si="9"/>
        <v>14.876563958916899</v>
      </c>
      <c r="H29" s="62">
        <f t="shared" si="3"/>
        <v>14.876563958916899</v>
      </c>
      <c r="I29" s="63">
        <f t="shared" si="10"/>
        <v>3.2575760501799873E-5</v>
      </c>
      <c r="J29" s="63">
        <f t="shared" si="15"/>
        <v>6.8447421477899485E-4</v>
      </c>
      <c r="K29" s="173">
        <f t="shared" si="11"/>
        <v>0.68447421477899484</v>
      </c>
      <c r="L29" s="140">
        <f t="shared" si="12"/>
        <v>1</v>
      </c>
      <c r="M29" s="61">
        <f t="shared" si="4"/>
        <v>3.7191409897292251</v>
      </c>
      <c r="N29" s="61">
        <f t="shared" si="16"/>
        <v>9.98121301775148E-3</v>
      </c>
      <c r="O29" s="61">
        <f t="shared" si="14"/>
        <v>306.39999999999998</v>
      </c>
      <c r="P29" s="61">
        <f t="shared" si="5"/>
        <v>90.623076923076937</v>
      </c>
      <c r="Q29" s="61">
        <f t="shared" si="6"/>
        <v>41.192307692307693</v>
      </c>
    </row>
    <row r="30" spans="1:25" x14ac:dyDescent="0.35">
      <c r="A30" s="61">
        <f t="shared" si="0"/>
        <v>25.2</v>
      </c>
      <c r="B30" s="64">
        <f t="shared" si="1"/>
        <v>4.8461538461538467</v>
      </c>
      <c r="C30" s="62">
        <f t="shared" si="2"/>
        <v>0</v>
      </c>
      <c r="D30" s="67">
        <f>B2</f>
        <v>306.39999999999998</v>
      </c>
      <c r="E30" s="60">
        <f t="shared" si="7"/>
        <v>15.053665910808768</v>
      </c>
      <c r="F30" s="62">
        <f t="shared" si="8"/>
        <v>3.2</v>
      </c>
      <c r="G30" s="60">
        <f t="shared" si="9"/>
        <v>15.053665910808768</v>
      </c>
      <c r="H30" s="62">
        <f t="shared" si="3"/>
        <v>15.053665910808768</v>
      </c>
      <c r="I30" s="63">
        <f t="shared" si="10"/>
        <v>3.2192516260602342E-5</v>
      </c>
      <c r="J30" s="63">
        <f t="shared" si="15"/>
        <v>7.1666673103959716E-4</v>
      </c>
      <c r="K30" s="173">
        <f t="shared" si="11"/>
        <v>0.7166667310395971</v>
      </c>
      <c r="L30" s="140">
        <f t="shared" si="12"/>
        <v>1</v>
      </c>
      <c r="M30" s="61">
        <f t="shared" si="4"/>
        <v>3.7634164777021919</v>
      </c>
      <c r="N30" s="61">
        <f t="shared" si="16"/>
        <v>9.8637869822485562E-3</v>
      </c>
      <c r="O30" s="61">
        <f t="shared" si="14"/>
        <v>306.39999999999998</v>
      </c>
      <c r="P30" s="61">
        <f t="shared" si="5"/>
        <v>89.556923076923084</v>
      </c>
      <c r="Q30" s="61">
        <f t="shared" si="6"/>
        <v>40.707692307692305</v>
      </c>
    </row>
    <row r="31" spans="1:25" x14ac:dyDescent="0.35">
      <c r="A31" s="61">
        <f t="shared" si="0"/>
        <v>25.2</v>
      </c>
      <c r="B31" s="64">
        <f t="shared" si="1"/>
        <v>5.0884615384615381</v>
      </c>
      <c r="C31" s="62">
        <f t="shared" si="2"/>
        <v>0</v>
      </c>
      <c r="D31" s="67">
        <f>B2</f>
        <v>306.39999999999998</v>
      </c>
      <c r="E31" s="60">
        <f t="shared" si="7"/>
        <v>15.235035379613691</v>
      </c>
      <c r="F31" s="62">
        <f t="shared" si="8"/>
        <v>3.2</v>
      </c>
      <c r="G31" s="60">
        <f t="shared" si="9"/>
        <v>15.235035379613691</v>
      </c>
      <c r="H31" s="62">
        <f t="shared" si="3"/>
        <v>15.235035379613691</v>
      </c>
      <c r="I31" s="63">
        <f t="shared" si="10"/>
        <v>3.1809272019404465E-5</v>
      </c>
      <c r="J31" s="63">
        <f t="shared" si="15"/>
        <v>7.484760030590016E-4</v>
      </c>
      <c r="K31" s="173">
        <f t="shared" si="11"/>
        <v>0.74847600305900164</v>
      </c>
      <c r="L31" s="140">
        <f t="shared" si="12"/>
        <v>1</v>
      </c>
      <c r="M31" s="61">
        <f t="shared" si="4"/>
        <v>3.8087588449034229</v>
      </c>
      <c r="N31" s="61">
        <f t="shared" si="16"/>
        <v>9.7463609467455265E-3</v>
      </c>
      <c r="O31" s="61">
        <f t="shared" si="14"/>
        <v>306.39999999999998</v>
      </c>
      <c r="P31" s="61">
        <f t="shared" si="5"/>
        <v>88.490769230769246</v>
      </c>
      <c r="Q31" s="61">
        <f t="shared" si="6"/>
        <v>40.223076923076924</v>
      </c>
    </row>
    <row r="32" spans="1:25" x14ac:dyDescent="0.35">
      <c r="A32" s="61">
        <f t="shared" si="0"/>
        <v>25.2</v>
      </c>
      <c r="B32" s="64">
        <f t="shared" si="1"/>
        <v>5.3307692307692305</v>
      </c>
      <c r="C32" s="62">
        <f t="shared" si="2"/>
        <v>0</v>
      </c>
      <c r="D32" s="67">
        <f>B2</f>
        <v>306.39999999999998</v>
      </c>
      <c r="E32" s="60">
        <f t="shared" si="7"/>
        <v>15.420828493999226</v>
      </c>
      <c r="F32" s="62">
        <f t="shared" si="8"/>
        <v>3.2</v>
      </c>
      <c r="G32" s="60">
        <f t="shared" si="9"/>
        <v>15.420828493999226</v>
      </c>
      <c r="H32" s="62">
        <f t="shared" si="3"/>
        <v>15.420828493999226</v>
      </c>
      <c r="I32" s="63">
        <f t="shared" si="10"/>
        <v>3.1426027778206934E-5</v>
      </c>
      <c r="J32" s="63">
        <f t="shared" si="15"/>
        <v>7.7990203083720851E-4</v>
      </c>
      <c r="K32" s="173">
        <f t="shared" si="11"/>
        <v>0.77990203083720855</v>
      </c>
      <c r="L32" s="140">
        <f t="shared" si="12"/>
        <v>1</v>
      </c>
      <c r="M32" s="61">
        <f t="shared" si="4"/>
        <v>3.8552071234998064</v>
      </c>
      <c r="N32" s="61">
        <f t="shared" si="16"/>
        <v>9.6289349112426044E-3</v>
      </c>
      <c r="O32" s="61">
        <f t="shared" si="14"/>
        <v>306.39999999999998</v>
      </c>
      <c r="P32" s="61">
        <f t="shared" si="5"/>
        <v>87.424615384615379</v>
      </c>
      <c r="Q32" s="61">
        <f t="shared" si="6"/>
        <v>39.738461538461536</v>
      </c>
    </row>
    <row r="33" spans="1:17" x14ac:dyDescent="0.35">
      <c r="A33" s="61">
        <f t="shared" si="0"/>
        <v>25.2</v>
      </c>
      <c r="B33" s="64">
        <f t="shared" si="1"/>
        <v>5.5730769230769228</v>
      </c>
      <c r="C33" s="62">
        <f t="shared" si="2"/>
        <v>0</v>
      </c>
      <c r="D33" s="67">
        <f>B2</f>
        <v>306.39999999999998</v>
      </c>
      <c r="E33" s="60">
        <f t="shared" si="7"/>
        <v>15.611209092690572</v>
      </c>
      <c r="F33" s="62">
        <f t="shared" si="8"/>
        <v>3.2</v>
      </c>
      <c r="G33" s="60">
        <f t="shared" si="9"/>
        <v>15.611209092690572</v>
      </c>
      <c r="H33" s="62">
        <f t="shared" si="3"/>
        <v>15.611209092690572</v>
      </c>
      <c r="I33" s="63">
        <f t="shared" si="10"/>
        <v>3.1042783537009294E-5</v>
      </c>
      <c r="J33" s="63">
        <f t="shared" si="15"/>
        <v>8.1094481437421777E-4</v>
      </c>
      <c r="K33" s="173">
        <f t="shared" si="11"/>
        <v>0.81094481437421773</v>
      </c>
      <c r="L33" s="140">
        <f t="shared" si="12"/>
        <v>1</v>
      </c>
      <c r="M33" s="61">
        <f t="shared" si="4"/>
        <v>3.9028022731726435</v>
      </c>
      <c r="N33" s="61">
        <f t="shared" si="16"/>
        <v>9.5115088757396476E-3</v>
      </c>
      <c r="O33" s="61">
        <f t="shared" si="14"/>
        <v>306.39999999999998</v>
      </c>
      <c r="P33" s="61">
        <f t="shared" si="5"/>
        <v>86.35846153846154</v>
      </c>
      <c r="Q33" s="61">
        <f t="shared" si="6"/>
        <v>39.253846153846155</v>
      </c>
    </row>
    <row r="34" spans="1:17" x14ac:dyDescent="0.35">
      <c r="A34" s="61">
        <f t="shared" si="0"/>
        <v>25.2</v>
      </c>
      <c r="B34" s="64">
        <f t="shared" si="1"/>
        <v>5.8153846153846152</v>
      </c>
      <c r="C34" s="62">
        <f t="shared" si="2"/>
        <v>0</v>
      </c>
      <c r="D34" s="67">
        <f>B2</f>
        <v>306.39999999999998</v>
      </c>
      <c r="E34" s="60">
        <f t="shared" si="7"/>
        <v>15.806349206349207</v>
      </c>
      <c r="F34" s="62">
        <f t="shared" si="8"/>
        <v>3.2</v>
      </c>
      <c r="G34" s="60">
        <f t="shared" si="9"/>
        <v>15.806349206349207</v>
      </c>
      <c r="H34" s="62">
        <f t="shared" si="3"/>
        <v>15.806349206349207</v>
      </c>
      <c r="I34" s="63">
        <f t="shared" si="10"/>
        <v>3.0659539295811641E-5</v>
      </c>
      <c r="J34" s="63">
        <f t="shared" si="15"/>
        <v>8.4160435367002938E-4</v>
      </c>
      <c r="K34" s="173">
        <f t="shared" si="11"/>
        <v>0.84160435367002939</v>
      </c>
      <c r="L34" s="140">
        <f t="shared" si="12"/>
        <v>1</v>
      </c>
      <c r="M34" s="61">
        <f t="shared" si="4"/>
        <v>3.9515873015873013</v>
      </c>
      <c r="N34" s="61">
        <f t="shared" si="16"/>
        <v>9.3940828402366873E-3</v>
      </c>
      <c r="O34" s="61">
        <f t="shared" si="14"/>
        <v>306.39999999999998</v>
      </c>
      <c r="P34" s="61">
        <f t="shared" si="5"/>
        <v>85.292307692307688</v>
      </c>
      <c r="Q34" s="61">
        <f t="shared" si="6"/>
        <v>38.769230769230766</v>
      </c>
    </row>
    <row r="35" spans="1:17" x14ac:dyDescent="0.35">
      <c r="A35" s="61">
        <f t="shared" si="0"/>
        <v>25.2</v>
      </c>
      <c r="B35" s="64">
        <f t="shared" si="1"/>
        <v>6.0576923076923075</v>
      </c>
      <c r="C35" s="62">
        <f t="shared" si="2"/>
        <v>0</v>
      </c>
      <c r="D35" s="67">
        <f>B2</f>
        <v>306.39999999999998</v>
      </c>
      <c r="E35" s="60">
        <f t="shared" si="7"/>
        <v>16.006429576049829</v>
      </c>
      <c r="F35" s="62">
        <f t="shared" si="8"/>
        <v>3.2</v>
      </c>
      <c r="G35" s="60">
        <f t="shared" si="9"/>
        <v>16.006429576049829</v>
      </c>
      <c r="H35" s="62">
        <f t="shared" si="3"/>
        <v>16.006429576049829</v>
      </c>
      <c r="I35" s="63">
        <f t="shared" si="10"/>
        <v>3.0276295054613997E-5</v>
      </c>
      <c r="J35" s="63">
        <f t="shared" si="15"/>
        <v>8.7188064872464335E-4</v>
      </c>
      <c r="K35" s="173">
        <f t="shared" si="11"/>
        <v>0.87188064872464333</v>
      </c>
      <c r="L35" s="140">
        <f t="shared" si="12"/>
        <v>1</v>
      </c>
      <c r="M35" s="61">
        <f t="shared" si="4"/>
        <v>4.0016073940124572</v>
      </c>
      <c r="N35" s="61">
        <f t="shared" si="16"/>
        <v>9.2766568047337288E-3</v>
      </c>
      <c r="O35" s="61">
        <f t="shared" si="14"/>
        <v>306.39999999999998</v>
      </c>
      <c r="P35" s="61">
        <f t="shared" si="5"/>
        <v>84.226153846153849</v>
      </c>
      <c r="Q35" s="61">
        <f t="shared" si="6"/>
        <v>38.284615384615385</v>
      </c>
    </row>
    <row r="36" spans="1:17" x14ac:dyDescent="0.35">
      <c r="A36" s="61">
        <f t="shared" si="0"/>
        <v>25.2</v>
      </c>
      <c r="B36" s="64">
        <f t="shared" si="1"/>
        <v>6.3</v>
      </c>
      <c r="C36" s="62">
        <f t="shared" si="2"/>
        <v>0</v>
      </c>
      <c r="D36" s="67">
        <f>B2</f>
        <v>306.39999999999998</v>
      </c>
      <c r="E36" s="60">
        <f t="shared" si="7"/>
        <v>16.211640211640212</v>
      </c>
      <c r="F36" s="62">
        <f t="shared" si="8"/>
        <v>3.2</v>
      </c>
      <c r="G36" s="60">
        <f t="shared" si="9"/>
        <v>16.211640211640212</v>
      </c>
      <c r="H36" s="62">
        <f t="shared" si="3"/>
        <v>16.211640211640212</v>
      </c>
      <c r="I36" s="63">
        <f t="shared" si="10"/>
        <v>2.9893050813416351E-5</v>
      </c>
      <c r="J36" s="63">
        <f t="shared" si="15"/>
        <v>9.0177369953805967E-4</v>
      </c>
      <c r="K36" s="173">
        <f t="shared" si="11"/>
        <v>0.90177369953805964</v>
      </c>
      <c r="L36" s="140">
        <f t="shared" si="12"/>
        <v>1</v>
      </c>
      <c r="M36" s="61">
        <f t="shared" si="4"/>
        <v>4.052910052910053</v>
      </c>
      <c r="N36" s="61">
        <f t="shared" si="16"/>
        <v>9.1592307692307702E-3</v>
      </c>
      <c r="O36" s="61">
        <f t="shared" si="14"/>
        <v>306.39999999999998</v>
      </c>
      <c r="P36" s="61">
        <f t="shared" si="5"/>
        <v>83.16</v>
      </c>
      <c r="Q36" s="61">
        <f t="shared" si="6"/>
        <v>37.799999999999997</v>
      </c>
    </row>
    <row r="37" spans="1:17" x14ac:dyDescent="0.35">
      <c r="A37" s="61">
        <f t="shared" si="0"/>
        <v>25.2</v>
      </c>
      <c r="B37" s="64">
        <f t="shared" si="1"/>
        <v>6.542307692307693</v>
      </c>
      <c r="C37" s="62">
        <f t="shared" si="2"/>
        <v>0</v>
      </c>
      <c r="D37" s="67">
        <f>B2</f>
        <v>306.39999999999998</v>
      </c>
      <c r="E37" s="60">
        <f t="shared" si="7"/>
        <v>16.422180993609565</v>
      </c>
      <c r="F37" s="62">
        <f t="shared" si="8"/>
        <v>3.2</v>
      </c>
      <c r="G37" s="60">
        <f t="shared" si="9"/>
        <v>16.422180993609565</v>
      </c>
      <c r="H37" s="62">
        <f t="shared" si="3"/>
        <v>16.422180993609565</v>
      </c>
      <c r="I37" s="63">
        <f t="shared" si="10"/>
        <v>2.9509806572218813E-5</v>
      </c>
      <c r="J37" s="63">
        <f t="shared" si="15"/>
        <v>9.3128350611027845E-4</v>
      </c>
      <c r="K37" s="173">
        <f t="shared" si="11"/>
        <v>0.93128350611027844</v>
      </c>
      <c r="L37" s="140">
        <f t="shared" si="12"/>
        <v>1</v>
      </c>
      <c r="M37" s="61">
        <f t="shared" si="4"/>
        <v>4.1055452484023913</v>
      </c>
      <c r="N37" s="61">
        <f t="shared" si="16"/>
        <v>9.0418047337278446E-3</v>
      </c>
      <c r="O37" s="61">
        <f t="shared" si="14"/>
        <v>306.40000000000003</v>
      </c>
      <c r="P37" s="61">
        <f t="shared" si="5"/>
        <v>82.093846153846158</v>
      </c>
      <c r="Q37" s="61">
        <f t="shared" si="6"/>
        <v>37.315384615384616</v>
      </c>
    </row>
    <row r="38" spans="1:17" x14ac:dyDescent="0.35">
      <c r="A38" s="61">
        <f t="shared" si="0"/>
        <v>25.2</v>
      </c>
      <c r="B38" s="64">
        <f t="shared" si="1"/>
        <v>6.7846153846153845</v>
      </c>
      <c r="C38" s="62">
        <f t="shared" si="2"/>
        <v>0</v>
      </c>
      <c r="D38" s="67">
        <f>B2</f>
        <v>306.39999999999998</v>
      </c>
      <c r="E38" s="60">
        <f t="shared" si="7"/>
        <v>16.638262322472848</v>
      </c>
      <c r="F38" s="62">
        <f t="shared" si="8"/>
        <v>3.2</v>
      </c>
      <c r="G38" s="60">
        <f t="shared" si="9"/>
        <v>16.638262322472848</v>
      </c>
      <c r="H38" s="62">
        <f t="shared" si="3"/>
        <v>16.638262322472848</v>
      </c>
      <c r="I38" s="63">
        <f t="shared" si="10"/>
        <v>2.912656233102096E-5</v>
      </c>
      <c r="J38" s="63">
        <f t="shared" si="15"/>
        <v>9.6041006844129937E-4</v>
      </c>
      <c r="K38" s="173">
        <f t="shared" si="11"/>
        <v>0.96041006844129939</v>
      </c>
      <c r="L38" s="140">
        <f t="shared" si="12"/>
        <v>1</v>
      </c>
      <c r="M38" s="61">
        <f t="shared" si="4"/>
        <v>4.1595655806182119</v>
      </c>
      <c r="N38" s="61">
        <f t="shared" si="16"/>
        <v>8.9243786982248201E-3</v>
      </c>
      <c r="O38" s="61">
        <f t="shared" si="14"/>
        <v>306.39999999999998</v>
      </c>
      <c r="P38" s="61">
        <f t="shared" si="5"/>
        <v>81.027692307692305</v>
      </c>
      <c r="Q38" s="61">
        <f t="shared" si="6"/>
        <v>36.830769230769228</v>
      </c>
    </row>
    <row r="39" spans="1:17" x14ac:dyDescent="0.35">
      <c r="A39" s="61">
        <f t="shared" si="0"/>
        <v>25.2</v>
      </c>
      <c r="B39" s="64">
        <f t="shared" si="1"/>
        <v>7.0269230769230768</v>
      </c>
      <c r="C39" s="62">
        <f t="shared" si="2"/>
        <v>0</v>
      </c>
      <c r="D39" s="67">
        <f>B2</f>
        <v>306.39999999999998</v>
      </c>
      <c r="E39" s="60">
        <f t="shared" si="7"/>
        <v>16.860105820105819</v>
      </c>
      <c r="F39" s="62">
        <f t="shared" si="8"/>
        <v>3.2</v>
      </c>
      <c r="G39" s="60">
        <f t="shared" si="9"/>
        <v>16.860105820105819</v>
      </c>
      <c r="H39" s="62">
        <f t="shared" si="3"/>
        <v>16.860105820105819</v>
      </c>
      <c r="I39" s="63">
        <f t="shared" si="10"/>
        <v>2.8743318089823418E-5</v>
      </c>
      <c r="J39" s="63">
        <f t="shared" si="15"/>
        <v>9.8915338653112286E-4</v>
      </c>
      <c r="K39" s="173">
        <f t="shared" si="11"/>
        <v>0.98915338653112284</v>
      </c>
      <c r="L39" s="140">
        <f t="shared" si="12"/>
        <v>1</v>
      </c>
      <c r="M39" s="61">
        <f t="shared" si="4"/>
        <v>4.2150264550264547</v>
      </c>
      <c r="N39" s="61">
        <f t="shared" si="16"/>
        <v>8.8069526627218946E-3</v>
      </c>
      <c r="O39" s="61">
        <f t="shared" si="14"/>
        <v>306.39999999999998</v>
      </c>
      <c r="P39" s="61">
        <f t="shared" si="5"/>
        <v>79.961538461538467</v>
      </c>
      <c r="Q39" s="61">
        <f t="shared" si="6"/>
        <v>36.346153846153847</v>
      </c>
    </row>
    <row r="40" spans="1:17" x14ac:dyDescent="0.35">
      <c r="A40" s="61">
        <f t="shared" si="0"/>
        <v>25.2</v>
      </c>
      <c r="B40" s="64">
        <f t="shared" si="1"/>
        <v>7.2692307692307683</v>
      </c>
      <c r="C40" s="62">
        <f t="shared" si="2"/>
        <v>0</v>
      </c>
      <c r="D40" s="67">
        <f>B2</f>
        <v>306.39999999999998</v>
      </c>
      <c r="E40" s="60">
        <f t="shared" si="7"/>
        <v>17.087945087945087</v>
      </c>
      <c r="F40" s="62">
        <f t="shared" si="8"/>
        <v>3.2</v>
      </c>
      <c r="G40" s="60">
        <f t="shared" si="9"/>
        <v>17.087945087945087</v>
      </c>
      <c r="H40" s="62">
        <f t="shared" si="3"/>
        <v>17.087945087945087</v>
      </c>
      <c r="I40" s="63">
        <f t="shared" si="10"/>
        <v>2.836007384862567E-5</v>
      </c>
      <c r="J40" s="63">
        <f t="shared" si="15"/>
        <v>1.0175134603797485E-3</v>
      </c>
      <c r="K40" s="173">
        <f t="shared" si="11"/>
        <v>1.0175134603797484</v>
      </c>
      <c r="L40" s="140">
        <f t="shared" si="12"/>
        <v>1</v>
      </c>
      <c r="M40" s="61">
        <f t="shared" si="4"/>
        <v>4.2719862719862718</v>
      </c>
      <c r="N40" s="61">
        <f t="shared" si="16"/>
        <v>8.6895266272189031E-3</v>
      </c>
      <c r="O40" s="61">
        <f t="shared" si="14"/>
        <v>306.39999999999998</v>
      </c>
      <c r="P40" s="61">
        <f t="shared" si="5"/>
        <v>78.895384615384614</v>
      </c>
      <c r="Q40" s="61">
        <f t="shared" si="6"/>
        <v>35.861538461538458</v>
      </c>
    </row>
    <row r="41" spans="1:17" x14ac:dyDescent="0.35">
      <c r="A41" s="61">
        <f t="shared" si="0"/>
        <v>25.2</v>
      </c>
      <c r="B41" s="64">
        <f t="shared" si="1"/>
        <v>7.5115384615384615</v>
      </c>
      <c r="C41" s="62">
        <f t="shared" si="2"/>
        <v>0</v>
      </c>
      <c r="D41" s="67">
        <f>B2</f>
        <v>306.39999999999998</v>
      </c>
      <c r="E41" s="60">
        <f t="shared" si="7"/>
        <v>17.322026527505979</v>
      </c>
      <c r="F41" s="62">
        <f t="shared" si="8"/>
        <v>3.2</v>
      </c>
      <c r="G41" s="60">
        <f t="shared" si="9"/>
        <v>17.322026527505979</v>
      </c>
      <c r="H41" s="62">
        <f t="shared" si="3"/>
        <v>17.322026527505979</v>
      </c>
      <c r="I41" s="63">
        <f t="shared" si="10"/>
        <v>2.7976829607428227E-5</v>
      </c>
      <c r="J41" s="63">
        <f t="shared" si="15"/>
        <v>1.0454902899871767E-3</v>
      </c>
      <c r="K41" s="173">
        <f t="shared" si="11"/>
        <v>1.0454902899871767</v>
      </c>
      <c r="L41" s="140">
        <f t="shared" si="12"/>
        <v>1</v>
      </c>
      <c r="M41" s="61">
        <f t="shared" si="4"/>
        <v>4.3305066318764949</v>
      </c>
      <c r="N41" s="61">
        <f t="shared" si="16"/>
        <v>8.5721005917160087E-3</v>
      </c>
      <c r="O41" s="61">
        <f t="shared" si="14"/>
        <v>306.39999999999998</v>
      </c>
      <c r="P41" s="61">
        <f t="shared" si="5"/>
        <v>77.829230769230776</v>
      </c>
      <c r="Q41" s="61">
        <f t="shared" si="6"/>
        <v>35.376923076923077</v>
      </c>
    </row>
    <row r="42" spans="1:17" x14ac:dyDescent="0.35">
      <c r="A42" s="61">
        <f t="shared" ref="A42:A73" si="17">VINMAX</f>
        <v>25.2</v>
      </c>
      <c r="B42" s="64">
        <f t="shared" ref="B42:B73" si="18">VINMAX*((ROW()-10)/104)</f>
        <v>7.7538461538461538</v>
      </c>
      <c r="C42" s="62">
        <f t="shared" ref="C42:C73" si="19">IF(B42&gt;=$H$2,IF($D$2="CC", $G$2, B42/$G$2), 0)</f>
        <v>0</v>
      </c>
      <c r="D42" s="67">
        <f>B2</f>
        <v>306.39999999999998</v>
      </c>
      <c r="E42" s="60">
        <f t="shared" si="7"/>
        <v>17.562610229276896</v>
      </c>
      <c r="F42" s="62">
        <f t="shared" ref="F42:F73" si="20">I_Cout_ss+C42</f>
        <v>3.2</v>
      </c>
      <c r="G42" s="60">
        <f t="shared" si="9"/>
        <v>17.562610229276896</v>
      </c>
      <c r="H42" s="62">
        <f t="shared" ref="H42:H73" si="21">G42-C42</f>
        <v>17.562610229276896</v>
      </c>
      <c r="I42" s="63">
        <f t="shared" si="10"/>
        <v>2.7593585366230479E-5</v>
      </c>
      <c r="J42" s="63">
        <f t="shared" si="15"/>
        <v>1.0730838753534072E-3</v>
      </c>
      <c r="K42" s="173">
        <f t="shared" si="11"/>
        <v>1.0730838753534073</v>
      </c>
      <c r="L42" s="140">
        <f t="shared" si="12"/>
        <v>1</v>
      </c>
      <c r="M42" s="61">
        <f t="shared" ref="M42:M73" si="22">1/COUTMAX*(E42/2-C42)*1000</f>
        <v>4.3906525573192239</v>
      </c>
      <c r="N42" s="61">
        <f t="shared" si="16"/>
        <v>8.4546745562130172E-3</v>
      </c>
      <c r="O42" s="61">
        <f t="shared" si="14"/>
        <v>306.39999999999998</v>
      </c>
      <c r="P42" s="61">
        <f t="shared" ref="P42:P73" si="23">(A42-B42)*(I_Cout_ss*$Q$2+C42)</f>
        <v>76.763076923076923</v>
      </c>
      <c r="Q42" s="61">
        <f t="shared" ref="Q42:Q73" si="24">(A42-B42)*(I_Cout_ss*$R$2+C42)</f>
        <v>34.892307692307689</v>
      </c>
    </row>
    <row r="43" spans="1:17" x14ac:dyDescent="0.35">
      <c r="A43" s="61">
        <f t="shared" si="17"/>
        <v>25.2</v>
      </c>
      <c r="B43" s="64">
        <f t="shared" si="18"/>
        <v>7.9961538461538453</v>
      </c>
      <c r="C43" s="62">
        <f t="shared" si="19"/>
        <v>0</v>
      </c>
      <c r="D43" s="67">
        <f>B2</f>
        <v>306.39999999999998</v>
      </c>
      <c r="E43" s="60">
        <f t="shared" si="7"/>
        <v>17.809970936731499</v>
      </c>
      <c r="F43" s="62">
        <f t="shared" si="20"/>
        <v>3.2</v>
      </c>
      <c r="G43" s="60">
        <f t="shared" si="9"/>
        <v>17.809970936731499</v>
      </c>
      <c r="H43" s="62">
        <f t="shared" si="21"/>
        <v>17.809970936731499</v>
      </c>
      <c r="I43" s="63">
        <f t="shared" ref="I43:I74" si="25">(COUTMAX/1000000)*(B43-B42)/H43</f>
        <v>2.7210341125032737E-5</v>
      </c>
      <c r="J43" s="63">
        <f t="shared" si="15"/>
        <v>1.1002942164784399E-3</v>
      </c>
      <c r="K43" s="173">
        <f t="shared" si="11"/>
        <v>1.1002942164784399</v>
      </c>
      <c r="L43" s="140">
        <f t="shared" si="12"/>
        <v>1</v>
      </c>
      <c r="M43" s="61">
        <f t="shared" si="22"/>
        <v>4.4524927341828748</v>
      </c>
      <c r="N43" s="61">
        <f t="shared" si="16"/>
        <v>8.3372485207100309E-3</v>
      </c>
      <c r="O43" s="61">
        <f t="shared" si="14"/>
        <v>306.39999999999998</v>
      </c>
      <c r="P43" s="61">
        <f t="shared" si="23"/>
        <v>75.696923076923085</v>
      </c>
      <c r="Q43" s="61">
        <f t="shared" si="24"/>
        <v>34.407692307692308</v>
      </c>
    </row>
    <row r="44" spans="1:17" x14ac:dyDescent="0.35">
      <c r="A44" s="61">
        <f t="shared" si="17"/>
        <v>25.2</v>
      </c>
      <c r="B44" s="64">
        <f t="shared" si="18"/>
        <v>8.2384615384615376</v>
      </c>
      <c r="C44" s="62">
        <f t="shared" si="19"/>
        <v>0</v>
      </c>
      <c r="D44" s="67">
        <f>B2</f>
        <v>306.39999999999998</v>
      </c>
      <c r="E44" s="60">
        <f t="shared" si="7"/>
        <v>18.064399092970522</v>
      </c>
      <c r="F44" s="62">
        <f t="shared" si="20"/>
        <v>3.2</v>
      </c>
      <c r="G44" s="60">
        <f t="shared" si="9"/>
        <v>18.064399092970522</v>
      </c>
      <c r="H44" s="62">
        <f t="shared" si="21"/>
        <v>18.064399092970522</v>
      </c>
      <c r="I44" s="63">
        <f t="shared" si="25"/>
        <v>2.6827096883835185E-5</v>
      </c>
      <c r="J44" s="63">
        <f t="shared" si="15"/>
        <v>1.1271213133622752E-3</v>
      </c>
      <c r="K44" s="173">
        <f t="shared" si="11"/>
        <v>1.1271213133622753</v>
      </c>
      <c r="L44" s="140">
        <f t="shared" si="12"/>
        <v>1</v>
      </c>
      <c r="M44" s="61">
        <f t="shared" si="22"/>
        <v>4.5160997732426305</v>
      </c>
      <c r="N44" s="61">
        <f t="shared" si="16"/>
        <v>8.2198224852071001E-3</v>
      </c>
      <c r="O44" s="61">
        <f t="shared" si="14"/>
        <v>306.39999999999998</v>
      </c>
      <c r="P44" s="61">
        <f t="shared" si="23"/>
        <v>74.630769230769232</v>
      </c>
      <c r="Q44" s="61">
        <f t="shared" si="24"/>
        <v>33.92307692307692</v>
      </c>
    </row>
    <row r="45" spans="1:17" x14ac:dyDescent="0.35">
      <c r="A45" s="61">
        <f t="shared" si="17"/>
        <v>25.2</v>
      </c>
      <c r="B45" s="64">
        <f t="shared" si="18"/>
        <v>8.4807692307692317</v>
      </c>
      <c r="C45" s="62">
        <f t="shared" si="19"/>
        <v>0</v>
      </c>
      <c r="D45" s="67">
        <f>B2</f>
        <v>306.39999999999998</v>
      </c>
      <c r="E45" s="60">
        <f t="shared" si="7"/>
        <v>18.326201978375892</v>
      </c>
      <c r="F45" s="62">
        <f t="shared" si="20"/>
        <v>3.2</v>
      </c>
      <c r="G45" s="60">
        <f t="shared" si="9"/>
        <v>18.326201978375892</v>
      </c>
      <c r="H45" s="62">
        <f t="shared" si="21"/>
        <v>18.326201978375892</v>
      </c>
      <c r="I45" s="63">
        <f t="shared" si="25"/>
        <v>2.6443852642637735E-5</v>
      </c>
      <c r="J45" s="63">
        <f t="shared" si="15"/>
        <v>1.153565166004913E-3</v>
      </c>
      <c r="K45" s="173">
        <f t="shared" si="11"/>
        <v>1.1535651660049131</v>
      </c>
      <c r="L45" s="140">
        <f t="shared" si="12"/>
        <v>1</v>
      </c>
      <c r="M45" s="61">
        <f t="shared" si="22"/>
        <v>4.5815504945939729</v>
      </c>
      <c r="N45" s="61">
        <f t="shared" si="16"/>
        <v>8.1023964497042023E-3</v>
      </c>
      <c r="O45" s="61">
        <f t="shared" si="14"/>
        <v>306.39999999999998</v>
      </c>
      <c r="P45" s="61">
        <f t="shared" si="23"/>
        <v>73.564615384615394</v>
      </c>
      <c r="Q45" s="61">
        <f t="shared" si="24"/>
        <v>33.438461538461539</v>
      </c>
    </row>
    <row r="46" spans="1:17" x14ac:dyDescent="0.35">
      <c r="A46" s="61">
        <f t="shared" si="17"/>
        <v>25.2</v>
      </c>
      <c r="B46" s="64">
        <f t="shared" si="18"/>
        <v>8.7230769230769223</v>
      </c>
      <c r="C46" s="62">
        <f t="shared" si="19"/>
        <v>0</v>
      </c>
      <c r="D46" s="67">
        <f>B2</f>
        <v>306.39999999999998</v>
      </c>
      <c r="E46" s="60">
        <f t="shared" si="7"/>
        <v>18.595704948646123</v>
      </c>
      <c r="F46" s="62">
        <f t="shared" si="20"/>
        <v>3.2</v>
      </c>
      <c r="G46" s="60">
        <f t="shared" si="9"/>
        <v>18.595704948646123</v>
      </c>
      <c r="H46" s="62">
        <f t="shared" si="21"/>
        <v>18.595704948646123</v>
      </c>
      <c r="I46" s="63">
        <f t="shared" si="25"/>
        <v>2.6060608401439709E-5</v>
      </c>
      <c r="J46" s="63">
        <f t="shared" si="15"/>
        <v>1.1796257744063527E-3</v>
      </c>
      <c r="K46" s="173">
        <f t="shared" si="11"/>
        <v>1.1796257744063527</v>
      </c>
      <c r="L46" s="140">
        <f t="shared" si="12"/>
        <v>1</v>
      </c>
      <c r="M46" s="61">
        <f t="shared" si="22"/>
        <v>4.6489262371615308</v>
      </c>
      <c r="N46" s="61">
        <f t="shared" si="16"/>
        <v>7.9849704142011275E-3</v>
      </c>
      <c r="O46" s="61">
        <f t="shared" si="14"/>
        <v>306.39999999999998</v>
      </c>
      <c r="P46" s="61">
        <f t="shared" si="23"/>
        <v>72.498461538461555</v>
      </c>
      <c r="Q46" s="61">
        <f t="shared" si="24"/>
        <v>32.953846153846158</v>
      </c>
    </row>
    <row r="47" spans="1:17" x14ac:dyDescent="0.35">
      <c r="A47" s="61">
        <f t="shared" si="17"/>
        <v>25.2</v>
      </c>
      <c r="B47" s="64">
        <f t="shared" si="18"/>
        <v>8.9653846153846146</v>
      </c>
      <c r="C47" s="62">
        <f t="shared" si="19"/>
        <v>0</v>
      </c>
      <c r="D47" s="67">
        <f>B2</f>
        <v>306.39999999999998</v>
      </c>
      <c r="E47" s="60">
        <f t="shared" si="7"/>
        <v>18.873252783700543</v>
      </c>
      <c r="F47" s="62">
        <f t="shared" si="20"/>
        <v>3.2</v>
      </c>
      <c r="G47" s="60">
        <f t="shared" si="9"/>
        <v>18.873252783700543</v>
      </c>
      <c r="H47" s="62">
        <f t="shared" si="21"/>
        <v>18.873252783700543</v>
      </c>
      <c r="I47" s="63">
        <f t="shared" si="25"/>
        <v>2.5677364160242253E-5</v>
      </c>
      <c r="J47" s="63">
        <f t="shared" si="15"/>
        <v>1.2053031385665951E-3</v>
      </c>
      <c r="K47" s="173">
        <f t="shared" si="11"/>
        <v>1.2053031385665951</v>
      </c>
      <c r="L47" s="140">
        <f t="shared" si="12"/>
        <v>1</v>
      </c>
      <c r="M47" s="61">
        <f t="shared" si="22"/>
        <v>4.7183131959251368</v>
      </c>
      <c r="N47" s="61">
        <f t="shared" si="16"/>
        <v>7.8675443786982262E-3</v>
      </c>
      <c r="O47" s="61">
        <f t="shared" si="14"/>
        <v>306.39999999999998</v>
      </c>
      <c r="P47" s="61">
        <f t="shared" si="23"/>
        <v>71.432307692307702</v>
      </c>
      <c r="Q47" s="61">
        <f t="shared" si="24"/>
        <v>32.469230769230769</v>
      </c>
    </row>
    <row r="48" spans="1:17" x14ac:dyDescent="0.35">
      <c r="A48" s="61">
        <f t="shared" si="17"/>
        <v>25.2</v>
      </c>
      <c r="B48" s="64">
        <f t="shared" si="18"/>
        <v>9.207692307692307</v>
      </c>
      <c r="C48" s="62">
        <f t="shared" si="19"/>
        <v>0</v>
      </c>
      <c r="D48" s="67">
        <f>B2</f>
        <v>306.39999999999998</v>
      </c>
      <c r="E48" s="60">
        <f t="shared" si="7"/>
        <v>19.159211159211157</v>
      </c>
      <c r="F48" s="62">
        <f t="shared" si="20"/>
        <v>3.2</v>
      </c>
      <c r="G48" s="60">
        <f t="shared" si="9"/>
        <v>19.159211159211157</v>
      </c>
      <c r="H48" s="62">
        <f t="shared" si="21"/>
        <v>19.159211159211157</v>
      </c>
      <c r="I48" s="63">
        <f t="shared" si="25"/>
        <v>2.5294119919044606E-5</v>
      </c>
      <c r="J48" s="63">
        <f t="shared" si="15"/>
        <v>1.2305972584856397E-3</v>
      </c>
      <c r="K48" s="173">
        <f t="shared" si="11"/>
        <v>1.2305972584856397</v>
      </c>
      <c r="L48" s="140">
        <f t="shared" si="12"/>
        <v>1</v>
      </c>
      <c r="M48" s="61">
        <f t="shared" si="22"/>
        <v>4.7898027898027893</v>
      </c>
      <c r="N48" s="61">
        <f t="shared" si="16"/>
        <v>7.7501183431952659E-3</v>
      </c>
      <c r="O48" s="61">
        <f t="shared" si="14"/>
        <v>306.39999999999998</v>
      </c>
      <c r="P48" s="61">
        <f t="shared" si="23"/>
        <v>70.36615384615385</v>
      </c>
      <c r="Q48" s="61">
        <f t="shared" si="24"/>
        <v>31.984615384615385</v>
      </c>
    </row>
    <row r="49" spans="1:17" x14ac:dyDescent="0.35">
      <c r="A49" s="61">
        <f t="shared" si="17"/>
        <v>25.2</v>
      </c>
      <c r="B49" s="64">
        <f t="shared" si="18"/>
        <v>9.4499999999999993</v>
      </c>
      <c r="C49" s="62">
        <f t="shared" si="19"/>
        <v>0</v>
      </c>
      <c r="D49" s="67">
        <f>B2</f>
        <v>306.39999999999998</v>
      </c>
      <c r="E49" s="60">
        <f t="shared" si="7"/>
        <v>19.453968253968252</v>
      </c>
      <c r="F49" s="62">
        <f t="shared" si="20"/>
        <v>3.2</v>
      </c>
      <c r="G49" s="60">
        <f t="shared" si="9"/>
        <v>19.453968253968252</v>
      </c>
      <c r="H49" s="62">
        <f t="shared" si="21"/>
        <v>19.453968253968252</v>
      </c>
      <c r="I49" s="63">
        <f t="shared" si="25"/>
        <v>2.4910875677846963E-5</v>
      </c>
      <c r="J49" s="63">
        <f t="shared" si="15"/>
        <v>1.2555081341634868E-3</v>
      </c>
      <c r="K49" s="173">
        <f t="shared" si="11"/>
        <v>1.2555081341634868</v>
      </c>
      <c r="L49" s="140">
        <f t="shared" si="12"/>
        <v>1</v>
      </c>
      <c r="M49" s="61">
        <f t="shared" si="22"/>
        <v>4.8634920634920631</v>
      </c>
      <c r="N49" s="61">
        <f t="shared" si="16"/>
        <v>7.6326923076923091E-3</v>
      </c>
      <c r="O49" s="61">
        <f t="shared" si="14"/>
        <v>306.39999999999998</v>
      </c>
      <c r="P49" s="61">
        <f t="shared" si="23"/>
        <v>69.300000000000011</v>
      </c>
      <c r="Q49" s="61">
        <f t="shared" si="24"/>
        <v>31.5</v>
      </c>
    </row>
    <row r="50" spans="1:17" x14ac:dyDescent="0.35">
      <c r="A50" s="61">
        <f t="shared" si="17"/>
        <v>25.2</v>
      </c>
      <c r="B50" s="64">
        <f t="shared" si="18"/>
        <v>9.6923076923076934</v>
      </c>
      <c r="C50" s="62">
        <f t="shared" si="19"/>
        <v>0</v>
      </c>
      <c r="D50" s="67">
        <f>B2</f>
        <v>306.39999999999998</v>
      </c>
      <c r="E50" s="60">
        <f t="shared" si="7"/>
        <v>19.75793650793651</v>
      </c>
      <c r="F50" s="62">
        <f t="shared" si="20"/>
        <v>3.2</v>
      </c>
      <c r="G50" s="60">
        <f t="shared" si="9"/>
        <v>19.75793650793651</v>
      </c>
      <c r="H50" s="62">
        <f t="shared" si="21"/>
        <v>19.75793650793651</v>
      </c>
      <c r="I50" s="63">
        <f t="shared" si="25"/>
        <v>2.4527631436649493E-5</v>
      </c>
      <c r="J50" s="63">
        <f t="shared" si="15"/>
        <v>1.2800357656001364E-3</v>
      </c>
      <c r="K50" s="173">
        <f t="shared" si="11"/>
        <v>1.2800357656001364</v>
      </c>
      <c r="L50" s="140">
        <f t="shared" si="12"/>
        <v>1</v>
      </c>
      <c r="M50" s="61">
        <f t="shared" si="22"/>
        <v>4.9394841269841274</v>
      </c>
      <c r="N50" s="61">
        <f t="shared" si="16"/>
        <v>7.5152662721894043E-3</v>
      </c>
      <c r="O50" s="61">
        <f t="shared" si="14"/>
        <v>306.39999999999998</v>
      </c>
      <c r="P50" s="61">
        <f t="shared" si="23"/>
        <v>68.233846153846144</v>
      </c>
      <c r="Q50" s="61">
        <f t="shared" si="24"/>
        <v>31.015384615384612</v>
      </c>
    </row>
    <row r="51" spans="1:17" x14ac:dyDescent="0.35">
      <c r="A51" s="61">
        <f t="shared" si="17"/>
        <v>25.2</v>
      </c>
      <c r="B51" s="64">
        <f t="shared" si="18"/>
        <v>9.934615384615384</v>
      </c>
      <c r="C51" s="62">
        <f t="shared" si="19"/>
        <v>0</v>
      </c>
      <c r="D51" s="67">
        <f>B2</f>
        <v>306.39999999999998</v>
      </c>
      <c r="E51" s="60">
        <f t="shared" si="7"/>
        <v>20.071554547745023</v>
      </c>
      <c r="F51" s="62">
        <f t="shared" si="20"/>
        <v>3.2</v>
      </c>
      <c r="G51" s="60">
        <f t="shared" si="9"/>
        <v>20.071554547745023</v>
      </c>
      <c r="H51" s="62">
        <f t="shared" si="21"/>
        <v>20.071554547745023</v>
      </c>
      <c r="I51" s="63">
        <f t="shared" si="25"/>
        <v>2.4144387195451494E-5</v>
      </c>
      <c r="J51" s="63">
        <f t="shared" si="15"/>
        <v>1.3041801527955879E-3</v>
      </c>
      <c r="K51" s="173">
        <f t="shared" si="11"/>
        <v>1.3041801527955879</v>
      </c>
      <c r="L51" s="140">
        <f t="shared" si="12"/>
        <v>1</v>
      </c>
      <c r="M51" s="61">
        <f t="shared" si="22"/>
        <v>5.0178886369362559</v>
      </c>
      <c r="N51" s="61">
        <f t="shared" si="16"/>
        <v>7.3978402366863373E-3</v>
      </c>
      <c r="O51" s="61">
        <f t="shared" si="14"/>
        <v>306.39999999999998</v>
      </c>
      <c r="P51" s="61">
        <f t="shared" si="23"/>
        <v>67.167692307692306</v>
      </c>
      <c r="Q51" s="61">
        <f t="shared" si="24"/>
        <v>30.530769230769231</v>
      </c>
    </row>
    <row r="52" spans="1:17" x14ac:dyDescent="0.35">
      <c r="A52" s="61">
        <f t="shared" si="17"/>
        <v>25.2</v>
      </c>
      <c r="B52" s="64">
        <f t="shared" si="18"/>
        <v>10.176923076923076</v>
      </c>
      <c r="C52" s="62">
        <f t="shared" si="19"/>
        <v>0</v>
      </c>
      <c r="D52" s="67">
        <f>B2</f>
        <v>306.39999999999998</v>
      </c>
      <c r="E52" s="60">
        <f t="shared" si="7"/>
        <v>20.395289298515102</v>
      </c>
      <c r="F52" s="62">
        <f t="shared" si="20"/>
        <v>3.2</v>
      </c>
      <c r="G52" s="60">
        <f t="shared" si="9"/>
        <v>20.395289298515102</v>
      </c>
      <c r="H52" s="62">
        <f t="shared" si="21"/>
        <v>20.395289298515102</v>
      </c>
      <c r="I52" s="63">
        <f t="shared" si="25"/>
        <v>2.3761142954254027E-5</v>
      </c>
      <c r="J52" s="63">
        <f t="shared" si="15"/>
        <v>1.327941295749842E-3</v>
      </c>
      <c r="K52" s="173">
        <f t="shared" si="11"/>
        <v>1.327941295749842</v>
      </c>
      <c r="L52" s="140">
        <f t="shared" si="12"/>
        <v>1</v>
      </c>
      <c r="M52" s="61">
        <f t="shared" si="22"/>
        <v>5.0988223246287756</v>
      </c>
      <c r="N52" s="61">
        <f t="shared" si="16"/>
        <v>7.2804142011834326E-3</v>
      </c>
      <c r="O52" s="61">
        <f t="shared" si="14"/>
        <v>306.39999999999998</v>
      </c>
      <c r="P52" s="61">
        <f t="shared" si="23"/>
        <v>66.101538461538468</v>
      </c>
      <c r="Q52" s="61">
        <f t="shared" si="24"/>
        <v>30.046153846153846</v>
      </c>
    </row>
    <row r="53" spans="1:17" x14ac:dyDescent="0.35">
      <c r="A53" s="61">
        <f t="shared" si="17"/>
        <v>25.2</v>
      </c>
      <c r="B53" s="64">
        <f t="shared" si="18"/>
        <v>10.419230769230769</v>
      </c>
      <c r="C53" s="62">
        <f t="shared" si="19"/>
        <v>0</v>
      </c>
      <c r="D53" s="67">
        <f>B2</f>
        <v>306.39999999999998</v>
      </c>
      <c r="E53" s="60">
        <f t="shared" si="7"/>
        <v>20.729638303408795</v>
      </c>
      <c r="F53" s="62">
        <f t="shared" si="20"/>
        <v>3.2</v>
      </c>
      <c r="G53" s="60">
        <f t="shared" si="9"/>
        <v>20.729638303408795</v>
      </c>
      <c r="H53" s="62">
        <f t="shared" si="21"/>
        <v>20.729638303408795</v>
      </c>
      <c r="I53" s="63">
        <f t="shared" si="25"/>
        <v>2.3377898713056377E-5</v>
      </c>
      <c r="J53" s="63">
        <f t="shared" si="15"/>
        <v>1.3513191944628984E-3</v>
      </c>
      <c r="K53" s="173">
        <f t="shared" si="11"/>
        <v>1.3513191944628984</v>
      </c>
      <c r="L53" s="140">
        <f t="shared" si="12"/>
        <v>1</v>
      </c>
      <c r="M53" s="61">
        <f t="shared" si="22"/>
        <v>5.1824095758521986</v>
      </c>
      <c r="N53" s="61">
        <f t="shared" si="16"/>
        <v>7.162988165680474E-3</v>
      </c>
      <c r="O53" s="61">
        <f t="shared" si="14"/>
        <v>306.39999999999998</v>
      </c>
      <c r="P53" s="61">
        <f t="shared" si="23"/>
        <v>65.035384615384615</v>
      </c>
      <c r="Q53" s="61">
        <f t="shared" si="24"/>
        <v>29.561538461538461</v>
      </c>
    </row>
    <row r="54" spans="1:17" x14ac:dyDescent="0.35">
      <c r="A54" s="61">
        <f t="shared" si="17"/>
        <v>25.2</v>
      </c>
      <c r="B54" s="64">
        <f t="shared" si="18"/>
        <v>10.661538461538461</v>
      </c>
      <c r="C54" s="62">
        <f t="shared" si="19"/>
        <v>0</v>
      </c>
      <c r="D54" s="67">
        <f>B2</f>
        <v>306.39999999999998</v>
      </c>
      <c r="E54" s="60">
        <f t="shared" si="7"/>
        <v>21.075132275132272</v>
      </c>
      <c r="F54" s="62">
        <f t="shared" si="20"/>
        <v>3.2</v>
      </c>
      <c r="G54" s="60">
        <f t="shared" si="9"/>
        <v>21.075132275132272</v>
      </c>
      <c r="H54" s="62">
        <f t="shared" si="21"/>
        <v>21.075132275132272</v>
      </c>
      <c r="I54" s="63">
        <f t="shared" si="25"/>
        <v>2.2994654471858734E-5</v>
      </c>
      <c r="J54" s="63">
        <f t="shared" si="15"/>
        <v>1.3743138489347572E-3</v>
      </c>
      <c r="K54" s="173">
        <f t="shared" si="11"/>
        <v>1.3743138489347573</v>
      </c>
      <c r="L54" s="140">
        <f t="shared" si="12"/>
        <v>1</v>
      </c>
      <c r="M54" s="61">
        <f t="shared" si="22"/>
        <v>5.268783068783069</v>
      </c>
      <c r="N54" s="61">
        <f t="shared" si="16"/>
        <v>7.0455621301775155E-3</v>
      </c>
      <c r="O54" s="61">
        <f t="shared" si="14"/>
        <v>306.39999999999998</v>
      </c>
      <c r="P54" s="61">
        <f t="shared" si="23"/>
        <v>63.969230769230776</v>
      </c>
      <c r="Q54" s="61">
        <f t="shared" si="24"/>
        <v>29.076923076923077</v>
      </c>
    </row>
    <row r="55" spans="1:17" x14ac:dyDescent="0.35">
      <c r="A55" s="61">
        <f t="shared" si="17"/>
        <v>25.2</v>
      </c>
      <c r="B55" s="64">
        <f t="shared" si="18"/>
        <v>10.903846153846153</v>
      </c>
      <c r="C55" s="62">
        <f t="shared" si="19"/>
        <v>0</v>
      </c>
      <c r="D55" s="67">
        <f>B2</f>
        <v>306.39999999999998</v>
      </c>
      <c r="E55" s="60">
        <f t="shared" si="7"/>
        <v>21.432337906914178</v>
      </c>
      <c r="F55" s="62">
        <f t="shared" si="20"/>
        <v>3.2</v>
      </c>
      <c r="G55" s="60">
        <f t="shared" si="9"/>
        <v>21.432337906914178</v>
      </c>
      <c r="H55" s="62">
        <f t="shared" si="21"/>
        <v>21.432337906914178</v>
      </c>
      <c r="I55" s="63">
        <f t="shared" si="25"/>
        <v>2.2611410230661087E-5</v>
      </c>
      <c r="J55" s="63">
        <f t="shared" si="15"/>
        <v>1.3969252591654183E-3</v>
      </c>
      <c r="K55" s="173">
        <f t="shared" si="11"/>
        <v>1.3969252591654184</v>
      </c>
      <c r="L55" s="140">
        <f t="shared" si="12"/>
        <v>1</v>
      </c>
      <c r="M55" s="61">
        <f t="shared" si="22"/>
        <v>5.3580844767285445</v>
      </c>
      <c r="N55" s="61">
        <f t="shared" si="16"/>
        <v>6.9281360946745569E-3</v>
      </c>
      <c r="O55" s="61">
        <f t="shared" si="14"/>
        <v>306.39999999999998</v>
      </c>
      <c r="P55" s="61">
        <f t="shared" si="23"/>
        <v>62.903076923076931</v>
      </c>
      <c r="Q55" s="61">
        <f t="shared" si="24"/>
        <v>28.592307692307692</v>
      </c>
    </row>
    <row r="56" spans="1:17" x14ac:dyDescent="0.35">
      <c r="A56" s="61">
        <f t="shared" si="17"/>
        <v>25.2</v>
      </c>
      <c r="B56" s="64">
        <f t="shared" si="18"/>
        <v>11.146153846153846</v>
      </c>
      <c r="C56" s="62">
        <f t="shared" si="19"/>
        <v>0</v>
      </c>
      <c r="D56" s="67">
        <f>B2</f>
        <v>306.39999999999998</v>
      </c>
      <c r="E56" s="60">
        <f t="shared" si="7"/>
        <v>21.801860974274767</v>
      </c>
      <c r="F56" s="62">
        <f t="shared" si="20"/>
        <v>3.2</v>
      </c>
      <c r="G56" s="60">
        <f t="shared" si="9"/>
        <v>21.801860974274767</v>
      </c>
      <c r="H56" s="62">
        <f t="shared" si="21"/>
        <v>21.801860974274767</v>
      </c>
      <c r="I56" s="63">
        <f t="shared" si="25"/>
        <v>2.2228165989463441E-5</v>
      </c>
      <c r="J56" s="63">
        <f t="shared" si="15"/>
        <v>1.4191534251548818E-3</v>
      </c>
      <c r="K56" s="173">
        <f t="shared" si="11"/>
        <v>1.4191534251548819</v>
      </c>
      <c r="L56" s="140">
        <f t="shared" si="12"/>
        <v>1</v>
      </c>
      <c r="M56" s="61">
        <f t="shared" si="22"/>
        <v>5.4504652435686918</v>
      </c>
      <c r="N56" s="61">
        <f t="shared" si="16"/>
        <v>6.8107100591715984E-3</v>
      </c>
      <c r="O56" s="61">
        <f t="shared" si="14"/>
        <v>306.39999999999998</v>
      </c>
      <c r="P56" s="61">
        <f t="shared" si="23"/>
        <v>61.836923076923078</v>
      </c>
      <c r="Q56" s="61">
        <f t="shared" si="24"/>
        <v>28.107692307692307</v>
      </c>
    </row>
    <row r="57" spans="1:17" x14ac:dyDescent="0.35">
      <c r="A57" s="61">
        <f t="shared" si="17"/>
        <v>25.2</v>
      </c>
      <c r="B57" s="64">
        <f t="shared" si="18"/>
        <v>11.388461538461538</v>
      </c>
      <c r="C57" s="62">
        <f t="shared" si="19"/>
        <v>0</v>
      </c>
      <c r="D57" s="67">
        <f>B2</f>
        <v>306.39999999999998</v>
      </c>
      <c r="E57" s="60">
        <f t="shared" si="7"/>
        <v>22.184349763297131</v>
      </c>
      <c r="F57" s="62">
        <f t="shared" si="20"/>
        <v>3.2</v>
      </c>
      <c r="G57" s="60">
        <f t="shared" si="9"/>
        <v>22.184349763297131</v>
      </c>
      <c r="H57" s="62">
        <f t="shared" si="21"/>
        <v>22.184349763297131</v>
      </c>
      <c r="I57" s="63">
        <f t="shared" si="25"/>
        <v>2.1844921748265794E-5</v>
      </c>
      <c r="J57" s="63">
        <f t="shared" si="15"/>
        <v>1.4409983469031477E-3</v>
      </c>
      <c r="K57" s="173">
        <f t="shared" si="11"/>
        <v>1.4409983469031478</v>
      </c>
      <c r="L57" s="140">
        <f t="shared" si="12"/>
        <v>1</v>
      </c>
      <c r="M57" s="61">
        <f t="shared" si="22"/>
        <v>5.5460874408242828</v>
      </c>
      <c r="N57" s="61">
        <f t="shared" si="16"/>
        <v>6.693284023668639E-3</v>
      </c>
      <c r="O57" s="61">
        <f t="shared" si="14"/>
        <v>306.39999999999998</v>
      </c>
      <c r="P57" s="61">
        <f t="shared" si="23"/>
        <v>60.770769230769233</v>
      </c>
      <c r="Q57" s="61">
        <f t="shared" si="24"/>
        <v>27.623076923076923</v>
      </c>
    </row>
    <row r="58" spans="1:17" x14ac:dyDescent="0.35">
      <c r="A58" s="61">
        <f t="shared" si="17"/>
        <v>25.2</v>
      </c>
      <c r="B58" s="64">
        <f t="shared" si="18"/>
        <v>11.63076923076923</v>
      </c>
      <c r="C58" s="62">
        <f t="shared" si="19"/>
        <v>0</v>
      </c>
      <c r="D58" s="67">
        <f>B2</f>
        <v>306.39999999999998</v>
      </c>
      <c r="E58" s="60">
        <f t="shared" si="7"/>
        <v>22.580498866213151</v>
      </c>
      <c r="F58" s="62">
        <f t="shared" si="20"/>
        <v>3.2</v>
      </c>
      <c r="G58" s="60">
        <f t="shared" si="9"/>
        <v>22.580498866213151</v>
      </c>
      <c r="H58" s="62">
        <f t="shared" si="21"/>
        <v>22.580498866213151</v>
      </c>
      <c r="I58" s="63">
        <f t="shared" si="25"/>
        <v>2.1461677507068151E-5</v>
      </c>
      <c r="J58" s="63">
        <f t="shared" si="15"/>
        <v>1.4624600244102159E-3</v>
      </c>
      <c r="K58" s="173">
        <f t="shared" si="11"/>
        <v>1.4624600244102159</v>
      </c>
      <c r="L58" s="140">
        <f t="shared" si="12"/>
        <v>1</v>
      </c>
      <c r="M58" s="61">
        <f t="shared" si="22"/>
        <v>5.6451247165532878</v>
      </c>
      <c r="N58" s="61">
        <f t="shared" si="16"/>
        <v>6.5758579881656813E-3</v>
      </c>
      <c r="O58" s="61">
        <f t="shared" si="14"/>
        <v>306.39999999999998</v>
      </c>
      <c r="P58" s="61">
        <f t="shared" si="23"/>
        <v>59.704615384615387</v>
      </c>
      <c r="Q58" s="61">
        <f t="shared" si="24"/>
        <v>27.138461538461538</v>
      </c>
    </row>
    <row r="59" spans="1:17" x14ac:dyDescent="0.35">
      <c r="A59" s="61">
        <f t="shared" si="17"/>
        <v>25.2</v>
      </c>
      <c r="B59" s="64">
        <f t="shared" si="18"/>
        <v>11.873076923076923</v>
      </c>
      <c r="C59" s="62">
        <f t="shared" si="19"/>
        <v>0</v>
      </c>
      <c r="D59" s="67">
        <f>B2</f>
        <v>306.39999999999998</v>
      </c>
      <c r="E59" s="60">
        <f t="shared" si="7"/>
        <v>22.991053391053391</v>
      </c>
      <c r="F59" s="62">
        <f t="shared" si="20"/>
        <v>3.2</v>
      </c>
      <c r="G59" s="60">
        <f t="shared" si="9"/>
        <v>22.991053391053391</v>
      </c>
      <c r="H59" s="62">
        <f t="shared" si="21"/>
        <v>22.991053391053391</v>
      </c>
      <c r="I59" s="63">
        <f t="shared" si="25"/>
        <v>2.1078433265870505E-5</v>
      </c>
      <c r="J59" s="63">
        <f t="shared" si="15"/>
        <v>1.4835384576760864E-3</v>
      </c>
      <c r="K59" s="173">
        <f t="shared" si="11"/>
        <v>1.4835384576760864</v>
      </c>
      <c r="L59" s="140">
        <f t="shared" si="12"/>
        <v>1</v>
      </c>
      <c r="M59" s="61">
        <f t="shared" si="22"/>
        <v>5.7477633477633479</v>
      </c>
      <c r="N59" s="61">
        <f t="shared" si="16"/>
        <v>6.4584319526627227E-3</v>
      </c>
      <c r="O59" s="61">
        <f t="shared" si="14"/>
        <v>306.39999999999998</v>
      </c>
      <c r="P59" s="61">
        <f t="shared" si="23"/>
        <v>58.638461538461542</v>
      </c>
      <c r="Q59" s="61">
        <f t="shared" si="24"/>
        <v>26.653846153846153</v>
      </c>
    </row>
    <row r="60" spans="1:17" x14ac:dyDescent="0.35">
      <c r="A60" s="61">
        <f t="shared" si="17"/>
        <v>25.2</v>
      </c>
      <c r="B60" s="64">
        <f t="shared" si="18"/>
        <v>12.115384615384615</v>
      </c>
      <c r="C60" s="62">
        <f t="shared" si="19"/>
        <v>0</v>
      </c>
      <c r="D60" s="67">
        <f>B2</f>
        <v>306.39999999999998</v>
      </c>
      <c r="E60" s="60">
        <f t="shared" si="7"/>
        <v>23.416813639035858</v>
      </c>
      <c r="F60" s="62">
        <f t="shared" si="20"/>
        <v>3.2</v>
      </c>
      <c r="G60" s="60">
        <f t="shared" si="9"/>
        <v>23.416813639035858</v>
      </c>
      <c r="H60" s="62">
        <f t="shared" si="21"/>
        <v>23.416813639035858</v>
      </c>
      <c r="I60" s="63">
        <f t="shared" si="25"/>
        <v>2.0695189024672861E-5</v>
      </c>
      <c r="J60" s="63">
        <f t="shared" si="15"/>
        <v>1.5042336467007594E-3</v>
      </c>
      <c r="K60" s="173">
        <f t="shared" si="11"/>
        <v>1.5042336467007593</v>
      </c>
      <c r="L60" s="140">
        <f t="shared" si="12"/>
        <v>1</v>
      </c>
      <c r="M60" s="61">
        <f t="shared" si="22"/>
        <v>5.8542034097589655</v>
      </c>
      <c r="N60" s="61">
        <f t="shared" si="16"/>
        <v>6.3410059171597642E-3</v>
      </c>
      <c r="O60" s="61">
        <f t="shared" si="14"/>
        <v>306.39999999999998</v>
      </c>
      <c r="P60" s="61">
        <f t="shared" si="23"/>
        <v>57.572307692307696</v>
      </c>
      <c r="Q60" s="61">
        <f t="shared" si="24"/>
        <v>26.169230769230769</v>
      </c>
    </row>
    <row r="61" spans="1:17" x14ac:dyDescent="0.35">
      <c r="A61" s="61">
        <f t="shared" si="17"/>
        <v>25.2</v>
      </c>
      <c r="B61" s="64">
        <f t="shared" si="18"/>
        <v>12.357692307692307</v>
      </c>
      <c r="C61" s="62">
        <f t="shared" si="19"/>
        <v>0</v>
      </c>
      <c r="D61" s="67">
        <f>B2</f>
        <v>306.39999999999998</v>
      </c>
      <c r="E61" s="60">
        <f t="shared" si="7"/>
        <v>23.858640311470499</v>
      </c>
      <c r="F61" s="62">
        <f t="shared" si="20"/>
        <v>3.2</v>
      </c>
      <c r="G61" s="60">
        <f t="shared" si="9"/>
        <v>23.858640311470499</v>
      </c>
      <c r="H61" s="62">
        <f t="shared" si="21"/>
        <v>23.858640311470499</v>
      </c>
      <c r="I61" s="63">
        <f t="shared" si="25"/>
        <v>2.0311944783475215E-5</v>
      </c>
      <c r="J61" s="63">
        <f t="shared" si="15"/>
        <v>1.5245455914842346E-3</v>
      </c>
      <c r="K61" s="173">
        <f t="shared" si="11"/>
        <v>1.5245455914842345</v>
      </c>
      <c r="L61" s="140">
        <f t="shared" si="12"/>
        <v>1</v>
      </c>
      <c r="M61" s="61">
        <f t="shared" si="22"/>
        <v>5.9646600778676246</v>
      </c>
      <c r="N61" s="61">
        <f>I61*G61*(A61-B61)</f>
        <v>6.2235798816568048E-3</v>
      </c>
      <c r="O61" s="61">
        <f t="shared" si="14"/>
        <v>306.39999999999998</v>
      </c>
      <c r="P61" s="61">
        <f t="shared" si="23"/>
        <v>56.50615384615385</v>
      </c>
      <c r="Q61" s="61">
        <f t="shared" si="24"/>
        <v>25.684615384615384</v>
      </c>
    </row>
    <row r="62" spans="1:17" x14ac:dyDescent="0.35">
      <c r="A62" s="61">
        <f t="shared" si="17"/>
        <v>25.2</v>
      </c>
      <c r="B62" s="64">
        <f t="shared" si="18"/>
        <v>12.6</v>
      </c>
      <c r="C62" s="62">
        <f t="shared" si="19"/>
        <v>0</v>
      </c>
      <c r="D62" s="67">
        <f>B2</f>
        <v>306.39999999999998</v>
      </c>
      <c r="E62" s="60">
        <f t="shared" si="7"/>
        <v>24.317460317460316</v>
      </c>
      <c r="F62" s="62">
        <f t="shared" si="20"/>
        <v>3.2</v>
      </c>
      <c r="G62" s="60">
        <f t="shared" si="9"/>
        <v>24.317460317460316</v>
      </c>
      <c r="H62" s="62">
        <f t="shared" si="21"/>
        <v>24.317460317460316</v>
      </c>
      <c r="I62" s="63">
        <f t="shared" si="25"/>
        <v>1.9928700542277568E-5</v>
      </c>
      <c r="J62" s="63">
        <f t="shared" si="15"/>
        <v>1.5444742920265122E-3</v>
      </c>
      <c r="K62" s="173">
        <f t="shared" si="11"/>
        <v>1.5444742920265122</v>
      </c>
      <c r="L62" s="140">
        <f t="shared" si="12"/>
        <v>1</v>
      </c>
      <c r="M62" s="61">
        <f t="shared" si="22"/>
        <v>6.0793650793650791</v>
      </c>
      <c r="N62" s="61">
        <f t="shared" si="16"/>
        <v>6.1061538461538462E-3</v>
      </c>
      <c r="O62" s="61">
        <f t="shared" si="14"/>
        <v>306.39999999999998</v>
      </c>
      <c r="P62" s="61">
        <f t="shared" si="23"/>
        <v>55.440000000000005</v>
      </c>
      <c r="Q62" s="61">
        <f t="shared" si="24"/>
        <v>25.2</v>
      </c>
    </row>
    <row r="63" spans="1:17" x14ac:dyDescent="0.35">
      <c r="A63" s="61">
        <f t="shared" si="17"/>
        <v>25.2</v>
      </c>
      <c r="B63" s="64">
        <f t="shared" si="18"/>
        <v>12.84230769230769</v>
      </c>
      <c r="C63" s="62">
        <f t="shared" si="19"/>
        <v>0</v>
      </c>
      <c r="D63" s="67">
        <f>B2</f>
        <v>306.39999999999998</v>
      </c>
      <c r="E63" s="60">
        <f t="shared" si="7"/>
        <v>24.794273264861495</v>
      </c>
      <c r="F63" s="62">
        <f t="shared" si="20"/>
        <v>3.2</v>
      </c>
      <c r="G63" s="60">
        <f t="shared" si="9"/>
        <v>24.794273264861495</v>
      </c>
      <c r="H63" s="62">
        <f t="shared" si="21"/>
        <v>24.794273264861495</v>
      </c>
      <c r="I63" s="63">
        <f t="shared" si="25"/>
        <v>1.9545456301079783E-5</v>
      </c>
      <c r="J63" s="63">
        <f t="shared" si="15"/>
        <v>1.564019748327592E-3</v>
      </c>
      <c r="K63" s="173">
        <f t="shared" si="11"/>
        <v>1.5640197483275919</v>
      </c>
      <c r="L63" s="140">
        <f t="shared" si="12"/>
        <v>1</v>
      </c>
      <c r="M63" s="61">
        <f t="shared" si="22"/>
        <v>6.1985683162153737</v>
      </c>
      <c r="N63" s="61">
        <f t="shared" si="16"/>
        <v>5.9887278106508443E-3</v>
      </c>
      <c r="O63" s="61">
        <f t="shared" si="14"/>
        <v>306.39999999999998</v>
      </c>
      <c r="P63" s="61">
        <f t="shared" si="23"/>
        <v>54.373846153846166</v>
      </c>
      <c r="Q63" s="61">
        <f t="shared" si="24"/>
        <v>24.715384615384618</v>
      </c>
    </row>
    <row r="64" spans="1:17" x14ac:dyDescent="0.35">
      <c r="A64" s="61">
        <f t="shared" si="17"/>
        <v>25.2</v>
      </c>
      <c r="B64" s="64">
        <f t="shared" si="18"/>
        <v>13.084615384615386</v>
      </c>
      <c r="C64" s="62">
        <f t="shared" si="19"/>
        <v>0</v>
      </c>
      <c r="D64" s="67">
        <f>B2</f>
        <v>306.39999999999998</v>
      </c>
      <c r="E64" s="60">
        <f t="shared" si="7"/>
        <v>25.290158730158733</v>
      </c>
      <c r="F64" s="62">
        <f t="shared" si="20"/>
        <v>3.2</v>
      </c>
      <c r="G64" s="60">
        <f t="shared" si="9"/>
        <v>25.290158730158733</v>
      </c>
      <c r="H64" s="62">
        <f t="shared" si="21"/>
        <v>25.290158730158733</v>
      </c>
      <c r="I64" s="63">
        <f t="shared" si="25"/>
        <v>1.9162212059882557E-5</v>
      </c>
      <c r="J64" s="63">
        <f t="shared" si="15"/>
        <v>1.5831819603874745E-3</v>
      </c>
      <c r="K64" s="173">
        <f t="shared" si="11"/>
        <v>1.5831819603874746</v>
      </c>
      <c r="L64" s="140">
        <f t="shared" si="12"/>
        <v>1</v>
      </c>
      <c r="M64" s="61">
        <f t="shared" si="22"/>
        <v>6.3225396825396842</v>
      </c>
      <c r="N64" s="61">
        <f t="shared" si="16"/>
        <v>5.871301775148015E-3</v>
      </c>
      <c r="O64" s="61">
        <f t="shared" si="14"/>
        <v>306.39999999999998</v>
      </c>
      <c r="P64" s="61">
        <f t="shared" si="23"/>
        <v>53.307692307692299</v>
      </c>
      <c r="Q64" s="61">
        <f t="shared" si="24"/>
        <v>24.230769230769226</v>
      </c>
    </row>
    <row r="65" spans="1:17" x14ac:dyDescent="0.35">
      <c r="A65" s="61">
        <f t="shared" si="17"/>
        <v>25.2</v>
      </c>
      <c r="B65" s="64">
        <f t="shared" si="18"/>
        <v>13.326923076923077</v>
      </c>
      <c r="C65" s="62">
        <f t="shared" si="19"/>
        <v>0</v>
      </c>
      <c r="D65" s="67">
        <f>B2</f>
        <v>306.39999999999998</v>
      </c>
      <c r="E65" s="60">
        <f t="shared" si="7"/>
        <v>25.806284418529316</v>
      </c>
      <c r="F65" s="62">
        <f t="shared" si="20"/>
        <v>3.2</v>
      </c>
      <c r="G65" s="60">
        <f t="shared" si="9"/>
        <v>25.806284418529316</v>
      </c>
      <c r="H65" s="62">
        <f t="shared" si="21"/>
        <v>25.806284418529316</v>
      </c>
      <c r="I65" s="63">
        <f t="shared" si="25"/>
        <v>1.8778967818684493E-5</v>
      </c>
      <c r="J65" s="63">
        <f t="shared" si="15"/>
        <v>1.601960928206159E-3</v>
      </c>
      <c r="K65" s="173">
        <f t="shared" si="11"/>
        <v>1.6019609282061591</v>
      </c>
      <c r="L65" s="140">
        <f t="shared" si="12"/>
        <v>1</v>
      </c>
      <c r="M65" s="61">
        <f t="shared" si="22"/>
        <v>6.451571104632329</v>
      </c>
      <c r="N65" s="61">
        <f t="shared" si="16"/>
        <v>5.7538757396449281E-3</v>
      </c>
      <c r="O65" s="61">
        <f t="shared" si="14"/>
        <v>306.39999999999998</v>
      </c>
      <c r="P65" s="61">
        <f t="shared" si="23"/>
        <v>52.241538461538461</v>
      </c>
      <c r="Q65" s="61">
        <f t="shared" si="24"/>
        <v>23.746153846153845</v>
      </c>
    </row>
    <row r="66" spans="1:17" x14ac:dyDescent="0.35">
      <c r="A66" s="61">
        <f t="shared" si="17"/>
        <v>25.2</v>
      </c>
      <c r="B66" s="64">
        <f t="shared" si="18"/>
        <v>13.569230769230769</v>
      </c>
      <c r="C66" s="62">
        <f t="shared" si="19"/>
        <v>0</v>
      </c>
      <c r="D66" s="67">
        <f>B2</f>
        <v>306.39999999999998</v>
      </c>
      <c r="E66" s="60">
        <f t="shared" si="7"/>
        <v>26.343915343915342</v>
      </c>
      <c r="F66" s="62">
        <f t="shared" si="20"/>
        <v>3.2</v>
      </c>
      <c r="G66" s="60">
        <f t="shared" si="9"/>
        <v>26.343915343915342</v>
      </c>
      <c r="H66" s="62">
        <f t="shared" si="21"/>
        <v>26.343915343915342</v>
      </c>
      <c r="I66" s="63">
        <f t="shared" si="25"/>
        <v>1.8395723577486986E-5</v>
      </c>
      <c r="J66" s="63">
        <f t="shared" si="15"/>
        <v>1.620356651783646E-3</v>
      </c>
      <c r="K66" s="173">
        <f t="shared" si="11"/>
        <v>1.6203566517836461</v>
      </c>
      <c r="L66" s="140">
        <f t="shared" si="12"/>
        <v>1</v>
      </c>
      <c r="M66" s="61">
        <f t="shared" si="22"/>
        <v>6.5859788359788354</v>
      </c>
      <c r="N66" s="61">
        <f t="shared" si="16"/>
        <v>5.6364497041420112E-3</v>
      </c>
      <c r="O66" s="61">
        <f t="shared" si="14"/>
        <v>306.39999999999998</v>
      </c>
      <c r="P66" s="61">
        <f t="shared" si="23"/>
        <v>51.175384615384615</v>
      </c>
      <c r="Q66" s="61">
        <f t="shared" si="24"/>
        <v>23.261538461538461</v>
      </c>
    </row>
    <row r="67" spans="1:17" x14ac:dyDescent="0.35">
      <c r="A67" s="61">
        <f t="shared" si="17"/>
        <v>25.2</v>
      </c>
      <c r="B67" s="64">
        <f t="shared" si="18"/>
        <v>13.811538461538463</v>
      </c>
      <c r="C67" s="62">
        <f t="shared" si="19"/>
        <v>0</v>
      </c>
      <c r="D67" s="67">
        <f>B2</f>
        <v>306.39999999999998</v>
      </c>
      <c r="E67" s="60">
        <f t="shared" si="7"/>
        <v>26.90442418101993</v>
      </c>
      <c r="F67" s="62">
        <f t="shared" si="20"/>
        <v>3.2</v>
      </c>
      <c r="G67" s="60">
        <f t="shared" si="9"/>
        <v>26.90442418101993</v>
      </c>
      <c r="H67" s="62">
        <f t="shared" si="21"/>
        <v>26.90442418101993</v>
      </c>
      <c r="I67" s="63">
        <f t="shared" si="25"/>
        <v>1.8012479336289471E-5</v>
      </c>
      <c r="J67" s="63">
        <f t="shared" si="15"/>
        <v>1.6383691311199354E-3</v>
      </c>
      <c r="K67" s="173">
        <f t="shared" si="11"/>
        <v>1.6383691311199353</v>
      </c>
      <c r="L67" s="140">
        <f t="shared" si="12"/>
        <v>1</v>
      </c>
      <c r="M67" s="61">
        <f t="shared" si="22"/>
        <v>6.7261060452549826</v>
      </c>
      <c r="N67" s="61">
        <f t="shared" si="16"/>
        <v>5.5190236686390943E-3</v>
      </c>
      <c r="O67" s="61">
        <f t="shared" si="14"/>
        <v>306.39999999999998</v>
      </c>
      <c r="P67" s="61">
        <f t="shared" si="23"/>
        <v>50.109230769230763</v>
      </c>
      <c r="Q67" s="61">
        <f t="shared" si="24"/>
        <v>22.776923076923072</v>
      </c>
    </row>
    <row r="68" spans="1:17" x14ac:dyDescent="0.35">
      <c r="A68" s="61">
        <f t="shared" si="17"/>
        <v>25.2</v>
      </c>
      <c r="B68" s="64">
        <f t="shared" si="18"/>
        <v>14.053846153846154</v>
      </c>
      <c r="C68" s="62">
        <f t="shared" si="19"/>
        <v>0</v>
      </c>
      <c r="D68" s="67">
        <f>B2</f>
        <v>306.39999999999998</v>
      </c>
      <c r="E68" s="60">
        <f t="shared" si="7"/>
        <v>27.489302967563837</v>
      </c>
      <c r="F68" s="62">
        <f t="shared" si="20"/>
        <v>3.2</v>
      </c>
      <c r="G68" s="60">
        <f t="shared" si="9"/>
        <v>27.489302967563837</v>
      </c>
      <c r="H68" s="62">
        <f t="shared" si="21"/>
        <v>27.489302967563837</v>
      </c>
      <c r="I68" s="63">
        <f t="shared" si="25"/>
        <v>1.7629235095091567E-5</v>
      </c>
      <c r="J68" s="63">
        <f t="shared" si="15"/>
        <v>1.6559983662150269E-3</v>
      </c>
      <c r="K68" s="173">
        <f t="shared" si="11"/>
        <v>1.6559983662150271</v>
      </c>
      <c r="L68" s="140">
        <f t="shared" si="12"/>
        <v>1</v>
      </c>
      <c r="M68" s="61">
        <f t="shared" si="22"/>
        <v>6.8723257418909593</v>
      </c>
      <c r="N68" s="61">
        <f t="shared" si="16"/>
        <v>5.4015976331360559E-3</v>
      </c>
      <c r="O68" s="61">
        <f t="shared" si="14"/>
        <v>306.39999999999998</v>
      </c>
      <c r="P68" s="61">
        <f t="shared" si="23"/>
        <v>49.043076923076924</v>
      </c>
      <c r="Q68" s="61">
        <f t="shared" si="24"/>
        <v>22.292307692307691</v>
      </c>
    </row>
    <row r="69" spans="1:17" x14ac:dyDescent="0.35">
      <c r="A69" s="61">
        <f t="shared" si="17"/>
        <v>25.2</v>
      </c>
      <c r="B69" s="64">
        <f t="shared" si="18"/>
        <v>14.296153846153846</v>
      </c>
      <c r="C69" s="62">
        <f t="shared" si="19"/>
        <v>0</v>
      </c>
      <c r="D69" s="67">
        <f>B2</f>
        <v>306.39999999999998</v>
      </c>
      <c r="E69" s="60">
        <f t="shared" si="7"/>
        <v>28.100176366843034</v>
      </c>
      <c r="F69" s="62">
        <f t="shared" si="20"/>
        <v>3.2</v>
      </c>
      <c r="G69" s="60">
        <f t="shared" si="9"/>
        <v>28.100176366843034</v>
      </c>
      <c r="H69" s="62">
        <f t="shared" si="21"/>
        <v>28.100176366843034</v>
      </c>
      <c r="I69" s="63">
        <f t="shared" si="25"/>
        <v>1.724599085389405E-5</v>
      </c>
      <c r="J69" s="63">
        <f t="shared" si="15"/>
        <v>1.673244357068921E-3</v>
      </c>
      <c r="K69" s="173">
        <f t="shared" si="11"/>
        <v>1.6732443570689211</v>
      </c>
      <c r="L69" s="140">
        <f t="shared" si="12"/>
        <v>1</v>
      </c>
      <c r="M69" s="61">
        <f t="shared" si="22"/>
        <v>7.0250440917107584</v>
      </c>
      <c r="N69" s="61">
        <f t="shared" si="16"/>
        <v>5.2841715976331364E-3</v>
      </c>
      <c r="O69" s="61">
        <f t="shared" si="14"/>
        <v>306.39999999999998</v>
      </c>
      <c r="P69" s="61">
        <f t="shared" si="23"/>
        <v>47.976923076923079</v>
      </c>
      <c r="Q69" s="61">
        <f t="shared" si="24"/>
        <v>21.807692307692307</v>
      </c>
    </row>
    <row r="70" spans="1:17" x14ac:dyDescent="0.35">
      <c r="A70" s="61">
        <f t="shared" si="17"/>
        <v>25.2</v>
      </c>
      <c r="B70" s="64">
        <f t="shared" si="18"/>
        <v>14.538461538461537</v>
      </c>
      <c r="C70" s="62">
        <f t="shared" si="19"/>
        <v>0</v>
      </c>
      <c r="D70" s="67">
        <f>B2</f>
        <v>306.39999999999998</v>
      </c>
      <c r="E70" s="60">
        <f t="shared" si="7"/>
        <v>28.738816738816734</v>
      </c>
      <c r="F70" s="62">
        <f t="shared" si="20"/>
        <v>3.2</v>
      </c>
      <c r="G70" s="60">
        <f t="shared" si="9"/>
        <v>28.738816738816734</v>
      </c>
      <c r="H70" s="62">
        <f t="shared" si="21"/>
        <v>28.738816738816734</v>
      </c>
      <c r="I70" s="63">
        <f t="shared" si="25"/>
        <v>1.6862746612696284E-5</v>
      </c>
      <c r="J70" s="63">
        <f t="shared" si="15"/>
        <v>1.6901071036816173E-3</v>
      </c>
      <c r="K70" s="173">
        <f t="shared" si="11"/>
        <v>1.6901071036816173</v>
      </c>
      <c r="L70" s="140">
        <f t="shared" si="12"/>
        <v>1</v>
      </c>
      <c r="M70" s="61">
        <f t="shared" si="22"/>
        <v>7.1847041847041835</v>
      </c>
      <c r="N70" s="61">
        <f t="shared" si="16"/>
        <v>5.1667455621301414E-3</v>
      </c>
      <c r="O70" s="61">
        <f t="shared" si="14"/>
        <v>306.39999999999998</v>
      </c>
      <c r="P70" s="61">
        <f t="shared" si="23"/>
        <v>46.91076923076924</v>
      </c>
      <c r="Q70" s="61">
        <f t="shared" si="24"/>
        <v>21.323076923076925</v>
      </c>
    </row>
    <row r="71" spans="1:17" x14ac:dyDescent="0.35">
      <c r="A71" s="61">
        <f t="shared" si="17"/>
        <v>25.2</v>
      </c>
      <c r="B71" s="64">
        <f t="shared" si="18"/>
        <v>14.780769230769231</v>
      </c>
      <c r="C71" s="62">
        <f t="shared" si="19"/>
        <v>0</v>
      </c>
      <c r="D71" s="67">
        <f>B2</f>
        <v>306.39999999999998</v>
      </c>
      <c r="E71" s="60">
        <f t="shared" si="7"/>
        <v>29.407161314138058</v>
      </c>
      <c r="F71" s="62">
        <f t="shared" si="20"/>
        <v>3.2</v>
      </c>
      <c r="G71" s="60">
        <f t="shared" si="9"/>
        <v>29.407161314138058</v>
      </c>
      <c r="H71" s="62">
        <f t="shared" si="21"/>
        <v>29.407161314138058</v>
      </c>
      <c r="I71" s="63">
        <f t="shared" si="25"/>
        <v>1.6479502371498878E-5</v>
      </c>
      <c r="J71" s="63">
        <f t="shared" si="15"/>
        <v>1.7065866060531161E-3</v>
      </c>
      <c r="K71" s="173">
        <f t="shared" si="11"/>
        <v>1.7065866060531161</v>
      </c>
      <c r="L71" s="140">
        <f t="shared" si="12"/>
        <v>1</v>
      </c>
      <c r="M71" s="61">
        <f t="shared" si="22"/>
        <v>7.3517903285345154</v>
      </c>
      <c r="N71" s="61">
        <f t="shared" si="16"/>
        <v>5.0493195266272557E-3</v>
      </c>
      <c r="O71" s="61">
        <f t="shared" si="14"/>
        <v>306.39999999999998</v>
      </c>
      <c r="P71" s="61">
        <f t="shared" si="23"/>
        <v>45.844615384615388</v>
      </c>
      <c r="Q71" s="61">
        <f t="shared" si="24"/>
        <v>20.838461538461537</v>
      </c>
    </row>
    <row r="72" spans="1:17" x14ac:dyDescent="0.35">
      <c r="A72" s="61">
        <f t="shared" si="17"/>
        <v>25.2</v>
      </c>
      <c r="B72" s="64">
        <f t="shared" si="18"/>
        <v>15.023076923076923</v>
      </c>
      <c r="C72" s="62">
        <f t="shared" si="19"/>
        <v>0</v>
      </c>
      <c r="D72" s="67">
        <f>B2</f>
        <v>306.39999999999998</v>
      </c>
      <c r="E72" s="60">
        <f t="shared" si="7"/>
        <v>30.107331821617535</v>
      </c>
      <c r="F72" s="62">
        <f t="shared" si="20"/>
        <v>3.2</v>
      </c>
      <c r="G72" s="60">
        <f t="shared" si="9"/>
        <v>30.107331821617535</v>
      </c>
      <c r="H72" s="62">
        <f t="shared" si="21"/>
        <v>30.107331821617535</v>
      </c>
      <c r="I72" s="63">
        <f t="shared" si="25"/>
        <v>1.6096258130301113E-5</v>
      </c>
      <c r="J72" s="63">
        <f t="shared" si="15"/>
        <v>1.7226828641834172E-3</v>
      </c>
      <c r="K72" s="173">
        <f t="shared" si="11"/>
        <v>1.7226828641834173</v>
      </c>
      <c r="L72" s="140">
        <f t="shared" si="12"/>
        <v>1</v>
      </c>
      <c r="M72" s="61">
        <f t="shared" si="22"/>
        <v>7.5268329554043838</v>
      </c>
      <c r="N72" s="61">
        <f t="shared" si="16"/>
        <v>4.9318934911242607E-3</v>
      </c>
      <c r="O72" s="61">
        <f t="shared" si="14"/>
        <v>306.39999999999998</v>
      </c>
      <c r="P72" s="61">
        <f t="shared" si="23"/>
        <v>44.778461538461542</v>
      </c>
      <c r="Q72" s="61">
        <f t="shared" si="24"/>
        <v>20.353846153846153</v>
      </c>
    </row>
    <row r="73" spans="1:17" x14ac:dyDescent="0.35">
      <c r="A73" s="61">
        <f t="shared" si="17"/>
        <v>25.2</v>
      </c>
      <c r="B73" s="64">
        <f t="shared" si="18"/>
        <v>15.265384615384614</v>
      </c>
      <c r="C73" s="62">
        <f t="shared" si="19"/>
        <v>0</v>
      </c>
      <c r="D73" s="67">
        <f>B2</f>
        <v>306.39999999999998</v>
      </c>
      <c r="E73" s="60">
        <f t="shared" si="7"/>
        <v>30.841656987998444</v>
      </c>
      <c r="F73" s="62">
        <f t="shared" si="20"/>
        <v>3.2</v>
      </c>
      <c r="G73" s="60">
        <f t="shared" si="9"/>
        <v>30.841656987998444</v>
      </c>
      <c r="H73" s="62">
        <f t="shared" si="21"/>
        <v>30.841656987998444</v>
      </c>
      <c r="I73" s="63">
        <f t="shared" si="25"/>
        <v>1.5713013889103355E-5</v>
      </c>
      <c r="J73" s="63">
        <f t="shared" si="15"/>
        <v>1.7383958780725205E-3</v>
      </c>
      <c r="K73" s="173">
        <f t="shared" si="11"/>
        <v>1.7383958780725206</v>
      </c>
      <c r="L73" s="140">
        <f t="shared" si="12"/>
        <v>1</v>
      </c>
      <c r="M73" s="61">
        <f t="shared" si="22"/>
        <v>7.7104142469996111</v>
      </c>
      <c r="N73" s="61">
        <f t="shared" si="16"/>
        <v>4.8144674556212675E-3</v>
      </c>
      <c r="O73" s="61">
        <f t="shared" si="14"/>
        <v>306.39999999999998</v>
      </c>
      <c r="P73" s="61">
        <f t="shared" si="23"/>
        <v>43.712307692307704</v>
      </c>
      <c r="Q73" s="61">
        <f t="shared" si="24"/>
        <v>19.869230769230771</v>
      </c>
    </row>
    <row r="74" spans="1:17" x14ac:dyDescent="0.35">
      <c r="A74" s="61">
        <f t="shared" ref="A74:A105" si="26">VINMAX</f>
        <v>25.2</v>
      </c>
      <c r="B74" s="64">
        <f t="shared" ref="B74:B105" si="27">VINMAX*((ROW()-10)/104)</f>
        <v>15.507692307692308</v>
      </c>
      <c r="C74" s="62">
        <f t="shared" ref="C74:C105" si="28">IF(B74&gt;=$H$2,IF($D$2="CC", $G$2, B74/$G$2), 0)</f>
        <v>0</v>
      </c>
      <c r="D74" s="67">
        <f>B2</f>
        <v>306.39999999999998</v>
      </c>
      <c r="E74" s="60">
        <f t="shared" si="7"/>
        <v>31.612698412698414</v>
      </c>
      <c r="F74" s="62">
        <f t="shared" ref="F74:F105" si="29">I_Cout_ss+C74</f>
        <v>3.2</v>
      </c>
      <c r="G74" s="60">
        <f t="shared" si="9"/>
        <v>31.612698412698414</v>
      </c>
      <c r="H74" s="62">
        <f t="shared" ref="H74:H105" si="30">G74-C74</f>
        <v>31.612698412698414</v>
      </c>
      <c r="I74" s="63">
        <f t="shared" si="25"/>
        <v>1.5329769647905932E-5</v>
      </c>
      <c r="J74" s="63">
        <f t="shared" si="15"/>
        <v>1.7537256477204264E-3</v>
      </c>
      <c r="K74" s="173">
        <f t="shared" si="11"/>
        <v>1.7537256477204264</v>
      </c>
      <c r="L74" s="140">
        <f t="shared" si="12"/>
        <v>1</v>
      </c>
      <c r="M74" s="61">
        <f t="shared" ref="M74:M105" si="31">1/COUTMAX*(E74/2-C74)*1000</f>
        <v>7.9031746031746026</v>
      </c>
      <c r="N74" s="61">
        <f t="shared" si="16"/>
        <v>4.6970414201183775E-3</v>
      </c>
      <c r="O74" s="61">
        <f t="shared" si="14"/>
        <v>306.39999999999998</v>
      </c>
      <c r="P74" s="61">
        <f t="shared" ref="P74:P105" si="32">(A74-B74)*(I_Cout_ss*$Q$2+C74)</f>
        <v>42.646153846153844</v>
      </c>
      <c r="Q74" s="61">
        <f t="shared" ref="Q74:Q105" si="33">(A74-B74)*(I_Cout_ss*$R$2+C74)</f>
        <v>19.384615384615383</v>
      </c>
    </row>
    <row r="75" spans="1:17" x14ac:dyDescent="0.35">
      <c r="A75" s="61">
        <f t="shared" si="26"/>
        <v>25.2</v>
      </c>
      <c r="B75" s="64">
        <f t="shared" si="27"/>
        <v>15.75</v>
      </c>
      <c r="C75" s="62">
        <f t="shared" si="28"/>
        <v>0</v>
      </c>
      <c r="D75" s="67">
        <f>B2</f>
        <v>306.39999999999998</v>
      </c>
      <c r="E75" s="60">
        <f t="shared" ref="E75:E110" si="34">MIN(D75/(A75-B75),$C$2)</f>
        <v>32.423280423280424</v>
      </c>
      <c r="F75" s="62">
        <f t="shared" si="29"/>
        <v>3.2</v>
      </c>
      <c r="G75" s="60">
        <f t="shared" ref="G75:G110" si="35">IF($F$2="YES", F75, E75)</f>
        <v>32.423280423280424</v>
      </c>
      <c r="H75" s="62">
        <f t="shared" si="30"/>
        <v>32.423280423280424</v>
      </c>
      <c r="I75" s="63">
        <f t="shared" ref="I75:I106" si="36">(COUTMAX/1000000)*(B75-B74)/H75</f>
        <v>1.4946525406708175E-5</v>
      </c>
      <c r="J75" s="63">
        <f t="shared" si="15"/>
        <v>1.7686721731271346E-3</v>
      </c>
      <c r="K75" s="173">
        <f t="shared" ref="K75:K114" si="37">J75*1000</f>
        <v>1.7686721731271347</v>
      </c>
      <c r="L75" s="140">
        <f t="shared" ref="L75:L110" si="38">H75/G75</f>
        <v>1</v>
      </c>
      <c r="M75" s="61">
        <f t="shared" si="31"/>
        <v>8.105820105820106</v>
      </c>
      <c r="N75" s="61">
        <f t="shared" ref="N75:N110" si="39">I75*G75*(A75-B75)</f>
        <v>4.5796153846153851E-3</v>
      </c>
      <c r="O75" s="61">
        <f t="shared" ref="O75:O114" si="40">G75*(A75-B75)</f>
        <v>306.39999999999998</v>
      </c>
      <c r="P75" s="61">
        <f t="shared" si="32"/>
        <v>41.58</v>
      </c>
      <c r="Q75" s="61">
        <f t="shared" si="33"/>
        <v>18.899999999999999</v>
      </c>
    </row>
    <row r="76" spans="1:17" x14ac:dyDescent="0.35">
      <c r="A76" s="61">
        <f t="shared" si="26"/>
        <v>25.2</v>
      </c>
      <c r="B76" s="64">
        <f t="shared" si="27"/>
        <v>15.992307692307691</v>
      </c>
      <c r="C76" s="62">
        <f t="shared" si="28"/>
        <v>0</v>
      </c>
      <c r="D76" s="67">
        <f>B2</f>
        <v>306.39999999999998</v>
      </c>
      <c r="E76" s="60">
        <f t="shared" si="34"/>
        <v>33.276524644945688</v>
      </c>
      <c r="F76" s="62">
        <f t="shared" si="29"/>
        <v>3.2</v>
      </c>
      <c r="G76" s="60">
        <f t="shared" si="35"/>
        <v>33.276524644945688</v>
      </c>
      <c r="H76" s="62">
        <f t="shared" si="30"/>
        <v>33.276524644945688</v>
      </c>
      <c r="I76" s="63">
        <f t="shared" si="36"/>
        <v>1.4563281165510429E-5</v>
      </c>
      <c r="J76" s="63">
        <f t="shared" ref="J76:J110" si="41">J75+I76</f>
        <v>1.7832354542926449E-3</v>
      </c>
      <c r="K76" s="173">
        <f t="shared" si="37"/>
        <v>1.783235454292645</v>
      </c>
      <c r="L76" s="140">
        <f t="shared" si="38"/>
        <v>1</v>
      </c>
      <c r="M76" s="61">
        <f t="shared" si="31"/>
        <v>8.319131161236422</v>
      </c>
      <c r="N76" s="61">
        <f t="shared" si="39"/>
        <v>4.4621893491123945E-3</v>
      </c>
      <c r="O76" s="61">
        <f t="shared" si="40"/>
        <v>306.39999999999992</v>
      </c>
      <c r="P76" s="61">
        <f t="shared" si="32"/>
        <v>40.51384615384616</v>
      </c>
      <c r="Q76" s="61">
        <f t="shared" si="33"/>
        <v>18.415384615384617</v>
      </c>
    </row>
    <row r="77" spans="1:17" x14ac:dyDescent="0.35">
      <c r="A77" s="61">
        <f t="shared" si="26"/>
        <v>25.2</v>
      </c>
      <c r="B77" s="64">
        <f t="shared" si="27"/>
        <v>16.234615384615385</v>
      </c>
      <c r="C77" s="62">
        <f t="shared" si="28"/>
        <v>0</v>
      </c>
      <c r="D77" s="67">
        <f>B2</f>
        <v>306.39999999999998</v>
      </c>
      <c r="E77" s="60">
        <f t="shared" si="34"/>
        <v>34.175890175890174</v>
      </c>
      <c r="F77" s="62">
        <f t="shared" si="29"/>
        <v>3.2</v>
      </c>
      <c r="G77" s="60">
        <f t="shared" si="35"/>
        <v>34.175890175890174</v>
      </c>
      <c r="H77" s="62">
        <f t="shared" si="30"/>
        <v>34.175890175890174</v>
      </c>
      <c r="I77" s="63">
        <f t="shared" si="36"/>
        <v>1.4180036924312991E-5</v>
      </c>
      <c r="J77" s="63">
        <f t="shared" si="41"/>
        <v>1.7974154912169579E-3</v>
      </c>
      <c r="K77" s="173">
        <f t="shared" si="37"/>
        <v>1.7974154912169578</v>
      </c>
      <c r="L77" s="140">
        <f t="shared" si="38"/>
        <v>1</v>
      </c>
      <c r="M77" s="61">
        <f t="shared" si="31"/>
        <v>8.5439725439725436</v>
      </c>
      <c r="N77" s="61">
        <f t="shared" si="39"/>
        <v>4.3447633136095001E-3</v>
      </c>
      <c r="O77" s="61">
        <f t="shared" si="40"/>
        <v>306.39999999999998</v>
      </c>
      <c r="P77" s="61">
        <f t="shared" si="32"/>
        <v>39.447692307692307</v>
      </c>
      <c r="Q77" s="61">
        <f t="shared" si="33"/>
        <v>17.930769230769229</v>
      </c>
    </row>
    <row r="78" spans="1:17" x14ac:dyDescent="0.35">
      <c r="A78" s="61">
        <f t="shared" si="26"/>
        <v>25.2</v>
      </c>
      <c r="B78" s="64">
        <f t="shared" si="27"/>
        <v>16.476923076923075</v>
      </c>
      <c r="C78" s="62">
        <f t="shared" si="28"/>
        <v>0</v>
      </c>
      <c r="D78" s="67">
        <f>B2</f>
        <v>306.39999999999998</v>
      </c>
      <c r="E78" s="60">
        <f t="shared" si="34"/>
        <v>35.125220458553784</v>
      </c>
      <c r="F78" s="62">
        <f t="shared" si="29"/>
        <v>3.2</v>
      </c>
      <c r="G78" s="60">
        <f t="shared" si="35"/>
        <v>35.125220458553784</v>
      </c>
      <c r="H78" s="62">
        <f t="shared" si="30"/>
        <v>35.125220458553784</v>
      </c>
      <c r="I78" s="63">
        <f t="shared" si="36"/>
        <v>1.3796792683115143E-5</v>
      </c>
      <c r="J78" s="63">
        <f t="shared" si="41"/>
        <v>1.8112122839000729E-3</v>
      </c>
      <c r="K78" s="173">
        <f t="shared" si="37"/>
        <v>1.8112122839000728</v>
      </c>
      <c r="L78" s="140">
        <f t="shared" si="38"/>
        <v>1</v>
      </c>
      <c r="M78" s="61">
        <f t="shared" si="31"/>
        <v>8.781305114638446</v>
      </c>
      <c r="N78" s="61">
        <f t="shared" si="39"/>
        <v>4.2273372781064791E-3</v>
      </c>
      <c r="O78" s="61">
        <f t="shared" si="40"/>
        <v>306.39999999999998</v>
      </c>
      <c r="P78" s="61">
        <f t="shared" si="32"/>
        <v>38.381538461538469</v>
      </c>
      <c r="Q78" s="61">
        <f t="shared" si="33"/>
        <v>17.446153846153848</v>
      </c>
    </row>
    <row r="79" spans="1:17" x14ac:dyDescent="0.35">
      <c r="A79" s="61">
        <f t="shared" si="26"/>
        <v>25.2</v>
      </c>
      <c r="B79" s="64">
        <f t="shared" si="27"/>
        <v>16.719230769230769</v>
      </c>
      <c r="C79" s="62">
        <f t="shared" si="28"/>
        <v>0</v>
      </c>
      <c r="D79" s="67">
        <f>B2</f>
        <v>306.39999999999998</v>
      </c>
      <c r="E79" s="60">
        <f t="shared" si="34"/>
        <v>36.128798185941044</v>
      </c>
      <c r="F79" s="62">
        <f t="shared" si="29"/>
        <v>3.2</v>
      </c>
      <c r="G79" s="60">
        <f t="shared" si="35"/>
        <v>36.128798185941044</v>
      </c>
      <c r="H79" s="62">
        <f t="shared" si="30"/>
        <v>36.128798185941044</v>
      </c>
      <c r="I79" s="63">
        <f t="shared" si="36"/>
        <v>1.3413548441917693E-5</v>
      </c>
      <c r="J79" s="63">
        <f t="shared" si="41"/>
        <v>1.8246258323419905E-3</v>
      </c>
      <c r="K79" s="173">
        <f t="shared" si="37"/>
        <v>1.8246258323419906</v>
      </c>
      <c r="L79" s="140">
        <f t="shared" si="38"/>
        <v>1</v>
      </c>
      <c r="M79" s="61">
        <f t="shared" si="31"/>
        <v>9.0321995464852609</v>
      </c>
      <c r="N79" s="61">
        <f t="shared" si="39"/>
        <v>4.1099112426035804E-3</v>
      </c>
      <c r="O79" s="61">
        <f t="shared" si="40"/>
        <v>306.39999999999998</v>
      </c>
      <c r="P79" s="61">
        <f t="shared" si="32"/>
        <v>37.315384615384616</v>
      </c>
      <c r="Q79" s="61">
        <f t="shared" si="33"/>
        <v>16.96153846153846</v>
      </c>
    </row>
    <row r="80" spans="1:17" x14ac:dyDescent="0.35">
      <c r="A80" s="61">
        <f t="shared" si="26"/>
        <v>25.2</v>
      </c>
      <c r="B80" s="64">
        <f t="shared" si="27"/>
        <v>16.961538461538463</v>
      </c>
      <c r="C80" s="62">
        <f t="shared" si="28"/>
        <v>0</v>
      </c>
      <c r="D80" s="67">
        <f>B2</f>
        <v>306.39999999999998</v>
      </c>
      <c r="E80" s="60">
        <f t="shared" si="34"/>
        <v>37.19140989729226</v>
      </c>
      <c r="F80" s="62">
        <f t="shared" si="29"/>
        <v>3.2</v>
      </c>
      <c r="G80" s="60">
        <f t="shared" si="35"/>
        <v>37.19140989729226</v>
      </c>
      <c r="H80" s="62">
        <f t="shared" si="30"/>
        <v>37.19140989729226</v>
      </c>
      <c r="I80" s="63">
        <f t="shared" si="36"/>
        <v>1.3030304200720041E-5</v>
      </c>
      <c r="J80" s="63">
        <f t="shared" si="41"/>
        <v>1.8376561365427105E-3</v>
      </c>
      <c r="K80" s="173">
        <f t="shared" si="37"/>
        <v>1.8376561365427104</v>
      </c>
      <c r="L80" s="140">
        <f t="shared" si="38"/>
        <v>1</v>
      </c>
      <c r="M80" s="61">
        <f t="shared" si="31"/>
        <v>9.2978524743230651</v>
      </c>
      <c r="N80" s="61">
        <f t="shared" si="39"/>
        <v>3.9924852071006201E-3</v>
      </c>
      <c r="O80" s="61">
        <f t="shared" si="40"/>
        <v>306.39999999999998</v>
      </c>
      <c r="P80" s="61">
        <f t="shared" si="32"/>
        <v>36.249230769230763</v>
      </c>
      <c r="Q80" s="61">
        <f t="shared" si="33"/>
        <v>16.476923076923072</v>
      </c>
    </row>
    <row r="81" spans="1:17" x14ac:dyDescent="0.35">
      <c r="A81" s="61">
        <f t="shared" si="26"/>
        <v>25.2</v>
      </c>
      <c r="B81" s="64">
        <f t="shared" si="27"/>
        <v>17.203846153846154</v>
      </c>
      <c r="C81" s="62">
        <f t="shared" si="28"/>
        <v>0</v>
      </c>
      <c r="D81" s="67">
        <f>B2</f>
        <v>306.39999999999998</v>
      </c>
      <c r="E81" s="60">
        <f t="shared" si="34"/>
        <v>38.318422318422321</v>
      </c>
      <c r="F81" s="62">
        <f t="shared" si="29"/>
        <v>3.2</v>
      </c>
      <c r="G81" s="60">
        <f t="shared" si="35"/>
        <v>38.318422318422321</v>
      </c>
      <c r="H81" s="62">
        <f t="shared" si="30"/>
        <v>38.318422318422321</v>
      </c>
      <c r="I81" s="63">
        <f t="shared" si="36"/>
        <v>1.264705995952221E-5</v>
      </c>
      <c r="J81" s="63">
        <f t="shared" si="41"/>
        <v>1.8503031965022326E-3</v>
      </c>
      <c r="K81" s="173">
        <f t="shared" si="37"/>
        <v>1.8503031965022327</v>
      </c>
      <c r="L81" s="140">
        <f t="shared" si="38"/>
        <v>1</v>
      </c>
      <c r="M81" s="61">
        <f t="shared" si="31"/>
        <v>9.5796055796055803</v>
      </c>
      <c r="N81" s="61">
        <f t="shared" si="39"/>
        <v>3.8750591715976048E-3</v>
      </c>
      <c r="O81" s="61">
        <f t="shared" si="40"/>
        <v>306.39999999999998</v>
      </c>
      <c r="P81" s="61">
        <f t="shared" si="32"/>
        <v>35.183076923076925</v>
      </c>
      <c r="Q81" s="61">
        <f t="shared" si="33"/>
        <v>15.992307692307691</v>
      </c>
    </row>
    <row r="82" spans="1:17" x14ac:dyDescent="0.35">
      <c r="A82" s="61">
        <f t="shared" si="26"/>
        <v>25.2</v>
      </c>
      <c r="B82" s="64">
        <f t="shared" si="27"/>
        <v>17.446153846153845</v>
      </c>
      <c r="C82" s="62">
        <f t="shared" si="28"/>
        <v>0</v>
      </c>
      <c r="D82" s="67">
        <f>B2</f>
        <v>306.39999999999998</v>
      </c>
      <c r="E82" s="60">
        <f t="shared" si="34"/>
        <v>39.515873015873005</v>
      </c>
      <c r="F82" s="62">
        <f t="shared" si="29"/>
        <v>3.2</v>
      </c>
      <c r="G82" s="60">
        <f t="shared" si="35"/>
        <v>39.515873015873005</v>
      </c>
      <c r="H82" s="62">
        <f t="shared" si="30"/>
        <v>39.515873015873005</v>
      </c>
      <c r="I82" s="63">
        <f t="shared" si="36"/>
        <v>1.2263815718324572E-5</v>
      </c>
      <c r="J82" s="63">
        <f t="shared" si="41"/>
        <v>1.8625670122205571E-3</v>
      </c>
      <c r="K82" s="173">
        <f t="shared" si="37"/>
        <v>1.8625670122205571</v>
      </c>
      <c r="L82" s="140">
        <f t="shared" si="38"/>
        <v>1</v>
      </c>
      <c r="M82" s="61">
        <f t="shared" si="31"/>
        <v>9.8789682539682513</v>
      </c>
      <c r="N82" s="61">
        <f t="shared" si="39"/>
        <v>3.7576331360946484E-3</v>
      </c>
      <c r="O82" s="61">
        <f t="shared" si="40"/>
        <v>306.39999999999998</v>
      </c>
      <c r="P82" s="61">
        <f t="shared" si="32"/>
        <v>34.116923076923086</v>
      </c>
      <c r="Q82" s="61">
        <f t="shared" si="33"/>
        <v>15.507692307692309</v>
      </c>
    </row>
    <row r="83" spans="1:17" x14ac:dyDescent="0.35">
      <c r="A83" s="61">
        <f t="shared" si="26"/>
        <v>25.2</v>
      </c>
      <c r="B83" s="64">
        <f t="shared" si="27"/>
        <v>17.688461538461535</v>
      </c>
      <c r="C83" s="62">
        <f t="shared" si="28"/>
        <v>0</v>
      </c>
      <c r="D83" s="67">
        <f>B2</f>
        <v>306.39999999999998</v>
      </c>
      <c r="E83" s="60">
        <f t="shared" si="34"/>
        <v>40.790578597030191</v>
      </c>
      <c r="F83" s="62">
        <f t="shared" si="29"/>
        <v>3.2</v>
      </c>
      <c r="G83" s="60">
        <f t="shared" si="35"/>
        <v>40.790578597030191</v>
      </c>
      <c r="H83" s="62">
        <f t="shared" si="30"/>
        <v>40.790578597030191</v>
      </c>
      <c r="I83" s="63">
        <f t="shared" si="36"/>
        <v>1.188057147712693E-5</v>
      </c>
      <c r="J83" s="63">
        <f t="shared" si="41"/>
        <v>1.8744475836976839E-3</v>
      </c>
      <c r="K83" s="173">
        <f t="shared" si="37"/>
        <v>1.8744475836976839</v>
      </c>
      <c r="L83" s="140">
        <f t="shared" si="38"/>
        <v>1</v>
      </c>
      <c r="M83" s="61">
        <f t="shared" si="31"/>
        <v>10.197644649257548</v>
      </c>
      <c r="N83" s="61">
        <f t="shared" si="39"/>
        <v>3.6402071005916911E-3</v>
      </c>
      <c r="O83" s="61">
        <f t="shared" si="40"/>
        <v>306.39999999999998</v>
      </c>
      <c r="P83" s="61">
        <f t="shared" si="32"/>
        <v>33.050769230769248</v>
      </c>
      <c r="Q83" s="61">
        <f t="shared" si="33"/>
        <v>15.023076923076928</v>
      </c>
    </row>
    <row r="84" spans="1:17" x14ac:dyDescent="0.35">
      <c r="A84" s="61">
        <f t="shared" si="26"/>
        <v>25.2</v>
      </c>
      <c r="B84" s="64">
        <f t="shared" si="27"/>
        <v>17.930769230769229</v>
      </c>
      <c r="C84" s="62">
        <f t="shared" si="28"/>
        <v>0</v>
      </c>
      <c r="D84" s="67">
        <f>B2</f>
        <v>306.39999999999998</v>
      </c>
      <c r="E84" s="60">
        <f t="shared" si="34"/>
        <v>42.150264550264545</v>
      </c>
      <c r="F84" s="62">
        <f t="shared" si="29"/>
        <v>3.2</v>
      </c>
      <c r="G84" s="60">
        <f t="shared" si="35"/>
        <v>42.150264550264545</v>
      </c>
      <c r="H84" s="62">
        <f t="shared" si="30"/>
        <v>42.150264550264545</v>
      </c>
      <c r="I84" s="63">
        <f t="shared" si="36"/>
        <v>1.1497327235929452E-5</v>
      </c>
      <c r="J84" s="63">
        <f t="shared" si="41"/>
        <v>1.8859449109336133E-3</v>
      </c>
      <c r="K84" s="173">
        <f t="shared" si="37"/>
        <v>1.8859449109336133</v>
      </c>
      <c r="L84" s="140">
        <f t="shared" si="38"/>
        <v>1</v>
      </c>
      <c r="M84" s="61">
        <f t="shared" si="31"/>
        <v>10.537566137566138</v>
      </c>
      <c r="N84" s="61">
        <f t="shared" si="39"/>
        <v>3.5227810650887838E-3</v>
      </c>
      <c r="O84" s="61">
        <f t="shared" si="40"/>
        <v>306.39999999999998</v>
      </c>
      <c r="P84" s="61">
        <f t="shared" si="32"/>
        <v>31.984615384615392</v>
      </c>
      <c r="Q84" s="61">
        <f t="shared" si="33"/>
        <v>14.53846153846154</v>
      </c>
    </row>
    <row r="85" spans="1:17" x14ac:dyDescent="0.35">
      <c r="A85" s="61">
        <f t="shared" si="26"/>
        <v>25.2</v>
      </c>
      <c r="B85" s="64">
        <f t="shared" si="27"/>
        <v>18.173076923076923</v>
      </c>
      <c r="C85" s="62">
        <f t="shared" si="28"/>
        <v>0</v>
      </c>
      <c r="D85" s="67">
        <f>B2</f>
        <v>306.39999999999998</v>
      </c>
      <c r="E85" s="60">
        <f t="shared" si="34"/>
        <v>43.603721948549534</v>
      </c>
      <c r="F85" s="62">
        <f t="shared" si="29"/>
        <v>3.2</v>
      </c>
      <c r="G85" s="60">
        <f t="shared" si="35"/>
        <v>43.603721948549534</v>
      </c>
      <c r="H85" s="62">
        <f t="shared" si="30"/>
        <v>43.603721948549534</v>
      </c>
      <c r="I85" s="63">
        <f t="shared" si="36"/>
        <v>1.1114082994731803E-5</v>
      </c>
      <c r="J85" s="63">
        <f t="shared" si="41"/>
        <v>1.8970589939283451E-3</v>
      </c>
      <c r="K85" s="173">
        <f t="shared" si="37"/>
        <v>1.8970589939283451</v>
      </c>
      <c r="L85" s="140">
        <f t="shared" si="38"/>
        <v>1</v>
      </c>
      <c r="M85" s="61">
        <f t="shared" si="31"/>
        <v>10.900930487137384</v>
      </c>
      <c r="N85" s="61">
        <f t="shared" si="39"/>
        <v>3.4053550295858243E-3</v>
      </c>
      <c r="O85" s="61">
        <f t="shared" si="40"/>
        <v>306.39999999999998</v>
      </c>
      <c r="P85" s="61">
        <f t="shared" si="32"/>
        <v>30.918461538461536</v>
      </c>
      <c r="Q85" s="61">
        <f t="shared" si="33"/>
        <v>14.053846153846152</v>
      </c>
    </row>
    <row r="86" spans="1:17" x14ac:dyDescent="0.35">
      <c r="A86" s="61">
        <f t="shared" si="26"/>
        <v>25.2</v>
      </c>
      <c r="B86" s="64">
        <f t="shared" si="27"/>
        <v>18.415384615384614</v>
      </c>
      <c r="C86" s="62">
        <f t="shared" si="28"/>
        <v>0</v>
      </c>
      <c r="D86" s="67">
        <f>B2</f>
        <v>306.39999999999998</v>
      </c>
      <c r="E86" s="60">
        <f t="shared" si="34"/>
        <v>45.160997732426296</v>
      </c>
      <c r="F86" s="62">
        <f t="shared" si="29"/>
        <v>3.2</v>
      </c>
      <c r="G86" s="60">
        <f t="shared" si="35"/>
        <v>45.160997732426296</v>
      </c>
      <c r="H86" s="62">
        <f t="shared" si="30"/>
        <v>45.160997732426296</v>
      </c>
      <c r="I86" s="63">
        <f t="shared" si="36"/>
        <v>1.0730838753533999E-5</v>
      </c>
      <c r="J86" s="63">
        <f t="shared" si="41"/>
        <v>1.9077898326818792E-3</v>
      </c>
      <c r="K86" s="173">
        <f t="shared" si="37"/>
        <v>1.9077898326818792</v>
      </c>
      <c r="L86" s="140">
        <f t="shared" si="38"/>
        <v>1</v>
      </c>
      <c r="M86" s="61">
        <f t="shared" si="31"/>
        <v>11.290249433106574</v>
      </c>
      <c r="N86" s="61">
        <f t="shared" si="39"/>
        <v>3.2879289940828172E-3</v>
      </c>
      <c r="O86" s="61">
        <f t="shared" si="40"/>
        <v>306.39999999999998</v>
      </c>
      <c r="P86" s="61">
        <f t="shared" si="32"/>
        <v>29.852307692307697</v>
      </c>
      <c r="Q86" s="61">
        <f t="shared" si="33"/>
        <v>13.569230769230771</v>
      </c>
    </row>
    <row r="87" spans="1:17" x14ac:dyDescent="0.35">
      <c r="A87" s="61">
        <f t="shared" si="26"/>
        <v>25.2</v>
      </c>
      <c r="B87" s="64">
        <f t="shared" si="27"/>
        <v>18.657692307692308</v>
      </c>
      <c r="C87" s="62">
        <f t="shared" si="28"/>
        <v>0</v>
      </c>
      <c r="D87" s="67">
        <f>B2</f>
        <v>306.39999999999998</v>
      </c>
      <c r="E87" s="60">
        <f t="shared" si="34"/>
        <v>46.833627278071724</v>
      </c>
      <c r="F87" s="62">
        <f t="shared" si="29"/>
        <v>3.2</v>
      </c>
      <c r="G87" s="60">
        <f t="shared" si="35"/>
        <v>46.833627278071724</v>
      </c>
      <c r="H87" s="62">
        <f t="shared" si="30"/>
        <v>46.833627278071724</v>
      </c>
      <c r="I87" s="63">
        <f t="shared" si="36"/>
        <v>1.0347594512336505E-5</v>
      </c>
      <c r="J87" s="63">
        <f t="shared" si="41"/>
        <v>1.9181374271942156E-3</v>
      </c>
      <c r="K87" s="173">
        <f t="shared" si="37"/>
        <v>1.9181374271942155</v>
      </c>
      <c r="L87" s="140">
        <f t="shared" si="38"/>
        <v>1</v>
      </c>
      <c r="M87" s="61">
        <f t="shared" si="31"/>
        <v>11.708406819517933</v>
      </c>
      <c r="N87" s="61">
        <f t="shared" si="39"/>
        <v>3.1705029585799046E-3</v>
      </c>
      <c r="O87" s="61">
        <f t="shared" si="40"/>
        <v>306.39999999999998</v>
      </c>
      <c r="P87" s="61">
        <f t="shared" si="32"/>
        <v>28.786153846153844</v>
      </c>
      <c r="Q87" s="61">
        <f t="shared" si="33"/>
        <v>13.084615384615383</v>
      </c>
    </row>
    <row r="88" spans="1:17" x14ac:dyDescent="0.35">
      <c r="A88" s="61">
        <f t="shared" si="26"/>
        <v>25.2</v>
      </c>
      <c r="B88" s="64">
        <f t="shared" si="27"/>
        <v>18.899999999999999</v>
      </c>
      <c r="C88" s="62">
        <f t="shared" si="28"/>
        <v>0</v>
      </c>
      <c r="D88" s="67">
        <f>B2</f>
        <v>306.39999999999998</v>
      </c>
      <c r="E88" s="60">
        <f t="shared" si="34"/>
        <v>48.634920634920626</v>
      </c>
      <c r="F88" s="62">
        <f t="shared" si="29"/>
        <v>3.2</v>
      </c>
      <c r="G88" s="60">
        <f t="shared" si="35"/>
        <v>48.634920634920626</v>
      </c>
      <c r="H88" s="62">
        <f t="shared" si="30"/>
        <v>48.634920634920626</v>
      </c>
      <c r="I88" s="63">
        <f t="shared" si="36"/>
        <v>9.964350271138713E-6</v>
      </c>
      <c r="J88" s="63">
        <f t="shared" si="41"/>
        <v>1.9281017774653545E-3</v>
      </c>
      <c r="K88" s="173">
        <f t="shared" si="37"/>
        <v>1.9281017774653544</v>
      </c>
      <c r="L88" s="140">
        <f t="shared" si="38"/>
        <v>1</v>
      </c>
      <c r="M88" s="61">
        <f t="shared" si="31"/>
        <v>12.158730158730156</v>
      </c>
      <c r="N88" s="61">
        <f t="shared" si="39"/>
        <v>3.0530769230769014E-3</v>
      </c>
      <c r="O88" s="61">
        <f t="shared" si="40"/>
        <v>306.39999999999998</v>
      </c>
      <c r="P88" s="61">
        <f t="shared" si="32"/>
        <v>27.720000000000006</v>
      </c>
      <c r="Q88" s="61">
        <f t="shared" si="33"/>
        <v>12.600000000000001</v>
      </c>
    </row>
    <row r="89" spans="1:17" x14ac:dyDescent="0.35">
      <c r="A89" s="61">
        <f t="shared" si="26"/>
        <v>25.2</v>
      </c>
      <c r="B89" s="64">
        <f t="shared" si="27"/>
        <v>19.142307692307689</v>
      </c>
      <c r="C89" s="62">
        <f t="shared" si="28"/>
        <v>0</v>
      </c>
      <c r="D89" s="67">
        <f>B2</f>
        <v>306.39999999999998</v>
      </c>
      <c r="E89" s="60">
        <f t="shared" si="34"/>
        <v>50.580317460317438</v>
      </c>
      <c r="F89" s="62">
        <f t="shared" si="29"/>
        <v>3.2</v>
      </c>
      <c r="G89" s="60">
        <f t="shared" si="35"/>
        <v>50.580317460317438</v>
      </c>
      <c r="H89" s="62">
        <f t="shared" si="30"/>
        <v>50.580317460317438</v>
      </c>
      <c r="I89" s="63">
        <f t="shared" si="36"/>
        <v>9.5811060299410733E-6</v>
      </c>
      <c r="J89" s="63">
        <f t="shared" si="41"/>
        <v>1.9376828834952956E-3</v>
      </c>
      <c r="K89" s="173">
        <f t="shared" si="37"/>
        <v>1.9376828834952957</v>
      </c>
      <c r="L89" s="140">
        <f t="shared" si="38"/>
        <v>1</v>
      </c>
      <c r="M89" s="61">
        <f t="shared" si="31"/>
        <v>12.64507936507936</v>
      </c>
      <c r="N89" s="61">
        <f t="shared" si="39"/>
        <v>2.9356508875739446E-3</v>
      </c>
      <c r="O89" s="61">
        <f t="shared" si="40"/>
        <v>306.39999999999998</v>
      </c>
      <c r="P89" s="61">
        <f t="shared" si="32"/>
        <v>26.653846153846168</v>
      </c>
      <c r="Q89" s="61">
        <f t="shared" si="33"/>
        <v>12.11538461538462</v>
      </c>
    </row>
    <row r="90" spans="1:17" x14ac:dyDescent="0.35">
      <c r="A90" s="61">
        <f t="shared" si="26"/>
        <v>25.2</v>
      </c>
      <c r="B90" s="64">
        <f t="shared" si="27"/>
        <v>19.384615384615387</v>
      </c>
      <c r="C90" s="62">
        <f t="shared" si="28"/>
        <v>0</v>
      </c>
      <c r="D90" s="67">
        <f>B2</f>
        <v>306.39999999999998</v>
      </c>
      <c r="E90" s="60">
        <f t="shared" si="34"/>
        <v>52.687830687830711</v>
      </c>
      <c r="F90" s="62">
        <f t="shared" si="29"/>
        <v>3.2</v>
      </c>
      <c r="G90" s="60">
        <f t="shared" si="35"/>
        <v>52.687830687830711</v>
      </c>
      <c r="H90" s="62">
        <f t="shared" si="30"/>
        <v>52.687830687830711</v>
      </c>
      <c r="I90" s="63">
        <f t="shared" si="36"/>
        <v>9.1978617887436911E-6</v>
      </c>
      <c r="J90" s="63">
        <f t="shared" si="41"/>
        <v>1.9468807452840394E-3</v>
      </c>
      <c r="K90" s="173">
        <f t="shared" si="37"/>
        <v>1.9468807452840393</v>
      </c>
      <c r="L90" s="140">
        <f t="shared" si="38"/>
        <v>1</v>
      </c>
      <c r="M90" s="61">
        <f t="shared" si="31"/>
        <v>13.171957671957678</v>
      </c>
      <c r="N90" s="61">
        <f t="shared" si="39"/>
        <v>2.8182248520710667E-3</v>
      </c>
      <c r="O90" s="61">
        <f t="shared" si="40"/>
        <v>306.39999999999998</v>
      </c>
      <c r="P90" s="61">
        <f t="shared" si="32"/>
        <v>25.587692307692297</v>
      </c>
      <c r="Q90" s="61">
        <f t="shared" si="33"/>
        <v>11.630769230769225</v>
      </c>
    </row>
    <row r="91" spans="1:17" x14ac:dyDescent="0.35">
      <c r="A91" s="61">
        <f t="shared" si="26"/>
        <v>25.2</v>
      </c>
      <c r="B91" s="64">
        <f t="shared" si="27"/>
        <v>19.626923076923077</v>
      </c>
      <c r="C91" s="62">
        <f t="shared" si="28"/>
        <v>0</v>
      </c>
      <c r="D91" s="67">
        <f>B2</f>
        <v>306.39999999999998</v>
      </c>
      <c r="E91" s="60">
        <f t="shared" si="34"/>
        <v>54.978605935127682</v>
      </c>
      <c r="F91" s="62">
        <f t="shared" si="29"/>
        <v>3.2</v>
      </c>
      <c r="G91" s="60">
        <f t="shared" si="35"/>
        <v>54.978605935127682</v>
      </c>
      <c r="H91" s="62">
        <f t="shared" si="30"/>
        <v>54.978605935127682</v>
      </c>
      <c r="I91" s="63">
        <f t="shared" si="36"/>
        <v>8.8146175475457819E-6</v>
      </c>
      <c r="J91" s="63">
        <f t="shared" si="41"/>
        <v>1.955695362831585E-3</v>
      </c>
      <c r="K91" s="173">
        <f t="shared" si="37"/>
        <v>1.955695362831585</v>
      </c>
      <c r="L91" s="140">
        <f t="shared" si="38"/>
        <v>1</v>
      </c>
      <c r="M91" s="61">
        <f t="shared" si="31"/>
        <v>13.74465148378192</v>
      </c>
      <c r="N91" s="61">
        <f t="shared" si="39"/>
        <v>2.7007988165680275E-3</v>
      </c>
      <c r="O91" s="61">
        <f t="shared" si="40"/>
        <v>306.39999999999998</v>
      </c>
      <c r="P91" s="61">
        <f t="shared" si="32"/>
        <v>24.521538461538459</v>
      </c>
      <c r="Q91" s="61">
        <f t="shared" si="33"/>
        <v>11.146153846153844</v>
      </c>
    </row>
    <row r="92" spans="1:17" x14ac:dyDescent="0.35">
      <c r="A92" s="61">
        <f t="shared" si="26"/>
        <v>25.2</v>
      </c>
      <c r="B92" s="64">
        <f t="shared" si="27"/>
        <v>19.869230769230768</v>
      </c>
      <c r="C92" s="62">
        <f t="shared" si="28"/>
        <v>0</v>
      </c>
      <c r="D92" s="67">
        <f>B2</f>
        <v>306.39999999999998</v>
      </c>
      <c r="E92" s="60">
        <f t="shared" si="34"/>
        <v>55</v>
      </c>
      <c r="F92" s="62">
        <f t="shared" si="29"/>
        <v>3.2</v>
      </c>
      <c r="G92" s="60">
        <f t="shared" si="35"/>
        <v>55</v>
      </c>
      <c r="H92" s="62">
        <f t="shared" si="30"/>
        <v>55</v>
      </c>
      <c r="I92" s="63">
        <f t="shared" si="36"/>
        <v>8.8111888111887475E-6</v>
      </c>
      <c r="J92" s="63">
        <f t="shared" si="41"/>
        <v>1.9645065516427735E-3</v>
      </c>
      <c r="K92" s="173">
        <f t="shared" si="37"/>
        <v>1.9645065516427735</v>
      </c>
      <c r="L92" s="140">
        <f t="shared" si="38"/>
        <v>1</v>
      </c>
      <c r="M92" s="61">
        <f t="shared" si="31"/>
        <v>13.75</v>
      </c>
      <c r="N92" s="61">
        <f t="shared" si="39"/>
        <v>2.5833727810650707E-3</v>
      </c>
      <c r="O92" s="61">
        <f t="shared" si="40"/>
        <v>293.19230769230774</v>
      </c>
      <c r="P92" s="61">
        <f t="shared" si="32"/>
        <v>23.45538461538462</v>
      </c>
      <c r="Q92" s="61">
        <f t="shared" si="33"/>
        <v>10.661538461538463</v>
      </c>
    </row>
    <row r="93" spans="1:17" x14ac:dyDescent="0.35">
      <c r="A93" s="61">
        <f t="shared" si="26"/>
        <v>25.2</v>
      </c>
      <c r="B93" s="64">
        <f t="shared" si="27"/>
        <v>20.111538461538462</v>
      </c>
      <c r="C93" s="62">
        <f t="shared" si="28"/>
        <v>0</v>
      </c>
      <c r="D93" s="67">
        <f>B2</f>
        <v>306.39999999999998</v>
      </c>
      <c r="E93" s="60">
        <f t="shared" si="34"/>
        <v>55</v>
      </c>
      <c r="F93" s="62">
        <f t="shared" si="29"/>
        <v>3.2</v>
      </c>
      <c r="G93" s="60">
        <f t="shared" si="35"/>
        <v>55</v>
      </c>
      <c r="H93" s="62">
        <f t="shared" si="30"/>
        <v>55</v>
      </c>
      <c r="I93" s="63">
        <f t="shared" si="36"/>
        <v>8.8111888111888763E-6</v>
      </c>
      <c r="J93" s="63">
        <f t="shared" si="41"/>
        <v>1.9733177404539625E-3</v>
      </c>
      <c r="K93" s="173">
        <f t="shared" si="37"/>
        <v>1.9733177404539626</v>
      </c>
      <c r="L93" s="140">
        <f t="shared" si="38"/>
        <v>1</v>
      </c>
      <c r="M93" s="61">
        <f t="shared" si="31"/>
        <v>13.75</v>
      </c>
      <c r="N93" s="61">
        <f t="shared" si="39"/>
        <v>2.4659467455621477E-3</v>
      </c>
      <c r="O93" s="61">
        <f t="shared" si="40"/>
        <v>279.86538461538453</v>
      </c>
      <c r="P93" s="61">
        <f t="shared" si="32"/>
        <v>22.389230769230767</v>
      </c>
      <c r="Q93" s="61">
        <f t="shared" si="33"/>
        <v>10.176923076923075</v>
      </c>
    </row>
    <row r="94" spans="1:17" x14ac:dyDescent="0.35">
      <c r="A94" s="61">
        <f t="shared" si="26"/>
        <v>25.2</v>
      </c>
      <c r="B94" s="64">
        <f t="shared" si="27"/>
        <v>20.353846153846153</v>
      </c>
      <c r="C94" s="62">
        <f t="shared" si="28"/>
        <v>0</v>
      </c>
      <c r="D94" s="67">
        <f>B2</f>
        <v>306.39999999999998</v>
      </c>
      <c r="E94" s="60">
        <f t="shared" si="34"/>
        <v>55</v>
      </c>
      <c r="F94" s="62">
        <f t="shared" si="29"/>
        <v>3.2</v>
      </c>
      <c r="G94" s="60">
        <f t="shared" si="35"/>
        <v>55</v>
      </c>
      <c r="H94" s="62">
        <f t="shared" si="30"/>
        <v>55</v>
      </c>
      <c r="I94" s="63">
        <f t="shared" si="36"/>
        <v>8.8111888111887475E-6</v>
      </c>
      <c r="J94" s="63">
        <f t="shared" si="41"/>
        <v>1.982128929265151E-3</v>
      </c>
      <c r="K94" s="173">
        <f t="shared" si="37"/>
        <v>1.9821289292651509</v>
      </c>
      <c r="L94" s="140">
        <f t="shared" si="38"/>
        <v>1</v>
      </c>
      <c r="M94" s="61">
        <f t="shared" si="31"/>
        <v>13.75</v>
      </c>
      <c r="N94" s="61">
        <f t="shared" si="39"/>
        <v>2.3485207100591549E-3</v>
      </c>
      <c r="O94" s="61">
        <f t="shared" si="40"/>
        <v>266.53846153846155</v>
      </c>
      <c r="P94" s="61">
        <f t="shared" si="32"/>
        <v>21.323076923076925</v>
      </c>
      <c r="Q94" s="61">
        <f t="shared" si="33"/>
        <v>9.6923076923076934</v>
      </c>
    </row>
    <row r="95" spans="1:17" x14ac:dyDescent="0.35">
      <c r="A95" s="61">
        <f t="shared" si="26"/>
        <v>25.2</v>
      </c>
      <c r="B95" s="64">
        <f t="shared" si="27"/>
        <v>20.596153846153847</v>
      </c>
      <c r="C95" s="62">
        <f t="shared" si="28"/>
        <v>0</v>
      </c>
      <c r="D95" s="67">
        <f>B2</f>
        <v>306.39999999999998</v>
      </c>
      <c r="E95" s="60">
        <f t="shared" si="34"/>
        <v>55</v>
      </c>
      <c r="F95" s="62">
        <f t="shared" si="29"/>
        <v>3.2</v>
      </c>
      <c r="G95" s="60">
        <f t="shared" si="35"/>
        <v>55</v>
      </c>
      <c r="H95" s="62">
        <f t="shared" si="30"/>
        <v>55</v>
      </c>
      <c r="I95" s="63">
        <f t="shared" si="36"/>
        <v>8.8111888111888763E-6</v>
      </c>
      <c r="J95" s="63">
        <f t="shared" si="41"/>
        <v>1.99094011807634E-3</v>
      </c>
      <c r="K95" s="173">
        <f t="shared" si="37"/>
        <v>1.99094011807634</v>
      </c>
      <c r="L95" s="140">
        <f t="shared" si="38"/>
        <v>1</v>
      </c>
      <c r="M95" s="61">
        <f t="shared" si="31"/>
        <v>13.75</v>
      </c>
      <c r="N95" s="61">
        <f t="shared" si="39"/>
        <v>2.2310946745562289E-3</v>
      </c>
      <c r="O95" s="61">
        <f t="shared" si="40"/>
        <v>253.2115384615384</v>
      </c>
      <c r="P95" s="61">
        <f t="shared" si="32"/>
        <v>20.256923076923073</v>
      </c>
      <c r="Q95" s="61">
        <f t="shared" si="33"/>
        <v>9.2076923076923052</v>
      </c>
    </row>
    <row r="96" spans="1:17" x14ac:dyDescent="0.35">
      <c r="A96" s="61">
        <f t="shared" si="26"/>
        <v>25.2</v>
      </c>
      <c r="B96" s="64">
        <f t="shared" si="27"/>
        <v>20.838461538461537</v>
      </c>
      <c r="C96" s="62">
        <f t="shared" si="28"/>
        <v>0</v>
      </c>
      <c r="D96" s="67">
        <f>B2</f>
        <v>306.39999999999998</v>
      </c>
      <c r="E96" s="60">
        <f t="shared" si="34"/>
        <v>55</v>
      </c>
      <c r="F96" s="62">
        <f t="shared" si="29"/>
        <v>3.2</v>
      </c>
      <c r="G96" s="60">
        <f t="shared" si="35"/>
        <v>55</v>
      </c>
      <c r="H96" s="62">
        <f t="shared" si="30"/>
        <v>55</v>
      </c>
      <c r="I96" s="63">
        <f t="shared" si="36"/>
        <v>8.8111888111887475E-6</v>
      </c>
      <c r="J96" s="63">
        <f t="shared" si="41"/>
        <v>1.9997513068875285E-3</v>
      </c>
      <c r="K96" s="173">
        <f t="shared" si="37"/>
        <v>1.9997513068875286</v>
      </c>
      <c r="L96" s="140">
        <f t="shared" si="38"/>
        <v>1</v>
      </c>
      <c r="M96" s="61">
        <f t="shared" si="31"/>
        <v>13.75</v>
      </c>
      <c r="N96" s="61">
        <f t="shared" si="39"/>
        <v>2.1136686390532396E-3</v>
      </c>
      <c r="O96" s="61">
        <f t="shared" si="40"/>
        <v>239.88461538461542</v>
      </c>
      <c r="P96" s="61">
        <f t="shared" si="32"/>
        <v>19.190769230769234</v>
      </c>
      <c r="Q96" s="61">
        <f t="shared" si="33"/>
        <v>8.7230769230769241</v>
      </c>
    </row>
    <row r="97" spans="1:17" x14ac:dyDescent="0.35">
      <c r="A97" s="61">
        <f t="shared" si="26"/>
        <v>25.2</v>
      </c>
      <c r="B97" s="64">
        <f t="shared" si="27"/>
        <v>21.080769230769231</v>
      </c>
      <c r="C97" s="62">
        <f t="shared" si="28"/>
        <v>0</v>
      </c>
      <c r="D97" s="67">
        <f>B2</f>
        <v>306.39999999999998</v>
      </c>
      <c r="E97" s="60">
        <f t="shared" si="34"/>
        <v>55</v>
      </c>
      <c r="F97" s="62">
        <f t="shared" si="29"/>
        <v>3.2</v>
      </c>
      <c r="G97" s="60">
        <f t="shared" si="35"/>
        <v>55</v>
      </c>
      <c r="H97" s="62">
        <f t="shared" si="30"/>
        <v>55</v>
      </c>
      <c r="I97" s="63">
        <f t="shared" si="36"/>
        <v>8.8111888111888763E-6</v>
      </c>
      <c r="J97" s="63">
        <f t="shared" si="41"/>
        <v>2.0085624956987175E-3</v>
      </c>
      <c r="K97" s="173">
        <f t="shared" si="37"/>
        <v>2.0085624956987176</v>
      </c>
      <c r="L97" s="140">
        <f t="shared" si="38"/>
        <v>1</v>
      </c>
      <c r="M97" s="61">
        <f t="shared" si="31"/>
        <v>13.75</v>
      </c>
      <c r="N97" s="61">
        <f t="shared" si="39"/>
        <v>1.9962426035503101E-3</v>
      </c>
      <c r="O97" s="61">
        <f t="shared" si="40"/>
        <v>226.55769230769224</v>
      </c>
      <c r="P97" s="61">
        <f t="shared" si="32"/>
        <v>18.124615384615382</v>
      </c>
      <c r="Q97" s="61">
        <f t="shared" si="33"/>
        <v>8.2384615384615358</v>
      </c>
    </row>
    <row r="98" spans="1:17" x14ac:dyDescent="0.35">
      <c r="A98" s="61">
        <f t="shared" si="26"/>
        <v>25.2</v>
      </c>
      <c r="B98" s="64">
        <f t="shared" si="27"/>
        <v>21.323076923076922</v>
      </c>
      <c r="C98" s="62">
        <f t="shared" si="28"/>
        <v>0</v>
      </c>
      <c r="D98" s="67">
        <f>B2</f>
        <v>306.39999999999998</v>
      </c>
      <c r="E98" s="60">
        <f t="shared" si="34"/>
        <v>55</v>
      </c>
      <c r="F98" s="62">
        <f t="shared" si="29"/>
        <v>3.2</v>
      </c>
      <c r="G98" s="60">
        <f t="shared" si="35"/>
        <v>55</v>
      </c>
      <c r="H98" s="62">
        <f t="shared" si="30"/>
        <v>55</v>
      </c>
      <c r="I98" s="63">
        <f t="shared" si="36"/>
        <v>8.8111888111887475E-6</v>
      </c>
      <c r="J98" s="63">
        <f t="shared" si="41"/>
        <v>2.017373684509906E-3</v>
      </c>
      <c r="K98" s="173">
        <f t="shared" si="37"/>
        <v>2.0173736845099062</v>
      </c>
      <c r="L98" s="140">
        <f t="shared" si="38"/>
        <v>1</v>
      </c>
      <c r="M98" s="61">
        <f t="shared" si="31"/>
        <v>13.75</v>
      </c>
      <c r="N98" s="61">
        <f t="shared" si="39"/>
        <v>1.878816568047324E-3</v>
      </c>
      <c r="O98" s="61">
        <f t="shared" si="40"/>
        <v>213.23076923076925</v>
      </c>
      <c r="P98" s="61">
        <f t="shared" si="32"/>
        <v>17.058461538461543</v>
      </c>
      <c r="Q98" s="61">
        <f t="shared" si="33"/>
        <v>7.7538461538461547</v>
      </c>
    </row>
    <row r="99" spans="1:17" x14ac:dyDescent="0.35">
      <c r="A99" s="61">
        <f t="shared" si="26"/>
        <v>25.2</v>
      </c>
      <c r="B99" s="64">
        <f t="shared" si="27"/>
        <v>21.565384615384612</v>
      </c>
      <c r="C99" s="62">
        <f t="shared" si="28"/>
        <v>0</v>
      </c>
      <c r="D99" s="67">
        <f>B2</f>
        <v>306.39999999999998</v>
      </c>
      <c r="E99" s="60">
        <f t="shared" si="34"/>
        <v>55</v>
      </c>
      <c r="F99" s="62">
        <f t="shared" si="29"/>
        <v>3.2</v>
      </c>
      <c r="G99" s="60">
        <f t="shared" si="35"/>
        <v>55</v>
      </c>
      <c r="H99" s="62">
        <f t="shared" si="30"/>
        <v>55</v>
      </c>
      <c r="I99" s="63">
        <f t="shared" si="36"/>
        <v>8.8111888111887475E-6</v>
      </c>
      <c r="J99" s="63">
        <f t="shared" si="41"/>
        <v>2.0261848733210946E-3</v>
      </c>
      <c r="K99" s="173">
        <f t="shared" si="37"/>
        <v>2.0261848733210948</v>
      </c>
      <c r="L99" s="140">
        <f t="shared" si="38"/>
        <v>1</v>
      </c>
      <c r="M99" s="61">
        <f t="shared" si="31"/>
        <v>13.75</v>
      </c>
      <c r="N99" s="61">
        <f t="shared" si="39"/>
        <v>1.7613905325443672E-3</v>
      </c>
      <c r="O99" s="61">
        <f t="shared" si="40"/>
        <v>199.90384615384627</v>
      </c>
      <c r="P99" s="61">
        <f t="shared" si="32"/>
        <v>15.992307692307703</v>
      </c>
      <c r="Q99" s="61">
        <f t="shared" si="33"/>
        <v>7.2692307692307736</v>
      </c>
    </row>
    <row r="100" spans="1:17" x14ac:dyDescent="0.35">
      <c r="A100" s="61">
        <f t="shared" si="26"/>
        <v>25.2</v>
      </c>
      <c r="B100" s="64">
        <f t="shared" si="27"/>
        <v>21.807692307692307</v>
      </c>
      <c r="C100" s="62">
        <f t="shared" si="28"/>
        <v>0</v>
      </c>
      <c r="D100" s="67">
        <f>B2</f>
        <v>306.39999999999998</v>
      </c>
      <c r="E100" s="60">
        <f t="shared" si="34"/>
        <v>55</v>
      </c>
      <c r="F100" s="62">
        <f t="shared" si="29"/>
        <v>3.2</v>
      </c>
      <c r="G100" s="60">
        <f t="shared" si="35"/>
        <v>55</v>
      </c>
      <c r="H100" s="62">
        <f t="shared" si="30"/>
        <v>55</v>
      </c>
      <c r="I100" s="63">
        <f t="shared" si="36"/>
        <v>8.8111888111888763E-6</v>
      </c>
      <c r="J100" s="63">
        <f t="shared" si="41"/>
        <v>2.0349960621322835E-3</v>
      </c>
      <c r="K100" s="173">
        <f t="shared" si="37"/>
        <v>2.0349960621322833</v>
      </c>
      <c r="L100" s="140">
        <f t="shared" si="38"/>
        <v>1</v>
      </c>
      <c r="M100" s="61">
        <f t="shared" si="31"/>
        <v>13.75</v>
      </c>
      <c r="N100" s="61">
        <f t="shared" si="39"/>
        <v>1.6439644970414325E-3</v>
      </c>
      <c r="O100" s="61">
        <f t="shared" si="40"/>
        <v>186.57692307692309</v>
      </c>
      <c r="P100" s="61">
        <f t="shared" si="32"/>
        <v>14.926153846153849</v>
      </c>
      <c r="Q100" s="61">
        <f t="shared" si="33"/>
        <v>6.7846153846153854</v>
      </c>
    </row>
    <row r="101" spans="1:17" x14ac:dyDescent="0.35">
      <c r="A101" s="61">
        <f t="shared" si="26"/>
        <v>25.2</v>
      </c>
      <c r="B101" s="64">
        <f t="shared" si="27"/>
        <v>22.05</v>
      </c>
      <c r="C101" s="62">
        <f t="shared" si="28"/>
        <v>0</v>
      </c>
      <c r="D101" s="67">
        <f>B2</f>
        <v>306.39999999999998</v>
      </c>
      <c r="E101" s="60">
        <f t="shared" si="34"/>
        <v>55</v>
      </c>
      <c r="F101" s="62">
        <f t="shared" si="29"/>
        <v>3.2</v>
      </c>
      <c r="G101" s="60">
        <f t="shared" si="35"/>
        <v>55</v>
      </c>
      <c r="H101" s="62">
        <f t="shared" si="30"/>
        <v>55</v>
      </c>
      <c r="I101" s="63">
        <f t="shared" si="36"/>
        <v>8.8111888111888763E-6</v>
      </c>
      <c r="J101" s="63">
        <f t="shared" si="41"/>
        <v>2.0438072509434725E-3</v>
      </c>
      <c r="K101" s="173">
        <f t="shared" si="37"/>
        <v>2.0438072509434724</v>
      </c>
      <c r="L101" s="140">
        <f t="shared" si="38"/>
        <v>1</v>
      </c>
      <c r="M101" s="61">
        <f t="shared" si="31"/>
        <v>13.75</v>
      </c>
      <c r="N101" s="61">
        <f t="shared" si="39"/>
        <v>1.5265384615384722E-3</v>
      </c>
      <c r="O101" s="61">
        <f t="shared" si="40"/>
        <v>173.24999999999991</v>
      </c>
      <c r="P101" s="61">
        <f t="shared" si="32"/>
        <v>13.859999999999994</v>
      </c>
      <c r="Q101" s="61">
        <f t="shared" si="33"/>
        <v>6.2999999999999972</v>
      </c>
    </row>
    <row r="102" spans="1:17" x14ac:dyDescent="0.35">
      <c r="A102" s="61">
        <f t="shared" si="26"/>
        <v>25.2</v>
      </c>
      <c r="B102" s="64">
        <f t="shared" si="27"/>
        <v>22.292307692307691</v>
      </c>
      <c r="C102" s="62">
        <f t="shared" si="28"/>
        <v>0</v>
      </c>
      <c r="D102" s="67">
        <f>B2</f>
        <v>306.39999999999998</v>
      </c>
      <c r="E102" s="60">
        <f t="shared" si="34"/>
        <v>55</v>
      </c>
      <c r="F102" s="62">
        <f t="shared" si="29"/>
        <v>3.2</v>
      </c>
      <c r="G102" s="60">
        <f t="shared" si="35"/>
        <v>55</v>
      </c>
      <c r="H102" s="62">
        <f t="shared" si="30"/>
        <v>55</v>
      </c>
      <c r="I102" s="63">
        <f t="shared" si="36"/>
        <v>8.8111888111887475E-6</v>
      </c>
      <c r="J102" s="63">
        <f t="shared" si="41"/>
        <v>2.052618439754661E-3</v>
      </c>
      <c r="K102" s="173">
        <f t="shared" si="37"/>
        <v>2.052618439754661</v>
      </c>
      <c r="L102" s="140">
        <f t="shared" si="38"/>
        <v>1</v>
      </c>
      <c r="M102" s="61">
        <f t="shared" si="31"/>
        <v>13.75</v>
      </c>
      <c r="N102" s="61">
        <f t="shared" si="39"/>
        <v>1.409112426035493E-3</v>
      </c>
      <c r="O102" s="61">
        <f t="shared" si="40"/>
        <v>159.92307692307693</v>
      </c>
      <c r="P102" s="61">
        <f t="shared" si="32"/>
        <v>12.793846153846156</v>
      </c>
      <c r="Q102" s="61">
        <f t="shared" si="33"/>
        <v>5.815384615384616</v>
      </c>
    </row>
    <row r="103" spans="1:17" x14ac:dyDescent="0.35">
      <c r="A103" s="61">
        <f t="shared" si="26"/>
        <v>25.2</v>
      </c>
      <c r="B103" s="64">
        <f t="shared" si="27"/>
        <v>22.534615384615385</v>
      </c>
      <c r="C103" s="62">
        <f t="shared" si="28"/>
        <v>0</v>
      </c>
      <c r="D103" s="67">
        <f>B2</f>
        <v>306.39999999999998</v>
      </c>
      <c r="E103" s="60">
        <f t="shared" si="34"/>
        <v>55</v>
      </c>
      <c r="F103" s="62">
        <f t="shared" si="29"/>
        <v>3.2</v>
      </c>
      <c r="G103" s="60">
        <f t="shared" si="35"/>
        <v>55</v>
      </c>
      <c r="H103" s="62">
        <f t="shared" si="30"/>
        <v>55</v>
      </c>
      <c r="I103" s="63">
        <f t="shared" si="36"/>
        <v>8.8111888111888763E-6</v>
      </c>
      <c r="J103" s="63">
        <f t="shared" si="41"/>
        <v>2.06142962856585E-3</v>
      </c>
      <c r="K103" s="173">
        <f t="shared" si="37"/>
        <v>2.06142962856585</v>
      </c>
      <c r="L103" s="140">
        <f t="shared" si="38"/>
        <v>1</v>
      </c>
      <c r="M103" s="61">
        <f t="shared" si="31"/>
        <v>13.75</v>
      </c>
      <c r="N103" s="61">
        <f t="shared" si="39"/>
        <v>1.2916863905325531E-3</v>
      </c>
      <c r="O103" s="61">
        <f t="shared" si="40"/>
        <v>146.59615384615375</v>
      </c>
      <c r="P103" s="61">
        <f t="shared" si="32"/>
        <v>11.727692307692303</v>
      </c>
      <c r="Q103" s="61">
        <f t="shared" si="33"/>
        <v>5.3307692307692278</v>
      </c>
    </row>
    <row r="104" spans="1:17" x14ac:dyDescent="0.35">
      <c r="A104" s="61">
        <f t="shared" si="26"/>
        <v>25.2</v>
      </c>
      <c r="B104" s="64">
        <f t="shared" si="27"/>
        <v>22.776923076923076</v>
      </c>
      <c r="C104" s="62">
        <f t="shared" si="28"/>
        <v>0</v>
      </c>
      <c r="D104" s="67">
        <f>B2</f>
        <v>306.39999999999998</v>
      </c>
      <c r="E104" s="60">
        <f t="shared" si="34"/>
        <v>55</v>
      </c>
      <c r="F104" s="62">
        <f t="shared" si="29"/>
        <v>3.2</v>
      </c>
      <c r="G104" s="60">
        <f t="shared" si="35"/>
        <v>55</v>
      </c>
      <c r="H104" s="62">
        <f t="shared" si="30"/>
        <v>55</v>
      </c>
      <c r="I104" s="63">
        <f t="shared" si="36"/>
        <v>8.8111888111887475E-6</v>
      </c>
      <c r="J104" s="63">
        <f t="shared" si="41"/>
        <v>2.0702408173770386E-3</v>
      </c>
      <c r="K104" s="173">
        <f t="shared" si="37"/>
        <v>2.0702408173770386</v>
      </c>
      <c r="L104" s="140">
        <f t="shared" si="38"/>
        <v>1</v>
      </c>
      <c r="M104" s="61">
        <f t="shared" si="31"/>
        <v>13.75</v>
      </c>
      <c r="N104" s="61">
        <f t="shared" si="39"/>
        <v>1.1742603550295775E-3</v>
      </c>
      <c r="O104" s="61">
        <f t="shared" si="40"/>
        <v>133.26923076923077</v>
      </c>
      <c r="P104" s="61">
        <f t="shared" si="32"/>
        <v>10.661538461538463</v>
      </c>
      <c r="Q104" s="61">
        <f t="shared" si="33"/>
        <v>4.8461538461538467</v>
      </c>
    </row>
    <row r="105" spans="1:17" x14ac:dyDescent="0.35">
      <c r="A105" s="61">
        <f t="shared" si="26"/>
        <v>25.2</v>
      </c>
      <c r="B105" s="64">
        <f t="shared" si="27"/>
        <v>23.019230769230766</v>
      </c>
      <c r="C105" s="62">
        <f t="shared" si="28"/>
        <v>0</v>
      </c>
      <c r="D105" s="67">
        <f>B2</f>
        <v>306.39999999999998</v>
      </c>
      <c r="E105" s="60">
        <f t="shared" si="34"/>
        <v>55</v>
      </c>
      <c r="F105" s="62">
        <f t="shared" si="29"/>
        <v>3.2</v>
      </c>
      <c r="G105" s="60">
        <f t="shared" si="35"/>
        <v>55</v>
      </c>
      <c r="H105" s="62">
        <f t="shared" si="30"/>
        <v>55</v>
      </c>
      <c r="I105" s="63">
        <f t="shared" si="36"/>
        <v>8.8111888111887475E-6</v>
      </c>
      <c r="J105" s="63">
        <f t="shared" si="41"/>
        <v>2.0790520061882271E-3</v>
      </c>
      <c r="K105" s="173">
        <f t="shared" si="37"/>
        <v>2.0790520061882272</v>
      </c>
      <c r="L105" s="140">
        <f t="shared" si="38"/>
        <v>1</v>
      </c>
      <c r="M105" s="61">
        <f t="shared" si="31"/>
        <v>13.75</v>
      </c>
      <c r="N105" s="61">
        <f t="shared" si="39"/>
        <v>1.0568343195266206E-3</v>
      </c>
      <c r="O105" s="61">
        <f t="shared" si="40"/>
        <v>119.94230769230781</v>
      </c>
      <c r="P105" s="61">
        <f t="shared" si="32"/>
        <v>9.5953846153846243</v>
      </c>
      <c r="Q105" s="61">
        <f t="shared" si="33"/>
        <v>4.3615384615384656</v>
      </c>
    </row>
    <row r="106" spans="1:17" x14ac:dyDescent="0.35">
      <c r="A106" s="61">
        <f t="shared" ref="A106:A114" si="42">VINMAX</f>
        <v>25.2</v>
      </c>
      <c r="B106" s="64">
        <f t="shared" ref="B106:B114" si="43">VINMAX*((ROW()-10)/104)</f>
        <v>23.261538461538461</v>
      </c>
      <c r="C106" s="62">
        <f t="shared" ref="C106:C110" si="44">IF(B106&gt;=$H$2,IF($D$2="CC", $G$2, B106/$G$2), 0)</f>
        <v>0</v>
      </c>
      <c r="D106" s="67">
        <f>B2</f>
        <v>306.39999999999998</v>
      </c>
      <c r="E106" s="60">
        <f t="shared" si="34"/>
        <v>55</v>
      </c>
      <c r="F106" s="62">
        <f t="shared" ref="F106:F110" si="45">I_Cout_ss+C106</f>
        <v>3.2</v>
      </c>
      <c r="G106" s="60">
        <f t="shared" si="35"/>
        <v>55</v>
      </c>
      <c r="H106" s="62">
        <f t="shared" ref="H106:H110" si="46">G106-C106</f>
        <v>55</v>
      </c>
      <c r="I106" s="63">
        <f t="shared" si="36"/>
        <v>8.8111888111888763E-6</v>
      </c>
      <c r="J106" s="63">
        <f t="shared" si="41"/>
        <v>2.0878631949994161E-3</v>
      </c>
      <c r="K106" s="173">
        <f t="shared" si="37"/>
        <v>2.0878631949994162</v>
      </c>
      <c r="L106" s="140">
        <f t="shared" si="38"/>
        <v>1</v>
      </c>
      <c r="M106" s="61">
        <f t="shared" ref="M106:M114" si="47">1/COUTMAX*(E106/2-C106)*1000</f>
        <v>13.75</v>
      </c>
      <c r="N106" s="61">
        <f t="shared" si="39"/>
        <v>9.3940828402367565E-4</v>
      </c>
      <c r="O106" s="61">
        <f t="shared" si="40"/>
        <v>106.61538461538463</v>
      </c>
      <c r="P106" s="61">
        <f t="shared" ref="P106:P114" si="48">(A106-B106)*(I_Cout_ss*$Q$2+C106)</f>
        <v>8.5292307692307716</v>
      </c>
      <c r="Q106" s="61">
        <f t="shared" ref="Q106:Q114" si="49">(A106-B106)*(I_Cout_ss*$R$2+C106)</f>
        <v>3.8769230769230774</v>
      </c>
    </row>
    <row r="107" spans="1:17" x14ac:dyDescent="0.35">
      <c r="A107" s="61">
        <f t="shared" si="42"/>
        <v>25.2</v>
      </c>
      <c r="B107" s="64">
        <f t="shared" si="43"/>
        <v>23.503846153846155</v>
      </c>
      <c r="C107" s="62">
        <f t="shared" si="44"/>
        <v>0</v>
      </c>
      <c r="D107" s="67">
        <f>B2</f>
        <v>306.39999999999998</v>
      </c>
      <c r="E107" s="60">
        <f t="shared" si="34"/>
        <v>55</v>
      </c>
      <c r="F107" s="62">
        <f t="shared" si="45"/>
        <v>3.2</v>
      </c>
      <c r="G107" s="60">
        <f t="shared" si="35"/>
        <v>55</v>
      </c>
      <c r="H107" s="62">
        <f t="shared" si="46"/>
        <v>55</v>
      </c>
      <c r="I107" s="63">
        <f t="shared" ref="I107:I110" si="50">(COUTMAX/1000000)*(B107-B106)/H107</f>
        <v>8.8111888111888763E-6</v>
      </c>
      <c r="J107" s="63">
        <f t="shared" si="41"/>
        <v>2.096674383810605E-3</v>
      </c>
      <c r="K107" s="173">
        <f t="shared" si="37"/>
        <v>2.0966743838106052</v>
      </c>
      <c r="L107" s="140">
        <f t="shared" si="38"/>
        <v>1</v>
      </c>
      <c r="M107" s="61">
        <f t="shared" si="47"/>
        <v>13.75</v>
      </c>
      <c r="N107" s="61">
        <f t="shared" si="39"/>
        <v>8.2198224852071536E-4</v>
      </c>
      <c r="O107" s="61">
        <f t="shared" si="40"/>
        <v>93.288461538461448</v>
      </c>
      <c r="P107" s="61">
        <f t="shared" si="48"/>
        <v>7.4630769230769163</v>
      </c>
      <c r="Q107" s="61">
        <f t="shared" si="49"/>
        <v>3.3923076923076891</v>
      </c>
    </row>
    <row r="108" spans="1:17" x14ac:dyDescent="0.35">
      <c r="A108" s="61">
        <f t="shared" si="42"/>
        <v>25.2</v>
      </c>
      <c r="B108" s="64">
        <f t="shared" si="43"/>
        <v>23.746153846153845</v>
      </c>
      <c r="C108" s="62">
        <f t="shared" si="44"/>
        <v>0</v>
      </c>
      <c r="D108" s="67">
        <f>B2</f>
        <v>306.39999999999998</v>
      </c>
      <c r="E108" s="60">
        <f t="shared" si="34"/>
        <v>55</v>
      </c>
      <c r="F108" s="62">
        <f t="shared" si="45"/>
        <v>3.2</v>
      </c>
      <c r="G108" s="60">
        <f t="shared" si="35"/>
        <v>55</v>
      </c>
      <c r="H108" s="62">
        <f t="shared" si="46"/>
        <v>55</v>
      </c>
      <c r="I108" s="63">
        <f t="shared" si="50"/>
        <v>8.8111888111887475E-6</v>
      </c>
      <c r="J108" s="63">
        <f t="shared" si="41"/>
        <v>2.1054855726217936E-3</v>
      </c>
      <c r="K108" s="173">
        <f t="shared" si="37"/>
        <v>2.1054855726217934</v>
      </c>
      <c r="L108" s="140">
        <f t="shared" si="38"/>
        <v>1</v>
      </c>
      <c r="M108" s="61">
        <f t="shared" si="47"/>
        <v>13.75</v>
      </c>
      <c r="N108" s="61">
        <f t="shared" si="39"/>
        <v>7.0455621301774652E-4</v>
      </c>
      <c r="O108" s="61">
        <f t="shared" si="40"/>
        <v>79.961538461538467</v>
      </c>
      <c r="P108" s="61">
        <f t="shared" si="48"/>
        <v>6.3969230769230778</v>
      </c>
      <c r="Q108" s="61">
        <f t="shared" si="49"/>
        <v>2.907692307692308</v>
      </c>
    </row>
    <row r="109" spans="1:17" x14ac:dyDescent="0.35">
      <c r="A109" s="61">
        <f t="shared" si="42"/>
        <v>25.2</v>
      </c>
      <c r="B109" s="64">
        <f t="shared" si="43"/>
        <v>23.988461538461536</v>
      </c>
      <c r="C109" s="62">
        <f t="shared" si="44"/>
        <v>0</v>
      </c>
      <c r="D109" s="67">
        <f>B2</f>
        <v>306.39999999999998</v>
      </c>
      <c r="E109" s="60">
        <f t="shared" si="34"/>
        <v>55</v>
      </c>
      <c r="F109" s="62">
        <f t="shared" si="45"/>
        <v>3.2</v>
      </c>
      <c r="G109" s="60">
        <f t="shared" si="35"/>
        <v>55</v>
      </c>
      <c r="H109" s="62">
        <f t="shared" si="46"/>
        <v>55</v>
      </c>
      <c r="I109" s="63">
        <f t="shared" si="50"/>
        <v>8.8111888111887475E-6</v>
      </c>
      <c r="J109" s="63">
        <f t="shared" si="41"/>
        <v>2.1142967614329821E-3</v>
      </c>
      <c r="K109" s="173">
        <f t="shared" si="37"/>
        <v>2.114296761432982</v>
      </c>
      <c r="L109" s="140">
        <f t="shared" si="38"/>
        <v>1</v>
      </c>
      <c r="M109" s="61">
        <f t="shared" si="47"/>
        <v>13.75</v>
      </c>
      <c r="N109" s="61">
        <f t="shared" si="39"/>
        <v>5.871301775147896E-4</v>
      </c>
      <c r="O109" s="61">
        <f t="shared" si="40"/>
        <v>66.634615384615486</v>
      </c>
      <c r="P109" s="61">
        <f t="shared" si="48"/>
        <v>5.3307692307692394</v>
      </c>
      <c r="Q109" s="61">
        <f t="shared" si="49"/>
        <v>2.4230769230769269</v>
      </c>
    </row>
    <row r="110" spans="1:17" x14ac:dyDescent="0.35">
      <c r="A110" s="61">
        <f t="shared" si="42"/>
        <v>25.2</v>
      </c>
      <c r="B110" s="64">
        <f t="shared" si="43"/>
        <v>24.23076923076923</v>
      </c>
      <c r="C110" s="62">
        <f t="shared" si="44"/>
        <v>0</v>
      </c>
      <c r="D110" s="67">
        <f>B2</f>
        <v>306.39999999999998</v>
      </c>
      <c r="E110" s="60">
        <f t="shared" si="34"/>
        <v>55</v>
      </c>
      <c r="F110" s="62">
        <f t="shared" si="45"/>
        <v>3.2</v>
      </c>
      <c r="G110" s="60">
        <f t="shared" si="35"/>
        <v>55</v>
      </c>
      <c r="H110" s="62">
        <f t="shared" si="46"/>
        <v>55</v>
      </c>
      <c r="I110" s="63">
        <f t="shared" si="50"/>
        <v>8.8111888111888763E-6</v>
      </c>
      <c r="J110" s="63">
        <f t="shared" si="41"/>
        <v>2.1231079502441711E-3</v>
      </c>
      <c r="K110" s="173">
        <f t="shared" si="37"/>
        <v>2.123107950244171</v>
      </c>
      <c r="L110" s="140">
        <f t="shared" si="38"/>
        <v>1</v>
      </c>
      <c r="M110" s="61">
        <f t="shared" si="47"/>
        <v>13.75</v>
      </c>
      <c r="N110" s="61">
        <f t="shared" si="39"/>
        <v>4.6970414201183782E-4</v>
      </c>
      <c r="O110" s="61">
        <f t="shared" si="40"/>
        <v>53.307692307692314</v>
      </c>
      <c r="P110" s="61">
        <f t="shared" si="48"/>
        <v>4.2646153846153858</v>
      </c>
      <c r="Q110" s="61">
        <f t="shared" si="49"/>
        <v>1.9384615384615387</v>
      </c>
    </row>
    <row r="111" spans="1:17" x14ac:dyDescent="0.35">
      <c r="A111" s="61">
        <f t="shared" si="42"/>
        <v>25.2</v>
      </c>
      <c r="B111" s="64">
        <f t="shared" si="43"/>
        <v>24.473076923076921</v>
      </c>
      <c r="C111" s="62">
        <f>IF(B111&gt;=$H$2,IF($D$2="CC", $G$2, B111/$G$2), 0)</f>
        <v>0</v>
      </c>
      <c r="D111" s="67">
        <f>B2</f>
        <v>306.39999999999998</v>
      </c>
      <c r="E111" s="60">
        <f>$C$2</f>
        <v>55</v>
      </c>
      <c r="F111" s="62">
        <f>I_Cout_ss+C111</f>
        <v>3.2</v>
      </c>
      <c r="G111" s="60">
        <f>IF($F$2="YES", F111, E111)</f>
        <v>55</v>
      </c>
      <c r="H111" s="62">
        <f>G111-C111</f>
        <v>55</v>
      </c>
      <c r="I111" s="63">
        <f>(COUTMAX/1000000)*(B111-B110)/H111</f>
        <v>8.8111888111887475E-6</v>
      </c>
      <c r="J111" s="63">
        <f>J110+I111</f>
        <v>2.1319191390553596E-3</v>
      </c>
      <c r="K111" s="173">
        <f t="shared" si="37"/>
        <v>2.1319191390553596</v>
      </c>
      <c r="L111" s="140">
        <f>H111/G111</f>
        <v>1</v>
      </c>
      <c r="M111" s="61">
        <f t="shared" si="47"/>
        <v>13.75</v>
      </c>
      <c r="N111" s="61">
        <f>I111*G111*(A111-B111)</f>
        <v>3.5227810650887413E-4</v>
      </c>
      <c r="O111" s="61">
        <f t="shared" si="40"/>
        <v>39.980769230769333</v>
      </c>
      <c r="P111" s="61">
        <f t="shared" si="48"/>
        <v>3.1984615384615469</v>
      </c>
      <c r="Q111" s="61">
        <f t="shared" si="49"/>
        <v>1.4538461538461576</v>
      </c>
    </row>
    <row r="112" spans="1:17" x14ac:dyDescent="0.35">
      <c r="A112" s="61">
        <f t="shared" si="42"/>
        <v>25.2</v>
      </c>
      <c r="B112" s="64">
        <f t="shared" si="43"/>
        <v>24.715384615384615</v>
      </c>
      <c r="C112" s="62">
        <f>IF(B112&gt;=$H$2,IF($D$2="CC", $G$2, B112/$G$2), 0)</f>
        <v>0</v>
      </c>
      <c r="D112" s="67">
        <f>B2</f>
        <v>306.39999999999998</v>
      </c>
      <c r="E112" s="60">
        <f>$C$2</f>
        <v>55</v>
      </c>
      <c r="F112" s="62">
        <f t="shared" ref="F112:F113" si="51">I_Cout_ss+C112</f>
        <v>3.2</v>
      </c>
      <c r="G112" s="60">
        <f t="shared" ref="G112:G113" si="52">IF($F$2="YES", F112, E112)</f>
        <v>55</v>
      </c>
      <c r="H112" s="62">
        <f t="shared" ref="H112:H113" si="53">G112-C112</f>
        <v>55</v>
      </c>
      <c r="I112" s="63">
        <f t="shared" ref="I112:I113" si="54">(COUTMAX/1000000)*(B112-B111)/H112</f>
        <v>8.8111888111888763E-6</v>
      </c>
      <c r="J112" s="63">
        <f t="shared" ref="J112:J113" si="55">J111+I112</f>
        <v>2.1407303278665486E-3</v>
      </c>
      <c r="K112" s="173">
        <f t="shared" si="37"/>
        <v>2.1407303278665486</v>
      </c>
      <c r="L112" s="140">
        <f t="shared" ref="L112:L113" si="56">H112/G112</f>
        <v>1</v>
      </c>
      <c r="M112" s="61">
        <f t="shared" si="47"/>
        <v>13.75</v>
      </c>
      <c r="N112" s="61">
        <f t="shared" ref="N112:N113" si="57">I112*G112*(A112-B112)</f>
        <v>2.3485207100591891E-4</v>
      </c>
      <c r="O112" s="61">
        <f t="shared" si="40"/>
        <v>26.653846153846157</v>
      </c>
      <c r="P112" s="61">
        <f t="shared" si="48"/>
        <v>2.1323076923076929</v>
      </c>
      <c r="Q112" s="61">
        <f t="shared" si="49"/>
        <v>0.96923076923076934</v>
      </c>
    </row>
    <row r="113" spans="1:17" x14ac:dyDescent="0.35">
      <c r="A113" s="61">
        <f t="shared" si="42"/>
        <v>25.2</v>
      </c>
      <c r="B113" s="64">
        <f t="shared" si="43"/>
        <v>24.957692307692309</v>
      </c>
      <c r="C113" s="62">
        <f>IF(B113&gt;=$H$2,IF($D$2="CC", $G$2, B113/$G$2), 0)</f>
        <v>0</v>
      </c>
      <c r="D113" s="67">
        <f>B2</f>
        <v>306.39999999999998</v>
      </c>
      <c r="E113" s="60">
        <f>$C$2</f>
        <v>55</v>
      </c>
      <c r="F113" s="62">
        <f t="shared" si="51"/>
        <v>3.2</v>
      </c>
      <c r="G113" s="60">
        <f t="shared" si="52"/>
        <v>55</v>
      </c>
      <c r="H113" s="62">
        <f t="shared" si="53"/>
        <v>55</v>
      </c>
      <c r="I113" s="63">
        <f t="shared" si="54"/>
        <v>8.8111888111888763E-6</v>
      </c>
      <c r="J113" s="63">
        <f t="shared" si="55"/>
        <v>2.1495415166777375E-3</v>
      </c>
      <c r="K113" s="173">
        <f t="shared" si="37"/>
        <v>2.1495415166777376</v>
      </c>
      <c r="L113" s="140">
        <f t="shared" si="56"/>
        <v>1</v>
      </c>
      <c r="M113" s="61">
        <f t="shared" si="47"/>
        <v>13.75</v>
      </c>
      <c r="N113" s="61">
        <f t="shared" si="57"/>
        <v>1.174260355029586E-4</v>
      </c>
      <c r="O113" s="61">
        <f t="shared" si="40"/>
        <v>13.326923076922981</v>
      </c>
      <c r="P113" s="61">
        <f t="shared" si="48"/>
        <v>1.0661538461538385</v>
      </c>
      <c r="Q113" s="61">
        <f t="shared" si="49"/>
        <v>0.48461538461538112</v>
      </c>
    </row>
    <row r="114" spans="1:17" x14ac:dyDescent="0.35">
      <c r="A114" s="61">
        <f t="shared" si="42"/>
        <v>25.2</v>
      </c>
      <c r="B114" s="64">
        <f t="shared" si="43"/>
        <v>25.2</v>
      </c>
      <c r="C114" s="62">
        <f>IF(B114&gt;=$H$2,IF($D$2="CC", $G$2, B114/$G$2), 0)</f>
        <v>0</v>
      </c>
      <c r="D114" s="67">
        <f>B2</f>
        <v>306.39999999999998</v>
      </c>
      <c r="E114" s="60">
        <f>$C$2</f>
        <v>55</v>
      </c>
      <c r="F114" s="62">
        <f t="shared" ref="F114" si="58">I_Cout_ss+C114</f>
        <v>3.2</v>
      </c>
      <c r="G114" s="60">
        <f t="shared" ref="G114" si="59">IF($F$2="YES", F114, E114)</f>
        <v>55</v>
      </c>
      <c r="H114" s="62">
        <f t="shared" ref="H114" si="60">G114-C114</f>
        <v>55</v>
      </c>
      <c r="I114" s="63">
        <f t="shared" ref="I114" si="61">(COUTMAX/1000000)*(B114-B113)/H114</f>
        <v>8.8111888111887475E-6</v>
      </c>
      <c r="J114" s="63">
        <f t="shared" ref="J114" si="62">J113+I114</f>
        <v>2.1583527054889261E-3</v>
      </c>
      <c r="K114" s="173">
        <f t="shared" si="37"/>
        <v>2.1583527054889262</v>
      </c>
      <c r="L114" s="140">
        <f t="shared" ref="L114" si="63">H114/G114</f>
        <v>1</v>
      </c>
      <c r="M114" s="61">
        <f t="shared" si="47"/>
        <v>13.75</v>
      </c>
      <c r="N114" s="61">
        <f t="shared" ref="N114" si="64">I114*G114*(A114-B114)</f>
        <v>0</v>
      </c>
      <c r="O114" s="61">
        <f t="shared" si="40"/>
        <v>0</v>
      </c>
      <c r="P114" s="61">
        <f t="shared" si="48"/>
        <v>0</v>
      </c>
      <c r="Q114" s="61">
        <f t="shared" si="49"/>
        <v>0</v>
      </c>
    </row>
    <row r="115" spans="1:17" x14ac:dyDescent="0.35">
      <c r="K115" s="174">
        <f>K114+0.5</f>
        <v>2.6583527054889262</v>
      </c>
      <c r="N115" s="61">
        <v>0</v>
      </c>
      <c r="O115" s="61">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U69"/>
  <sheetViews>
    <sheetView topLeftCell="A10" zoomScale="85" zoomScaleNormal="85" workbookViewId="0">
      <selection activeCell="R19" sqref="R19"/>
    </sheetView>
  </sheetViews>
  <sheetFormatPr defaultRowHeight="12.75" x14ac:dyDescent="0.35"/>
  <cols>
    <col min="1" max="1" width="19.73046875" customWidth="1"/>
    <col min="2" max="2" width="17.265625" customWidth="1"/>
    <col min="3" max="3" width="13.1328125" customWidth="1"/>
    <col min="4" max="4" width="16" customWidth="1"/>
    <col min="5" max="6" width="17.73046875" customWidth="1"/>
    <col min="7" max="7" width="31.59765625" customWidth="1"/>
    <col min="8" max="8" width="20" customWidth="1"/>
    <col min="13" max="13" width="12.86328125" customWidth="1"/>
    <col min="15" max="15" width="17.265625" customWidth="1"/>
    <col min="17" max="17" width="13.265625" customWidth="1"/>
    <col min="18" max="18" width="16.86328125" customWidth="1"/>
    <col min="20" max="20" width="13" customWidth="1"/>
    <col min="21" max="21" width="10.1328125" customWidth="1"/>
  </cols>
  <sheetData>
    <row r="2" spans="1:21" x14ac:dyDescent="0.35">
      <c r="A2" s="69"/>
      <c r="B2" s="171"/>
      <c r="C2" s="292" t="s">
        <v>171</v>
      </c>
      <c r="D2" s="293"/>
      <c r="E2" s="293"/>
      <c r="F2" s="1"/>
      <c r="G2" s="1"/>
      <c r="H2" s="28" t="s">
        <v>192</v>
      </c>
      <c r="O2" s="1"/>
      <c r="P2" s="1"/>
      <c r="Q2" s="1"/>
      <c r="R2" s="1"/>
      <c r="S2" s="1"/>
      <c r="T2" s="1"/>
    </row>
    <row r="3" spans="1:21" x14ac:dyDescent="0.35">
      <c r="A3" s="69"/>
      <c r="B3" s="70" t="s">
        <v>225</v>
      </c>
      <c r="C3" s="70" t="s">
        <v>172</v>
      </c>
      <c r="D3" s="70" t="s">
        <v>173</v>
      </c>
      <c r="E3" s="70" t="s">
        <v>174</v>
      </c>
      <c r="F3" s="70" t="s">
        <v>365</v>
      </c>
      <c r="G3" s="28"/>
      <c r="H3" s="28" t="s">
        <v>190</v>
      </c>
      <c r="I3" s="1"/>
      <c r="J3" s="1"/>
      <c r="K3" s="1"/>
      <c r="L3" s="1"/>
      <c r="M3" s="1"/>
      <c r="O3" s="1"/>
      <c r="P3" s="1"/>
      <c r="Q3" s="16"/>
      <c r="R3" s="16"/>
      <c r="S3" s="16"/>
      <c r="T3" s="16"/>
    </row>
    <row r="4" spans="1:21" ht="21.6" customHeight="1" x14ac:dyDescent="0.35">
      <c r="A4" s="70" t="s">
        <v>175</v>
      </c>
      <c r="B4" s="69">
        <f>'Design Calculator'!AN56</f>
        <v>55</v>
      </c>
      <c r="C4" s="71">
        <f>'Design Calculator'!$AN$57</f>
        <v>20</v>
      </c>
      <c r="D4" s="71">
        <f>'Design Calculator'!$AN$58</f>
        <v>6</v>
      </c>
      <c r="E4" s="71" t="str">
        <f>IF('Design Calculator'!$AN$59 = "NA", F4, 'Design Calculator'!$AN$59)</f>
        <v>NA</v>
      </c>
      <c r="F4" s="71" t="str">
        <f>'Design Calculator'!AN60</f>
        <v>NA</v>
      </c>
      <c r="G4" s="3"/>
      <c r="H4" s="28" t="s">
        <v>191</v>
      </c>
      <c r="I4" s="1"/>
      <c r="J4" s="1"/>
      <c r="K4" s="1"/>
      <c r="L4" s="16"/>
      <c r="M4" s="16"/>
      <c r="O4" s="1"/>
      <c r="P4" s="1"/>
      <c r="Q4" s="16"/>
      <c r="R4" s="16"/>
      <c r="S4" s="16"/>
      <c r="T4" s="16"/>
    </row>
    <row r="5" spans="1:21" x14ac:dyDescent="0.35">
      <c r="C5" s="1"/>
      <c r="D5" s="16"/>
      <c r="E5" s="16"/>
      <c r="F5" s="16"/>
      <c r="G5" s="16"/>
      <c r="I5" s="1"/>
      <c r="J5" s="1"/>
      <c r="K5" s="1"/>
      <c r="L5" s="16"/>
      <c r="M5" s="16"/>
      <c r="N5" s="289"/>
      <c r="O5" s="289"/>
      <c r="P5" s="289"/>
      <c r="Q5" s="16"/>
      <c r="R5" s="294"/>
      <c r="S5" s="295"/>
      <c r="T5" s="295"/>
    </row>
    <row r="6" spans="1:21" x14ac:dyDescent="0.35">
      <c r="C6" s="1"/>
      <c r="D6" s="16"/>
      <c r="E6" s="16"/>
      <c r="F6" s="16"/>
      <c r="G6" s="16"/>
      <c r="I6" s="1"/>
      <c r="J6" s="1"/>
      <c r="K6" s="1"/>
      <c r="L6" s="16"/>
      <c r="M6" s="16"/>
      <c r="O6" s="28"/>
    </row>
    <row r="7" spans="1:21" ht="14.25" x14ac:dyDescent="0.45">
      <c r="B7" s="72" t="s">
        <v>360</v>
      </c>
      <c r="G7" s="163" t="s">
        <v>347</v>
      </c>
      <c r="J7" s="145"/>
      <c r="K7" s="16"/>
      <c r="N7" s="28"/>
      <c r="O7" s="28"/>
      <c r="P7" s="28"/>
      <c r="T7" s="73"/>
      <c r="U7" s="1"/>
    </row>
    <row r="8" spans="1:21" ht="14.25" x14ac:dyDescent="0.45">
      <c r="B8" s="28" t="s">
        <v>176</v>
      </c>
      <c r="C8">
        <f>IF('Design Calculator'!F71="No", 'Design Calculator'!$F$77,'Design Calculator'!F90)</f>
        <v>10.352941176470589</v>
      </c>
      <c r="D8" s="28" t="s">
        <v>8</v>
      </c>
      <c r="G8" s="28" t="s">
        <v>176</v>
      </c>
      <c r="H8">
        <f>Equations!F69</f>
        <v>2.0526561558545882</v>
      </c>
      <c r="J8" s="68"/>
      <c r="K8" s="16"/>
      <c r="N8" s="28"/>
      <c r="P8" s="73"/>
      <c r="T8" s="73"/>
      <c r="U8" s="1"/>
    </row>
    <row r="9" spans="1:21" ht="14.25" x14ac:dyDescent="0.45">
      <c r="B9" s="28" t="s">
        <v>177</v>
      </c>
      <c r="C9">
        <f>VINMAX</f>
        <v>25.2</v>
      </c>
      <c r="D9" t="s">
        <v>86</v>
      </c>
      <c r="G9" s="28" t="s">
        <v>177</v>
      </c>
      <c r="H9">
        <f>VINMAX</f>
        <v>25.2</v>
      </c>
      <c r="K9" s="16"/>
      <c r="N9" s="28"/>
      <c r="P9" s="73"/>
      <c r="T9" s="73"/>
    </row>
    <row r="10" spans="1:21" ht="14.25" x14ac:dyDescent="0.45">
      <c r="B10" s="28" t="s">
        <v>178</v>
      </c>
      <c r="C10">
        <f>IF(C8&lt;10, IF(C8&lt;1, 0.1, 1), IF(C8&lt;100, 10, 100))</f>
        <v>10</v>
      </c>
      <c r="D10" s="28" t="s">
        <v>8</v>
      </c>
      <c r="G10" s="28" t="s">
        <v>178</v>
      </c>
      <c r="H10">
        <f>IF(H8&lt;10, IF(H8&lt;1, 0.1, 1), IF(H8&lt;100, 10, 100))</f>
        <v>1</v>
      </c>
      <c r="K10" s="16"/>
      <c r="N10" s="28"/>
      <c r="P10" s="73"/>
      <c r="T10" s="73"/>
    </row>
    <row r="11" spans="1:21" ht="14.25" x14ac:dyDescent="0.45">
      <c r="B11" s="28" t="s">
        <v>439</v>
      </c>
      <c r="C11">
        <f>IF('Design Calculator'!F59="NA", MIN(SOA!C10,1),SOA!C10)</f>
        <v>1</v>
      </c>
      <c r="D11" s="28"/>
      <c r="G11" s="28" t="s">
        <v>439</v>
      </c>
      <c r="H11">
        <f>IF('Design Calculator'!F59="NA", MIN(SOA!H10,1),SOA!H10)</f>
        <v>1</v>
      </c>
      <c r="K11" s="16"/>
      <c r="P11" s="73"/>
    </row>
    <row r="12" spans="1:21" x14ac:dyDescent="0.35">
      <c r="B12" s="28" t="s">
        <v>179</v>
      </c>
      <c r="C12">
        <f>C10*10</f>
        <v>100</v>
      </c>
      <c r="D12" s="28" t="s">
        <v>8</v>
      </c>
      <c r="G12" s="28" t="s">
        <v>429</v>
      </c>
      <c r="H12">
        <f>H10*10</f>
        <v>10</v>
      </c>
      <c r="K12" s="16"/>
    </row>
    <row r="13" spans="1:21" x14ac:dyDescent="0.35">
      <c r="B13" s="28" t="s">
        <v>440</v>
      </c>
      <c r="C13">
        <f>IF('Design Calculator'!F60="NA", MIN(SOA!C12,10),SOA!C12)</f>
        <v>10</v>
      </c>
      <c r="D13" s="28"/>
      <c r="G13" s="28" t="s">
        <v>440</v>
      </c>
      <c r="H13">
        <f>IF('Design Calculator'!F60="NA", MIN(SOA!H12,10),SOA!H12)</f>
        <v>10</v>
      </c>
      <c r="K13" s="16"/>
    </row>
    <row r="14" spans="1:21" x14ac:dyDescent="0.35">
      <c r="B14" s="28" t="s">
        <v>180</v>
      </c>
      <c r="C14">
        <f>IF(C11=0.1, B4, IF(C11=1, C4, IF(C11=10, D4, E4)))</f>
        <v>20</v>
      </c>
      <c r="D14" s="28" t="s">
        <v>25</v>
      </c>
      <c r="G14" s="28" t="s">
        <v>180</v>
      </c>
      <c r="H14">
        <f>IF(H11=0.1, B4, IF(H11=1, C4, IF(H11=10, D4, E4)))</f>
        <v>20</v>
      </c>
      <c r="K14" s="16"/>
    </row>
    <row r="15" spans="1:21" x14ac:dyDescent="0.35">
      <c r="B15" s="28" t="s">
        <v>181</v>
      </c>
      <c r="C15">
        <f>IF(C13=1000, F4, IF(C13=1, C4, IF(C13=10, D4, E4)))</f>
        <v>6</v>
      </c>
      <c r="D15" s="28" t="s">
        <v>25</v>
      </c>
      <c r="G15" s="28" t="s">
        <v>181</v>
      </c>
      <c r="H15">
        <f>IF(H13=1000, F4, IF(H13=1, C4, IF(H13=10, D4, E4)))</f>
        <v>6</v>
      </c>
      <c r="K15" s="16"/>
    </row>
    <row r="16" spans="1:21" x14ac:dyDescent="0.35">
      <c r="K16" s="16"/>
    </row>
    <row r="17" spans="2:15" x14ac:dyDescent="0.35">
      <c r="B17" s="28" t="s">
        <v>185</v>
      </c>
      <c r="G17" s="28" t="s">
        <v>185</v>
      </c>
      <c r="K17" s="16"/>
    </row>
    <row r="18" spans="2:15" x14ac:dyDescent="0.35">
      <c r="B18" s="28" t="s">
        <v>182</v>
      </c>
      <c r="C18">
        <f>C14/C11^C19</f>
        <v>20</v>
      </c>
      <c r="F18" s="28"/>
      <c r="G18" s="28" t="s">
        <v>182</v>
      </c>
      <c r="H18">
        <f>H14/H11^H19</f>
        <v>20</v>
      </c>
    </row>
    <row r="19" spans="2:15" x14ac:dyDescent="0.35">
      <c r="B19" s="28" t="s">
        <v>183</v>
      </c>
      <c r="C19">
        <f>LOG(C14/C15)/LOG(C11/C13)</f>
        <v>-0.52287874528033762</v>
      </c>
      <c r="F19" s="28"/>
      <c r="G19" s="28" t="s">
        <v>183</v>
      </c>
      <c r="H19">
        <f>IF(H14=H15,0.000000000001,LOG(H14/H15)/LOG(H11/H13))</f>
        <v>-0.52287874528033762</v>
      </c>
      <c r="I19" s="28" t="s">
        <v>434</v>
      </c>
      <c r="K19" s="16"/>
    </row>
    <row r="20" spans="2:15" x14ac:dyDescent="0.35">
      <c r="B20" s="28" t="s">
        <v>184</v>
      </c>
      <c r="C20">
        <f>C18*C8^C19</f>
        <v>5.8921627957792051</v>
      </c>
      <c r="D20" s="28" t="s">
        <v>25</v>
      </c>
      <c r="G20" s="28" t="s">
        <v>184</v>
      </c>
      <c r="H20">
        <f>H18*H8^H19</f>
        <v>13.731769023846649</v>
      </c>
      <c r="K20" s="16"/>
      <c r="M20" s="28"/>
    </row>
    <row r="21" spans="2:15" x14ac:dyDescent="0.35">
      <c r="K21" s="16"/>
      <c r="N21" s="1"/>
    </row>
    <row r="22" spans="2:15" x14ac:dyDescent="0.35">
      <c r="B22" s="29" t="s">
        <v>187</v>
      </c>
      <c r="C22">
        <f xml:space="preserve"> C20*C9</f>
        <v>148.48250245363596</v>
      </c>
      <c r="D22" s="28"/>
      <c r="G22" s="29" t="s">
        <v>187</v>
      </c>
      <c r="H22">
        <f>IF(H8&lt;1, H14, H20)*H9</f>
        <v>346.04057940093554</v>
      </c>
      <c r="K22" s="16"/>
    </row>
    <row r="23" spans="2:15" x14ac:dyDescent="0.35">
      <c r="K23" s="16"/>
    </row>
    <row r="24" spans="2:15" x14ac:dyDescent="0.35">
      <c r="G24" s="28" t="s">
        <v>368</v>
      </c>
      <c r="H24" t="str">
        <f>'Design Calculator'!F79</f>
        <v>No</v>
      </c>
      <c r="K24" s="16"/>
      <c r="O24" s="1"/>
    </row>
    <row r="25" spans="2:15" x14ac:dyDescent="0.35">
      <c r="B25" s="68" t="s">
        <v>193</v>
      </c>
      <c r="C25">
        <f>(TJMAX-TJ)/(TJMAX-25)</f>
        <v>0.27450000000000008</v>
      </c>
      <c r="D25" s="16"/>
      <c r="E25" s="16"/>
      <c r="F25" s="16"/>
      <c r="G25" s="28" t="s">
        <v>367</v>
      </c>
      <c r="H25">
        <f>IF(H24="Yes", TJ,TAMB)</f>
        <v>85</v>
      </c>
      <c r="K25" s="16"/>
      <c r="O25" s="1"/>
    </row>
    <row r="26" spans="2:15" x14ac:dyDescent="0.35">
      <c r="B26" s="29" t="s">
        <v>188</v>
      </c>
      <c r="C26">
        <f>IF((C22*C25)&lt;0,0.000000001,C22*C25)</f>
        <v>40.758446923523081</v>
      </c>
      <c r="D26" s="74" t="s">
        <v>87</v>
      </c>
      <c r="E26" s="16"/>
      <c r="F26" s="16"/>
      <c r="K26" s="16"/>
    </row>
    <row r="27" spans="2:15" x14ac:dyDescent="0.35">
      <c r="B27" s="1"/>
      <c r="C27" s="1"/>
      <c r="D27" s="16"/>
      <c r="E27" s="16"/>
      <c r="F27" s="16"/>
      <c r="G27" s="68" t="s">
        <v>193</v>
      </c>
      <c r="H27">
        <f>(TJMAX-H25)/(TJMAX-25)</f>
        <v>0.6</v>
      </c>
      <c r="K27" s="16"/>
    </row>
    <row r="28" spans="2:15" x14ac:dyDescent="0.35">
      <c r="B28" s="1"/>
      <c r="D28" s="16"/>
      <c r="E28" s="16"/>
      <c r="F28" s="16"/>
      <c r="G28" s="29" t="s">
        <v>188</v>
      </c>
      <c r="H28">
        <f>IF((H22*H27)&lt;0,0.000000001,H22*H27)</f>
        <v>207.62434764056133</v>
      </c>
      <c r="K28" s="16"/>
    </row>
    <row r="29" spans="2:15" x14ac:dyDescent="0.35">
      <c r="B29" s="68" t="s">
        <v>397</v>
      </c>
      <c r="D29" s="16"/>
      <c r="E29" s="16"/>
      <c r="F29" s="16"/>
      <c r="I29" s="3"/>
      <c r="J29" s="3"/>
      <c r="K29" s="3"/>
    </row>
    <row r="30" spans="2:15" x14ac:dyDescent="0.35">
      <c r="C30" s="72" t="s">
        <v>398</v>
      </c>
      <c r="D30" s="176" t="s">
        <v>399</v>
      </c>
      <c r="E30" s="176" t="s">
        <v>400</v>
      </c>
      <c r="F30" s="176" t="s">
        <v>401</v>
      </c>
      <c r="G30" s="16"/>
      <c r="I30" s="3"/>
      <c r="J30" s="3"/>
      <c r="K30" s="3"/>
    </row>
    <row r="31" spans="2:15" x14ac:dyDescent="0.35">
      <c r="B31" s="68" t="s">
        <v>402</v>
      </c>
      <c r="C31" s="68">
        <v>0.1</v>
      </c>
      <c r="D31" s="1">
        <v>1</v>
      </c>
      <c r="E31" s="16">
        <v>10</v>
      </c>
      <c r="F31" s="1">
        <v>100</v>
      </c>
      <c r="G31" s="163"/>
    </row>
    <row r="32" spans="2:15" x14ac:dyDescent="0.35">
      <c r="B32" s="68" t="s">
        <v>403</v>
      </c>
      <c r="C32" s="1">
        <v>1</v>
      </c>
      <c r="D32" s="1">
        <v>10</v>
      </c>
      <c r="E32" s="16">
        <v>100</v>
      </c>
      <c r="F32" s="1">
        <v>1000</v>
      </c>
      <c r="G32" s="29"/>
    </row>
    <row r="33" spans="2:7" x14ac:dyDescent="0.35">
      <c r="B33" s="68" t="s">
        <v>182</v>
      </c>
      <c r="C33" s="1">
        <f>B4/(C31^C34)</f>
        <v>20</v>
      </c>
      <c r="D33" s="1">
        <f>C4/(D31^D34)</f>
        <v>20</v>
      </c>
      <c r="E33" s="1">
        <f>IF('Design Calculator'!F60="NA",D33,D4/(E31^E34))</f>
        <v>20</v>
      </c>
      <c r="F33" s="1">
        <f>IF('Design Calculator'!F60="NA", E33, E4/(F31^F34))</f>
        <v>20</v>
      </c>
      <c r="G33" s="28"/>
    </row>
    <row r="34" spans="2:7" x14ac:dyDescent="0.35">
      <c r="B34" s="68" t="s">
        <v>183</v>
      </c>
      <c r="C34" s="16">
        <f>LOG(B4/C4)/LOG(C31/C32)</f>
        <v>-0.43933269383026263</v>
      </c>
      <c r="D34" s="16">
        <f>LOG(C4/D4)/LOG(D31/D32)</f>
        <v>-0.52287874528033762</v>
      </c>
      <c r="E34" s="16">
        <f>IF('Design Calculator'!F60="NA", D34, LOG(D4/E4)/LOG(E31/E32))</f>
        <v>-0.52287874528033762</v>
      </c>
      <c r="F34" s="16">
        <f>IF('Design Calculator'!F60="NA",E34,LOG(E4/F4)/LOG(F31/F32))</f>
        <v>-0.52287874528033762</v>
      </c>
      <c r="G34" s="28"/>
    </row>
    <row r="35" spans="2:7" x14ac:dyDescent="0.35">
      <c r="E35" s="16"/>
      <c r="G35" s="28"/>
    </row>
    <row r="36" spans="2:7" x14ac:dyDescent="0.35">
      <c r="E36" s="16"/>
      <c r="G36" s="28"/>
    </row>
    <row r="37" spans="2:7" x14ac:dyDescent="0.35">
      <c r="E37" s="16"/>
      <c r="G37" s="28"/>
    </row>
    <row r="38" spans="2:7" x14ac:dyDescent="0.35">
      <c r="E38" s="16"/>
      <c r="G38" s="28"/>
    </row>
    <row r="39" spans="2:7" x14ac:dyDescent="0.35">
      <c r="E39" s="16"/>
    </row>
    <row r="40" spans="2:7" x14ac:dyDescent="0.35">
      <c r="E40" s="16"/>
      <c r="G40" s="28"/>
    </row>
    <row r="41" spans="2:7" x14ac:dyDescent="0.35">
      <c r="E41" s="16"/>
    </row>
    <row r="42" spans="2:7" x14ac:dyDescent="0.35">
      <c r="E42" s="16"/>
      <c r="G42" s="28"/>
    </row>
    <row r="43" spans="2:7" x14ac:dyDescent="0.35">
      <c r="E43" s="16"/>
      <c r="G43" s="28"/>
    </row>
    <row r="44" spans="2:7" x14ac:dyDescent="0.35">
      <c r="E44" s="16"/>
      <c r="G44" s="28"/>
    </row>
    <row r="45" spans="2:7" x14ac:dyDescent="0.35">
      <c r="E45" s="16"/>
    </row>
    <row r="46" spans="2:7" x14ac:dyDescent="0.35">
      <c r="E46" s="16"/>
      <c r="G46" s="29"/>
    </row>
    <row r="47" spans="2:7" x14ac:dyDescent="0.35">
      <c r="E47" s="16"/>
    </row>
    <row r="48" spans="2:7" x14ac:dyDescent="0.35">
      <c r="E48" s="16"/>
    </row>
    <row r="49" spans="3:7" x14ac:dyDescent="0.35">
      <c r="E49" s="16"/>
      <c r="G49" s="68"/>
    </row>
    <row r="50" spans="3:7" x14ac:dyDescent="0.35">
      <c r="E50" s="16"/>
      <c r="G50" s="29"/>
    </row>
    <row r="51" spans="3:7" x14ac:dyDescent="0.35">
      <c r="E51" s="16"/>
      <c r="F51" s="16"/>
      <c r="G51" s="16"/>
    </row>
    <row r="52" spans="3:7" x14ac:dyDescent="0.35">
      <c r="E52" s="16"/>
      <c r="F52" s="16"/>
      <c r="G52" s="16"/>
    </row>
    <row r="53" spans="3:7" x14ac:dyDescent="0.35">
      <c r="C53" s="1"/>
      <c r="D53" s="16"/>
      <c r="E53" s="16"/>
      <c r="F53" s="16"/>
      <c r="G53" s="16"/>
    </row>
    <row r="54" spans="3:7" x14ac:dyDescent="0.35">
      <c r="C54" s="1"/>
      <c r="D54" s="16"/>
      <c r="E54" s="16"/>
      <c r="F54" s="16"/>
      <c r="G54" s="16"/>
    </row>
    <row r="55" spans="3:7" x14ac:dyDescent="0.35">
      <c r="C55" s="1"/>
      <c r="D55" s="16"/>
      <c r="E55" s="16"/>
      <c r="F55" s="16"/>
      <c r="G55" s="16"/>
    </row>
    <row r="56" spans="3:7" x14ac:dyDescent="0.35">
      <c r="C56" s="1"/>
      <c r="D56" s="16"/>
      <c r="E56" s="16"/>
      <c r="F56" s="16"/>
      <c r="G56" s="16"/>
    </row>
    <row r="57" spans="3:7" x14ac:dyDescent="0.35">
      <c r="C57" s="1"/>
      <c r="D57" s="16"/>
      <c r="E57" s="16"/>
      <c r="F57" s="16"/>
      <c r="G57" s="16"/>
    </row>
    <row r="58" spans="3:7" x14ac:dyDescent="0.35">
      <c r="C58" s="1"/>
      <c r="D58" s="16"/>
      <c r="E58" s="16"/>
      <c r="F58" s="16"/>
      <c r="G58" s="16"/>
    </row>
    <row r="59" spans="3:7" x14ac:dyDescent="0.35">
      <c r="C59" s="1"/>
      <c r="D59" s="16"/>
      <c r="E59" s="16"/>
      <c r="F59" s="16"/>
      <c r="G59" s="16"/>
    </row>
    <row r="60" spans="3:7" x14ac:dyDescent="0.35">
      <c r="C60" s="1"/>
      <c r="D60" s="16"/>
      <c r="E60" s="16"/>
      <c r="F60" s="16"/>
      <c r="G60" s="16"/>
    </row>
    <row r="61" spans="3:7" x14ac:dyDescent="0.35">
      <c r="C61" s="1"/>
      <c r="D61" s="16"/>
      <c r="E61" s="16"/>
      <c r="F61" s="16"/>
      <c r="G61" s="16"/>
    </row>
    <row r="62" spans="3:7" x14ac:dyDescent="0.35">
      <c r="C62" s="1"/>
      <c r="D62" s="16"/>
      <c r="E62" s="16"/>
      <c r="F62" s="16"/>
      <c r="G62" s="16"/>
    </row>
    <row r="63" spans="3:7" x14ac:dyDescent="0.35">
      <c r="C63" s="1"/>
      <c r="D63" s="16"/>
      <c r="E63" s="16"/>
      <c r="F63" s="16"/>
      <c r="G63" s="16"/>
    </row>
    <row r="64" spans="3:7" x14ac:dyDescent="0.35">
      <c r="C64" s="1"/>
      <c r="D64" s="16"/>
      <c r="E64" s="16"/>
      <c r="F64" s="16"/>
      <c r="G64" s="16"/>
    </row>
    <row r="65" spans="3:7" x14ac:dyDescent="0.35">
      <c r="C65" s="1"/>
      <c r="D65" s="16"/>
      <c r="E65" s="16"/>
      <c r="F65" s="16"/>
      <c r="G65" s="16"/>
    </row>
    <row r="66" spans="3:7" x14ac:dyDescent="0.35">
      <c r="C66" s="1"/>
      <c r="D66" s="16"/>
      <c r="E66" s="16"/>
      <c r="F66" s="16"/>
      <c r="G66" s="16"/>
    </row>
    <row r="67" spans="3:7" x14ac:dyDescent="0.35">
      <c r="C67" s="1"/>
      <c r="D67" s="16"/>
      <c r="E67" s="16"/>
      <c r="F67" s="16"/>
      <c r="G67" s="16"/>
    </row>
    <row r="68" spans="3:7" x14ac:dyDescent="0.35">
      <c r="C68" s="1"/>
      <c r="D68" s="16"/>
      <c r="E68" s="16"/>
      <c r="F68" s="16"/>
      <c r="G68" s="16"/>
    </row>
    <row r="69" spans="3:7" x14ac:dyDescent="0.35">
      <c r="C69" s="1"/>
      <c r="D69" s="16"/>
      <c r="E69" s="16"/>
      <c r="F69" s="16"/>
      <c r="G69" s="16"/>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35"/>
  <cols>
    <col min="4" max="4" width="37.3984375" customWidth="1"/>
    <col min="5" max="5" width="15.73046875" customWidth="1"/>
    <col min="9" max="9" width="13.265625" customWidth="1"/>
    <col min="10" max="10" width="11.73046875" customWidth="1"/>
    <col min="11" max="11" width="11.3984375" customWidth="1"/>
    <col min="12" max="12" width="15" customWidth="1"/>
    <col min="13" max="13" width="13.73046875" customWidth="1"/>
  </cols>
  <sheetData>
    <row r="5" spans="3:4" x14ac:dyDescent="0.35">
      <c r="C5" s="28" t="s">
        <v>376</v>
      </c>
    </row>
    <row r="7" spans="3:4" x14ac:dyDescent="0.35">
      <c r="C7" s="28" t="s">
        <v>377</v>
      </c>
    </row>
    <row r="8" spans="3:4" x14ac:dyDescent="0.35">
      <c r="C8" s="28" t="s">
        <v>378</v>
      </c>
    </row>
    <row r="10" spans="3:4" x14ac:dyDescent="0.35">
      <c r="C10" s="28" t="s">
        <v>379</v>
      </c>
    </row>
    <row r="11" spans="3:4" x14ac:dyDescent="0.35">
      <c r="C11" s="28" t="s">
        <v>422</v>
      </c>
    </row>
    <row r="12" spans="3:4" x14ac:dyDescent="0.35">
      <c r="C12" s="28" t="s">
        <v>423</v>
      </c>
    </row>
    <row r="13" spans="3:4" x14ac:dyDescent="0.35">
      <c r="C13" s="28" t="s">
        <v>424</v>
      </c>
    </row>
    <row r="14" spans="3:4" x14ac:dyDescent="0.35">
      <c r="C14" s="28" t="s">
        <v>390</v>
      </c>
      <c r="D14" s="28" t="s">
        <v>391</v>
      </c>
    </row>
    <row r="15" spans="3:4" ht="12" customHeight="1" x14ac:dyDescent="0.35">
      <c r="C15" s="28"/>
      <c r="D15" s="28" t="s">
        <v>393</v>
      </c>
    </row>
    <row r="16" spans="3:4" ht="12" customHeight="1" x14ac:dyDescent="0.35">
      <c r="C16" s="28"/>
      <c r="D16" s="28"/>
    </row>
    <row r="17" spans="3:13" ht="12" customHeight="1" x14ac:dyDescent="0.35">
      <c r="C17" s="28"/>
      <c r="D17" s="28"/>
    </row>
    <row r="18" spans="3:13" ht="12" customHeight="1" x14ac:dyDescent="0.35">
      <c r="C18" s="28"/>
      <c r="D18" s="72" t="s">
        <v>408</v>
      </c>
    </row>
    <row r="19" spans="3:13" x14ac:dyDescent="0.35">
      <c r="C19" s="28"/>
      <c r="D19" s="28" t="s">
        <v>406</v>
      </c>
      <c r="E19">
        <f>SOA!H25</f>
        <v>85</v>
      </c>
    </row>
    <row r="20" spans="3:13" x14ac:dyDescent="0.35">
      <c r="D20" s="28" t="s">
        <v>388</v>
      </c>
      <c r="E20">
        <v>1.5</v>
      </c>
      <c r="I20" s="68" t="s">
        <v>397</v>
      </c>
      <c r="K20" s="16"/>
      <c r="L20" s="16"/>
      <c r="M20" s="16"/>
    </row>
    <row r="21" spans="3:13" x14ac:dyDescent="0.35">
      <c r="D21" s="28" t="s">
        <v>380</v>
      </c>
      <c r="E21">
        <f>1/2*COUTMAX*VINMAX^2*0.000001</f>
        <v>0.63503999999999994</v>
      </c>
      <c r="J21" s="72" t="s">
        <v>398</v>
      </c>
      <c r="K21" s="176" t="s">
        <v>399</v>
      </c>
      <c r="L21" s="176" t="s">
        <v>400</v>
      </c>
      <c r="M21" s="176" t="s">
        <v>401</v>
      </c>
    </row>
    <row r="22" spans="3:13" x14ac:dyDescent="0.35">
      <c r="D22" s="28" t="s">
        <v>382</v>
      </c>
      <c r="E22">
        <f>MAX(Equations!F67-E21,0)</f>
        <v>0</v>
      </c>
      <c r="I22" s="68" t="s">
        <v>402</v>
      </c>
      <c r="J22" s="68">
        <v>0.1</v>
      </c>
      <c r="K22" s="1">
        <v>1</v>
      </c>
      <c r="L22" s="16">
        <v>10</v>
      </c>
      <c r="M22" s="1">
        <v>100</v>
      </c>
    </row>
    <row r="23" spans="3:13" x14ac:dyDescent="0.35">
      <c r="D23" s="28" t="s">
        <v>383</v>
      </c>
      <c r="E23">
        <f>Equations!F66</f>
        <v>15.749999999999998</v>
      </c>
      <c r="I23" s="68" t="s">
        <v>403</v>
      </c>
      <c r="J23" s="1">
        <v>1</v>
      </c>
      <c r="K23" s="1">
        <v>10</v>
      </c>
      <c r="L23" s="16">
        <v>100</v>
      </c>
      <c r="M23" s="1">
        <v>1000</v>
      </c>
    </row>
    <row r="24" spans="3:13" x14ac:dyDescent="0.35">
      <c r="I24" s="68" t="s">
        <v>182</v>
      </c>
      <c r="J24" s="1">
        <f>SOA!C33</f>
        <v>20</v>
      </c>
      <c r="K24" s="1">
        <f>SOA!D33</f>
        <v>20</v>
      </c>
      <c r="L24" s="1">
        <f>SOA!E33</f>
        <v>20</v>
      </c>
      <c r="M24" s="1">
        <f>SOA!F33</f>
        <v>20</v>
      </c>
    </row>
    <row r="25" spans="3:13" x14ac:dyDescent="0.35">
      <c r="D25" t="s">
        <v>189</v>
      </c>
      <c r="E25">
        <f>'Design Calculator'!F68</f>
        <v>0</v>
      </c>
      <c r="I25" s="68" t="s">
        <v>183</v>
      </c>
      <c r="J25" s="1">
        <f>SOA!C34</f>
        <v>-0.43933269383026263</v>
      </c>
      <c r="K25" s="1">
        <f>SOA!D34</f>
        <v>-0.52287874528033762</v>
      </c>
      <c r="L25" s="1">
        <f>SOA!E34</f>
        <v>-0.52287874528033762</v>
      </c>
      <c r="M25" s="1">
        <f>SOA!F34</f>
        <v>-0.52287874528033762</v>
      </c>
    </row>
    <row r="26" spans="3:13" x14ac:dyDescent="0.35">
      <c r="D26" t="s">
        <v>134</v>
      </c>
      <c r="E26" t="str">
        <f>'Design Calculator'!F69</f>
        <v>Constant Current</v>
      </c>
    </row>
    <row r="27" spans="3:13" x14ac:dyDescent="0.35">
      <c r="D27" t="s">
        <v>135</v>
      </c>
      <c r="E27">
        <f>'Design Calculator'!F70</f>
        <v>0</v>
      </c>
      <c r="I27" s="145" t="s">
        <v>419</v>
      </c>
      <c r="J27" s="72" t="s">
        <v>148</v>
      </c>
    </row>
    <row r="28" spans="3:13" x14ac:dyDescent="0.35">
      <c r="G28" t="s">
        <v>417</v>
      </c>
      <c r="I28" s="3">
        <f>SUM(E58:X58)</f>
        <v>1.0630401484920993</v>
      </c>
      <c r="J28" s="3">
        <f>IF(I28=0, "NA", I28/AVERAGE(1, E32))</f>
        <v>1.1912415855928926</v>
      </c>
    </row>
    <row r="29" spans="3:13" x14ac:dyDescent="0.35">
      <c r="D29" s="28" t="s">
        <v>436</v>
      </c>
      <c r="E29">
        <f>12/1</f>
        <v>12</v>
      </c>
      <c r="G29" t="s">
        <v>418</v>
      </c>
      <c r="I29" s="3">
        <f>SUM(E59:X59)</f>
        <v>0.12</v>
      </c>
      <c r="J29" s="3">
        <f>IF(I29=0, "NA", I29*AVERAGE(1,E32))</f>
        <v>0.10708559822108767</v>
      </c>
    </row>
    <row r="30" spans="3:13" x14ac:dyDescent="0.35">
      <c r="D30" s="28" t="s">
        <v>437</v>
      </c>
      <c r="E30">
        <v>0.12</v>
      </c>
    </row>
    <row r="31" spans="3:13" x14ac:dyDescent="0.35">
      <c r="D31" s="28" t="s">
        <v>409</v>
      </c>
      <c r="E31">
        <v>20</v>
      </c>
    </row>
    <row r="32" spans="3:13" x14ac:dyDescent="0.35">
      <c r="D32" s="28" t="s">
        <v>410</v>
      </c>
      <c r="E32">
        <f>(E30/E29)^(1/(E31-1))</f>
        <v>0.78475997035146128</v>
      </c>
    </row>
    <row r="33" spans="4:24" x14ac:dyDescent="0.35">
      <c r="D33" s="28"/>
    </row>
    <row r="34" spans="4:24" x14ac:dyDescent="0.35">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35">
      <c r="D35" s="175" t="s">
        <v>381</v>
      </c>
      <c r="E35" s="175">
        <f>E29</f>
        <v>12</v>
      </c>
      <c r="F35" s="175">
        <f>E35*$E$32</f>
        <v>9.4171196442175358</v>
      </c>
      <c r="G35" s="175">
        <f t="shared" ref="G35:X35" si="0">F35*$E$32</f>
        <v>7.3901785327923166</v>
      </c>
      <c r="H35" s="175">
        <f t="shared" si="0"/>
        <v>5.7995162862861038</v>
      </c>
      <c r="I35" s="175">
        <f t="shared" si="0"/>
        <v>4.5512282288787</v>
      </c>
      <c r="J35" s="175">
        <f t="shared" si="0"/>
        <v>3.5716217299575823</v>
      </c>
      <c r="K35" s="175">
        <f t="shared" si="0"/>
        <v>2.802865762908147</v>
      </c>
      <c r="L35" s="175">
        <f t="shared" si="0"/>
        <v>2.1995768529989235</v>
      </c>
      <c r="M35" s="175">
        <f t="shared" si="0"/>
        <v>1.7261398659451956</v>
      </c>
      <c r="N35" s="175">
        <f t="shared" si="0"/>
        <v>1.354605470021627</v>
      </c>
      <c r="O35" s="175">
        <f t="shared" si="0"/>
        <v>1.0630401484920993</v>
      </c>
      <c r="P35" s="175">
        <f t="shared" si="0"/>
        <v>0.83423135541307281</v>
      </c>
      <c r="Q35" s="175">
        <f t="shared" si="0"/>
        <v>0.65467137374022233</v>
      </c>
      <c r="R35" s="175">
        <f t="shared" si="0"/>
        <v>0.51375988784632731</v>
      </c>
      <c r="S35" s="175">
        <f t="shared" si="0"/>
        <v>0.40317819435405389</v>
      </c>
      <c r="T35" s="175">
        <f t="shared" si="0"/>
        <v>0.316398107847643</v>
      </c>
      <c r="U35" s="175">
        <f t="shared" si="0"/>
        <v>0.24829656973377476</v>
      </c>
      <c r="V35" s="175">
        <f t="shared" si="0"/>
        <v>0.19485320870264661</v>
      </c>
      <c r="W35" s="175">
        <f t="shared" si="0"/>
        <v>0.15291299828437604</v>
      </c>
      <c r="X35" s="175">
        <f t="shared" si="0"/>
        <v>0.12</v>
      </c>
    </row>
    <row r="36" spans="4:24" x14ac:dyDescent="0.35">
      <c r="D36" s="28" t="s">
        <v>384</v>
      </c>
      <c r="E36">
        <f t="shared" ref="E36:X36" si="1">VINMAX/E35</f>
        <v>2.1</v>
      </c>
      <c r="F36">
        <f t="shared" si="1"/>
        <v>2.6759774699765808</v>
      </c>
      <c r="G36">
        <f t="shared" si="1"/>
        <v>3.4099311522963158</v>
      </c>
      <c r="H36">
        <f t="shared" si="1"/>
        <v>4.3451899703410586</v>
      </c>
      <c r="I36">
        <f t="shared" si="1"/>
        <v>5.5369668873337519</v>
      </c>
      <c r="J36">
        <f t="shared" si="1"/>
        <v>7.0556184011959413</v>
      </c>
      <c r="K36">
        <f t="shared" si="1"/>
        <v>8.9907980373107268</v>
      </c>
      <c r="L36">
        <f t="shared" si="1"/>
        <v>11.456749040453888</v>
      </c>
      <c r="M36">
        <f t="shared" si="1"/>
        <v>14.599048719728771</v>
      </c>
      <c r="N36">
        <f t="shared" si="1"/>
        <v>18.603202598611734</v>
      </c>
      <c r="O36">
        <f t="shared" si="1"/>
        <v>23.705595725378465</v>
      </c>
      <c r="P36">
        <f t="shared" si="1"/>
        <v>30.207447654040916</v>
      </c>
      <c r="Q36">
        <f t="shared" si="1"/>
        <v>38.49259492748115</v>
      </c>
      <c r="R36">
        <f t="shared" si="1"/>
        <v>49.050150850892564</v>
      </c>
      <c r="S36">
        <f t="shared" si="1"/>
        <v>62.50338027425768</v>
      </c>
      <c r="T36">
        <f t="shared" si="1"/>
        <v>79.646494005377235</v>
      </c>
      <c r="U36">
        <f t="shared" si="1"/>
        <v>101.49153501000681</v>
      </c>
      <c r="V36">
        <f t="shared" si="1"/>
        <v>129.32812432386555</v>
      </c>
      <c r="W36">
        <f t="shared" si="1"/>
        <v>164.79959377380686</v>
      </c>
      <c r="X36">
        <f t="shared" si="1"/>
        <v>210</v>
      </c>
    </row>
    <row r="37" spans="4:24" x14ac:dyDescent="0.35">
      <c r="D37" s="28" t="s">
        <v>385</v>
      </c>
      <c r="E37">
        <f t="shared" ref="E37:X37" si="2">E35*COUTMAX/1000</f>
        <v>24</v>
      </c>
      <c r="F37">
        <f t="shared" si="2"/>
        <v>18.834239288435072</v>
      </c>
      <c r="G37">
        <f t="shared" si="2"/>
        <v>14.780357065584633</v>
      </c>
      <c r="H37">
        <f t="shared" si="2"/>
        <v>11.599032572572208</v>
      </c>
      <c r="I37">
        <f t="shared" si="2"/>
        <v>9.1024564577574001</v>
      </c>
      <c r="J37">
        <f t="shared" si="2"/>
        <v>7.1432434599151646</v>
      </c>
      <c r="K37">
        <f t="shared" si="2"/>
        <v>5.6057315258162941</v>
      </c>
      <c r="L37">
        <f t="shared" si="2"/>
        <v>4.3991537059978469</v>
      </c>
      <c r="M37">
        <f t="shared" si="2"/>
        <v>3.4522797318903913</v>
      </c>
      <c r="N37">
        <f t="shared" si="2"/>
        <v>2.709210940043254</v>
      </c>
      <c r="O37">
        <f t="shared" si="2"/>
        <v>2.1260802969841985</v>
      </c>
      <c r="P37">
        <f t="shared" si="2"/>
        <v>1.6684627108261456</v>
      </c>
      <c r="Q37">
        <f t="shared" si="2"/>
        <v>1.3093427474804447</v>
      </c>
      <c r="R37">
        <f t="shared" si="2"/>
        <v>1.0275197756926546</v>
      </c>
      <c r="S37">
        <f t="shared" si="2"/>
        <v>0.80635638870810777</v>
      </c>
      <c r="T37">
        <f t="shared" si="2"/>
        <v>0.63279621569528599</v>
      </c>
      <c r="U37">
        <f t="shared" si="2"/>
        <v>0.49659313946754952</v>
      </c>
      <c r="V37">
        <f t="shared" si="2"/>
        <v>0.38970641740529322</v>
      </c>
      <c r="W37">
        <f t="shared" si="2"/>
        <v>0.30582599656875209</v>
      </c>
      <c r="X37">
        <f t="shared" si="2"/>
        <v>0.24</v>
      </c>
    </row>
    <row r="38" spans="4:24" x14ac:dyDescent="0.35">
      <c r="D38" s="28" t="s">
        <v>386</v>
      </c>
      <c r="E38">
        <f>$E$21+$E$22*E36/$E$23</f>
        <v>0.63503999999999994</v>
      </c>
      <c r="F38">
        <f>$E$21+$E$22*F36/$E$23</f>
        <v>0.63503999999999994</v>
      </c>
      <c r="G38">
        <f>$E$21+$E$22*G36/$E$23</f>
        <v>0.63503999999999994</v>
      </c>
      <c r="H38">
        <f t="shared" ref="H38:J38" si="3">$E$21+$E$22*H36/$E$23</f>
        <v>0.63503999999999994</v>
      </c>
      <c r="I38">
        <f t="shared" si="3"/>
        <v>0.63503999999999994</v>
      </c>
      <c r="J38">
        <f t="shared" si="3"/>
        <v>0.63503999999999994</v>
      </c>
      <c r="K38">
        <f>$E$21+$E$22*K36/$E$23</f>
        <v>0.63503999999999994</v>
      </c>
      <c r="L38">
        <f t="shared" ref="L38:R38" si="4">$E$21+$E$22*L36/$E$23</f>
        <v>0.63503999999999994</v>
      </c>
      <c r="M38">
        <f t="shared" si="4"/>
        <v>0.63503999999999994</v>
      </c>
      <c r="N38">
        <f t="shared" si="4"/>
        <v>0.63503999999999994</v>
      </c>
      <c r="O38">
        <f t="shared" si="4"/>
        <v>0.63503999999999994</v>
      </c>
      <c r="P38">
        <f t="shared" si="4"/>
        <v>0.63503999999999994</v>
      </c>
      <c r="Q38">
        <f t="shared" si="4"/>
        <v>0.63503999999999994</v>
      </c>
      <c r="R38">
        <f t="shared" si="4"/>
        <v>0.63503999999999994</v>
      </c>
      <c r="S38">
        <f t="shared" ref="S38:X38" si="5">$E$21+$E$22*S36/$E$23</f>
        <v>0.63503999999999994</v>
      </c>
      <c r="T38">
        <f t="shared" si="5"/>
        <v>0.63503999999999994</v>
      </c>
      <c r="U38">
        <f t="shared" si="5"/>
        <v>0.63503999999999994</v>
      </c>
      <c r="V38">
        <f t="shared" si="5"/>
        <v>0.63503999999999994</v>
      </c>
      <c r="W38">
        <f>$E$21+$E$22*W36/$E$23</f>
        <v>0.63503999999999994</v>
      </c>
      <c r="X38">
        <f t="shared" si="5"/>
        <v>0.63503999999999994</v>
      </c>
    </row>
    <row r="39" spans="4:24" x14ac:dyDescent="0.35">
      <c r="D39" s="28" t="s">
        <v>389</v>
      </c>
      <c r="E39">
        <f t="shared" ref="E39:X39" si="6">(E37+IF($E$26="Resistive",0,IF($E$25=0,$E$27,0)))*VINMAX</f>
        <v>604.79999999999995</v>
      </c>
      <c r="F39">
        <f t="shared" si="6"/>
        <v>474.62283006856381</v>
      </c>
      <c r="G39">
        <f t="shared" si="6"/>
        <v>372.46499805273277</v>
      </c>
      <c r="H39">
        <f t="shared" si="6"/>
        <v>292.29562082881961</v>
      </c>
      <c r="I39">
        <f t="shared" si="6"/>
        <v>229.38190273548648</v>
      </c>
      <c r="J39">
        <f t="shared" si="6"/>
        <v>180.00973518986214</v>
      </c>
      <c r="K39">
        <f t="shared" si="6"/>
        <v>141.2644344505706</v>
      </c>
      <c r="L39">
        <f t="shared" si="6"/>
        <v>110.85867339114574</v>
      </c>
      <c r="M39">
        <f t="shared" si="6"/>
        <v>86.99744924363786</v>
      </c>
      <c r="N39">
        <f t="shared" si="6"/>
        <v>68.272115689090001</v>
      </c>
      <c r="O39">
        <f t="shared" si="6"/>
        <v>53.577223484001799</v>
      </c>
      <c r="P39">
        <f t="shared" si="6"/>
        <v>42.045260312818868</v>
      </c>
      <c r="Q39">
        <f t="shared" si="6"/>
        <v>32.995437236507208</v>
      </c>
      <c r="R39">
        <f t="shared" si="6"/>
        <v>25.893498347454894</v>
      </c>
      <c r="S39">
        <f t="shared" si="6"/>
        <v>20.320180995444314</v>
      </c>
      <c r="T39">
        <f t="shared" si="6"/>
        <v>15.946464635521206</v>
      </c>
      <c r="U39">
        <f t="shared" si="6"/>
        <v>12.514147114582247</v>
      </c>
      <c r="V39">
        <f t="shared" si="6"/>
        <v>9.8206017186133892</v>
      </c>
      <c r="W39">
        <f t="shared" si="6"/>
        <v>7.7068151135325529</v>
      </c>
      <c r="X39">
        <f t="shared" si="6"/>
        <v>6.048</v>
      </c>
    </row>
    <row r="40" spans="4:24" x14ac:dyDescent="0.35">
      <c r="D40" s="28" t="s">
        <v>387</v>
      </c>
      <c r="E40">
        <f t="shared" ref="E40:X40" si="7">(E37+IF($E$26="Resistive", $E$25/$E$27,$E$27)) *(VINMAX-$E$25)</f>
        <v>604.79999999999995</v>
      </c>
      <c r="F40">
        <f t="shared" si="7"/>
        <v>474.62283006856381</v>
      </c>
      <c r="G40">
        <f t="shared" si="7"/>
        <v>372.46499805273277</v>
      </c>
      <c r="H40">
        <f t="shared" si="7"/>
        <v>292.29562082881961</v>
      </c>
      <c r="I40">
        <f t="shared" si="7"/>
        <v>229.38190273548648</v>
      </c>
      <c r="J40">
        <f t="shared" si="7"/>
        <v>180.00973518986214</v>
      </c>
      <c r="K40">
        <f t="shared" si="7"/>
        <v>141.2644344505706</v>
      </c>
      <c r="L40">
        <f t="shared" si="7"/>
        <v>110.85867339114574</v>
      </c>
      <c r="M40">
        <f t="shared" si="7"/>
        <v>86.99744924363786</v>
      </c>
      <c r="N40">
        <f t="shared" si="7"/>
        <v>68.272115689090001</v>
      </c>
      <c r="O40">
        <f t="shared" si="7"/>
        <v>53.577223484001799</v>
      </c>
      <c r="P40">
        <f t="shared" si="7"/>
        <v>42.045260312818868</v>
      </c>
      <c r="Q40">
        <f t="shared" si="7"/>
        <v>32.995437236507208</v>
      </c>
      <c r="R40">
        <f t="shared" si="7"/>
        <v>25.893498347454894</v>
      </c>
      <c r="S40">
        <f t="shared" si="7"/>
        <v>20.320180995444314</v>
      </c>
      <c r="T40">
        <f t="shared" si="7"/>
        <v>15.946464635521206</v>
      </c>
      <c r="U40">
        <f t="shared" si="7"/>
        <v>12.514147114582247</v>
      </c>
      <c r="V40">
        <f t="shared" si="7"/>
        <v>9.8206017186133892</v>
      </c>
      <c r="W40">
        <f t="shared" si="7"/>
        <v>7.7068151135325529</v>
      </c>
      <c r="X40">
        <f t="shared" si="7"/>
        <v>6.048</v>
      </c>
    </row>
    <row r="41" spans="4:24" x14ac:dyDescent="0.35">
      <c r="D41" s="28"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35">
      <c r="D42" s="28"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35">
      <c r="D44" s="28" t="s">
        <v>395</v>
      </c>
      <c r="E44">
        <f>MAX(E39,E40,E42)</f>
        <v>604.79999999999995</v>
      </c>
      <c r="F44">
        <f>MAX(F39,F40,F42)</f>
        <v>474.62283006856381</v>
      </c>
      <c r="G44">
        <f>MAX(G39,G40,G42)</f>
        <v>372.46499805273277</v>
      </c>
      <c r="H44">
        <f t="shared" ref="H44:J44" si="10">MAX(H39,H40,H42)</f>
        <v>292.29562082881961</v>
      </c>
      <c r="I44">
        <f t="shared" si="10"/>
        <v>229.38190273548648</v>
      </c>
      <c r="J44">
        <f t="shared" si="10"/>
        <v>180.00973518986214</v>
      </c>
      <c r="K44">
        <f>MAX(K39,K40,K42)</f>
        <v>141.2644344505706</v>
      </c>
      <c r="L44">
        <f t="shared" ref="L44:R44" si="11">MAX(L39,L40,L42)</f>
        <v>110.85867339114574</v>
      </c>
      <c r="M44">
        <f t="shared" si="11"/>
        <v>86.99744924363786</v>
      </c>
      <c r="N44">
        <f t="shared" si="11"/>
        <v>68.272115689090001</v>
      </c>
      <c r="O44">
        <f t="shared" si="11"/>
        <v>53.577223484001799</v>
      </c>
      <c r="P44">
        <f t="shared" si="11"/>
        <v>42.045260312818868</v>
      </c>
      <c r="Q44">
        <f t="shared" si="11"/>
        <v>32.995437236507208</v>
      </c>
      <c r="R44">
        <f t="shared" si="11"/>
        <v>25.893498347454894</v>
      </c>
      <c r="S44">
        <f t="shared" ref="S44:X44" si="12">MAX(S39,S40,S42)</f>
        <v>20.320180995444314</v>
      </c>
      <c r="T44">
        <f t="shared" si="12"/>
        <v>15.946464635521206</v>
      </c>
      <c r="U44">
        <f t="shared" si="12"/>
        <v>12.514147114582247</v>
      </c>
      <c r="V44">
        <f t="shared" si="12"/>
        <v>9.8206017186133892</v>
      </c>
      <c r="W44">
        <f t="shared" si="12"/>
        <v>7.7068151135325529</v>
      </c>
      <c r="X44">
        <f t="shared" si="12"/>
        <v>6.048</v>
      </c>
    </row>
    <row r="45" spans="4:24" x14ac:dyDescent="0.35">
      <c r="D45" s="28" t="s">
        <v>396</v>
      </c>
      <c r="E45">
        <f>E38/E44*1000</f>
        <v>1.05</v>
      </c>
      <c r="F45">
        <f>F38/F44*1000</f>
        <v>1.3379887349882904</v>
      </c>
      <c r="G45">
        <f>G38/G44*1000</f>
        <v>1.7049655761481577</v>
      </c>
      <c r="H45">
        <f t="shared" ref="H45:J45" si="13">H38/H44*1000</f>
        <v>2.1725949851705293</v>
      </c>
      <c r="I45">
        <f t="shared" si="13"/>
        <v>2.7684834436668759</v>
      </c>
      <c r="J45">
        <f t="shared" si="13"/>
        <v>3.5278092005979707</v>
      </c>
      <c r="K45">
        <f>K38/K44*1000</f>
        <v>4.4953990186553625</v>
      </c>
      <c r="L45">
        <f t="shared" ref="L45" si="14">L38/L44*1000</f>
        <v>5.7283745202269438</v>
      </c>
      <c r="M45">
        <f t="shared" ref="M45:N45" si="15">M38/M44*1000</f>
        <v>7.2995243598643844</v>
      </c>
      <c r="N45">
        <f t="shared" si="15"/>
        <v>9.301601299305867</v>
      </c>
      <c r="O45">
        <f t="shared" ref="O45" si="16">O38/O44*1000</f>
        <v>11.852797862689235</v>
      </c>
      <c r="P45">
        <f t="shared" ref="P45" si="17">P38/P44*1000</f>
        <v>15.103723827020456</v>
      </c>
      <c r="Q45">
        <f t="shared" ref="Q45:R45" si="18">Q38/Q44*1000</f>
        <v>19.246297463740571</v>
      </c>
      <c r="R45">
        <f t="shared" si="18"/>
        <v>24.525075425446282</v>
      </c>
      <c r="S45">
        <f t="shared" ref="S45" si="19">S38/S44*1000</f>
        <v>31.251690137128843</v>
      </c>
      <c r="T45">
        <f t="shared" ref="T45:U45" si="20">T38/T44*1000</f>
        <v>39.823247002688618</v>
      </c>
      <c r="U45">
        <f t="shared" si="20"/>
        <v>50.745767505003407</v>
      </c>
      <c r="V45">
        <f t="shared" ref="V45" si="21">V38/V44*1000</f>
        <v>64.664062161932762</v>
      </c>
      <c r="W45">
        <f t="shared" ref="W45" si="22">W38/W44*1000</f>
        <v>82.399796886903417</v>
      </c>
      <c r="X45">
        <f t="shared" ref="X45" si="23">X38/X44*1000</f>
        <v>104.99999999999999</v>
      </c>
    </row>
    <row r="47" spans="4:24" x14ac:dyDescent="0.35">
      <c r="D47" s="28" t="s">
        <v>182</v>
      </c>
      <c r="E47">
        <f>IF(E45&lt;$J$23,$J$24,IF(E45&lt;$K$23,$K$24,IF(E45&lt;$L$23,$L$24,$M$24)))</f>
        <v>20</v>
      </c>
      <c r="F47">
        <f>IF(F45&lt;$J$23,$J$24,IF(F45&lt;$K$23,$K$24,IF(F45&lt;$L$23,$L$24,$M$24)))</f>
        <v>20</v>
      </c>
      <c r="G47">
        <f>IF(G45&lt;$J$23,$J$24,IF(G45&lt;$K$23,$K$24,IF(G45&lt;$L$23,$L$24,$M$24)))</f>
        <v>20</v>
      </c>
      <c r="H47">
        <f t="shared" ref="H47:I47" si="24">IF(H45&lt;$J$23,$J$24,IF(H45&lt;$K$23,$K$24,IF(H45&lt;$L$23,$L$24,$M$24)))</f>
        <v>20</v>
      </c>
      <c r="I47">
        <f t="shared" si="24"/>
        <v>20</v>
      </c>
      <c r="J47">
        <f>IF(J45&lt;$J$23,$J$24,IF(J45&lt;$K$23,$K$24,IF(J45&lt;$L$23,$L$24,$M$24)))</f>
        <v>20</v>
      </c>
      <c r="K47">
        <f>IF(K45&lt;$J$23,$J$24,IF(K45&lt;$K$23,$K$24,IF(K45&lt;$L$23,$L$24,$M$24)))</f>
        <v>20</v>
      </c>
      <c r="L47">
        <f t="shared" ref="L47:R47" si="25">IF(L45&lt;$J$23,$J$24,IF(L45&lt;$K$23,$K$24,IF(L45&lt;$L$23,$L$24,$M$24)))</f>
        <v>20</v>
      </c>
      <c r="M47">
        <f t="shared" si="25"/>
        <v>20</v>
      </c>
      <c r="N47">
        <f t="shared" si="25"/>
        <v>20</v>
      </c>
      <c r="O47">
        <f t="shared" si="25"/>
        <v>20</v>
      </c>
      <c r="P47">
        <f t="shared" si="25"/>
        <v>20</v>
      </c>
      <c r="Q47">
        <f t="shared" si="25"/>
        <v>20</v>
      </c>
      <c r="R47">
        <f t="shared" si="25"/>
        <v>20</v>
      </c>
      <c r="S47">
        <f t="shared" ref="S47:X47" si="26">IF(S45&lt;$J$23,$J$24,IF(S45&lt;$K$23,$K$24,IF(S45&lt;$L$23,$L$24,$M$24)))</f>
        <v>20</v>
      </c>
      <c r="T47">
        <f t="shared" si="26"/>
        <v>20</v>
      </c>
      <c r="U47">
        <f t="shared" si="26"/>
        <v>20</v>
      </c>
      <c r="V47">
        <f t="shared" si="26"/>
        <v>20</v>
      </c>
      <c r="W47">
        <f t="shared" si="26"/>
        <v>20</v>
      </c>
      <c r="X47">
        <f t="shared" si="26"/>
        <v>20</v>
      </c>
    </row>
    <row r="48" spans="4:24" x14ac:dyDescent="0.35">
      <c r="D48" s="28" t="s">
        <v>183</v>
      </c>
      <c r="E48">
        <f>IF(E45&lt;$J$23,$J$25,IF(E45&lt;$K$23,$K$25,IF(E45&lt;$L$23,$L$25,$M$25)))</f>
        <v>-0.52287874528033762</v>
      </c>
      <c r="F48">
        <f>IF(F45&lt;$J$23,$J$25,IF(F45&lt;$K$23,$K$25,IF(F45&lt;$L$23,$L$25,$M$25)))</f>
        <v>-0.52287874528033762</v>
      </c>
      <c r="G48">
        <f>IF(G45&lt;$J$23,$J$25,IF(G45&lt;$K$23,$K$25,IF(G45&lt;$L$23,$L$25,$M$25)))</f>
        <v>-0.52287874528033762</v>
      </c>
      <c r="H48">
        <f t="shared" ref="H48:J48" si="27">IF(H45&lt;$J$23,$J$25,IF(H45&lt;$K$23,$K$25,IF(H45&lt;$L$23,$L$25,$M$25)))</f>
        <v>-0.52287874528033762</v>
      </c>
      <c r="I48">
        <f t="shared" si="27"/>
        <v>-0.52287874528033762</v>
      </c>
      <c r="J48">
        <f t="shared" si="27"/>
        <v>-0.52287874528033762</v>
      </c>
      <c r="K48">
        <f>IF(K45&lt;$J$23,$J$25,IF(K45&lt;$K$23,$K$25,IF(K45&lt;$L$23,$L$25,$M$25)))</f>
        <v>-0.52287874528033762</v>
      </c>
      <c r="L48">
        <f t="shared" ref="L48:R48" si="28">IF(L45&lt;$J$23,$J$25,IF(L45&lt;$K$23,$K$25,IF(L45&lt;$L$23,$L$25,$M$25)))</f>
        <v>-0.52287874528033762</v>
      </c>
      <c r="M48">
        <f t="shared" si="28"/>
        <v>-0.52287874528033762</v>
      </c>
      <c r="N48">
        <f t="shared" si="28"/>
        <v>-0.52287874528033762</v>
      </c>
      <c r="O48">
        <f t="shared" si="28"/>
        <v>-0.52287874528033762</v>
      </c>
      <c r="P48">
        <f t="shared" si="28"/>
        <v>-0.52287874528033762</v>
      </c>
      <c r="Q48">
        <f t="shared" si="28"/>
        <v>-0.52287874528033762</v>
      </c>
      <c r="R48">
        <f t="shared" si="28"/>
        <v>-0.52287874528033762</v>
      </c>
      <c r="S48">
        <f t="shared" ref="S48:X48" si="29">IF(S45&lt;$J$23,$J$25,IF(S45&lt;$K$23,$K$25,IF(S45&lt;$L$23,$L$25,$M$25)))</f>
        <v>-0.52287874528033762</v>
      </c>
      <c r="T48">
        <f t="shared" si="29"/>
        <v>-0.52287874528033762</v>
      </c>
      <c r="U48">
        <f t="shared" si="29"/>
        <v>-0.52287874528033762</v>
      </c>
      <c r="V48">
        <f t="shared" si="29"/>
        <v>-0.52287874528033762</v>
      </c>
      <c r="W48">
        <f t="shared" si="29"/>
        <v>-0.52287874528033762</v>
      </c>
      <c r="X48">
        <f t="shared" si="29"/>
        <v>-0.52287874528033762</v>
      </c>
    </row>
    <row r="50" spans="4:25" x14ac:dyDescent="0.35">
      <c r="D50" s="28" t="s">
        <v>404</v>
      </c>
      <c r="E50">
        <f t="shared" ref="E50:X50" si="30">E47*E45^E48*VINMAX</f>
        <v>491.30490765648494</v>
      </c>
      <c r="F50">
        <f t="shared" si="30"/>
        <v>432.82390044435442</v>
      </c>
      <c r="G50">
        <f t="shared" si="30"/>
        <v>381.30400465457615</v>
      </c>
      <c r="H50">
        <f t="shared" si="30"/>
        <v>335.91662525186564</v>
      </c>
      <c r="I50">
        <f t="shared" si="30"/>
        <v>295.93179652761393</v>
      </c>
      <c r="J50">
        <f>J47*J45^J48*VINMAX</f>
        <v>260.70644205358417</v>
      </c>
      <c r="K50">
        <f t="shared" si="30"/>
        <v>229.6740320768358</v>
      </c>
      <c r="L50">
        <f t="shared" si="30"/>
        <v>202.33547201564514</v>
      </c>
      <c r="M50">
        <f t="shared" si="30"/>
        <v>178.25107551600721</v>
      </c>
      <c r="N50">
        <f t="shared" si="30"/>
        <v>157.03349297129915</v>
      </c>
      <c r="O50">
        <f t="shared" si="30"/>
        <v>138.3414817744121</v>
      </c>
      <c r="P50">
        <f t="shared" si="30"/>
        <v>121.87441810924938</v>
      </c>
      <c r="Q50">
        <f t="shared" si="30"/>
        <v>107.36746201467567</v>
      </c>
      <c r="R50">
        <f t="shared" si="30"/>
        <v>94.587297960587719</v>
      </c>
      <c r="S50">
        <f t="shared" si="30"/>
        <v>83.3283824317474</v>
      </c>
      <c r="T50">
        <f t="shared" si="30"/>
        <v>73.409638169226341</v>
      </c>
      <c r="U50">
        <f t="shared" si="30"/>
        <v>64.67154190291329</v>
      </c>
      <c r="V50">
        <f t="shared" si="30"/>
        <v>56.973558737053587</v>
      </c>
      <c r="W50">
        <f>W47*W45^W48*VINMAX</f>
        <v>50.191881926017146</v>
      </c>
      <c r="X50">
        <f t="shared" si="30"/>
        <v>44.21744168908365</v>
      </c>
    </row>
    <row r="51" spans="4:25" x14ac:dyDescent="0.35">
      <c r="D51" s="28" t="s">
        <v>405</v>
      </c>
      <c r="E51">
        <f t="shared" ref="E51:X51" si="31">E50*(TJMAX-$E$19)/(TJMAX - 25)</f>
        <v>294.78294459389093</v>
      </c>
      <c r="F51">
        <f t="shared" si="31"/>
        <v>259.69434026661264</v>
      </c>
      <c r="G51">
        <f t="shared" si="31"/>
        <v>228.7824027927457</v>
      </c>
      <c r="H51">
        <f t="shared" si="31"/>
        <v>201.54997515111938</v>
      </c>
      <c r="I51">
        <f t="shared" si="31"/>
        <v>177.55907791656836</v>
      </c>
      <c r="J51">
        <f t="shared" si="31"/>
        <v>156.42386523215049</v>
      </c>
      <c r="K51">
        <f t="shared" si="31"/>
        <v>137.80441924610147</v>
      </c>
      <c r="L51">
        <f t="shared" si="31"/>
        <v>121.40128320938709</v>
      </c>
      <c r="M51">
        <f t="shared" si="31"/>
        <v>106.95064530960433</v>
      </c>
      <c r="N51">
        <f t="shared" si="31"/>
        <v>94.220095782779481</v>
      </c>
      <c r="O51">
        <f t="shared" si="31"/>
        <v>83.004889064647259</v>
      </c>
      <c r="P51">
        <f t="shared" si="31"/>
        <v>73.124650865549626</v>
      </c>
      <c r="Q51">
        <f t="shared" si="31"/>
        <v>64.420477208805394</v>
      </c>
      <c r="R51">
        <f t="shared" si="31"/>
        <v>56.752378776352636</v>
      </c>
      <c r="S51">
        <f t="shared" si="31"/>
        <v>49.997029459048441</v>
      </c>
      <c r="T51">
        <f t="shared" si="31"/>
        <v>44.045782901535802</v>
      </c>
      <c r="U51">
        <f t="shared" si="31"/>
        <v>38.802925141747977</v>
      </c>
      <c r="V51">
        <f t="shared" si="31"/>
        <v>34.184135242232152</v>
      </c>
      <c r="W51">
        <f t="shared" si="31"/>
        <v>30.11512915561029</v>
      </c>
      <c r="X51">
        <f t="shared" si="31"/>
        <v>26.53046501345019</v>
      </c>
    </row>
    <row r="52" spans="4:25" x14ac:dyDescent="0.35">
      <c r="D52" s="28" t="s">
        <v>407</v>
      </c>
      <c r="E52">
        <f>E51/E44</f>
        <v>0.48740566235762395</v>
      </c>
      <c r="F52">
        <f>F51/F44</f>
        <v>0.54715939439553996</v>
      </c>
      <c r="G52">
        <f>G51/G44</f>
        <v>0.61423866400556437</v>
      </c>
      <c r="H52">
        <f t="shared" ref="H52:J52" si="32">H51/H44</f>
        <v>0.68954154899623132</v>
      </c>
      <c r="I52">
        <f t="shared" si="32"/>
        <v>0.77407622745776061</v>
      </c>
      <c r="J52">
        <f t="shared" si="32"/>
        <v>0.86897447555914209</v>
      </c>
      <c r="K52">
        <f>K51/K44</f>
        <v>0.97550682011416101</v>
      </c>
      <c r="L52">
        <f t="shared" ref="L52" si="33">L51/L44</f>
        <v>1.095099548783554</v>
      </c>
      <c r="M52">
        <f t="shared" ref="M52:N52" si="34">M51/M44</f>
        <v>1.2293538056510966</v>
      </c>
      <c r="N52">
        <f t="shared" si="34"/>
        <v>1.3800670278310418</v>
      </c>
      <c r="O52">
        <f t="shared" ref="O52" si="35">O51/O44</f>
        <v>1.5492570101067777</v>
      </c>
      <c r="P52">
        <f t="shared" ref="P52" si="36">P51/P44</f>
        <v>1.7391889197854531</v>
      </c>
      <c r="Q52">
        <f t="shared" ref="Q52:R52" si="37">Q51/Q44</f>
        <v>1.9524056234517335</v>
      </c>
      <c r="R52">
        <f t="shared" si="37"/>
        <v>2.1917617316445348</v>
      </c>
      <c r="S52">
        <f t="shared" ref="S52" si="38">S51/S44</f>
        <v>2.4604618172573134</v>
      </c>
      <c r="T52">
        <f t="shared" ref="T52:U52" si="39">T51/T44</f>
        <v>2.7621033193415525</v>
      </c>
      <c r="U52">
        <f t="shared" si="39"/>
        <v>3.1007247067227173</v>
      </c>
      <c r="V52">
        <f t="shared" ref="V52" si="40">V51/V44</f>
        <v>3.4808595462579</v>
      </c>
      <c r="W52">
        <f t="shared" ref="W52" si="41">W51/W44</f>
        <v>3.907597199617586</v>
      </c>
      <c r="X52">
        <f t="shared" ref="X52" si="42">X51/X44</f>
        <v>4.3866509612186162</v>
      </c>
    </row>
    <row r="54" spans="4:25" x14ac:dyDescent="0.35">
      <c r="D54" s="28" t="s">
        <v>411</v>
      </c>
      <c r="E54" t="str">
        <f>IF(E52&gt;$E$20, "Y", "N")</f>
        <v>N</v>
      </c>
      <c r="F54" t="str">
        <f t="shared" ref="F54:X54" si="43">IF(F52&gt;$E$20, "Y", "N")</f>
        <v>N</v>
      </c>
      <c r="G54" t="str">
        <f t="shared" si="43"/>
        <v>N</v>
      </c>
      <c r="H54" t="str">
        <f t="shared" si="43"/>
        <v>N</v>
      </c>
      <c r="I54" t="str">
        <f t="shared" si="43"/>
        <v>N</v>
      </c>
      <c r="J54" t="str">
        <f t="shared" si="43"/>
        <v>N</v>
      </c>
      <c r="K54" t="str">
        <f t="shared" si="43"/>
        <v>N</v>
      </c>
      <c r="L54" t="str">
        <f t="shared" si="43"/>
        <v>N</v>
      </c>
      <c r="M54" t="str">
        <f t="shared" si="43"/>
        <v>N</v>
      </c>
      <c r="N54" t="str">
        <f t="shared" si="43"/>
        <v>N</v>
      </c>
      <c r="O54" t="str">
        <f t="shared" si="43"/>
        <v>Y</v>
      </c>
      <c r="P54" t="str">
        <f t="shared" si="43"/>
        <v>Y</v>
      </c>
      <c r="Q54" t="str">
        <f t="shared" si="43"/>
        <v>Y</v>
      </c>
      <c r="R54" t="str">
        <f t="shared" si="43"/>
        <v>Y</v>
      </c>
      <c r="S54" t="str">
        <f t="shared" si="43"/>
        <v>Y</v>
      </c>
      <c r="T54" t="str">
        <f t="shared" si="43"/>
        <v>Y</v>
      </c>
      <c r="U54" t="str">
        <f t="shared" si="43"/>
        <v>Y</v>
      </c>
      <c r="V54" t="str">
        <f t="shared" si="43"/>
        <v>Y</v>
      </c>
      <c r="W54" t="str">
        <f t="shared" si="43"/>
        <v>Y</v>
      </c>
      <c r="X54" t="str">
        <f t="shared" si="43"/>
        <v>Y</v>
      </c>
      <c r="Y54" t="s">
        <v>414</v>
      </c>
    </row>
    <row r="55" spans="4:25" x14ac:dyDescent="0.35">
      <c r="D55" s="28" t="s">
        <v>412</v>
      </c>
      <c r="E55">
        <f>IF(E54="Y", 1, 0)</f>
        <v>0</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1</v>
      </c>
      <c r="P55">
        <f t="shared" si="44"/>
        <v>0</v>
      </c>
      <c r="Q55">
        <f t="shared" si="44"/>
        <v>0</v>
      </c>
      <c r="R55">
        <f t="shared" si="44"/>
        <v>0</v>
      </c>
      <c r="S55">
        <f t="shared" si="44"/>
        <v>0</v>
      </c>
      <c r="T55">
        <f t="shared" si="44"/>
        <v>0</v>
      </c>
      <c r="U55">
        <f t="shared" si="44"/>
        <v>0</v>
      </c>
      <c r="V55">
        <f t="shared" si="44"/>
        <v>0</v>
      </c>
      <c r="W55">
        <f t="shared" si="44"/>
        <v>0</v>
      </c>
      <c r="X55">
        <f t="shared" si="44"/>
        <v>0</v>
      </c>
    </row>
    <row r="56" spans="4:25" x14ac:dyDescent="0.35">
      <c r="D56" s="28"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35">
      <c r="D58" t="s">
        <v>415</v>
      </c>
      <c r="E58">
        <f>E55*E35</f>
        <v>0</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1.0630401484920993</v>
      </c>
      <c r="P58">
        <f t="shared" si="46"/>
        <v>0</v>
      </c>
      <c r="Q58">
        <f t="shared" si="46"/>
        <v>0</v>
      </c>
      <c r="R58">
        <f t="shared" si="46"/>
        <v>0</v>
      </c>
      <c r="S58">
        <f t="shared" si="46"/>
        <v>0</v>
      </c>
      <c r="T58">
        <f t="shared" si="46"/>
        <v>0</v>
      </c>
      <c r="U58">
        <f t="shared" si="46"/>
        <v>0</v>
      </c>
      <c r="V58">
        <f t="shared" si="46"/>
        <v>0</v>
      </c>
      <c r="W58">
        <f t="shared" si="46"/>
        <v>0</v>
      </c>
      <c r="X58">
        <f t="shared" si="46"/>
        <v>0</v>
      </c>
    </row>
    <row r="59" spans="4:25" x14ac:dyDescent="0.35">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3.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Stuckey, William M</cp:lastModifiedBy>
  <cp:lastPrinted>2013-08-26T22:42:43Z</cp:lastPrinted>
  <dcterms:created xsi:type="dcterms:W3CDTF">2009-04-21T16:00:33Z</dcterms:created>
  <dcterms:modified xsi:type="dcterms:W3CDTF">2024-08-10T01:30:56Z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