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defaultThemeVersion="124226"/>
  <mc:AlternateContent xmlns:mc="http://schemas.openxmlformats.org/markup-compatibility/2006">
    <mc:Choice Requires="x15">
      <x15ac:absPath xmlns:x15ac="http://schemas.microsoft.com/office/spreadsheetml/2010/11/ac" url="C:\Users\guyfl\Documents\ateam\electrical\robot\power\v1.0\"/>
    </mc:Choice>
  </mc:AlternateContent>
  <xr:revisionPtr revIDLastSave="0" documentId="13_ncr:1_{B8EC1997-34BE-4A3E-AED1-E4BE0691A931}" xr6:coauthVersionLast="47" xr6:coauthVersionMax="47" xr10:uidLastSave="{00000000-0000-0000-0000-000000000000}"/>
  <workbookProtection workbookPassword="C5C9" lockStructure="1"/>
  <bookViews>
    <workbookView xWindow="-110" yWindow="-110" windowWidth="38620" windowHeight="21100" tabRatio="652" activeTab="1" xr2:uid="{00000000-000D-0000-FFFF-FFFF00000000}"/>
  </bookViews>
  <sheets>
    <sheet name="Instructions" sheetId="16" r:id="rId1"/>
    <sheet name="Design Calculator" sheetId="1" r:id="rId2"/>
    <sheet name="Device Parameters" sheetId="6" state="hidden" r:id="rId3"/>
    <sheet name="Equations" sheetId="3" state="hidden" r:id="rId4"/>
    <sheet name="Start_up" sheetId="13" state="hidden" r:id="rId5"/>
    <sheet name="SOA" sheetId="7" state="hidden" r:id="rId6"/>
    <sheet name="dv_dt_recommendations" sheetId="14"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Calculator'!$F$61</definedName>
    <definedName name="I_Cout_ss">Equations!$F$65</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Calculator'!$F$53</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Calculator'!$A$1:$M$195</definedName>
    <definedName name="RDIV1">'Design Calculator'!$F$42</definedName>
    <definedName name="RDIV2">'Design Calculator'!$F$43</definedName>
    <definedName name="RDSON">'Design Calculator'!$AN$54</definedName>
    <definedName name="RPWR">'Design Calculator'!$F$66</definedName>
    <definedName name="Rrflt" localSheetId="5">[1]ILIM_SOA_considerations!$C$46</definedName>
    <definedName name="Rrflt">[2]ILIM_SOA_considerations!$C$46</definedName>
    <definedName name="Rs">'Design Calculator'!$F$39</definedName>
    <definedName name="RsEFF">Equations!$F$23</definedName>
    <definedName name="Rsense" localSheetId="5">[1]ILIM_SOA_considerations!$C$30</definedName>
    <definedName name="Rsense">[2]ILIM_SOA_considerations!$C$30</definedName>
    <definedName name="RsMAX">'Design Calculator'!$F$37</definedName>
    <definedName name="SOA_av" localSheetId="5">[1]ILIM_SOA_considerations!$C$52</definedName>
    <definedName name="SOA_av">[2]ILIM_SOA_considerations!$C$52</definedName>
    <definedName name="solver_adj" localSheetId="5" hidden="1">SOA!#REF!</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SOA!#REF!</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 name="ss_rate">Equations!$F$61</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Calculator'!$F$52</definedName>
    <definedName name="TINSERT">'Design Calculator'!$F$92</definedName>
    <definedName name="TINSERTMAX">Equations!$F$108</definedName>
    <definedName name="TINSERTMIN">Equations!$F$106</definedName>
    <definedName name="TJ">'Design Calculator'!$F$62</definedName>
    <definedName name="TJMAX">'Design Calculator'!$AN$55</definedName>
    <definedName name="Tsd" localSheetId="5">[1]ILIM_SOA_considerations!$C$67</definedName>
    <definedName name="Tsd">[2]ILIM_SOA_considerations!$C$67</definedName>
    <definedName name="TSTARTMAX">Equations!$F$95</definedName>
    <definedName name="TSTARTMIN">Equations!$F$93</definedName>
    <definedName name="TSTARTNOM">Equations!$F$94</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Calculator'!$AR$15:$AR$16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 l="1"/>
  <c r="F135" i="1" l="1"/>
  <c r="F133" i="1"/>
  <c r="AN55" i="1"/>
  <c r="AN56" i="1"/>
  <c r="AN57" i="1"/>
  <c r="AN58" i="1"/>
  <c r="AN59" i="1"/>
  <c r="AN60" i="1"/>
  <c r="AN54" i="1"/>
  <c r="G143" i="3" l="1"/>
  <c r="G141" i="3"/>
  <c r="F143" i="3"/>
  <c r="F141" i="3"/>
  <c r="G142" i="3" l="1"/>
  <c r="F142" i="3"/>
  <c r="G133" i="3"/>
  <c r="F133" i="3"/>
  <c r="G140" i="3"/>
  <c r="F140" i="3"/>
  <c r="G138" i="3"/>
  <c r="F138" i="3"/>
  <c r="G137" i="3"/>
  <c r="G135" i="3"/>
  <c r="F137" i="3"/>
  <c r="F135" i="3"/>
  <c r="F136" i="3"/>
  <c r="G134" i="3"/>
  <c r="G132" i="3"/>
  <c r="F134" i="3"/>
  <c r="F132" i="3"/>
  <c r="G136" i="3"/>
  <c r="F139" i="3"/>
  <c r="G139" i="3"/>
  <c r="G128" i="3" l="1"/>
  <c r="G129" i="3" s="1"/>
  <c r="F128" i="3"/>
  <c r="F130" i="3" s="1"/>
  <c r="F41" i="3"/>
  <c r="F129" i="3" l="1"/>
  <c r="F112" i="3"/>
  <c r="F125" i="1" l="1"/>
  <c r="E21" i="14"/>
  <c r="F39" i="3" l="1"/>
  <c r="H109" i="3"/>
  <c r="G130" i="3" l="1"/>
  <c r="F109" i="1"/>
  <c r="E29" i="14"/>
  <c r="E35" i="14" s="1"/>
  <c r="E36" i="14" s="1"/>
  <c r="E27" i="14"/>
  <c r="E26" i="14"/>
  <c r="H41" i="14" s="1"/>
  <c r="E25" i="14"/>
  <c r="C9" i="7"/>
  <c r="H24" i="7"/>
  <c r="H25" i="7" s="1"/>
  <c r="E19" i="14" s="1"/>
  <c r="H9" i="7"/>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Y22" i="13"/>
  <c r="Y15" i="13"/>
  <c r="Y18" i="13" s="1"/>
  <c r="Y24" i="13" s="1"/>
  <c r="R2" i="13"/>
  <c r="Q2" i="13"/>
  <c r="J2" i="13"/>
  <c r="H2" i="13"/>
  <c r="G2" i="13"/>
  <c r="F2" i="13"/>
  <c r="O216" i="3"/>
  <c r="J111" i="3"/>
  <c r="J110" i="3"/>
  <c r="J109" i="3"/>
  <c r="I111" i="3"/>
  <c r="I110" i="3"/>
  <c r="I109" i="3"/>
  <c r="H111" i="3"/>
  <c r="H110" i="3"/>
  <c r="F177" i="3"/>
  <c r="F176" i="3"/>
  <c r="F175" i="3"/>
  <c r="F152" i="3"/>
  <c r="F151" i="3"/>
  <c r="F117" i="3"/>
  <c r="F116" i="3"/>
  <c r="F115" i="3"/>
  <c r="F114" i="3"/>
  <c r="F113" i="3"/>
  <c r="F77" i="3"/>
  <c r="F78" i="3" s="1"/>
  <c r="F90" i="1" s="1"/>
  <c r="F75" i="3"/>
  <c r="F76" i="3" s="1"/>
  <c r="F88" i="1" s="1"/>
  <c r="F63" i="3"/>
  <c r="F61" i="3"/>
  <c r="F62" i="3" s="1"/>
  <c r="F83" i="1" s="1"/>
  <c r="F57" i="3"/>
  <c r="F58" i="3" s="1"/>
  <c r="F77" i="1" s="1"/>
  <c r="F54" i="3"/>
  <c r="F36" i="3"/>
  <c r="F35" i="3"/>
  <c r="F34" i="3"/>
  <c r="F33" i="3"/>
  <c r="E279" i="3"/>
  <c r="E277" i="3"/>
  <c r="E17" i="3"/>
  <c r="E16" i="3"/>
  <c r="E15" i="3"/>
  <c r="F20" i="3" s="1"/>
  <c r="L18" i="6"/>
  <c r="M18" i="6" s="1"/>
  <c r="L17" i="6"/>
  <c r="M17" i="6" s="1"/>
  <c r="D26" i="6"/>
  <c r="D4" i="7"/>
  <c r="C4" i="7"/>
  <c r="B4" i="7"/>
  <c r="F61" i="1"/>
  <c r="AN42" i="1"/>
  <c r="G70" i="1"/>
  <c r="F130" i="1"/>
  <c r="F129" i="1"/>
  <c r="F128" i="1"/>
  <c r="F127" i="1"/>
  <c r="F126" i="1"/>
  <c r="F124" i="1"/>
  <c r="F121" i="1"/>
  <c r="F4" i="7"/>
  <c r="N18" i="6"/>
  <c r="N17" i="6"/>
  <c r="D2" i="13"/>
  <c r="E32" i="14" l="1"/>
  <c r="F35" i="14" s="1"/>
  <c r="E37" i="14"/>
  <c r="E39" i="14" s="1"/>
  <c r="G131" i="3"/>
  <c r="F102" i="1" s="1"/>
  <c r="E4" i="7"/>
  <c r="F110" i="1"/>
  <c r="F62" i="1"/>
  <c r="H36" i="3" s="1"/>
  <c r="S253" i="3"/>
  <c r="T254" i="3"/>
  <c r="U255" i="3"/>
  <c r="S257" i="3"/>
  <c r="T258" i="3"/>
  <c r="U259" i="3"/>
  <c r="S261" i="3"/>
  <c r="T262" i="3"/>
  <c r="U263" i="3"/>
  <c r="S265" i="3"/>
  <c r="T266" i="3"/>
  <c r="U267" i="3"/>
  <c r="S269" i="3"/>
  <c r="T270" i="3"/>
  <c r="U271" i="3"/>
  <c r="U262" i="3"/>
  <c r="T265" i="3"/>
  <c r="S268" i="3"/>
  <c r="T269" i="3"/>
  <c r="S272" i="3"/>
  <c r="U253" i="3"/>
  <c r="S255" i="3"/>
  <c r="U257" i="3"/>
  <c r="S259" i="3"/>
  <c r="U261" i="3"/>
  <c r="S263" i="3"/>
  <c r="U265" i="3"/>
  <c r="T268" i="3"/>
  <c r="U269" i="3"/>
  <c r="T272" i="3"/>
  <c r="S254" i="3"/>
  <c r="U256" i="3"/>
  <c r="S258" i="3"/>
  <c r="U260" i="3"/>
  <c r="S262" i="3"/>
  <c r="U264" i="3"/>
  <c r="S266" i="3"/>
  <c r="U268" i="3"/>
  <c r="S270" i="3"/>
  <c r="U272" i="3"/>
  <c r="T253" i="3"/>
  <c r="U254" i="3"/>
  <c r="S256" i="3"/>
  <c r="T257" i="3"/>
  <c r="U258" i="3"/>
  <c r="S260" i="3"/>
  <c r="T261" i="3"/>
  <c r="S264" i="3"/>
  <c r="U266" i="3"/>
  <c r="U270" i="3"/>
  <c r="T256" i="3"/>
  <c r="T260" i="3"/>
  <c r="T264" i="3"/>
  <c r="S267" i="3"/>
  <c r="S271" i="3"/>
  <c r="T255" i="3"/>
  <c r="T259" i="3"/>
  <c r="T263" i="3"/>
  <c r="T267" i="3"/>
  <c r="T271" i="3"/>
  <c r="F99" i="1"/>
  <c r="K130" i="1"/>
  <c r="F153" i="3"/>
  <c r="H42" i="14"/>
  <c r="C113" i="13"/>
  <c r="C87" i="13"/>
  <c r="C114" i="13"/>
  <c r="G41" i="14"/>
  <c r="G42" i="14" s="1"/>
  <c r="C111" i="13"/>
  <c r="C112" i="13"/>
  <c r="C34" i="7"/>
  <c r="J25" i="14" s="1"/>
  <c r="F41" i="14"/>
  <c r="F42" i="14" s="1"/>
  <c r="C10" i="13"/>
  <c r="C22" i="13"/>
  <c r="C34" i="13"/>
  <c r="C50" i="13"/>
  <c r="C78" i="13"/>
  <c r="C82" i="13"/>
  <c r="C86" i="13"/>
  <c r="C98" i="13"/>
  <c r="I41" i="14"/>
  <c r="I42" i="14" s="1"/>
  <c r="C80" i="13"/>
  <c r="F100" i="1"/>
  <c r="F107" i="3"/>
  <c r="F92" i="1" s="1"/>
  <c r="K129" i="1" s="1"/>
  <c r="F64" i="3"/>
  <c r="F66" i="3" s="1"/>
  <c r="F108" i="3"/>
  <c r="F111" i="3"/>
  <c r="H27" i="7"/>
  <c r="E110" i="1"/>
  <c r="K133" i="1" s="1"/>
  <c r="E109" i="1"/>
  <c r="K132" i="1" s="1"/>
  <c r="D112" i="1"/>
  <c r="E112" i="1"/>
  <c r="K135" i="1" s="1"/>
  <c r="F112" i="1"/>
  <c r="D110" i="1"/>
  <c r="E111" i="1"/>
  <c r="K134" i="1" s="1"/>
  <c r="F111" i="1"/>
  <c r="D111" i="1"/>
  <c r="D109" i="1"/>
  <c r="F109" i="3"/>
  <c r="Q17" i="6"/>
  <c r="C8" i="7"/>
  <c r="C10" i="7" s="1"/>
  <c r="C11" i="7" s="1"/>
  <c r="C14" i="7" s="1"/>
  <c r="F37" i="1"/>
  <c r="AO52" i="1"/>
  <c r="D34" i="7"/>
  <c r="F106" i="3"/>
  <c r="F110" i="3"/>
  <c r="F93" i="1" s="1"/>
  <c r="K131" i="1" s="1"/>
  <c r="C110" i="13"/>
  <c r="C95" i="13"/>
  <c r="C79" i="13"/>
  <c r="C63" i="13"/>
  <c r="C47" i="13"/>
  <c r="C31" i="13"/>
  <c r="C107" i="13"/>
  <c r="C99" i="13"/>
  <c r="C71" i="13"/>
  <c r="C43" i="13"/>
  <c r="C35" i="13"/>
  <c r="C11" i="13"/>
  <c r="C91" i="13"/>
  <c r="C83" i="13"/>
  <c r="C55" i="13"/>
  <c r="C27" i="13"/>
  <c r="C15" i="13"/>
  <c r="C103" i="13"/>
  <c r="C96" i="13"/>
  <c r="C88" i="13"/>
  <c r="C75" i="13"/>
  <c r="C67" i="13"/>
  <c r="C60" i="13"/>
  <c r="C39" i="13"/>
  <c r="C32" i="13"/>
  <c r="C24" i="13"/>
  <c r="C19" i="13"/>
  <c r="C94" i="13"/>
  <c r="C66" i="13"/>
  <c r="C38" i="13"/>
  <c r="C12" i="13"/>
  <c r="C102" i="13"/>
  <c r="C59" i="13"/>
  <c r="C23" i="13"/>
  <c r="C108" i="13"/>
  <c r="C72" i="13"/>
  <c r="C30" i="13"/>
  <c r="C51" i="13"/>
  <c r="C44" i="13"/>
  <c r="C18" i="13"/>
  <c r="C13" i="13"/>
  <c r="C17" i="13"/>
  <c r="C21" i="13"/>
  <c r="C25" i="13"/>
  <c r="C29" i="13"/>
  <c r="C33" i="13"/>
  <c r="C37" i="13"/>
  <c r="C41" i="13"/>
  <c r="C45" i="13"/>
  <c r="C49" i="13"/>
  <c r="C53" i="13"/>
  <c r="C57" i="13"/>
  <c r="C61" i="13"/>
  <c r="C65" i="13"/>
  <c r="C69" i="13"/>
  <c r="C73" i="13"/>
  <c r="C77" i="13"/>
  <c r="C81" i="13"/>
  <c r="C85" i="13"/>
  <c r="C89" i="13"/>
  <c r="C93" i="13"/>
  <c r="C97" i="13"/>
  <c r="C101" i="13"/>
  <c r="C105" i="13"/>
  <c r="C109" i="13"/>
  <c r="C16" i="13"/>
  <c r="C20" i="13"/>
  <c r="C28" i="13"/>
  <c r="C40" i="13"/>
  <c r="C48" i="13"/>
  <c r="C56" i="13"/>
  <c r="C64" i="13"/>
  <c r="C76" i="13"/>
  <c r="C92" i="13"/>
  <c r="C104" i="13"/>
  <c r="F36" i="14"/>
  <c r="F37" i="14"/>
  <c r="G35" i="14"/>
  <c r="C26" i="13"/>
  <c r="C42" i="13"/>
  <c r="C58" i="13"/>
  <c r="C74" i="13"/>
  <c r="C90" i="13"/>
  <c r="C106" i="13"/>
  <c r="C14" i="13"/>
  <c r="C46" i="13"/>
  <c r="C54" i="13"/>
  <c r="C62" i="13"/>
  <c r="C70" i="13"/>
  <c r="E59" i="14"/>
  <c r="C36" i="13"/>
  <c r="C52" i="13"/>
  <c r="C68" i="13"/>
  <c r="C84" i="13"/>
  <c r="C100" i="13"/>
  <c r="E41" i="14"/>
  <c r="E42" i="14" s="1"/>
  <c r="X41" i="14"/>
  <c r="X42" i="14" s="1"/>
  <c r="W41" i="14"/>
  <c r="W42" i="14" s="1"/>
  <c r="V41" i="14"/>
  <c r="V42" i="14" s="1"/>
  <c r="U41" i="14"/>
  <c r="U42" i="14" s="1"/>
  <c r="T41" i="14"/>
  <c r="T42" i="14" s="1"/>
  <c r="S41" i="14"/>
  <c r="S42" i="14" s="1"/>
  <c r="R41" i="14"/>
  <c r="R42" i="14" s="1"/>
  <c r="Q41" i="14"/>
  <c r="Q42" i="14" s="1"/>
  <c r="P41" i="14"/>
  <c r="P42" i="14" s="1"/>
  <c r="O41" i="14"/>
  <c r="O42" i="14" s="1"/>
  <c r="N41" i="14"/>
  <c r="N42" i="14" s="1"/>
  <c r="M41" i="14"/>
  <c r="M42" i="14" s="1"/>
  <c r="K41" i="14"/>
  <c r="K42" i="14" s="1"/>
  <c r="J41" i="14"/>
  <c r="J42" i="14" s="1"/>
  <c r="L41" i="14"/>
  <c r="L42" i="14" s="1"/>
  <c r="E40" i="14" l="1"/>
  <c r="E44" i="14" s="1"/>
  <c r="F122" i="1"/>
  <c r="F123" i="1"/>
  <c r="H35" i="3"/>
  <c r="H33" i="3"/>
  <c r="C25" i="7"/>
  <c r="H34" i="3"/>
  <c r="E23" i="14"/>
  <c r="K25" i="14"/>
  <c r="E34" i="7"/>
  <c r="C33" i="7"/>
  <c r="J24" i="14" s="1"/>
  <c r="F85" i="1"/>
  <c r="F65" i="3"/>
  <c r="D33" i="7"/>
  <c r="K24" i="14" s="1"/>
  <c r="F101" i="1"/>
  <c r="F40" i="14"/>
  <c r="F39" i="14"/>
  <c r="C12" i="7"/>
  <c r="C13" i="7" s="1"/>
  <c r="C15" i="7" s="1"/>
  <c r="C19" i="7" s="1"/>
  <c r="C18" i="7" s="1"/>
  <c r="G36" i="14"/>
  <c r="H35" i="14"/>
  <c r="G37" i="14"/>
  <c r="F23" i="3"/>
  <c r="F21" i="3"/>
  <c r="F40" i="1" s="1"/>
  <c r="F40" i="3" l="1"/>
  <c r="F65" i="1" s="1"/>
  <c r="F42" i="3"/>
  <c r="P97" i="13"/>
  <c r="F20" i="13"/>
  <c r="E33" i="7"/>
  <c r="L24" i="14" s="1"/>
  <c r="F34" i="7"/>
  <c r="L25" i="14"/>
  <c r="F38" i="3"/>
  <c r="F63" i="1" s="1"/>
  <c r="P90" i="13"/>
  <c r="P89" i="13"/>
  <c r="Q55" i="13"/>
  <c r="F54" i="13"/>
  <c r="Q34" i="13"/>
  <c r="P18" i="13"/>
  <c r="P102" i="13"/>
  <c r="Q23" i="13"/>
  <c r="F74" i="13"/>
  <c r="Q61" i="13"/>
  <c r="P87" i="13"/>
  <c r="Q88" i="13"/>
  <c r="P83" i="13"/>
  <c r="P80" i="13"/>
  <c r="Q16" i="13"/>
  <c r="F80" i="13"/>
  <c r="Q12" i="13"/>
  <c r="Q89" i="13"/>
  <c r="Q78" i="13"/>
  <c r="P49" i="13"/>
  <c r="P111" i="13"/>
  <c r="P100" i="13"/>
  <c r="F85" i="13"/>
  <c r="F64" i="13"/>
  <c r="F34" i="13"/>
  <c r="Q26" i="13"/>
  <c r="F59" i="13"/>
  <c r="Q85" i="13"/>
  <c r="F48" i="13"/>
  <c r="F21" i="13"/>
  <c r="F25" i="13"/>
  <c r="F77" i="13"/>
  <c r="P45" i="13"/>
  <c r="F91" i="13"/>
  <c r="Q43" i="13"/>
  <c r="P61" i="13"/>
  <c r="P76" i="13"/>
  <c r="Q110" i="13"/>
  <c r="P23" i="13"/>
  <c r="Q84" i="13"/>
  <c r="P77" i="13"/>
  <c r="P36" i="13"/>
  <c r="F33" i="13"/>
  <c r="F29" i="13"/>
  <c r="F46" i="13"/>
  <c r="F13" i="13"/>
  <c r="F52" i="13"/>
  <c r="F18" i="13"/>
  <c r="F98" i="13"/>
  <c r="P39" i="13"/>
  <c r="P82" i="13"/>
  <c r="F43" i="13"/>
  <c r="F107" i="13"/>
  <c r="Q74" i="13"/>
  <c r="Q83" i="13"/>
  <c r="Q41" i="13"/>
  <c r="Q99" i="13"/>
  <c r="P16" i="13"/>
  <c r="Q67" i="13"/>
  <c r="F41" i="13"/>
  <c r="F23" i="13"/>
  <c r="P106" i="13"/>
  <c r="F102" i="13"/>
  <c r="P67" i="13"/>
  <c r="F108" i="13"/>
  <c r="F56" i="13"/>
  <c r="P94" i="13"/>
  <c r="Q109" i="13"/>
  <c r="Q49" i="13"/>
  <c r="F75" i="13"/>
  <c r="Q48" i="13"/>
  <c r="Q114" i="13"/>
  <c r="Q32" i="13"/>
  <c r="Q92" i="13"/>
  <c r="Q15" i="13"/>
  <c r="Q71" i="13"/>
  <c r="P47" i="13"/>
  <c r="P12" i="13"/>
  <c r="Q95" i="13"/>
  <c r="Q97" i="13"/>
  <c r="P92" i="13"/>
  <c r="P54" i="13"/>
  <c r="Q87" i="13"/>
  <c r="P105" i="13"/>
  <c r="P64" i="13"/>
  <c r="Q11" i="13"/>
  <c r="Q103" i="13"/>
  <c r="P79" i="13"/>
  <c r="P20" i="13"/>
  <c r="Q100" i="13"/>
  <c r="F76" i="13"/>
  <c r="F17" i="13"/>
  <c r="F84" i="13"/>
  <c r="F100" i="13"/>
  <c r="F27" i="13"/>
  <c r="F81" i="13"/>
  <c r="Q13" i="13"/>
  <c r="F78" i="13"/>
  <c r="F31" i="13"/>
  <c r="F86" i="13"/>
  <c r="Q72" i="13"/>
  <c r="F40" i="13"/>
  <c r="F82" i="13"/>
  <c r="P37" i="13"/>
  <c r="Q80" i="13"/>
  <c r="Q44" i="13"/>
  <c r="P53" i="13"/>
  <c r="Q21" i="13"/>
  <c r="Q104" i="13"/>
  <c r="F63" i="13"/>
  <c r="F95" i="13"/>
  <c r="P109" i="13"/>
  <c r="P26" i="13"/>
  <c r="Q38" i="13"/>
  <c r="Q102" i="13"/>
  <c r="Q39" i="13"/>
  <c r="P104" i="13"/>
  <c r="Q51" i="13"/>
  <c r="P65" i="13"/>
  <c r="Q37" i="13"/>
  <c r="P28" i="13"/>
  <c r="P43" i="13"/>
  <c r="P41" i="13"/>
  <c r="Q36" i="13"/>
  <c r="P55" i="13"/>
  <c r="P69" i="13"/>
  <c r="P84" i="13"/>
  <c r="F97" i="13"/>
  <c r="F62" i="13"/>
  <c r="F105" i="13"/>
  <c r="F42" i="13"/>
  <c r="Q33" i="13"/>
  <c r="F53" i="13"/>
  <c r="F110" i="13"/>
  <c r="F24" i="13"/>
  <c r="Q70" i="13"/>
  <c r="F58" i="13"/>
  <c r="P10" i="13"/>
  <c r="F22" i="13"/>
  <c r="F61" i="13"/>
  <c r="F104" i="13"/>
  <c r="P114" i="13"/>
  <c r="P58" i="13"/>
  <c r="P15" i="13"/>
  <c r="P93" i="13"/>
  <c r="Q58" i="13"/>
  <c r="F47" i="13"/>
  <c r="F79" i="13"/>
  <c r="F111" i="13"/>
  <c r="Q56" i="13"/>
  <c r="P98" i="13"/>
  <c r="Q90" i="13"/>
  <c r="Q94" i="13"/>
  <c r="Q27" i="13"/>
  <c r="P88" i="13"/>
  <c r="Q96" i="13"/>
  <c r="F90" i="13"/>
  <c r="F69" i="13"/>
  <c r="F112" i="13"/>
  <c r="F113" i="13"/>
  <c r="F11" i="13"/>
  <c r="P11" i="13"/>
  <c r="Q46" i="13"/>
  <c r="P27" i="13"/>
  <c r="Q75" i="13"/>
  <c r="P13" i="13"/>
  <c r="P81" i="13"/>
  <c r="Q113" i="13"/>
  <c r="P60" i="13"/>
  <c r="Q20" i="13"/>
  <c r="Q30" i="13"/>
  <c r="Q31" i="13"/>
  <c r="P75" i="13"/>
  <c r="P33" i="13"/>
  <c r="Q81" i="13"/>
  <c r="Q65" i="13"/>
  <c r="P48" i="13"/>
  <c r="P112" i="13"/>
  <c r="Q62" i="13"/>
  <c r="Q47" i="13"/>
  <c r="Q91" i="13"/>
  <c r="Q25" i="13"/>
  <c r="P31" i="13"/>
  <c r="P68" i="13"/>
  <c r="Q52" i="13"/>
  <c r="P66" i="13"/>
  <c r="F12" i="13"/>
  <c r="P29" i="13"/>
  <c r="Q54" i="13"/>
  <c r="F28" i="13"/>
  <c r="F19" i="13"/>
  <c r="F70" i="13"/>
  <c r="P30" i="13"/>
  <c r="F16" i="13"/>
  <c r="F38" i="13"/>
  <c r="F68" i="13"/>
  <c r="F96" i="13"/>
  <c r="P50" i="13"/>
  <c r="Q93" i="13"/>
  <c r="F49" i="13"/>
  <c r="F106" i="13"/>
  <c r="F44" i="13"/>
  <c r="F73" i="13"/>
  <c r="F101" i="13"/>
  <c r="P85" i="13"/>
  <c r="F14" i="13"/>
  <c r="F30" i="13"/>
  <c r="F50" i="13"/>
  <c r="F72" i="13"/>
  <c r="F93" i="13"/>
  <c r="F114" i="13"/>
  <c r="P74" i="13"/>
  <c r="Q42" i="13"/>
  <c r="P21" i="13"/>
  <c r="P95" i="13"/>
  <c r="Q82" i="13"/>
  <c r="P35" i="13"/>
  <c r="P73" i="13"/>
  <c r="P110" i="13"/>
  <c r="Q40" i="13"/>
  <c r="Q77" i="13"/>
  <c r="F39" i="13"/>
  <c r="F55" i="13"/>
  <c r="F71" i="13"/>
  <c r="F87" i="13"/>
  <c r="F103" i="13"/>
  <c r="P42" i="13"/>
  <c r="Q28" i="13"/>
  <c r="Q98" i="13"/>
  <c r="P62" i="13"/>
  <c r="Q24" i="13"/>
  <c r="Q66" i="13"/>
  <c r="Q86" i="13"/>
  <c r="Q68" i="13"/>
  <c r="Q107" i="13"/>
  <c r="P24" i="13"/>
  <c r="Q14" i="13"/>
  <c r="Q19" i="13"/>
  <c r="P59" i="13"/>
  <c r="P107" i="13"/>
  <c r="Q73" i="13"/>
  <c r="Q105" i="13"/>
  <c r="P44" i="13"/>
  <c r="P108" i="13"/>
  <c r="P19" i="13"/>
  <c r="Q63" i="13"/>
  <c r="Q111" i="13"/>
  <c r="Q57" i="13"/>
  <c r="P71" i="13"/>
  <c r="P32" i="13"/>
  <c r="P96" i="13"/>
  <c r="P38" i="13"/>
  <c r="Q35" i="13"/>
  <c r="Q79" i="13"/>
  <c r="P17" i="13"/>
  <c r="Q101" i="13"/>
  <c r="P52" i="13"/>
  <c r="P22" i="13"/>
  <c r="P103" i="13"/>
  <c r="F57" i="13"/>
  <c r="F32" i="13"/>
  <c r="F60" i="13"/>
  <c r="F89" i="13"/>
  <c r="Q50" i="13"/>
  <c r="F36" i="13"/>
  <c r="F92" i="13"/>
  <c r="F15" i="13"/>
  <c r="F37" i="13"/>
  <c r="F65" i="13"/>
  <c r="F94" i="13"/>
  <c r="P46" i="13"/>
  <c r="F10" i="13"/>
  <c r="F26" i="13"/>
  <c r="F45" i="13"/>
  <c r="F66" i="13"/>
  <c r="F88" i="13"/>
  <c r="F109" i="13"/>
  <c r="P57" i="13"/>
  <c r="Q22" i="13"/>
  <c r="Q106" i="13"/>
  <c r="P78" i="13"/>
  <c r="Q64" i="13"/>
  <c r="P25" i="13"/>
  <c r="P63" i="13"/>
  <c r="P101" i="13"/>
  <c r="Q29" i="13"/>
  <c r="Q69" i="13"/>
  <c r="F35" i="13"/>
  <c r="F51" i="13"/>
  <c r="F67" i="13"/>
  <c r="F83" i="13"/>
  <c r="F99" i="13"/>
  <c r="P14" i="13"/>
  <c r="Q18" i="13"/>
  <c r="Q76" i="13"/>
  <c r="P34" i="13"/>
  <c r="Q10" i="13"/>
  <c r="Q60" i="13"/>
  <c r="Q112" i="13"/>
  <c r="Q108" i="13"/>
  <c r="P72" i="13"/>
  <c r="Q53" i="13"/>
  <c r="P70" i="13"/>
  <c r="P91" i="13"/>
  <c r="P51" i="13"/>
  <c r="P56" i="13"/>
  <c r="P99" i="13"/>
  <c r="P86" i="13"/>
  <c r="Q59" i="13"/>
  <c r="Q17" i="13"/>
  <c r="Q45" i="13"/>
  <c r="P113" i="13"/>
  <c r="P40" i="13"/>
  <c r="F22" i="3"/>
  <c r="F41" i="1" s="1"/>
  <c r="G40" i="14"/>
  <c r="G39" i="14"/>
  <c r="C20" i="7"/>
  <c r="C22" i="7" s="1"/>
  <c r="C26" i="7" s="1"/>
  <c r="O211" i="3" s="1"/>
  <c r="I35" i="14"/>
  <c r="H36" i="14"/>
  <c r="H37" i="14"/>
  <c r="I2" i="13"/>
  <c r="F26" i="3"/>
  <c r="E278" i="3"/>
  <c r="F44" i="1"/>
  <c r="F25" i="3"/>
  <c r="F24" i="3"/>
  <c r="F44" i="14"/>
  <c r="F33" i="7" l="1"/>
  <c r="M24" i="14" s="1"/>
  <c r="M25" i="14"/>
  <c r="O214" i="3"/>
  <c r="O212" i="3"/>
  <c r="O213" i="3"/>
  <c r="O215" i="3"/>
  <c r="Q6" i="13"/>
  <c r="Q5" i="13"/>
  <c r="O201" i="3"/>
  <c r="O206" i="3"/>
  <c r="O197" i="3"/>
  <c r="F79" i="3"/>
  <c r="F80" i="3" s="1"/>
  <c r="F91" i="1" s="1"/>
  <c r="X193" i="3"/>
  <c r="F180" i="3"/>
  <c r="F46" i="1"/>
  <c r="H40" i="14"/>
  <c r="H39" i="14"/>
  <c r="F181" i="3"/>
  <c r="F27" i="3"/>
  <c r="F48" i="1" s="1"/>
  <c r="F47" i="1"/>
  <c r="AN52" i="1"/>
  <c r="F179" i="3"/>
  <c r="F45" i="1"/>
  <c r="G44" i="14"/>
  <c r="F47" i="3"/>
  <c r="F59" i="3" s="1"/>
  <c r="F78" i="1" s="1"/>
  <c r="F67" i="1"/>
  <c r="J35" i="14"/>
  <c r="I37" i="14"/>
  <c r="I36" i="14"/>
  <c r="K125" i="1" l="1"/>
  <c r="K127" i="1"/>
  <c r="B2" i="13"/>
  <c r="D107" i="13" s="1"/>
  <c r="K126" i="1"/>
  <c r="V231" i="3"/>
  <c r="V265" i="3"/>
  <c r="V270" i="3"/>
  <c r="V272" i="3"/>
  <c r="V211" i="3"/>
  <c r="V213" i="3"/>
  <c r="V215" i="3"/>
  <c r="V217" i="3"/>
  <c r="V219" i="3"/>
  <c r="V221" i="3"/>
  <c r="V223" i="3"/>
  <c r="V225" i="3"/>
  <c r="V227" i="3"/>
  <c r="V234" i="3"/>
  <c r="V236" i="3"/>
  <c r="V238" i="3"/>
  <c r="V240" i="3"/>
  <c r="V242" i="3"/>
  <c r="V244" i="3"/>
  <c r="V246" i="3"/>
  <c r="V248" i="3"/>
  <c r="V229" i="3"/>
  <c r="V230" i="3"/>
  <c r="V232" i="3"/>
  <c r="V233" i="3"/>
  <c r="V250" i="3"/>
  <c r="V251" i="3"/>
  <c r="V252" i="3"/>
  <c r="V253" i="3"/>
  <c r="V254" i="3"/>
  <c r="V255" i="3"/>
  <c r="V256" i="3"/>
  <c r="V257" i="3"/>
  <c r="V258" i="3"/>
  <c r="V259" i="3"/>
  <c r="V260" i="3"/>
  <c r="V261" i="3"/>
  <c r="V262" i="3"/>
  <c r="V263" i="3"/>
  <c r="V264" i="3"/>
  <c r="V266" i="3"/>
  <c r="V267" i="3"/>
  <c r="V268" i="3"/>
  <c r="V269" i="3"/>
  <c r="V271" i="3"/>
  <c r="V210" i="3"/>
  <c r="V212" i="3"/>
  <c r="V214" i="3"/>
  <c r="V216" i="3"/>
  <c r="V218" i="3"/>
  <c r="V220" i="3"/>
  <c r="V222" i="3"/>
  <c r="V224" i="3"/>
  <c r="V226" i="3"/>
  <c r="V228" i="3"/>
  <c r="V235" i="3"/>
  <c r="V237" i="3"/>
  <c r="V239" i="3"/>
  <c r="V241" i="3"/>
  <c r="V243" i="3"/>
  <c r="V245" i="3"/>
  <c r="V247" i="3"/>
  <c r="V249" i="3"/>
  <c r="K35" i="14"/>
  <c r="J36" i="14"/>
  <c r="J37" i="14"/>
  <c r="C2" i="13"/>
  <c r="I39" i="14"/>
  <c r="I40" i="14"/>
  <c r="F48" i="3"/>
  <c r="F185" i="3" s="1"/>
  <c r="F184" i="3"/>
  <c r="F46" i="3"/>
  <c r="F183" i="3" s="1"/>
  <c r="H44" i="14"/>
  <c r="V207" i="3"/>
  <c r="V203" i="3"/>
  <c r="V199" i="3"/>
  <c r="V195" i="3"/>
  <c r="V206" i="3"/>
  <c r="V194" i="3"/>
  <c r="V208" i="3"/>
  <c r="V204" i="3"/>
  <c r="V200" i="3"/>
  <c r="V196" i="3"/>
  <c r="V202" i="3"/>
  <c r="V198" i="3"/>
  <c r="V201" i="3"/>
  <c r="V197" i="3"/>
  <c r="V209" i="3"/>
  <c r="V205" i="3"/>
  <c r="V193" i="3"/>
  <c r="O207" i="3"/>
  <c r="O203" i="3"/>
  <c r="O202" i="3"/>
  <c r="O208" i="3"/>
  <c r="O204" i="3"/>
  <c r="O210" i="3"/>
  <c r="O209" i="3"/>
  <c r="O205" i="3"/>
  <c r="O199" i="3"/>
  <c r="O200" i="3"/>
  <c r="O198" i="3"/>
  <c r="D71" i="13" l="1"/>
  <c r="E71" i="13" s="1"/>
  <c r="D29" i="13"/>
  <c r="E29" i="13" s="1"/>
  <c r="G29" i="13" s="1"/>
  <c r="D88" i="13"/>
  <c r="E88" i="13" s="1"/>
  <c r="D114" i="13"/>
  <c r="D89" i="13"/>
  <c r="E89" i="13" s="1"/>
  <c r="D70" i="13"/>
  <c r="E70" i="13" s="1"/>
  <c r="D12" i="13"/>
  <c r="E12" i="13" s="1"/>
  <c r="M12" i="13" s="1"/>
  <c r="D69" i="13"/>
  <c r="E69" i="13" s="1"/>
  <c r="D43" i="13"/>
  <c r="E43" i="13" s="1"/>
  <c r="D30" i="13"/>
  <c r="E30" i="13" s="1"/>
  <c r="M30" i="13" s="1"/>
  <c r="D77" i="13"/>
  <c r="E77" i="13" s="1"/>
  <c r="D82" i="13"/>
  <c r="E82" i="13" s="1"/>
  <c r="D56" i="13"/>
  <c r="E56" i="13" s="1"/>
  <c r="D28" i="13"/>
  <c r="E28" i="13" s="1"/>
  <c r="M28" i="13" s="1"/>
  <c r="D79" i="13"/>
  <c r="E79" i="13" s="1"/>
  <c r="D109" i="13"/>
  <c r="E109" i="13" s="1"/>
  <c r="D50" i="13"/>
  <c r="E50" i="13" s="1"/>
  <c r="D90" i="13"/>
  <c r="E90" i="13" s="1"/>
  <c r="D27" i="13"/>
  <c r="E27" i="13" s="1"/>
  <c r="M27" i="13" s="1"/>
  <c r="D64" i="13"/>
  <c r="E64" i="13" s="1"/>
  <c r="D57" i="13"/>
  <c r="E57" i="13" s="1"/>
  <c r="D44" i="13"/>
  <c r="E44" i="13" s="1"/>
  <c r="D17" i="13"/>
  <c r="E17" i="13" s="1"/>
  <c r="M17" i="13" s="1"/>
  <c r="D62" i="13"/>
  <c r="E62" i="13" s="1"/>
  <c r="D106" i="13"/>
  <c r="E106" i="13" s="1"/>
  <c r="D31" i="13"/>
  <c r="E31" i="13" s="1"/>
  <c r="M31" i="13" s="1"/>
  <c r="D72" i="13"/>
  <c r="E72" i="13" s="1"/>
  <c r="D112" i="13"/>
  <c r="D81" i="13"/>
  <c r="E81" i="13" s="1"/>
  <c r="D14" i="13"/>
  <c r="E14" i="13" s="1"/>
  <c r="M14" i="13" s="1"/>
  <c r="D55" i="13"/>
  <c r="E55" i="13" s="1"/>
  <c r="D10" i="13"/>
  <c r="E10" i="13" s="1"/>
  <c r="M10" i="13" s="1"/>
  <c r="D45" i="13"/>
  <c r="E45" i="13" s="1"/>
  <c r="D11" i="13"/>
  <c r="E11" i="13" s="1"/>
  <c r="M11" i="13" s="1"/>
  <c r="D92" i="13"/>
  <c r="E92" i="13" s="1"/>
  <c r="D13" i="13"/>
  <c r="E13" i="13" s="1"/>
  <c r="M13" i="13" s="1"/>
  <c r="D34" i="13"/>
  <c r="E34" i="13" s="1"/>
  <c r="D24" i="13"/>
  <c r="E24" i="13" s="1"/>
  <c r="M24" i="13" s="1"/>
  <c r="D96" i="13"/>
  <c r="E96" i="13" s="1"/>
  <c r="D25" i="13"/>
  <c r="E25" i="13" s="1"/>
  <c r="M25" i="13" s="1"/>
  <c r="D47" i="13"/>
  <c r="E47" i="13" s="1"/>
  <c r="D99" i="13"/>
  <c r="E99" i="13" s="1"/>
  <c r="D36" i="13"/>
  <c r="E36" i="13" s="1"/>
  <c r="D85" i="13"/>
  <c r="E85" i="13" s="1"/>
  <c r="D37" i="13"/>
  <c r="E37" i="13" s="1"/>
  <c r="D66" i="13"/>
  <c r="E66" i="13" s="1"/>
  <c r="D98" i="13"/>
  <c r="E98" i="13" s="1"/>
  <c r="D23" i="13"/>
  <c r="E23" i="13" s="1"/>
  <c r="D48" i="13"/>
  <c r="E48" i="13" s="1"/>
  <c r="D76" i="13"/>
  <c r="E76" i="13" s="1"/>
  <c r="D108" i="13"/>
  <c r="E108" i="13" s="1"/>
  <c r="D49" i="13"/>
  <c r="E49" i="13" s="1"/>
  <c r="D97" i="13"/>
  <c r="E97" i="13" s="1"/>
  <c r="D22" i="13"/>
  <c r="E22" i="13" s="1"/>
  <c r="M22" i="13" s="1"/>
  <c r="D51" i="13"/>
  <c r="E51" i="13" s="1"/>
  <c r="D95" i="13"/>
  <c r="E95" i="13" s="1"/>
  <c r="D16" i="13"/>
  <c r="E16" i="13" s="1"/>
  <c r="M16" i="13" s="1"/>
  <c r="D53" i="13"/>
  <c r="E53" i="13" s="1"/>
  <c r="D101" i="13"/>
  <c r="E101" i="13" s="1"/>
  <c r="D33" i="13"/>
  <c r="E33" i="13" s="1"/>
  <c r="D54" i="13"/>
  <c r="E54" i="13" s="1"/>
  <c r="D78" i="13"/>
  <c r="E78" i="13" s="1"/>
  <c r="D102" i="13"/>
  <c r="E102" i="13" s="1"/>
  <c r="D15" i="13"/>
  <c r="E15" i="13" s="1"/>
  <c r="M15" i="13" s="1"/>
  <c r="D39" i="13"/>
  <c r="E39" i="13" s="1"/>
  <c r="D60" i="13"/>
  <c r="E60" i="13" s="1"/>
  <c r="D80" i="13"/>
  <c r="E80" i="13" s="1"/>
  <c r="D104" i="13"/>
  <c r="E104" i="13" s="1"/>
  <c r="D20" i="13"/>
  <c r="E20" i="13" s="1"/>
  <c r="D65" i="13"/>
  <c r="E65" i="13" s="1"/>
  <c r="D113" i="13"/>
  <c r="D18" i="13"/>
  <c r="E18" i="13" s="1"/>
  <c r="D38" i="13"/>
  <c r="E38" i="13" s="1"/>
  <c r="D63" i="13"/>
  <c r="E63" i="13" s="1"/>
  <c r="D83" i="13"/>
  <c r="E83" i="13" s="1"/>
  <c r="D103" i="13"/>
  <c r="E103" i="13" s="1"/>
  <c r="D67" i="13"/>
  <c r="E67" i="13" s="1"/>
  <c r="D87" i="13"/>
  <c r="E87" i="13" s="1"/>
  <c r="D111" i="13"/>
  <c r="D32" i="13"/>
  <c r="E32" i="13" s="1"/>
  <c r="D61" i="13"/>
  <c r="E61" i="13" s="1"/>
  <c r="D93" i="13"/>
  <c r="E93" i="13" s="1"/>
  <c r="D21" i="13"/>
  <c r="E21" i="13" s="1"/>
  <c r="D41" i="13"/>
  <c r="E41" i="13" s="1"/>
  <c r="D58" i="13"/>
  <c r="E58" i="13" s="1"/>
  <c r="D74" i="13"/>
  <c r="E74" i="13" s="1"/>
  <c r="D94" i="13"/>
  <c r="E94" i="13" s="1"/>
  <c r="D110" i="13"/>
  <c r="E110" i="13" s="1"/>
  <c r="D19" i="13"/>
  <c r="E19" i="13" s="1"/>
  <c r="D35" i="13"/>
  <c r="E35" i="13" s="1"/>
  <c r="D52" i="13"/>
  <c r="E52" i="13" s="1"/>
  <c r="D68" i="13"/>
  <c r="E68" i="13" s="1"/>
  <c r="D84" i="13"/>
  <c r="E84" i="13" s="1"/>
  <c r="D100" i="13"/>
  <c r="E100" i="13" s="1"/>
  <c r="D46" i="13"/>
  <c r="E46" i="13" s="1"/>
  <c r="D40" i="13"/>
  <c r="E40" i="13" s="1"/>
  <c r="D73" i="13"/>
  <c r="E73" i="13" s="1"/>
  <c r="D105" i="13"/>
  <c r="E105" i="13" s="1"/>
  <c r="D86" i="13"/>
  <c r="E86" i="13" s="1"/>
  <c r="D26" i="13"/>
  <c r="E26" i="13" s="1"/>
  <c r="D42" i="13"/>
  <c r="E42" i="13" s="1"/>
  <c r="D59" i="13"/>
  <c r="E59" i="13" s="1"/>
  <c r="D75" i="13"/>
  <c r="E75" i="13" s="1"/>
  <c r="D91" i="13"/>
  <c r="E91" i="13" s="1"/>
  <c r="F212" i="3"/>
  <c r="F215" i="3"/>
  <c r="F220" i="3"/>
  <c r="F223" i="3"/>
  <c r="F228" i="3"/>
  <c r="F231" i="3"/>
  <c r="F236" i="3"/>
  <c r="F239" i="3"/>
  <c r="F244" i="3"/>
  <c r="F247" i="3"/>
  <c r="F252" i="3"/>
  <c r="F258" i="3"/>
  <c r="F261" i="3"/>
  <c r="F266" i="3"/>
  <c r="F269" i="3"/>
  <c r="F210" i="3"/>
  <c r="F213" i="3"/>
  <c r="F218" i="3"/>
  <c r="F221" i="3"/>
  <c r="F226" i="3"/>
  <c r="F229" i="3"/>
  <c r="F234" i="3"/>
  <c r="F237" i="3"/>
  <c r="F242" i="3"/>
  <c r="F245" i="3"/>
  <c r="F250" i="3"/>
  <c r="F253" i="3"/>
  <c r="F256" i="3"/>
  <c r="F259" i="3"/>
  <c r="F264" i="3"/>
  <c r="F267" i="3"/>
  <c r="F272" i="3"/>
  <c r="F219" i="3"/>
  <c r="F224" i="3"/>
  <c r="F235" i="3"/>
  <c r="F240" i="3"/>
  <c r="F251" i="3"/>
  <c r="F257" i="3"/>
  <c r="F262" i="3"/>
  <c r="F216" i="3"/>
  <c r="F232" i="3"/>
  <c r="F243" i="3"/>
  <c r="F254" i="3"/>
  <c r="F265" i="3"/>
  <c r="F214" i="3"/>
  <c r="F225" i="3"/>
  <c r="F230" i="3"/>
  <c r="F241" i="3"/>
  <c r="F246" i="3"/>
  <c r="F263" i="3"/>
  <c r="F268" i="3"/>
  <c r="F211" i="3"/>
  <c r="F227" i="3"/>
  <c r="F248" i="3"/>
  <c r="F270" i="3"/>
  <c r="F217" i="3"/>
  <c r="F238" i="3"/>
  <c r="F260" i="3"/>
  <c r="F255" i="3"/>
  <c r="F222" i="3"/>
  <c r="F249" i="3"/>
  <c r="F271" i="3"/>
  <c r="F233" i="3"/>
  <c r="F209" i="3"/>
  <c r="F205" i="3"/>
  <c r="F201" i="3"/>
  <c r="F197" i="3"/>
  <c r="F193" i="3"/>
  <c r="F204" i="3"/>
  <c r="F206" i="3"/>
  <c r="F202" i="3"/>
  <c r="F198" i="3"/>
  <c r="F194" i="3"/>
  <c r="F208" i="3"/>
  <c r="F200" i="3"/>
  <c r="F196" i="3"/>
  <c r="F203" i="3"/>
  <c r="F199" i="3"/>
  <c r="F207" i="3"/>
  <c r="F195" i="3"/>
  <c r="G24" i="13"/>
  <c r="J39" i="14"/>
  <c r="J40" i="14"/>
  <c r="I44" i="14"/>
  <c r="E112" i="13"/>
  <c r="E111" i="13"/>
  <c r="E114" i="13"/>
  <c r="E113" i="13"/>
  <c r="E107" i="13"/>
  <c r="L35" i="14"/>
  <c r="K37" i="14"/>
  <c r="K36" i="14"/>
  <c r="G30" i="13" l="1"/>
  <c r="O30" i="13" s="1"/>
  <c r="M23" i="13"/>
  <c r="G23" i="13"/>
  <c r="H23" i="13" s="1"/>
  <c r="G31" i="13"/>
  <c r="H31" i="13" s="1"/>
  <c r="G20" i="13"/>
  <c r="O20" i="13" s="1"/>
  <c r="M20" i="13"/>
  <c r="M19" i="13"/>
  <c r="G19" i="13"/>
  <c r="H19" i="13" s="1"/>
  <c r="G12" i="13"/>
  <c r="H12" i="13" s="1"/>
  <c r="G27" i="13"/>
  <c r="H27" i="13" s="1"/>
  <c r="M26" i="13"/>
  <c r="G26" i="13"/>
  <c r="O26" i="13" s="1"/>
  <c r="M18" i="13"/>
  <c r="G18" i="13"/>
  <c r="H18" i="13" s="1"/>
  <c r="G14" i="13"/>
  <c r="O14" i="13" s="1"/>
  <c r="G11" i="13"/>
  <c r="O11" i="13" s="1"/>
  <c r="M29" i="13"/>
  <c r="G22" i="13"/>
  <c r="O22" i="13" s="1"/>
  <c r="M21" i="13"/>
  <c r="G21" i="13"/>
  <c r="H21" i="13" s="1"/>
  <c r="G17" i="13"/>
  <c r="O17" i="13" s="1"/>
  <c r="G25" i="13"/>
  <c r="H25" i="13" s="1"/>
  <c r="G10" i="13"/>
  <c r="H10" i="13" s="1"/>
  <c r="G15" i="13"/>
  <c r="O15" i="13" s="1"/>
  <c r="G16" i="13"/>
  <c r="O16" i="13" s="1"/>
  <c r="G13" i="13"/>
  <c r="H13" i="13" s="1"/>
  <c r="G28" i="13"/>
  <c r="O28" i="13" s="1"/>
  <c r="G222" i="3"/>
  <c r="L222" i="3" s="1"/>
  <c r="U222" i="3" s="1"/>
  <c r="K222" i="3"/>
  <c r="T222" i="3" s="1"/>
  <c r="B222" i="3"/>
  <c r="E222" i="3"/>
  <c r="J222" i="3" s="1"/>
  <c r="S222" i="3" s="1"/>
  <c r="B217" i="3"/>
  <c r="G217" i="3"/>
  <c r="L217" i="3" s="1"/>
  <c r="U217" i="3" s="1"/>
  <c r="K217" i="3"/>
  <c r="T217" i="3" s="1"/>
  <c r="E217" i="3"/>
  <c r="J217" i="3" s="1"/>
  <c r="S217" i="3" s="1"/>
  <c r="K211" i="3"/>
  <c r="T211" i="3" s="1"/>
  <c r="E211" i="3"/>
  <c r="J211" i="3" s="1"/>
  <c r="S211" i="3" s="1"/>
  <c r="B211" i="3"/>
  <c r="G211" i="3"/>
  <c r="L211" i="3" s="1"/>
  <c r="U211" i="3" s="1"/>
  <c r="B241" i="3"/>
  <c r="G241" i="3"/>
  <c r="L241" i="3" s="1"/>
  <c r="U241" i="3" s="1"/>
  <c r="K241" i="3"/>
  <c r="T241" i="3" s="1"/>
  <c r="E241" i="3"/>
  <c r="J241" i="3" s="1"/>
  <c r="S241" i="3" s="1"/>
  <c r="E265" i="3"/>
  <c r="J265" i="3" s="1"/>
  <c r="K265" i="3"/>
  <c r="G265" i="3"/>
  <c r="L265" i="3" s="1"/>
  <c r="B265" i="3"/>
  <c r="G216" i="3"/>
  <c r="L216" i="3" s="1"/>
  <c r="U216" i="3" s="1"/>
  <c r="K216" i="3"/>
  <c r="T216" i="3" s="1"/>
  <c r="E216" i="3"/>
  <c r="J216" i="3" s="1"/>
  <c r="S216" i="3" s="1"/>
  <c r="B216" i="3"/>
  <c r="G240" i="3"/>
  <c r="L240" i="3" s="1"/>
  <c r="U240" i="3" s="1"/>
  <c r="B240" i="3"/>
  <c r="K240" i="3"/>
  <c r="T240" i="3" s="1"/>
  <c r="E240" i="3"/>
  <c r="J240" i="3" s="1"/>
  <c r="S240" i="3" s="1"/>
  <c r="G272" i="3"/>
  <c r="L272" i="3" s="1"/>
  <c r="B272" i="3"/>
  <c r="K272" i="3"/>
  <c r="E272" i="3"/>
  <c r="J272" i="3" s="1"/>
  <c r="G256" i="3"/>
  <c r="L256" i="3" s="1"/>
  <c r="B256" i="3"/>
  <c r="K256" i="3"/>
  <c r="E256" i="3"/>
  <c r="J256" i="3" s="1"/>
  <c r="G242" i="3"/>
  <c r="L242" i="3" s="1"/>
  <c r="U242" i="3" s="1"/>
  <c r="K242" i="3"/>
  <c r="T242" i="3" s="1"/>
  <c r="B242" i="3"/>
  <c r="E242" i="3"/>
  <c r="J242" i="3" s="1"/>
  <c r="S242" i="3" s="1"/>
  <c r="G226" i="3"/>
  <c r="L226" i="3" s="1"/>
  <c r="U226" i="3" s="1"/>
  <c r="K226" i="3"/>
  <c r="T226" i="3" s="1"/>
  <c r="B226" i="3"/>
  <c r="E226" i="3"/>
  <c r="J226" i="3" s="1"/>
  <c r="S226" i="3" s="1"/>
  <c r="G210" i="3"/>
  <c r="L210" i="3" s="1"/>
  <c r="U210" i="3" s="1"/>
  <c r="K210" i="3"/>
  <c r="T210" i="3" s="1"/>
  <c r="B210" i="3"/>
  <c r="E210" i="3"/>
  <c r="J210" i="3" s="1"/>
  <c r="S210" i="3" s="1"/>
  <c r="G258" i="3"/>
  <c r="L258" i="3" s="1"/>
  <c r="K258" i="3"/>
  <c r="B258" i="3"/>
  <c r="E258" i="3"/>
  <c r="J258" i="3" s="1"/>
  <c r="K239" i="3"/>
  <c r="T239" i="3" s="1"/>
  <c r="B239" i="3"/>
  <c r="G239" i="3"/>
  <c r="L239" i="3" s="1"/>
  <c r="U239" i="3" s="1"/>
  <c r="E239" i="3"/>
  <c r="J239" i="3" s="1"/>
  <c r="S239" i="3" s="1"/>
  <c r="K223" i="3"/>
  <c r="T223" i="3" s="1"/>
  <c r="B223" i="3"/>
  <c r="G223" i="3"/>
  <c r="L223" i="3" s="1"/>
  <c r="U223" i="3" s="1"/>
  <c r="E223" i="3"/>
  <c r="J223" i="3" s="1"/>
  <c r="S223" i="3" s="1"/>
  <c r="B233" i="3"/>
  <c r="G233" i="3"/>
  <c r="L233" i="3" s="1"/>
  <c r="U233" i="3" s="1"/>
  <c r="E233" i="3"/>
  <c r="J233" i="3" s="1"/>
  <c r="S233" i="3" s="1"/>
  <c r="K233" i="3"/>
  <c r="T233" i="3" s="1"/>
  <c r="K255" i="3"/>
  <c r="G255" i="3"/>
  <c r="L255" i="3" s="1"/>
  <c r="B255" i="3"/>
  <c r="E255" i="3"/>
  <c r="J255" i="3" s="1"/>
  <c r="G270" i="3"/>
  <c r="L270" i="3" s="1"/>
  <c r="K270" i="3"/>
  <c r="B270" i="3"/>
  <c r="E270" i="3"/>
  <c r="J270" i="3" s="1"/>
  <c r="G268" i="3"/>
  <c r="L268" i="3" s="1"/>
  <c r="B268" i="3"/>
  <c r="E268" i="3"/>
  <c r="J268" i="3" s="1"/>
  <c r="K268" i="3"/>
  <c r="G230" i="3"/>
  <c r="L230" i="3" s="1"/>
  <c r="U230" i="3" s="1"/>
  <c r="K230" i="3"/>
  <c r="T230" i="3" s="1"/>
  <c r="B230" i="3"/>
  <c r="E230" i="3"/>
  <c r="J230" i="3" s="1"/>
  <c r="S230" i="3" s="1"/>
  <c r="G254" i="3"/>
  <c r="L254" i="3" s="1"/>
  <c r="K254" i="3"/>
  <c r="B254" i="3"/>
  <c r="E254" i="3"/>
  <c r="J254" i="3" s="1"/>
  <c r="G262" i="3"/>
  <c r="L262" i="3" s="1"/>
  <c r="K262" i="3"/>
  <c r="B262" i="3"/>
  <c r="E262" i="3"/>
  <c r="J262" i="3" s="1"/>
  <c r="K235" i="3"/>
  <c r="T235" i="3" s="1"/>
  <c r="B235" i="3"/>
  <c r="G235" i="3"/>
  <c r="L235" i="3" s="1"/>
  <c r="U235" i="3" s="1"/>
  <c r="E235" i="3"/>
  <c r="J235" i="3" s="1"/>
  <c r="S235" i="3" s="1"/>
  <c r="K267" i="3"/>
  <c r="B267" i="3"/>
  <c r="G267" i="3"/>
  <c r="L267" i="3" s="1"/>
  <c r="E267" i="3"/>
  <c r="J267" i="3" s="1"/>
  <c r="E253" i="3"/>
  <c r="J253" i="3" s="1"/>
  <c r="K253" i="3"/>
  <c r="B253" i="3"/>
  <c r="G253" i="3"/>
  <c r="L253" i="3" s="1"/>
  <c r="B237" i="3"/>
  <c r="K237" i="3"/>
  <c r="T237" i="3" s="1"/>
  <c r="E237" i="3"/>
  <c r="J237" i="3" s="1"/>
  <c r="S237" i="3" s="1"/>
  <c r="G237" i="3"/>
  <c r="L237" i="3" s="1"/>
  <c r="U237" i="3" s="1"/>
  <c r="B221" i="3"/>
  <c r="K221" i="3"/>
  <c r="T221" i="3" s="1"/>
  <c r="E221" i="3"/>
  <c r="J221" i="3" s="1"/>
  <c r="S221" i="3" s="1"/>
  <c r="G221" i="3"/>
  <c r="L221" i="3" s="1"/>
  <c r="U221" i="3" s="1"/>
  <c r="E269" i="3"/>
  <c r="J269" i="3" s="1"/>
  <c r="G269" i="3"/>
  <c r="L269" i="3" s="1"/>
  <c r="K269" i="3"/>
  <c r="B269" i="3"/>
  <c r="G252" i="3"/>
  <c r="L252" i="3" s="1"/>
  <c r="U252" i="3" s="1"/>
  <c r="B252" i="3"/>
  <c r="E252" i="3"/>
  <c r="J252" i="3" s="1"/>
  <c r="S252" i="3" s="1"/>
  <c r="K252" i="3"/>
  <c r="T252" i="3" s="1"/>
  <c r="G236" i="3"/>
  <c r="L236" i="3" s="1"/>
  <c r="U236" i="3" s="1"/>
  <c r="B236" i="3"/>
  <c r="K236" i="3"/>
  <c r="T236" i="3" s="1"/>
  <c r="E236" i="3"/>
  <c r="J236" i="3" s="1"/>
  <c r="S236" i="3" s="1"/>
  <c r="G220" i="3"/>
  <c r="L220" i="3" s="1"/>
  <c r="U220" i="3" s="1"/>
  <c r="E220" i="3"/>
  <c r="J220" i="3" s="1"/>
  <c r="S220" i="3" s="1"/>
  <c r="B220" i="3"/>
  <c r="K220" i="3"/>
  <c r="T220" i="3" s="1"/>
  <c r="K271" i="3"/>
  <c r="G271" i="3"/>
  <c r="L271" i="3" s="1"/>
  <c r="B271" i="3"/>
  <c r="E271" i="3"/>
  <c r="J271" i="3" s="1"/>
  <c r="G260" i="3"/>
  <c r="L260" i="3" s="1"/>
  <c r="B260" i="3"/>
  <c r="K260" i="3"/>
  <c r="E260" i="3"/>
  <c r="J260" i="3" s="1"/>
  <c r="G248" i="3"/>
  <c r="L248" i="3" s="1"/>
  <c r="U248" i="3" s="1"/>
  <c r="E248" i="3"/>
  <c r="J248" i="3" s="1"/>
  <c r="S248" i="3" s="1"/>
  <c r="K248" i="3"/>
  <c r="T248" i="3" s="1"/>
  <c r="B248" i="3"/>
  <c r="K263" i="3"/>
  <c r="G263" i="3"/>
  <c r="L263" i="3" s="1"/>
  <c r="B263" i="3"/>
  <c r="E263" i="3"/>
  <c r="J263" i="3" s="1"/>
  <c r="B225" i="3"/>
  <c r="G225" i="3"/>
  <c r="L225" i="3" s="1"/>
  <c r="U225" i="3" s="1"/>
  <c r="K225" i="3"/>
  <c r="T225" i="3" s="1"/>
  <c r="E225" i="3"/>
  <c r="J225" i="3" s="1"/>
  <c r="S225" i="3" s="1"/>
  <c r="K243" i="3"/>
  <c r="T243" i="3" s="1"/>
  <c r="E243" i="3"/>
  <c r="J243" i="3" s="1"/>
  <c r="S243" i="3" s="1"/>
  <c r="B243" i="3"/>
  <c r="G243" i="3"/>
  <c r="L243" i="3" s="1"/>
  <c r="U243" i="3" s="1"/>
  <c r="E257" i="3"/>
  <c r="J257" i="3" s="1"/>
  <c r="G257" i="3"/>
  <c r="L257" i="3" s="1"/>
  <c r="K257" i="3"/>
  <c r="B257" i="3"/>
  <c r="G224" i="3"/>
  <c r="L224" i="3" s="1"/>
  <c r="U224" i="3" s="1"/>
  <c r="B224" i="3"/>
  <c r="E224" i="3"/>
  <c r="J224" i="3" s="1"/>
  <c r="S224" i="3" s="1"/>
  <c r="K224" i="3"/>
  <c r="T224" i="3" s="1"/>
  <c r="G264" i="3"/>
  <c r="L264" i="3" s="1"/>
  <c r="K264" i="3"/>
  <c r="B264" i="3"/>
  <c r="E264" i="3"/>
  <c r="J264" i="3" s="1"/>
  <c r="G250" i="3"/>
  <c r="L250" i="3" s="1"/>
  <c r="U250" i="3" s="1"/>
  <c r="B250" i="3"/>
  <c r="K250" i="3"/>
  <c r="T250" i="3" s="1"/>
  <c r="E250" i="3"/>
  <c r="J250" i="3" s="1"/>
  <c r="S250" i="3" s="1"/>
  <c r="G234" i="3"/>
  <c r="L234" i="3" s="1"/>
  <c r="U234" i="3" s="1"/>
  <c r="B234" i="3"/>
  <c r="K234" i="3"/>
  <c r="T234" i="3" s="1"/>
  <c r="E234" i="3"/>
  <c r="J234" i="3" s="1"/>
  <c r="S234" i="3" s="1"/>
  <c r="G218" i="3"/>
  <c r="L218" i="3" s="1"/>
  <c r="U218" i="3" s="1"/>
  <c r="B218" i="3"/>
  <c r="K218" i="3"/>
  <c r="T218" i="3" s="1"/>
  <c r="E218" i="3"/>
  <c r="J218" i="3" s="1"/>
  <c r="S218" i="3" s="1"/>
  <c r="G266" i="3"/>
  <c r="L266" i="3" s="1"/>
  <c r="B266" i="3"/>
  <c r="K266" i="3"/>
  <c r="E266" i="3"/>
  <c r="J266" i="3" s="1"/>
  <c r="K247" i="3"/>
  <c r="T247" i="3" s="1"/>
  <c r="G247" i="3"/>
  <c r="L247" i="3" s="1"/>
  <c r="U247" i="3" s="1"/>
  <c r="B247" i="3"/>
  <c r="E247" i="3"/>
  <c r="J247" i="3" s="1"/>
  <c r="S247" i="3" s="1"/>
  <c r="K231" i="3"/>
  <c r="T231" i="3" s="1"/>
  <c r="G231" i="3"/>
  <c r="L231" i="3" s="1"/>
  <c r="U231" i="3" s="1"/>
  <c r="B231" i="3"/>
  <c r="E231" i="3"/>
  <c r="J231" i="3" s="1"/>
  <c r="S231" i="3" s="1"/>
  <c r="K215" i="3"/>
  <c r="T215" i="3" s="1"/>
  <c r="G215" i="3"/>
  <c r="L215" i="3" s="1"/>
  <c r="U215" i="3" s="1"/>
  <c r="E215" i="3"/>
  <c r="J215" i="3" s="1"/>
  <c r="S215" i="3" s="1"/>
  <c r="B215" i="3"/>
  <c r="B249" i="3"/>
  <c r="G249" i="3"/>
  <c r="L249" i="3" s="1"/>
  <c r="U249" i="3" s="1"/>
  <c r="E249" i="3"/>
  <c r="J249" i="3" s="1"/>
  <c r="S249" i="3" s="1"/>
  <c r="K249" i="3"/>
  <c r="T249" i="3" s="1"/>
  <c r="G238" i="3"/>
  <c r="L238" i="3" s="1"/>
  <c r="U238" i="3" s="1"/>
  <c r="K238" i="3"/>
  <c r="T238" i="3" s="1"/>
  <c r="B238" i="3"/>
  <c r="E238" i="3"/>
  <c r="J238" i="3" s="1"/>
  <c r="S238" i="3" s="1"/>
  <c r="K227" i="3"/>
  <c r="T227" i="3" s="1"/>
  <c r="E227" i="3"/>
  <c r="J227" i="3" s="1"/>
  <c r="S227" i="3" s="1"/>
  <c r="B227" i="3"/>
  <c r="G227" i="3"/>
  <c r="L227" i="3" s="1"/>
  <c r="U227" i="3" s="1"/>
  <c r="G246" i="3"/>
  <c r="L246" i="3" s="1"/>
  <c r="U246" i="3" s="1"/>
  <c r="K246" i="3"/>
  <c r="T246" i="3" s="1"/>
  <c r="B246" i="3"/>
  <c r="E246" i="3"/>
  <c r="J246" i="3" s="1"/>
  <c r="S246" i="3" s="1"/>
  <c r="G214" i="3"/>
  <c r="L214" i="3" s="1"/>
  <c r="U214" i="3" s="1"/>
  <c r="K214" i="3"/>
  <c r="T214" i="3" s="1"/>
  <c r="B214" i="3"/>
  <c r="E214" i="3"/>
  <c r="J214" i="3" s="1"/>
  <c r="S214" i="3" s="1"/>
  <c r="G232" i="3"/>
  <c r="L232" i="3" s="1"/>
  <c r="U232" i="3" s="1"/>
  <c r="E232" i="3"/>
  <c r="J232" i="3" s="1"/>
  <c r="S232" i="3" s="1"/>
  <c r="K232" i="3"/>
  <c r="T232" i="3" s="1"/>
  <c r="B232" i="3"/>
  <c r="K251" i="3"/>
  <c r="T251" i="3" s="1"/>
  <c r="B251" i="3"/>
  <c r="G251" i="3"/>
  <c r="L251" i="3" s="1"/>
  <c r="U251" i="3" s="1"/>
  <c r="E251" i="3"/>
  <c r="J251" i="3" s="1"/>
  <c r="S251" i="3" s="1"/>
  <c r="K219" i="3"/>
  <c r="T219" i="3" s="1"/>
  <c r="E219" i="3"/>
  <c r="J219" i="3" s="1"/>
  <c r="S219" i="3" s="1"/>
  <c r="B219" i="3"/>
  <c r="G219" i="3"/>
  <c r="L219" i="3" s="1"/>
  <c r="U219" i="3" s="1"/>
  <c r="K259" i="3"/>
  <c r="G259" i="3"/>
  <c r="L259" i="3" s="1"/>
  <c r="E259" i="3"/>
  <c r="J259" i="3" s="1"/>
  <c r="B259" i="3"/>
  <c r="B245" i="3"/>
  <c r="K245" i="3"/>
  <c r="T245" i="3" s="1"/>
  <c r="G245" i="3"/>
  <c r="L245" i="3" s="1"/>
  <c r="U245" i="3" s="1"/>
  <c r="E245" i="3"/>
  <c r="J245" i="3" s="1"/>
  <c r="S245" i="3" s="1"/>
  <c r="B229" i="3"/>
  <c r="K229" i="3"/>
  <c r="T229" i="3" s="1"/>
  <c r="G229" i="3"/>
  <c r="L229" i="3" s="1"/>
  <c r="U229" i="3" s="1"/>
  <c r="E229" i="3"/>
  <c r="J229" i="3" s="1"/>
  <c r="S229" i="3" s="1"/>
  <c r="B213" i="3"/>
  <c r="E213" i="3"/>
  <c r="J213" i="3" s="1"/>
  <c r="S213" i="3" s="1"/>
  <c r="K213" i="3"/>
  <c r="T213" i="3" s="1"/>
  <c r="G213" i="3"/>
  <c r="L213" i="3" s="1"/>
  <c r="U213" i="3" s="1"/>
  <c r="E261" i="3"/>
  <c r="J261" i="3" s="1"/>
  <c r="G261" i="3"/>
  <c r="L261" i="3" s="1"/>
  <c r="K261" i="3"/>
  <c r="B261" i="3"/>
  <c r="G244" i="3"/>
  <c r="L244" i="3" s="1"/>
  <c r="U244" i="3" s="1"/>
  <c r="B244" i="3"/>
  <c r="E244" i="3"/>
  <c r="J244" i="3" s="1"/>
  <c r="S244" i="3" s="1"/>
  <c r="K244" i="3"/>
  <c r="T244" i="3" s="1"/>
  <c r="G228" i="3"/>
  <c r="L228" i="3" s="1"/>
  <c r="U228" i="3" s="1"/>
  <c r="B228" i="3"/>
  <c r="E228" i="3"/>
  <c r="J228" i="3" s="1"/>
  <c r="S228" i="3" s="1"/>
  <c r="K228" i="3"/>
  <c r="T228" i="3" s="1"/>
  <c r="G212" i="3"/>
  <c r="L212" i="3" s="1"/>
  <c r="U212" i="3" s="1"/>
  <c r="B212" i="3"/>
  <c r="E212" i="3"/>
  <c r="J212" i="3" s="1"/>
  <c r="S212" i="3" s="1"/>
  <c r="K212" i="3"/>
  <c r="T212" i="3" s="1"/>
  <c r="M35" i="14"/>
  <c r="L36" i="14"/>
  <c r="L37" i="14"/>
  <c r="M76" i="13"/>
  <c r="G76" i="13"/>
  <c r="M52" i="13"/>
  <c r="G52" i="13"/>
  <c r="M87" i="13"/>
  <c r="G87" i="13"/>
  <c r="M48" i="13"/>
  <c r="G48" i="13"/>
  <c r="M63" i="13"/>
  <c r="G63" i="13"/>
  <c r="M69" i="13"/>
  <c r="G69" i="13"/>
  <c r="M78" i="13"/>
  <c r="G78" i="13"/>
  <c r="M66" i="13"/>
  <c r="G66" i="13"/>
  <c r="M102" i="13"/>
  <c r="G102" i="13"/>
  <c r="M77" i="13"/>
  <c r="G77" i="13"/>
  <c r="B194" i="3"/>
  <c r="K194" i="3"/>
  <c r="T194" i="3" s="1"/>
  <c r="E194" i="3"/>
  <c r="J194" i="3" s="1"/>
  <c r="S194" i="3" s="1"/>
  <c r="G194" i="3"/>
  <c r="L194" i="3" s="1"/>
  <c r="U194" i="3" s="1"/>
  <c r="K205" i="3"/>
  <c r="T205" i="3" s="1"/>
  <c r="G205" i="3"/>
  <c r="L205" i="3" s="1"/>
  <c r="U205" i="3" s="1"/>
  <c r="E205" i="3"/>
  <c r="J205" i="3" s="1"/>
  <c r="S205" i="3" s="1"/>
  <c r="B205" i="3"/>
  <c r="O10" i="13"/>
  <c r="M105" i="13"/>
  <c r="G105" i="13"/>
  <c r="M75" i="13"/>
  <c r="G75" i="13"/>
  <c r="M89" i="13"/>
  <c r="G89" i="13"/>
  <c r="M92" i="13"/>
  <c r="G92" i="13"/>
  <c r="M60" i="13"/>
  <c r="G60" i="13"/>
  <c r="M79" i="13"/>
  <c r="G79" i="13"/>
  <c r="M90" i="13"/>
  <c r="G90" i="13"/>
  <c r="M46" i="13"/>
  <c r="G46" i="13"/>
  <c r="M42" i="13"/>
  <c r="G42" i="13"/>
  <c r="M93" i="13"/>
  <c r="G93" i="13"/>
  <c r="E195" i="3"/>
  <c r="J195" i="3" s="1"/>
  <c r="S195" i="3" s="1"/>
  <c r="B195" i="3"/>
  <c r="G195" i="3"/>
  <c r="L195" i="3" s="1"/>
  <c r="U195" i="3" s="1"/>
  <c r="K195" i="3"/>
  <c r="T195" i="3" s="1"/>
  <c r="G196" i="3"/>
  <c r="L196" i="3" s="1"/>
  <c r="U196" i="3" s="1"/>
  <c r="E196" i="3"/>
  <c r="J196" i="3" s="1"/>
  <c r="S196" i="3" s="1"/>
  <c r="K196" i="3"/>
  <c r="T196" i="3" s="1"/>
  <c r="B196" i="3"/>
  <c r="K193" i="3"/>
  <c r="T193" i="3" s="1"/>
  <c r="B193" i="3"/>
  <c r="G193" i="3"/>
  <c r="L193" i="3" s="1"/>
  <c r="U193" i="3" s="1"/>
  <c r="E193" i="3"/>
  <c r="J193" i="3" s="1"/>
  <c r="S193" i="3" s="1"/>
  <c r="K209" i="3"/>
  <c r="T209" i="3" s="1"/>
  <c r="B209" i="3"/>
  <c r="G209" i="3"/>
  <c r="L209" i="3" s="1"/>
  <c r="U209" i="3" s="1"/>
  <c r="E209" i="3"/>
  <c r="J209" i="3" s="1"/>
  <c r="S209" i="3" s="1"/>
  <c r="M72" i="13"/>
  <c r="G72" i="13"/>
  <c r="M71" i="13"/>
  <c r="G71" i="13"/>
  <c r="M57" i="13"/>
  <c r="G57" i="13"/>
  <c r="M74" i="13"/>
  <c r="G74" i="13"/>
  <c r="M96" i="13"/>
  <c r="G96" i="13"/>
  <c r="M51" i="13"/>
  <c r="G51" i="13"/>
  <c r="M49" i="13"/>
  <c r="G49" i="13"/>
  <c r="M85" i="13"/>
  <c r="G85" i="13"/>
  <c r="M103" i="13"/>
  <c r="G103" i="13"/>
  <c r="M94" i="13"/>
  <c r="G94" i="13"/>
  <c r="M44" i="13"/>
  <c r="G44" i="13"/>
  <c r="M80" i="13"/>
  <c r="G80" i="13"/>
  <c r="M59" i="13"/>
  <c r="G59" i="13"/>
  <c r="M33" i="13"/>
  <c r="G33" i="13"/>
  <c r="M61" i="13"/>
  <c r="G61" i="13"/>
  <c r="M38" i="13"/>
  <c r="G38" i="13"/>
  <c r="M62" i="13"/>
  <c r="G62" i="13"/>
  <c r="M86" i="13"/>
  <c r="G86" i="13"/>
  <c r="M58" i="13"/>
  <c r="G58" i="13"/>
  <c r="M114" i="13"/>
  <c r="G114" i="13"/>
  <c r="M98" i="13"/>
  <c r="G98" i="13"/>
  <c r="J44" i="14"/>
  <c r="B207" i="3"/>
  <c r="G207" i="3"/>
  <c r="L207" i="3" s="1"/>
  <c r="U207" i="3" s="1"/>
  <c r="E207" i="3"/>
  <c r="J207" i="3" s="1"/>
  <c r="S207" i="3" s="1"/>
  <c r="K207" i="3"/>
  <c r="T207" i="3" s="1"/>
  <c r="G200" i="3"/>
  <c r="L200" i="3" s="1"/>
  <c r="U200" i="3" s="1"/>
  <c r="E200" i="3"/>
  <c r="J200" i="3" s="1"/>
  <c r="S200" i="3" s="1"/>
  <c r="K200" i="3"/>
  <c r="T200" i="3" s="1"/>
  <c r="B200" i="3"/>
  <c r="B202" i="3"/>
  <c r="K202" i="3"/>
  <c r="T202" i="3" s="1"/>
  <c r="E202" i="3"/>
  <c r="J202" i="3" s="1"/>
  <c r="S202" i="3" s="1"/>
  <c r="G202" i="3"/>
  <c r="L202" i="3" s="1"/>
  <c r="U202" i="3" s="1"/>
  <c r="K197" i="3"/>
  <c r="T197" i="3" s="1"/>
  <c r="G197" i="3"/>
  <c r="L197" i="3" s="1"/>
  <c r="U197" i="3" s="1"/>
  <c r="E197" i="3"/>
  <c r="J197" i="3" s="1"/>
  <c r="S197" i="3" s="1"/>
  <c r="B197" i="3"/>
  <c r="O29" i="13"/>
  <c r="H29" i="13"/>
  <c r="M39" i="13"/>
  <c r="G39" i="13"/>
  <c r="M53" i="13"/>
  <c r="G53" i="13"/>
  <c r="M110" i="13"/>
  <c r="G110" i="13"/>
  <c r="M88" i="13"/>
  <c r="G88" i="13"/>
  <c r="M41" i="13"/>
  <c r="G41" i="13"/>
  <c r="M99" i="13"/>
  <c r="G99" i="13"/>
  <c r="M40" i="13"/>
  <c r="G40" i="13"/>
  <c r="M113" i="13"/>
  <c r="G113" i="13"/>
  <c r="M91" i="13"/>
  <c r="G91" i="13"/>
  <c r="M82" i="13"/>
  <c r="G82" i="13"/>
  <c r="E203" i="3"/>
  <c r="J203" i="3" s="1"/>
  <c r="S203" i="3" s="1"/>
  <c r="B203" i="3"/>
  <c r="G203" i="3"/>
  <c r="L203" i="3" s="1"/>
  <c r="U203" i="3" s="1"/>
  <c r="K203" i="3"/>
  <c r="T203" i="3" s="1"/>
  <c r="G204" i="3"/>
  <c r="L204" i="3" s="1"/>
  <c r="U204" i="3" s="1"/>
  <c r="E204" i="3"/>
  <c r="J204" i="3" s="1"/>
  <c r="S204" i="3" s="1"/>
  <c r="K204" i="3"/>
  <c r="T204" i="3" s="1"/>
  <c r="B204" i="3"/>
  <c r="M104" i="13"/>
  <c r="G104" i="13"/>
  <c r="M95" i="13"/>
  <c r="G95" i="13"/>
  <c r="M36" i="13"/>
  <c r="G36" i="13"/>
  <c r="M67" i="13"/>
  <c r="G67" i="13"/>
  <c r="M32" i="13"/>
  <c r="G32" i="13"/>
  <c r="G47" i="13"/>
  <c r="M47" i="13"/>
  <c r="M37" i="13"/>
  <c r="G37" i="13"/>
  <c r="M65" i="13"/>
  <c r="G65" i="13"/>
  <c r="M107" i="13"/>
  <c r="G107" i="13"/>
  <c r="M50" i="13"/>
  <c r="G50" i="13"/>
  <c r="M109" i="13"/>
  <c r="G109" i="13"/>
  <c r="B198" i="3"/>
  <c r="K198" i="3"/>
  <c r="T198" i="3" s="1"/>
  <c r="G198" i="3"/>
  <c r="L198" i="3" s="1"/>
  <c r="U198" i="3" s="1"/>
  <c r="E198" i="3"/>
  <c r="J198" i="3" s="1"/>
  <c r="S198" i="3" s="1"/>
  <c r="K40" i="14"/>
  <c r="K39" i="14"/>
  <c r="M108" i="13"/>
  <c r="G108" i="13"/>
  <c r="M55" i="13"/>
  <c r="G55" i="13"/>
  <c r="M68" i="13"/>
  <c r="G68" i="13"/>
  <c r="M101" i="13"/>
  <c r="G101" i="13"/>
  <c r="M100" i="13"/>
  <c r="G100" i="13"/>
  <c r="M35" i="13"/>
  <c r="G35" i="13"/>
  <c r="M64" i="13"/>
  <c r="G64" i="13"/>
  <c r="M45" i="13"/>
  <c r="G45" i="13"/>
  <c r="M83" i="13"/>
  <c r="G83" i="13"/>
  <c r="M73" i="13"/>
  <c r="G73" i="13"/>
  <c r="M106" i="13"/>
  <c r="G106" i="13"/>
  <c r="M84" i="13"/>
  <c r="G84" i="13"/>
  <c r="M43" i="13"/>
  <c r="G43" i="13"/>
  <c r="M56" i="13"/>
  <c r="G56" i="13"/>
  <c r="M34" i="13"/>
  <c r="G34" i="13"/>
  <c r="M70" i="13"/>
  <c r="G70" i="13"/>
  <c r="M81" i="13"/>
  <c r="G81" i="13"/>
  <c r="M54" i="13"/>
  <c r="G54" i="13"/>
  <c r="M97" i="13"/>
  <c r="G97" i="13"/>
  <c r="M111" i="13"/>
  <c r="G111" i="13"/>
  <c r="M112" i="13"/>
  <c r="G112" i="13"/>
  <c r="O24" i="13"/>
  <c r="H24" i="13"/>
  <c r="B199" i="3"/>
  <c r="G199" i="3"/>
  <c r="L199" i="3" s="1"/>
  <c r="U199" i="3" s="1"/>
  <c r="E199" i="3"/>
  <c r="J199" i="3" s="1"/>
  <c r="S199" i="3" s="1"/>
  <c r="K199" i="3"/>
  <c r="T199" i="3" s="1"/>
  <c r="G208" i="3"/>
  <c r="L208" i="3" s="1"/>
  <c r="U208" i="3" s="1"/>
  <c r="E208" i="3"/>
  <c r="J208" i="3" s="1"/>
  <c r="S208" i="3" s="1"/>
  <c r="K208" i="3"/>
  <c r="T208" i="3" s="1"/>
  <c r="B208" i="3"/>
  <c r="B206" i="3"/>
  <c r="K206" i="3"/>
  <c r="T206" i="3" s="1"/>
  <c r="G206" i="3"/>
  <c r="L206" i="3" s="1"/>
  <c r="U206" i="3" s="1"/>
  <c r="E206" i="3"/>
  <c r="J206" i="3" s="1"/>
  <c r="S206" i="3" s="1"/>
  <c r="K201" i="3"/>
  <c r="T201" i="3" s="1"/>
  <c r="B201" i="3"/>
  <c r="G201" i="3"/>
  <c r="L201" i="3" s="1"/>
  <c r="U201" i="3" s="1"/>
  <c r="E201" i="3"/>
  <c r="J201" i="3" s="1"/>
  <c r="S201" i="3" s="1"/>
  <c r="H26" i="13" l="1"/>
  <c r="L26" i="13" s="1"/>
  <c r="H30" i="13"/>
  <c r="L30" i="13" s="1"/>
  <c r="O27" i="13"/>
  <c r="O23" i="13"/>
  <c r="O25" i="13"/>
  <c r="H11" i="13"/>
  <c r="I11" i="13" s="1"/>
  <c r="N11" i="13" s="1"/>
  <c r="O19" i="13"/>
  <c r="O21" i="13"/>
  <c r="O12" i="13"/>
  <c r="H20" i="13"/>
  <c r="I20" i="13" s="1"/>
  <c r="N20" i="13" s="1"/>
  <c r="O31" i="13"/>
  <c r="H15" i="13"/>
  <c r="L15" i="13" s="1"/>
  <c r="H16" i="13"/>
  <c r="L16" i="13" s="1"/>
  <c r="H28" i="13"/>
  <c r="L28" i="13" s="1"/>
  <c r="H14" i="13"/>
  <c r="I14" i="13" s="1"/>
  <c r="N14" i="13" s="1"/>
  <c r="O18" i="13"/>
  <c r="H22" i="13"/>
  <c r="L22" i="13" s="1"/>
  <c r="H17" i="13"/>
  <c r="L17" i="13" s="1"/>
  <c r="O13" i="13"/>
  <c r="N4" i="13"/>
  <c r="O47" i="13"/>
  <c r="H47" i="13"/>
  <c r="O114" i="13"/>
  <c r="H114" i="13"/>
  <c r="O38" i="13"/>
  <c r="H38" i="13"/>
  <c r="O94" i="13"/>
  <c r="H94" i="13"/>
  <c r="O112" i="13"/>
  <c r="H112" i="13"/>
  <c r="O81" i="13"/>
  <c r="H81" i="13"/>
  <c r="O43" i="13"/>
  <c r="H43" i="13"/>
  <c r="O64" i="13"/>
  <c r="H64" i="13"/>
  <c r="O109" i="13"/>
  <c r="H109" i="13"/>
  <c r="O32" i="13"/>
  <c r="H32" i="13"/>
  <c r="I21" i="13"/>
  <c r="N21" i="13" s="1"/>
  <c r="L21" i="13"/>
  <c r="O40" i="13"/>
  <c r="H40" i="13"/>
  <c r="O41" i="13"/>
  <c r="H41" i="13"/>
  <c r="H39" i="13"/>
  <c r="O39" i="13"/>
  <c r="I29" i="13"/>
  <c r="N29" i="13" s="1"/>
  <c r="L29" i="13"/>
  <c r="O90" i="13"/>
  <c r="H90" i="13"/>
  <c r="O89" i="13"/>
  <c r="H89" i="13"/>
  <c r="O105" i="13"/>
  <c r="H105" i="13"/>
  <c r="O102" i="13"/>
  <c r="H102" i="13"/>
  <c r="M37" i="14"/>
  <c r="N35" i="14"/>
  <c r="M36" i="14"/>
  <c r="L23" i="13"/>
  <c r="I23" i="13"/>
  <c r="N23" i="13" s="1"/>
  <c r="L24" i="13"/>
  <c r="I24" i="13"/>
  <c r="N24" i="13" s="1"/>
  <c r="I13" i="13"/>
  <c r="N13" i="13" s="1"/>
  <c r="L13" i="13"/>
  <c r="O111" i="13"/>
  <c r="H111" i="13"/>
  <c r="O54" i="13"/>
  <c r="H54" i="13"/>
  <c r="O70" i="13"/>
  <c r="H70" i="13"/>
  <c r="O56" i="13"/>
  <c r="H56" i="13"/>
  <c r="O84" i="13"/>
  <c r="H84" i="13"/>
  <c r="O73" i="13"/>
  <c r="H73" i="13"/>
  <c r="O45" i="13"/>
  <c r="H45" i="13"/>
  <c r="H35" i="13"/>
  <c r="O35" i="13"/>
  <c r="O101" i="13"/>
  <c r="H101" i="13"/>
  <c r="O55" i="13"/>
  <c r="H55" i="13"/>
  <c r="K44" i="14"/>
  <c r="L12" i="13"/>
  <c r="I12" i="13"/>
  <c r="N12" i="13" s="1"/>
  <c r="O50" i="13"/>
  <c r="H50" i="13"/>
  <c r="O65" i="13"/>
  <c r="H65" i="13"/>
  <c r="H67" i="13"/>
  <c r="O67" i="13"/>
  <c r="H95" i="13"/>
  <c r="O95" i="13"/>
  <c r="L19" i="13"/>
  <c r="I19" i="13"/>
  <c r="N19" i="13" s="1"/>
  <c r="O82" i="13"/>
  <c r="H82" i="13"/>
  <c r="O113" i="13"/>
  <c r="H113" i="13"/>
  <c r="H99" i="13"/>
  <c r="O99" i="13"/>
  <c r="H88" i="13"/>
  <c r="O88" i="13"/>
  <c r="O53" i="13"/>
  <c r="H53" i="13"/>
  <c r="I26" i="13"/>
  <c r="N26" i="13" s="1"/>
  <c r="O93" i="13"/>
  <c r="H93" i="13"/>
  <c r="O46" i="13"/>
  <c r="H46" i="13"/>
  <c r="H79" i="13"/>
  <c r="O79" i="13"/>
  <c r="O92" i="13"/>
  <c r="H92" i="13"/>
  <c r="O75" i="13"/>
  <c r="H75" i="13"/>
  <c r="L10" i="13"/>
  <c r="I10" i="13"/>
  <c r="O77" i="13"/>
  <c r="H77" i="13"/>
  <c r="O66" i="13"/>
  <c r="H66" i="13"/>
  <c r="O69" i="13"/>
  <c r="H69" i="13"/>
  <c r="O48" i="13"/>
  <c r="H48" i="13"/>
  <c r="O52" i="13"/>
  <c r="H52" i="13"/>
  <c r="L39" i="14"/>
  <c r="L40" i="14"/>
  <c r="L18" i="13"/>
  <c r="I18" i="13"/>
  <c r="N18" i="13" s="1"/>
  <c r="O86" i="13"/>
  <c r="H86" i="13"/>
  <c r="O33" i="13"/>
  <c r="H33" i="13"/>
  <c r="O80" i="13"/>
  <c r="H80" i="13"/>
  <c r="O85" i="13"/>
  <c r="H85" i="13"/>
  <c r="H51" i="13"/>
  <c r="O51" i="13"/>
  <c r="O74" i="13"/>
  <c r="H74" i="13"/>
  <c r="H71" i="13"/>
  <c r="O71" i="13"/>
  <c r="O97" i="13"/>
  <c r="H97" i="13"/>
  <c r="O34" i="13"/>
  <c r="H34" i="13"/>
  <c r="O106" i="13"/>
  <c r="H106" i="13"/>
  <c r="O83" i="13"/>
  <c r="H83" i="13"/>
  <c r="H100" i="13"/>
  <c r="O100" i="13"/>
  <c r="O68" i="13"/>
  <c r="H68" i="13"/>
  <c r="O108" i="13"/>
  <c r="H108" i="13"/>
  <c r="I25" i="13"/>
  <c r="N25" i="13" s="1"/>
  <c r="L25" i="13"/>
  <c r="O107" i="13"/>
  <c r="H107" i="13"/>
  <c r="O37" i="13"/>
  <c r="H37" i="13"/>
  <c r="O36" i="13"/>
  <c r="H36" i="13"/>
  <c r="O104" i="13"/>
  <c r="H104" i="13"/>
  <c r="L27" i="13"/>
  <c r="I27" i="13"/>
  <c r="N27" i="13" s="1"/>
  <c r="O91" i="13"/>
  <c r="H91" i="13"/>
  <c r="O110" i="13"/>
  <c r="H110" i="13"/>
  <c r="O42" i="13"/>
  <c r="H42" i="13"/>
  <c r="O60" i="13"/>
  <c r="H60" i="13"/>
  <c r="O78" i="13"/>
  <c r="H78" i="13"/>
  <c r="H63" i="13"/>
  <c r="O63" i="13"/>
  <c r="H87" i="13"/>
  <c r="O87" i="13"/>
  <c r="O76" i="13"/>
  <c r="H76" i="13"/>
  <c r="L31" i="13"/>
  <c r="I31" i="13"/>
  <c r="N31" i="13" s="1"/>
  <c r="O98" i="13"/>
  <c r="H98" i="13"/>
  <c r="O58" i="13"/>
  <c r="H58" i="13"/>
  <c r="O62" i="13"/>
  <c r="H62" i="13"/>
  <c r="O61" i="13"/>
  <c r="H61" i="13"/>
  <c r="O59" i="13"/>
  <c r="H59" i="13"/>
  <c r="H44" i="13"/>
  <c r="O44" i="13"/>
  <c r="H103" i="13"/>
  <c r="O103" i="13"/>
  <c r="O49" i="13"/>
  <c r="H49" i="13"/>
  <c r="O96" i="13"/>
  <c r="H96" i="13"/>
  <c r="O57" i="13"/>
  <c r="H57" i="13"/>
  <c r="H72" i="13"/>
  <c r="O72" i="13"/>
  <c r="I30" i="13" l="1"/>
  <c r="N30" i="13" s="1"/>
  <c r="L11" i="13"/>
  <c r="L20" i="13"/>
  <c r="I15" i="13"/>
  <c r="N15" i="13" s="1"/>
  <c r="I16" i="13"/>
  <c r="N16" i="13" s="1"/>
  <c r="I28" i="13"/>
  <c r="N28" i="13" s="1"/>
  <c r="L14" i="13"/>
  <c r="I22" i="13"/>
  <c r="N22" i="13" s="1"/>
  <c r="I17" i="13"/>
  <c r="N17" i="13" s="1"/>
  <c r="Q4" i="13"/>
  <c r="F68" i="3" s="1"/>
  <c r="I57" i="13"/>
  <c r="N57" i="13" s="1"/>
  <c r="L57" i="13"/>
  <c r="L49" i="13"/>
  <c r="I49" i="13"/>
  <c r="N49" i="13" s="1"/>
  <c r="I61" i="13"/>
  <c r="N61" i="13" s="1"/>
  <c r="L61" i="13"/>
  <c r="I58" i="13"/>
  <c r="N58" i="13" s="1"/>
  <c r="L58" i="13"/>
  <c r="L76" i="13"/>
  <c r="I76" i="13"/>
  <c r="N76" i="13" s="1"/>
  <c r="L42" i="13"/>
  <c r="I42" i="13"/>
  <c r="N42" i="13" s="1"/>
  <c r="I110" i="13"/>
  <c r="N110" i="13" s="1"/>
  <c r="L110" i="13"/>
  <c r="L36" i="13"/>
  <c r="I36" i="13"/>
  <c r="N36" i="13" s="1"/>
  <c r="L107" i="13"/>
  <c r="I107" i="13"/>
  <c r="N107" i="13" s="1"/>
  <c r="L108" i="13"/>
  <c r="I108" i="13"/>
  <c r="N108" i="13" s="1"/>
  <c r="L106" i="13"/>
  <c r="I106" i="13"/>
  <c r="N106" i="13" s="1"/>
  <c r="L97" i="13"/>
  <c r="I97" i="13"/>
  <c r="N97" i="13" s="1"/>
  <c r="L80" i="13"/>
  <c r="I80" i="13"/>
  <c r="N80" i="13" s="1"/>
  <c r="L86" i="13"/>
  <c r="I86" i="13"/>
  <c r="N86" i="13" s="1"/>
  <c r="L52" i="13"/>
  <c r="I52" i="13"/>
  <c r="N52" i="13" s="1"/>
  <c r="I69" i="13"/>
  <c r="N69" i="13" s="1"/>
  <c r="L69" i="13"/>
  <c r="I77" i="13"/>
  <c r="N77" i="13" s="1"/>
  <c r="L77" i="13"/>
  <c r="L75" i="13"/>
  <c r="I75" i="13"/>
  <c r="N75" i="13" s="1"/>
  <c r="I93" i="13"/>
  <c r="N93" i="13" s="1"/>
  <c r="L93" i="13"/>
  <c r="I53" i="13"/>
  <c r="N53" i="13" s="1"/>
  <c r="L53" i="13"/>
  <c r="L82" i="13"/>
  <c r="I82" i="13"/>
  <c r="N82" i="13" s="1"/>
  <c r="L50" i="13"/>
  <c r="I50" i="13"/>
  <c r="N50" i="13" s="1"/>
  <c r="M39" i="14"/>
  <c r="M40" i="14"/>
  <c r="L38" i="13"/>
  <c r="I38" i="13"/>
  <c r="N38" i="13" s="1"/>
  <c r="L44" i="13"/>
  <c r="I44" i="13"/>
  <c r="N44" i="13" s="1"/>
  <c r="L63" i="13"/>
  <c r="I63" i="13"/>
  <c r="N63" i="13" s="1"/>
  <c r="L100" i="13"/>
  <c r="I100" i="13"/>
  <c r="N100" i="13" s="1"/>
  <c r="L71" i="13"/>
  <c r="I71" i="13"/>
  <c r="N71" i="13" s="1"/>
  <c r="L51" i="13"/>
  <c r="I51" i="13"/>
  <c r="N51" i="13" s="1"/>
  <c r="L79" i="13"/>
  <c r="I79" i="13"/>
  <c r="N79" i="13" s="1"/>
  <c r="I99" i="13"/>
  <c r="N99" i="13" s="1"/>
  <c r="L99" i="13"/>
  <c r="I67" i="13"/>
  <c r="N67" i="13" s="1"/>
  <c r="L67" i="13"/>
  <c r="L55" i="13"/>
  <c r="I55" i="13"/>
  <c r="N55" i="13" s="1"/>
  <c r="I73" i="13"/>
  <c r="N73" i="13" s="1"/>
  <c r="L73" i="13"/>
  <c r="L56" i="13"/>
  <c r="I56" i="13"/>
  <c r="N56" i="13" s="1"/>
  <c r="L54" i="13"/>
  <c r="I54" i="13"/>
  <c r="N54" i="13" s="1"/>
  <c r="L102" i="13"/>
  <c r="I102" i="13"/>
  <c r="N102" i="13" s="1"/>
  <c r="I89" i="13"/>
  <c r="N89" i="13" s="1"/>
  <c r="L89" i="13"/>
  <c r="L40" i="13"/>
  <c r="I40" i="13"/>
  <c r="N40" i="13" s="1"/>
  <c r="L32" i="13"/>
  <c r="I32" i="13"/>
  <c r="N32" i="13" s="1"/>
  <c r="L64" i="13"/>
  <c r="I64" i="13"/>
  <c r="N64" i="13" s="1"/>
  <c r="L81" i="13"/>
  <c r="I81" i="13"/>
  <c r="N81" i="13" s="1"/>
  <c r="L96" i="13"/>
  <c r="I96" i="13"/>
  <c r="N96" i="13" s="1"/>
  <c r="L59" i="13"/>
  <c r="I59" i="13"/>
  <c r="N59" i="13" s="1"/>
  <c r="L62" i="13"/>
  <c r="I62" i="13"/>
  <c r="N62" i="13" s="1"/>
  <c r="L98" i="13"/>
  <c r="I98" i="13"/>
  <c r="N98" i="13" s="1"/>
  <c r="I78" i="13"/>
  <c r="N78" i="13" s="1"/>
  <c r="L78" i="13"/>
  <c r="L60" i="13"/>
  <c r="I60" i="13"/>
  <c r="N60" i="13" s="1"/>
  <c r="L91" i="13"/>
  <c r="I91" i="13"/>
  <c r="N91" i="13" s="1"/>
  <c r="L104" i="13"/>
  <c r="I104" i="13"/>
  <c r="N104" i="13" s="1"/>
  <c r="I37" i="13"/>
  <c r="N37" i="13" s="1"/>
  <c r="L37" i="13"/>
  <c r="L68" i="13"/>
  <c r="I68" i="13"/>
  <c r="N68" i="13" s="1"/>
  <c r="L83" i="13"/>
  <c r="I83" i="13"/>
  <c r="N83" i="13" s="1"/>
  <c r="L34" i="13"/>
  <c r="I34" i="13"/>
  <c r="N34" i="13" s="1"/>
  <c r="L74" i="13"/>
  <c r="I74" i="13"/>
  <c r="N74" i="13" s="1"/>
  <c r="I85" i="13"/>
  <c r="N85" i="13" s="1"/>
  <c r="L85" i="13"/>
  <c r="L33" i="13"/>
  <c r="I33" i="13"/>
  <c r="N33" i="13" s="1"/>
  <c r="L48" i="13"/>
  <c r="I48" i="13"/>
  <c r="N48" i="13" s="1"/>
  <c r="L66" i="13"/>
  <c r="I66" i="13"/>
  <c r="N66" i="13" s="1"/>
  <c r="N10" i="13"/>
  <c r="J10" i="13"/>
  <c r="L92" i="13"/>
  <c r="I92" i="13"/>
  <c r="N92" i="13" s="1"/>
  <c r="I46" i="13"/>
  <c r="N46" i="13" s="1"/>
  <c r="L46" i="13"/>
  <c r="L113" i="13"/>
  <c r="I113" i="13"/>
  <c r="N113" i="13" s="1"/>
  <c r="L65" i="13"/>
  <c r="I65" i="13"/>
  <c r="N65" i="13" s="1"/>
  <c r="I35" i="13"/>
  <c r="N35" i="13" s="1"/>
  <c r="L35" i="13"/>
  <c r="L39" i="13"/>
  <c r="I39" i="13"/>
  <c r="N39" i="13" s="1"/>
  <c r="L94" i="13"/>
  <c r="I94" i="13"/>
  <c r="N94" i="13" s="1"/>
  <c r="L114" i="13"/>
  <c r="I114" i="13"/>
  <c r="N114" i="13" s="1"/>
  <c r="L47" i="13"/>
  <c r="I47" i="13"/>
  <c r="N47" i="13" s="1"/>
  <c r="L72" i="13"/>
  <c r="I72" i="13"/>
  <c r="N72" i="13" s="1"/>
  <c r="L103" i="13"/>
  <c r="I103" i="13"/>
  <c r="N103" i="13" s="1"/>
  <c r="L87" i="13"/>
  <c r="I87" i="13"/>
  <c r="N87" i="13" s="1"/>
  <c r="L44" i="14"/>
  <c r="L88" i="13"/>
  <c r="I88" i="13"/>
  <c r="N88" i="13" s="1"/>
  <c r="L95" i="13"/>
  <c r="I95" i="13"/>
  <c r="N95" i="13" s="1"/>
  <c r="I101" i="13"/>
  <c r="N101" i="13" s="1"/>
  <c r="L101" i="13"/>
  <c r="I45" i="13"/>
  <c r="N45" i="13" s="1"/>
  <c r="L45" i="13"/>
  <c r="L84" i="13"/>
  <c r="I84" i="13"/>
  <c r="N84" i="13" s="1"/>
  <c r="L70" i="13"/>
  <c r="I70" i="13"/>
  <c r="N70" i="13" s="1"/>
  <c r="L111" i="13"/>
  <c r="I111" i="13"/>
  <c r="N111" i="13" s="1"/>
  <c r="N37" i="14"/>
  <c r="O35" i="14"/>
  <c r="N36" i="14"/>
  <c r="I105" i="13"/>
  <c r="N105" i="13" s="1"/>
  <c r="L105" i="13"/>
  <c r="L90" i="13"/>
  <c r="I90" i="13"/>
  <c r="N90" i="13" s="1"/>
  <c r="I41" i="13"/>
  <c r="N41" i="13" s="1"/>
  <c r="L41" i="13"/>
  <c r="I109" i="13"/>
  <c r="N109" i="13" s="1"/>
  <c r="L109" i="13"/>
  <c r="L43" i="13"/>
  <c r="I43" i="13"/>
  <c r="N43" i="13" s="1"/>
  <c r="L112" i="13"/>
  <c r="I112" i="13"/>
  <c r="N112" i="13" s="1"/>
  <c r="M44" i="14" l="1"/>
  <c r="O2" i="13"/>
  <c r="F73" i="1" s="1"/>
  <c r="K10" i="13"/>
  <c r="J11" i="13"/>
  <c r="O37" i="14"/>
  <c r="O36" i="14"/>
  <c r="P35" i="14"/>
  <c r="N5" i="13"/>
  <c r="F67" i="3" s="1"/>
  <c r="E22" i="14" s="1"/>
  <c r="N40" i="14"/>
  <c r="N39" i="14"/>
  <c r="E38" i="14" l="1"/>
  <c r="F69" i="3"/>
  <c r="H8" i="7" s="1"/>
  <c r="H10" i="7" s="1"/>
  <c r="H11" i="7" s="1"/>
  <c r="H14" i="7" s="1"/>
  <c r="O40" i="14"/>
  <c r="O39" i="14"/>
  <c r="K11" i="13"/>
  <c r="J12" i="13"/>
  <c r="N44" i="14"/>
  <c r="P37" i="14"/>
  <c r="P36" i="14"/>
  <c r="Q35" i="14"/>
  <c r="O44" i="14" l="1"/>
  <c r="H12" i="7"/>
  <c r="H13" i="7" s="1"/>
  <c r="H15" i="7" s="1"/>
  <c r="H19" i="7" s="1"/>
  <c r="H18" i="7" s="1"/>
  <c r="P39" i="14"/>
  <c r="P40" i="14"/>
  <c r="Q37" i="14"/>
  <c r="R35" i="14"/>
  <c r="Q36" i="14"/>
  <c r="Q38" i="14" s="1"/>
  <c r="K12" i="13"/>
  <c r="J13" i="13"/>
  <c r="G38" i="14"/>
  <c r="G45" i="14" s="1"/>
  <c r="M38" i="14"/>
  <c r="M45" i="14" s="1"/>
  <c r="H38" i="14"/>
  <c r="H45" i="14" s="1"/>
  <c r="K38" i="14"/>
  <c r="K45" i="14" s="1"/>
  <c r="L38" i="14"/>
  <c r="L45" i="14" s="1"/>
  <c r="E45" i="14"/>
  <c r="J38" i="14"/>
  <c r="J45" i="14" s="1"/>
  <c r="J47" i="14" s="1"/>
  <c r="N38" i="14"/>
  <c r="N45" i="14" s="1"/>
  <c r="F38" i="14"/>
  <c r="F45" i="14" s="1"/>
  <c r="P38" i="14"/>
  <c r="O38" i="14"/>
  <c r="I38" i="14"/>
  <c r="I45" i="14" s="1"/>
  <c r="O45" i="14" l="1"/>
  <c r="O47" i="14" s="1"/>
  <c r="H20" i="7"/>
  <c r="H22" i="7" s="1"/>
  <c r="H28" i="7" s="1"/>
  <c r="J48" i="14"/>
  <c r="J50" i="14" s="1"/>
  <c r="H47" i="14"/>
  <c r="H48" i="14"/>
  <c r="G47" i="14"/>
  <c r="G48" i="14"/>
  <c r="J14" i="13"/>
  <c r="K13" i="13"/>
  <c r="R37" i="14"/>
  <c r="S35" i="14"/>
  <c r="R36" i="14"/>
  <c r="R38" i="14" s="1"/>
  <c r="E47" i="14"/>
  <c r="E48" i="14"/>
  <c r="M47" i="14"/>
  <c r="M48" i="14"/>
  <c r="Q39" i="14"/>
  <c r="Q40" i="14"/>
  <c r="F48" i="14"/>
  <c r="F47" i="14"/>
  <c r="N47" i="14"/>
  <c r="N48" i="14"/>
  <c r="L47" i="14"/>
  <c r="L48" i="14"/>
  <c r="I47" i="14"/>
  <c r="I48" i="14"/>
  <c r="K47" i="14"/>
  <c r="K48" i="14"/>
  <c r="P44" i="14"/>
  <c r="P45" i="14" s="1"/>
  <c r="O48" i="14" l="1"/>
  <c r="O50" i="14" s="1"/>
  <c r="O51" i="14" s="1"/>
  <c r="O52" i="14" s="1"/>
  <c r="O54" i="14" s="1"/>
  <c r="F70" i="3"/>
  <c r="F71" i="3" s="1"/>
  <c r="F86" i="1" s="1"/>
  <c r="F50" i="14"/>
  <c r="F51" i="14" s="1"/>
  <c r="F52" i="14" s="1"/>
  <c r="F54" i="14" s="1"/>
  <c r="J51" i="14"/>
  <c r="J52" i="14" s="1"/>
  <c r="J54" i="14" s="1"/>
  <c r="P47" i="14"/>
  <c r="P48" i="14"/>
  <c r="I50" i="14"/>
  <c r="I51" i="14" s="1"/>
  <c r="I52" i="14" s="1"/>
  <c r="I54" i="14" s="1"/>
  <c r="N50" i="14"/>
  <c r="N51" i="14" s="1"/>
  <c r="N52" i="14" s="1"/>
  <c r="N54" i="14" s="1"/>
  <c r="Q44" i="14"/>
  <c r="Q45" i="14" s="1"/>
  <c r="M50" i="14"/>
  <c r="M51" i="14" s="1"/>
  <c r="M52" i="14" s="1"/>
  <c r="M54" i="14" s="1"/>
  <c r="R40" i="14"/>
  <c r="R39" i="14"/>
  <c r="G50" i="14"/>
  <c r="G51" i="14" s="1"/>
  <c r="G52" i="14" s="1"/>
  <c r="G54" i="14" s="1"/>
  <c r="K50" i="14"/>
  <c r="K51" i="14" s="1"/>
  <c r="K52" i="14" s="1"/>
  <c r="K54" i="14" s="1"/>
  <c r="L50" i="14"/>
  <c r="L51" i="14" s="1"/>
  <c r="L52" i="14" s="1"/>
  <c r="L54" i="14" s="1"/>
  <c r="E50" i="14"/>
  <c r="E51" i="14" s="1"/>
  <c r="E52" i="14" s="1"/>
  <c r="E54" i="14" s="1"/>
  <c r="E55" i="14" s="1"/>
  <c r="E58" i="14" s="1"/>
  <c r="S37" i="14"/>
  <c r="S36" i="14"/>
  <c r="S38" i="14" s="1"/>
  <c r="T35" i="14"/>
  <c r="K14" i="13"/>
  <c r="J15" i="13"/>
  <c r="H50" i="14"/>
  <c r="H51" i="14" s="1"/>
  <c r="H52" i="14" s="1"/>
  <c r="H54" i="14" s="1"/>
  <c r="R44" i="14" l="1"/>
  <c r="R45" i="14" s="1"/>
  <c r="R47" i="14" s="1"/>
  <c r="J56" i="14"/>
  <c r="J59" i="14" s="1"/>
  <c r="J55" i="14"/>
  <c r="J58" i="14" s="1"/>
  <c r="F56" i="14"/>
  <c r="F59" i="14" s="1"/>
  <c r="H56" i="14"/>
  <c r="H59" i="14" s="1"/>
  <c r="H55" i="14"/>
  <c r="H58" i="14" s="1"/>
  <c r="T37" i="14"/>
  <c r="T36" i="14"/>
  <c r="T38" i="14" s="1"/>
  <c r="U35" i="14"/>
  <c r="L55" i="14"/>
  <c r="L58" i="14" s="1"/>
  <c r="L56" i="14"/>
  <c r="L59" i="14" s="1"/>
  <c r="M56" i="14"/>
  <c r="M59" i="14" s="1"/>
  <c r="M55" i="14"/>
  <c r="M58" i="14" s="1"/>
  <c r="K15" i="13"/>
  <c r="J16" i="13"/>
  <c r="K55" i="14"/>
  <c r="K58" i="14" s="1"/>
  <c r="K56" i="14"/>
  <c r="K59" i="14" s="1"/>
  <c r="G56" i="14"/>
  <c r="G59" i="14" s="1"/>
  <c r="G55" i="14"/>
  <c r="G58" i="14" s="1"/>
  <c r="Q47" i="14"/>
  <c r="Q48" i="14"/>
  <c r="S40" i="14"/>
  <c r="S39" i="14"/>
  <c r="N55" i="14"/>
  <c r="N58" i="14" s="1"/>
  <c r="N56" i="14"/>
  <c r="N59" i="14" s="1"/>
  <c r="O55" i="14"/>
  <c r="O58" i="14" s="1"/>
  <c r="F55" i="14"/>
  <c r="F58" i="14" s="1"/>
  <c r="I55" i="14"/>
  <c r="I58" i="14" s="1"/>
  <c r="I56" i="14"/>
  <c r="I59" i="14" s="1"/>
  <c r="P50" i="14"/>
  <c r="P51" i="14" s="1"/>
  <c r="P52" i="14" s="1"/>
  <c r="P54" i="14" s="1"/>
  <c r="O56" i="14" s="1"/>
  <c r="O59" i="14" s="1"/>
  <c r="S44" i="14" l="1"/>
  <c r="S45" i="14" s="1"/>
  <c r="S47" i="14" s="1"/>
  <c r="R48" i="14"/>
  <c r="R50" i="14" s="1"/>
  <c r="R51" i="14" s="1"/>
  <c r="R52" i="14" s="1"/>
  <c r="R54" i="14" s="1"/>
  <c r="Q50" i="14"/>
  <c r="Q51" i="14" s="1"/>
  <c r="Q52" i="14" s="1"/>
  <c r="Q54" i="14" s="1"/>
  <c r="T40" i="14"/>
  <c r="T39" i="14"/>
  <c r="U37" i="14"/>
  <c r="V35" i="14"/>
  <c r="U36" i="14"/>
  <c r="U38" i="14" s="1"/>
  <c r="P55" i="14"/>
  <c r="P58" i="14" s="1"/>
  <c r="K16" i="13"/>
  <c r="J17" i="13"/>
  <c r="S48" i="14" l="1"/>
  <c r="S50" i="14" s="1"/>
  <c r="S51" i="14" s="1"/>
  <c r="S52" i="14" s="1"/>
  <c r="S54" i="14" s="1"/>
  <c r="R55" i="14"/>
  <c r="R58" i="14" s="1"/>
  <c r="Q55" i="14"/>
  <c r="Q58" i="14" s="1"/>
  <c r="P56" i="14"/>
  <c r="P59" i="14" s="1"/>
  <c r="Q56" i="14"/>
  <c r="Q59" i="14" s="1"/>
  <c r="V37" i="14"/>
  <c r="W35" i="14"/>
  <c r="V36" i="14"/>
  <c r="V38" i="14" s="1"/>
  <c r="U39" i="14"/>
  <c r="U40" i="14"/>
  <c r="K17" i="13"/>
  <c r="J18" i="13"/>
  <c r="T44" i="14"/>
  <c r="T45" i="14" s="1"/>
  <c r="W37" i="14" l="1"/>
  <c r="W36" i="14"/>
  <c r="W38" i="14" s="1"/>
  <c r="X35" i="14"/>
  <c r="S55" i="14"/>
  <c r="S58" i="14" s="1"/>
  <c r="R56" i="14"/>
  <c r="R59" i="14" s="1"/>
  <c r="T47" i="14"/>
  <c r="T48" i="14"/>
  <c r="U44" i="14"/>
  <c r="U45" i="14" s="1"/>
  <c r="V40" i="14"/>
  <c r="V39" i="14"/>
  <c r="K18" i="13"/>
  <c r="J19" i="13"/>
  <c r="V44" i="14" l="1"/>
  <c r="V45" i="14" s="1"/>
  <c r="V48" i="14" s="1"/>
  <c r="T50" i="14"/>
  <c r="T51" i="14" s="1"/>
  <c r="T52" i="14" s="1"/>
  <c r="T54" i="14" s="1"/>
  <c r="S56" i="14" s="1"/>
  <c r="S59" i="14" s="1"/>
  <c r="X37" i="14"/>
  <c r="X36" i="14"/>
  <c r="X38" i="14" s="1"/>
  <c r="K19" i="13"/>
  <c r="J20" i="13"/>
  <c r="U47" i="14"/>
  <c r="U48" i="14"/>
  <c r="W39" i="14"/>
  <c r="W40" i="14"/>
  <c r="V47" i="14" l="1"/>
  <c r="V50" i="14" s="1"/>
  <c r="V51" i="14" s="1"/>
  <c r="V52" i="14" s="1"/>
  <c r="V54" i="14" s="1"/>
  <c r="T55" i="14"/>
  <c r="T58" i="14" s="1"/>
  <c r="W44" i="14"/>
  <c r="W45" i="14" s="1"/>
  <c r="U50" i="14"/>
  <c r="U51" i="14" s="1"/>
  <c r="U52" i="14" s="1"/>
  <c r="U54" i="14" s="1"/>
  <c r="K20" i="13"/>
  <c r="J21" i="13"/>
  <c r="X40" i="14"/>
  <c r="X39" i="14"/>
  <c r="X44" i="14" l="1"/>
  <c r="X45" i="14" s="1"/>
  <c r="X47" i="14" s="1"/>
  <c r="V55" i="14"/>
  <c r="V58" i="14" s="1"/>
  <c r="U55" i="14"/>
  <c r="U58" i="14" s="1"/>
  <c r="U56" i="14"/>
  <c r="U59" i="14" s="1"/>
  <c r="T56" i="14"/>
  <c r="T59" i="14" s="1"/>
  <c r="J22" i="13"/>
  <c r="K21" i="13"/>
  <c r="W47" i="14"/>
  <c r="W48" i="14"/>
  <c r="W50" i="14" l="1"/>
  <c r="W51" i="14" s="1"/>
  <c r="W52" i="14" s="1"/>
  <c r="W54" i="14" s="1"/>
  <c r="X48" i="14"/>
  <c r="X50" i="14" s="1"/>
  <c r="X51" i="14" s="1"/>
  <c r="X52" i="14" s="1"/>
  <c r="X54" i="14" s="1"/>
  <c r="K22" i="13"/>
  <c r="J23" i="13"/>
  <c r="X56" i="14" l="1"/>
  <c r="X59" i="14" s="1"/>
  <c r="X55" i="14"/>
  <c r="X58" i="14" s="1"/>
  <c r="W56" i="14"/>
  <c r="W59" i="14" s="1"/>
  <c r="W55" i="14"/>
  <c r="W58" i="14" s="1"/>
  <c r="V56" i="14"/>
  <c r="V59" i="14" s="1"/>
  <c r="K23" i="13"/>
  <c r="J24" i="13"/>
  <c r="J25" i="13" l="1"/>
  <c r="K24" i="13"/>
  <c r="I28" i="14"/>
  <c r="J28" i="14" s="1"/>
  <c r="F80" i="1" s="1"/>
  <c r="I29" i="14"/>
  <c r="J29" i="14" s="1"/>
  <c r="F81" i="1" s="1"/>
  <c r="K25" i="13" l="1"/>
  <c r="J26" i="13"/>
  <c r="K26" i="13" l="1"/>
  <c r="J27" i="13"/>
  <c r="K27" i="13" l="1"/>
  <c r="J28" i="13"/>
  <c r="K28" i="13" l="1"/>
  <c r="J29" i="13"/>
  <c r="J30" i="13" l="1"/>
  <c r="K29" i="13"/>
  <c r="K30" i="13" l="1"/>
  <c r="J31" i="13"/>
  <c r="K31" i="13" l="1"/>
  <c r="J32" i="13"/>
  <c r="K32" i="13" l="1"/>
  <c r="J33" i="13"/>
  <c r="K33" i="13" l="1"/>
  <c r="J34" i="13"/>
  <c r="K34" i="13" l="1"/>
  <c r="J35" i="13"/>
  <c r="K35" i="13" l="1"/>
  <c r="J36" i="13"/>
  <c r="K36" i="13" l="1"/>
  <c r="J37" i="13"/>
  <c r="K37" i="13" l="1"/>
  <c r="J38" i="13"/>
  <c r="K38" i="13" l="1"/>
  <c r="J39" i="13"/>
  <c r="K39" i="13" l="1"/>
  <c r="J40" i="13"/>
  <c r="J41" i="13" l="1"/>
  <c r="K40" i="13"/>
  <c r="K41" i="13" l="1"/>
  <c r="J42" i="13"/>
  <c r="K42" i="13" l="1"/>
  <c r="J43" i="13"/>
  <c r="K43" i="13" l="1"/>
  <c r="J44" i="13"/>
  <c r="K44" i="13" l="1"/>
  <c r="J45" i="13"/>
  <c r="J46" i="13" l="1"/>
  <c r="K45" i="13"/>
  <c r="K46" i="13" l="1"/>
  <c r="J47" i="13"/>
  <c r="K47" i="13" l="1"/>
  <c r="J48" i="13"/>
  <c r="K48" i="13" l="1"/>
  <c r="J49" i="13"/>
  <c r="J50" i="13" l="1"/>
  <c r="K49" i="13"/>
  <c r="K50" i="13" l="1"/>
  <c r="J51" i="13"/>
  <c r="K51" i="13" l="1"/>
  <c r="J52" i="13"/>
  <c r="K52" i="13" l="1"/>
  <c r="J53" i="13"/>
  <c r="K53" i="13" l="1"/>
  <c r="J54" i="13"/>
  <c r="K54" i="13" l="1"/>
  <c r="J55" i="13"/>
  <c r="K55" i="13" l="1"/>
  <c r="J56" i="13"/>
  <c r="J57" i="13" l="1"/>
  <c r="K56" i="13"/>
  <c r="J58" i="13" l="1"/>
  <c r="K57" i="13"/>
  <c r="K58" i="13" l="1"/>
  <c r="J59" i="13"/>
  <c r="K59" i="13" l="1"/>
  <c r="J60" i="13"/>
  <c r="K60" i="13" l="1"/>
  <c r="J61" i="13"/>
  <c r="J62" i="13" l="1"/>
  <c r="K61" i="13"/>
  <c r="K62" i="13" l="1"/>
  <c r="J63" i="13"/>
  <c r="K63" i="13" l="1"/>
  <c r="J64" i="13"/>
  <c r="J65" i="13" l="1"/>
  <c r="K64" i="13"/>
  <c r="K65" i="13" l="1"/>
  <c r="J66" i="13"/>
  <c r="K66" i="13" l="1"/>
  <c r="J67" i="13"/>
  <c r="K67" i="13" l="1"/>
  <c r="J68" i="13"/>
  <c r="K68" i="13" l="1"/>
  <c r="J69" i="13"/>
  <c r="K69" i="13" l="1"/>
  <c r="J70" i="13"/>
  <c r="K70" i="13" l="1"/>
  <c r="J71" i="13"/>
  <c r="K71" i="13" l="1"/>
  <c r="J72" i="13"/>
  <c r="J73" i="13" l="1"/>
  <c r="K72" i="13"/>
  <c r="J74" i="13" l="1"/>
  <c r="K73" i="13"/>
  <c r="K74" i="13" l="1"/>
  <c r="J75" i="13"/>
  <c r="K75" i="13" l="1"/>
  <c r="J76" i="13"/>
  <c r="K76" i="13" l="1"/>
  <c r="J77" i="13"/>
  <c r="K77" i="13" l="1"/>
  <c r="J78" i="13"/>
  <c r="K78" i="13" l="1"/>
  <c r="J79" i="13"/>
  <c r="K79" i="13" l="1"/>
  <c r="J80" i="13"/>
  <c r="K80" i="13" l="1"/>
  <c r="J81" i="13"/>
  <c r="J82" i="13" l="1"/>
  <c r="K81" i="13"/>
  <c r="K82" i="13" l="1"/>
  <c r="J83" i="13"/>
  <c r="K83" i="13" l="1"/>
  <c r="J84" i="13"/>
  <c r="K84" i="13" l="1"/>
  <c r="J85" i="13"/>
  <c r="J86" i="13" l="1"/>
  <c r="K85" i="13"/>
  <c r="K86" i="13" l="1"/>
  <c r="J87" i="13"/>
  <c r="K87" i="13" l="1"/>
  <c r="J88" i="13"/>
  <c r="K88" i="13" l="1"/>
  <c r="J89" i="13"/>
  <c r="K89" i="13" l="1"/>
  <c r="J90" i="13"/>
  <c r="K90" i="13" l="1"/>
  <c r="J91" i="13"/>
  <c r="K91" i="13" l="1"/>
  <c r="J92" i="13"/>
  <c r="K92" i="13" l="1"/>
  <c r="J93" i="13"/>
  <c r="J94" i="13" l="1"/>
  <c r="K93" i="13"/>
  <c r="K94" i="13" l="1"/>
  <c r="J95" i="13"/>
  <c r="K95" i="13" l="1"/>
  <c r="J96" i="13"/>
  <c r="J97" i="13" l="1"/>
  <c r="K96" i="13"/>
  <c r="K97" i="13" l="1"/>
  <c r="J98" i="13"/>
  <c r="K98" i="13" l="1"/>
  <c r="J99" i="13"/>
  <c r="K99" i="13" l="1"/>
  <c r="J100" i="13"/>
  <c r="K100" i="13" l="1"/>
  <c r="J101" i="13"/>
  <c r="K101" i="13" l="1"/>
  <c r="J102" i="13"/>
  <c r="K102" i="13" l="1"/>
  <c r="J103" i="13"/>
  <c r="K103" i="13" l="1"/>
  <c r="J104" i="13"/>
  <c r="J105" i="13" l="1"/>
  <c r="K104" i="13"/>
  <c r="J106" i="13" l="1"/>
  <c r="K105" i="13"/>
  <c r="K106" i="13" l="1"/>
  <c r="J107" i="13"/>
  <c r="K107" i="13" l="1"/>
  <c r="J108" i="13"/>
  <c r="K108" i="13" l="1"/>
  <c r="J109" i="13"/>
  <c r="K109" i="13" l="1"/>
  <c r="J110" i="13"/>
  <c r="K110" i="13" l="1"/>
  <c r="J111" i="13"/>
  <c r="K111" i="13" l="1"/>
  <c r="J112" i="13"/>
  <c r="K112" i="13" l="1"/>
  <c r="J113" i="13"/>
  <c r="J114" i="13" l="1"/>
  <c r="K113" i="13"/>
  <c r="K114" i="13" l="1"/>
  <c r="K115" i="13" s="1"/>
  <c r="M2" i="13"/>
  <c r="K128" i="1" s="1"/>
  <c r="F53" i="3" l="1"/>
  <c r="F55" i="3" s="1"/>
  <c r="F72" i="1"/>
  <c r="F56" i="3" l="1"/>
  <c r="F75" i="1" s="1"/>
  <c r="F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dmorgan</author>
    <author>a0272042</author>
    <author>TI User</author>
    <author>bdemsc</author>
  </authors>
  <commentList>
    <comment ref="F27" authorId="0" shapeId="0" xr:uid="{00000000-0006-0000-0100-000001000000}">
      <text>
        <r>
          <rPr>
            <b/>
            <sz val="8"/>
            <color indexed="81"/>
            <rFont val="Tahoma"/>
            <family val="2"/>
          </rPr>
          <t>The minimum system voltage must be no less than 10V.</t>
        </r>
      </text>
    </comment>
    <comment ref="F29" authorId="0" shapeId="0" xr:uid="{00000000-0006-0000-0100-000002000000}">
      <text>
        <r>
          <rPr>
            <b/>
            <sz val="8"/>
            <color indexed="81"/>
            <rFont val="Tahoma"/>
            <family val="2"/>
          </rPr>
          <t>The maximum system voltage must be no greater than 80V.</t>
        </r>
      </text>
    </comment>
    <comment ref="F31" authorId="0" shapeId="0" xr:uid="{00000000-0006-0000-0100-00000300000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38" authorId="1" shapeId="0" xr:uid="{00000000-0006-0000-0100-000004000000}">
      <text>
        <r>
          <rPr>
            <b/>
            <sz val="9"/>
            <color indexed="81"/>
            <rFont val="Tahoma"/>
            <family val="2"/>
          </rPr>
          <t xml:space="preserve">Using an External Resistor allows the user to fine tune the current limit for a given standard resistor. 
It will add error to the power limit, current limit, and telemetry (1% resistors) and should be avoided if possible. </t>
        </r>
        <r>
          <rPr>
            <sz val="9"/>
            <color indexed="81"/>
            <rFont val="Tahoma"/>
            <family val="2"/>
          </rPr>
          <t xml:space="preserve">
</t>
        </r>
      </text>
    </comment>
    <comment ref="F39" authorId="0" shapeId="0" xr:uid="{00000000-0006-0000-0100-000005000000}">
      <text>
        <r>
          <rPr>
            <b/>
            <sz val="8"/>
            <color indexed="81"/>
            <rFont val="Tahoma"/>
            <family val="2"/>
          </rPr>
          <t xml:space="preserve">When using an external resistor divider, Rs must be larger than the targeted Rs,eff.  Pick the next larger available Rs.  
When not using an external resistor divider, pick the next smallest available sense resistor. </t>
        </r>
      </text>
    </comment>
    <comment ref="F40" authorId="1" shapeId="0" xr:uid="{00000000-0006-0000-0100-000006000000}">
      <text>
        <r>
          <rPr>
            <b/>
            <sz val="9"/>
            <color indexed="81"/>
            <rFont val="Tahoma"/>
            <family val="2"/>
          </rPr>
          <t xml:space="preserve">Cell turns Red if 
When using an external resistor divider, Rs must be larger than the targeted Rs,eff.  Pick the next larger available Rs.  
</t>
        </r>
        <r>
          <rPr>
            <sz val="9"/>
            <color indexed="81"/>
            <rFont val="Tahoma"/>
            <family val="2"/>
          </rPr>
          <t xml:space="preserve">
</t>
        </r>
      </text>
    </comment>
    <comment ref="F45" authorId="1" shapeId="0" xr:uid="{00000000-0006-0000-0100-000007000000}">
      <text>
        <r>
          <rPr>
            <b/>
            <sz val="9"/>
            <color indexed="81"/>
            <rFont val="Tahoma"/>
            <family val="2"/>
          </rPr>
          <t xml:space="preserve">Ensure that the minimum current limit is above maximum load. </t>
        </r>
      </text>
    </comment>
    <comment ref="F48" authorId="0" shapeId="0" xr:uid="{00000000-0006-0000-0100-000008000000}">
      <text>
        <r>
          <rPr>
            <b/>
            <sz val="8"/>
            <color indexed="81"/>
            <rFont val="Tahoma"/>
            <family val="2"/>
          </rPr>
          <t>The power dissipation is calculated using the maximum normal load current.
Ensure the selected resistor is rated for this power dissipation.</t>
        </r>
      </text>
    </comment>
    <comment ref="F52" authorId="1" shapeId="0" xr:uid="{00000000-0006-0000-0100-000009000000}">
      <text>
        <r>
          <rPr>
            <b/>
            <sz val="9"/>
            <color indexed="81"/>
            <rFont val="Tahoma"/>
            <family val="2"/>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r>
          <rPr>
            <sz val="9"/>
            <color indexed="81"/>
            <rFont val="Tahoma"/>
            <family val="2"/>
          </rPr>
          <t xml:space="preserve">
</t>
        </r>
      </text>
    </comment>
    <comment ref="F62" authorId="1" shapeId="0" xr:uid="{00000000-0006-0000-0100-00000A000000}">
      <text>
        <r>
          <rPr>
            <sz val="9"/>
            <color indexed="81"/>
            <rFont val="Tahoma"/>
            <family val="2"/>
          </rPr>
          <t xml:space="preserve">If FET temperature is too high, increase the # of FETs, reduce the load, or reduce the RθJA by adding more heat sinking to MOSFETs. 
</t>
        </r>
      </text>
    </comment>
    <comment ref="F64" authorId="1" shapeId="0" xr:uid="{00000000-0006-0000-0100-00000B000000}">
      <text>
        <r>
          <rPr>
            <sz val="9"/>
            <color indexed="81"/>
            <rFont val="Tahoma"/>
            <family val="2"/>
          </rPr>
          <t xml:space="preserve">Usually this can be set to PLIM,MIN.  If a load is present during start-up a higher Plim, may be preferred. </t>
        </r>
        <r>
          <rPr>
            <b/>
            <sz val="9"/>
            <color indexed="81"/>
            <rFont val="Tahoma"/>
            <family val="2"/>
          </rPr>
          <t xml:space="preserve">
</t>
        </r>
      </text>
    </comment>
    <comment ref="I66" authorId="2" shapeId="0" xr:uid="{00000000-0006-0000-0100-00000C000000}">
      <text>
        <r>
          <rPr>
            <b/>
            <sz val="9"/>
            <color indexed="81"/>
            <rFont val="Tahoma"/>
            <family val="2"/>
          </rPr>
          <t>3 Parameters:
Step 1: Max Ambient Operating Temperature 
Step 3: Estimated MOSFET RQJA
Step 3: FET Power Dissipation at full load 
**This includes air flow</t>
        </r>
      </text>
    </comment>
    <comment ref="F67" authorId="1" shapeId="0" xr:uid="{00000000-0006-0000-0100-00000D000000}">
      <text>
        <r>
          <rPr>
            <sz val="9"/>
            <color indexed="81"/>
            <rFont val="Tahoma"/>
            <family val="2"/>
          </rPr>
          <t xml:space="preserve">Cell turns Red if the actual power limit is below Minimum Power Limit (cell F47)
</t>
        </r>
      </text>
    </comment>
    <comment ref="F69" authorId="3" shapeId="0" xr:uid="{00000000-0006-0000-0100-00000E000000}">
      <text>
        <r>
          <rPr>
            <b/>
            <sz val="8"/>
            <color indexed="81"/>
            <rFont val="Tahoma"/>
            <family val="2"/>
          </rPr>
          <t>Select if the load will draw current during start-up. 
For no Load, choose constant current and set to zero</t>
        </r>
      </text>
    </comment>
    <comment ref="F71" authorId="3" shapeId="0" xr:uid="{00000000-0006-0000-0100-00000F000000}">
      <text>
        <r>
          <rPr>
            <b/>
            <sz val="8"/>
            <color indexed="81"/>
            <rFont val="Tahoma"/>
            <family val="2"/>
          </rPr>
          <t>Yes or No.  Default is No.  However, DV/DT control can be useful in high current applications or applications were COUT is large.
If SOA margin is poor with a PLIM start-up, switching to a soft start can alleviate this problem.</t>
        </r>
      </text>
    </comment>
    <comment ref="F73" authorId="1" shapeId="0" xr:uid="{00000000-0006-0000-0100-000010000000}">
      <text>
        <r>
          <rPr>
            <b/>
            <sz val="9"/>
            <color indexed="81"/>
            <rFont val="Tahoma"/>
            <family val="2"/>
          </rPr>
          <t xml:space="preserve">If IFET - ILOAD margin is too low, there may be start-up issues due to variation in power limit or load profile.  A margin &gt; 25% is recommended. 
If margin is &lt; 25%, the power limit should be increased or the load should be kept completely OFF during start-up. </t>
        </r>
        <r>
          <rPr>
            <sz val="9"/>
            <color indexed="81"/>
            <rFont val="Tahoma"/>
            <family val="2"/>
          </rPr>
          <t xml:space="preserve">
</t>
        </r>
      </text>
    </comment>
    <comment ref="F74" authorId="0" shapeId="0" xr:uid="{00000000-0006-0000-0100-000011000000}">
      <text>
        <r>
          <rPr>
            <b/>
            <sz val="8"/>
            <color indexed="81"/>
            <rFont val="Tahoma"/>
            <family val="2"/>
          </rPr>
          <t xml:space="preserve">To ensure start-up the fault time out must be longer than the start-up time. It is recommended to choose a fault timer that is larger than the typical start-time to account for variations in Plim, timer current, and timer capacitance. </t>
        </r>
      </text>
    </comment>
    <comment ref="F76" authorId="1" shapeId="0" xr:uid="{00000000-0006-0000-0100-000012000000}">
      <text>
        <r>
          <rPr>
            <b/>
            <sz val="9"/>
            <color indexed="81"/>
            <rFont val="Tahoma"/>
            <family val="2"/>
          </rPr>
          <t>Pick closest capacitor that is larger than the Target capacitance</t>
        </r>
        <r>
          <rPr>
            <sz val="9"/>
            <color indexed="81"/>
            <rFont val="Tahoma"/>
            <family val="2"/>
          </rPr>
          <t xml:space="preserve">
</t>
        </r>
      </text>
    </comment>
    <comment ref="F78" authorId="1" shapeId="0" xr:uid="{00000000-0006-0000-0100-000013000000}">
      <text>
        <r>
          <rPr>
            <sz val="9"/>
            <color indexed="81"/>
            <rFont val="Tahoma"/>
            <family val="2"/>
          </rPr>
          <t>A ratio over 1.1 is required and over 1.3 is preferred.  This will account for variation in Power limit and timer
If the margin is poor with a PLIM based start-up, switch to soft start (cell F55)</t>
        </r>
      </text>
    </comment>
    <comment ref="F79" authorId="3" shapeId="0" xr:uid="{00000000-0006-0000-0100-000014000000}">
      <text>
        <r>
          <rPr>
            <b/>
            <sz val="8"/>
            <color indexed="81"/>
            <rFont val="Tahoma"/>
            <family val="2"/>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1" shapeId="0" xr:uid="{00000000-0006-0000-0100-000015000000}">
      <text>
        <r>
          <rPr>
            <b/>
            <sz val="9"/>
            <color indexed="81"/>
            <rFont val="Tahoma"/>
            <family val="2"/>
          </rPr>
          <t xml:space="preserve">If these cells are red, there is no suitable slew rate for keeping FET whithin SOA. 
Reduce load at start-up or pick FET with better SOA. </t>
        </r>
      </text>
    </comment>
    <comment ref="F81" authorId="1" shapeId="0" xr:uid="{00000000-0006-0000-0100-000016000000}">
      <text>
        <r>
          <rPr>
            <b/>
            <sz val="9"/>
            <color indexed="81"/>
            <rFont val="Tahoma"/>
            <family val="2"/>
          </rPr>
          <t xml:space="preserve">If these cells are red, there is no suitable slew rate for keeping FET whithin SOA. 
Reduce load at start-up or pick FET with better SOA. </t>
        </r>
        <r>
          <rPr>
            <sz val="9"/>
            <color indexed="81"/>
            <rFont val="Tahoma"/>
            <family val="2"/>
          </rPr>
          <t xml:space="preserve">
</t>
        </r>
      </text>
    </comment>
    <comment ref="F82" authorId="1" shapeId="0" xr:uid="{00000000-0006-0000-0100-000017000000}">
      <text>
        <r>
          <rPr>
            <b/>
            <sz val="9"/>
            <color indexed="81"/>
            <rFont val="Tahoma"/>
            <family val="2"/>
          </rPr>
          <t>Ensure that this is lower than max ss slew rate in the cell above</t>
        </r>
        <r>
          <rPr>
            <sz val="9"/>
            <color indexed="81"/>
            <rFont val="Tahoma"/>
            <family val="2"/>
          </rPr>
          <t xml:space="preserve">
</t>
        </r>
      </text>
    </comment>
    <comment ref="F85" authorId="1" shapeId="0" xr:uid="{00000000-0006-0000-0100-000018000000}">
      <text>
        <r>
          <rPr>
            <b/>
            <sz val="9"/>
            <color indexed="81"/>
            <rFont val="Tahoma"/>
            <family val="2"/>
          </rPr>
          <t>Ensure that this is lower than max ss slew rate.</t>
        </r>
      </text>
    </comment>
    <comment ref="F86" authorId="1" shapeId="0" xr:uid="{00000000-0006-0000-0100-000019000000}">
      <text>
        <r>
          <rPr>
            <sz val="9"/>
            <color indexed="81"/>
            <rFont val="Tahoma"/>
            <family val="2"/>
          </rPr>
          <t>A margin of &gt;1.1 is required and a margin of &gt;1.5 is recommended to accout for the variation in the gate current. 
Reduce dv/dt rate to reduce inrush current and increase SOA margin</t>
        </r>
      </text>
    </comment>
    <comment ref="F91" authorId="1" shapeId="0" xr:uid="{00000000-0006-0000-0100-00001A000000}">
      <text>
        <r>
          <rPr>
            <b/>
            <sz val="9"/>
            <color indexed="81"/>
            <rFont val="Tahoma"/>
            <family val="2"/>
          </rPr>
          <t xml:space="preserve">A margin of &gt;1.1 is required and a margin of &gt;1.3 is recommended to accout for the variation in the power limit and timer. 
Reduce Tfault to improve SOA margin. </t>
        </r>
        <r>
          <rPr>
            <sz val="9"/>
            <color indexed="81"/>
            <rFont val="Tahoma"/>
            <family val="2"/>
          </rPr>
          <t xml:space="preserve">
</t>
        </r>
      </text>
    </comment>
    <comment ref="F93" authorId="0" shapeId="0" xr:uid="{00000000-0006-0000-0100-00001B000000}">
      <text>
        <r>
          <rPr>
            <b/>
            <sz val="8"/>
            <color indexed="81"/>
            <rFont val="Tahoma"/>
            <family val="2"/>
          </rPr>
          <t>This calculation applies only when the RETRY option is selected.</t>
        </r>
      </text>
    </comment>
    <comment ref="F94" authorId="3" shapeId="0" xr:uid="{00000000-0006-0000-0100-00001C000000}">
      <text>
        <r>
          <rPr>
            <b/>
            <sz val="8"/>
            <color indexed="81"/>
            <rFont val="Tahoma"/>
            <family val="2"/>
          </rPr>
          <t>See the schematics above to select the appropriate option for setting the input voltage UVLO and OVLO thresholds.</t>
        </r>
      </text>
    </comment>
    <comment ref="F95" authorId="0" shapeId="0" xr:uid="{00000000-0006-0000-0100-00001D000000}">
      <text>
        <r>
          <rPr>
            <b/>
            <sz val="8"/>
            <color indexed="81"/>
            <rFont val="Tahoma"/>
            <family val="2"/>
          </rPr>
          <t>This threshold must be between 10V and 80V.</t>
        </r>
      </text>
    </comment>
    <comment ref="F96" authorId="0" shapeId="0" xr:uid="{00000000-0006-0000-0100-00001E000000}">
      <text>
        <r>
          <rPr>
            <b/>
            <sz val="8"/>
            <color indexed="81"/>
            <rFont val="Tahoma"/>
            <family val="2"/>
          </rPr>
          <t>This threshold must be greater than 10V, and less than the upper UVLO threshold.</t>
        </r>
      </text>
    </comment>
    <comment ref="F97" authorId="0" shapeId="0" xr:uid="{00000000-0006-0000-0100-00001F000000}">
      <text>
        <r>
          <rPr>
            <b/>
            <sz val="8"/>
            <color indexed="81"/>
            <rFont val="Tahoma"/>
            <family val="2"/>
          </rPr>
          <t>This threshold must be greater than the upper UVLO Threshold, and less than 80V.</t>
        </r>
      </text>
    </comment>
    <comment ref="F134" authorId="1" shapeId="0" xr:uid="{00000000-0006-0000-0100-000020000000}">
      <text>
        <r>
          <rPr>
            <sz val="9"/>
            <color indexed="81"/>
            <rFont val="Tahoma"/>
            <family val="2"/>
          </rPr>
          <t xml:space="preserve">TI recommended. Same as LM5066I EVM.
</t>
        </r>
      </text>
    </comment>
    <comment ref="F136" authorId="1" shapeId="0" xr:uid="{00000000-0006-0000-0100-000021000000}">
      <text>
        <r>
          <rPr>
            <b/>
            <sz val="9"/>
            <color indexed="81"/>
            <rFont val="Tahoma"/>
            <family val="2"/>
          </rPr>
          <t xml:space="preserve">TI recomends the SMDJxx TVS.
Pick the proper value based on the input voltage. </t>
        </r>
        <r>
          <rPr>
            <sz val="9"/>
            <color indexed="81"/>
            <rFont val="Tahoma"/>
            <family val="2"/>
          </rPr>
          <t xml:space="preserve">
</t>
        </r>
      </text>
    </comment>
  </commentList>
</comments>
</file>

<file path=xl/sharedStrings.xml><?xml version="1.0" encoding="utf-8"?>
<sst xmlns="http://schemas.openxmlformats.org/spreadsheetml/2006/main" count="722" uniqueCount="497">
  <si>
    <t>Max Rs =</t>
  </si>
  <si>
    <t>Min. Current limit =</t>
  </si>
  <si>
    <t>Typ. Current limit =</t>
  </si>
  <si>
    <t>Max. Current limit =</t>
  </si>
  <si>
    <t>Rs Power Diss. =</t>
  </si>
  <si>
    <t>Resulting Typical Power Limit =</t>
  </si>
  <si>
    <t>Resulting Minimum Power Limit =</t>
  </si>
  <si>
    <t>Resulting Maximum Power Limit =</t>
  </si>
  <si>
    <t>ms</t>
  </si>
  <si>
    <t>Typ. Insertion time =</t>
  </si>
  <si>
    <t>Typ. Restart time =</t>
  </si>
  <si>
    <t>R1 =</t>
  </si>
  <si>
    <t>R2 =</t>
  </si>
  <si>
    <t>R3 =</t>
  </si>
  <si>
    <t>R4 =</t>
  </si>
  <si>
    <t xml:space="preserve">   24% tolerance used in this calculation.</t>
  </si>
  <si>
    <t xml:space="preserve">  10% margin added in this calculation</t>
  </si>
  <si>
    <r>
      <t>R</t>
    </r>
    <r>
      <rPr>
        <vertAlign val="subscript"/>
        <sz val="10"/>
        <rFont val="Arial"/>
        <family val="2"/>
      </rPr>
      <t>PWR</t>
    </r>
    <r>
      <rPr>
        <sz val="10"/>
        <rFont val="Arial"/>
        <family val="2"/>
      </rPr>
      <t xml:space="preserve"> =</t>
    </r>
  </si>
  <si>
    <t>Notes:</t>
  </si>
  <si>
    <t>Option A</t>
  </si>
  <si>
    <t>Option B</t>
  </si>
  <si>
    <t>Select Option A or Option B</t>
  </si>
  <si>
    <t>R2</t>
  </si>
  <si>
    <t>R3</t>
  </si>
  <si>
    <t>R4</t>
  </si>
  <si>
    <t>A</t>
  </si>
  <si>
    <t>B</t>
  </si>
  <si>
    <t>UVLO upper is F40</t>
  </si>
  <si>
    <t>UVLO lower is F41</t>
  </si>
  <si>
    <t>OVLO upper is F42</t>
  </si>
  <si>
    <t>OVLO lower is F43</t>
  </si>
  <si>
    <t xml:space="preserve">R3 = </t>
  </si>
  <si>
    <t xml:space="preserve">R2 = </t>
  </si>
  <si>
    <t xml:space="preserve">R1 = </t>
  </si>
  <si>
    <t xml:space="preserve">R4 = </t>
  </si>
  <si>
    <t>Minimum</t>
  </si>
  <si>
    <t>Typical</t>
  </si>
  <si>
    <t>Maximum</t>
  </si>
  <si>
    <t xml:space="preserve">Resulting upper UVLO Threshold (min) = </t>
  </si>
  <si>
    <t xml:space="preserve">Resulting upper UVLO Threshold (typ) = </t>
  </si>
  <si>
    <t xml:space="preserve">Resulting upper UVLO Threshold (max) = </t>
  </si>
  <si>
    <t xml:space="preserve">Resulting lower UVLO Threshold (min) = </t>
  </si>
  <si>
    <t xml:space="preserve">Resulting lower UVLO Threshold (typ) = </t>
  </si>
  <si>
    <t xml:space="preserve">Resulting lower UVLO Threshold (max) = </t>
  </si>
  <si>
    <t xml:space="preserve">Resulting upper OVLO Threshold (min) = </t>
  </si>
  <si>
    <t xml:space="preserve">Resulting upper OVLO Threshold (typ) = </t>
  </si>
  <si>
    <t xml:space="preserve">Resulting upper OVLO Threshold (max) = </t>
  </si>
  <si>
    <t xml:space="preserve">Resulting lower OVLO Threshold (min) = </t>
  </si>
  <si>
    <t xml:space="preserve">Resulting lower OVLO Threshold (typ) = </t>
  </si>
  <si>
    <t xml:space="preserve">Resulting lower OVLO Threshold (max) = </t>
  </si>
  <si>
    <t>R1 is F48</t>
  </si>
  <si>
    <t>R2 is F49</t>
  </si>
  <si>
    <t>R3 is F50</t>
  </si>
  <si>
    <t>R4 is F51</t>
  </si>
  <si>
    <t>Resulting Thresholds:</t>
  </si>
  <si>
    <r>
      <t>C</t>
    </r>
    <r>
      <rPr>
        <vertAlign val="subscript"/>
        <sz val="10"/>
        <rFont val="Arial"/>
        <family val="2"/>
      </rPr>
      <t>IN</t>
    </r>
    <r>
      <rPr>
        <sz val="10"/>
        <rFont val="Arial"/>
        <family val="2"/>
      </rPr>
      <t xml:space="preserve"> = </t>
    </r>
  </si>
  <si>
    <t>GRAPH:</t>
  </si>
  <si>
    <t>Selected Rs =</t>
  </si>
  <si>
    <r>
      <t>Selected R</t>
    </r>
    <r>
      <rPr>
        <vertAlign val="subscript"/>
        <sz val="10"/>
        <rFont val="Arial"/>
        <family val="2"/>
      </rPr>
      <t>PWR</t>
    </r>
    <r>
      <rPr>
        <sz val="10"/>
        <rFont val="Arial"/>
        <family val="2"/>
      </rPr>
      <t xml:space="preserve"> =</t>
    </r>
  </si>
  <si>
    <t>Max System voltage =</t>
  </si>
  <si>
    <t>Current Lim (min) =</t>
  </si>
  <si>
    <t>Current Lim (typ) =</t>
  </si>
  <si>
    <t>Current Lim (max) =</t>
  </si>
  <si>
    <t>Power Limit (min) =</t>
  </si>
  <si>
    <t>Power Limit (typ) =</t>
  </si>
  <si>
    <t>Power Limit (max) =</t>
  </si>
  <si>
    <t>A) This table calculates the Ids current based</t>
  </si>
  <si>
    <t>B) This table corrrects the table at left so no</t>
  </si>
  <si>
    <t>on power limit only - no current limit info.</t>
  </si>
  <si>
    <t>current is greater than the current limit.</t>
  </si>
  <si>
    <t>Vds</t>
  </si>
  <si>
    <t>Min</t>
  </si>
  <si>
    <t>Typ</t>
  </si>
  <si>
    <t>Max</t>
  </si>
  <si>
    <t>SOA data points from</t>
  </si>
  <si>
    <t>the customer's SOA</t>
  </si>
  <si>
    <t>data he entered.</t>
  </si>
  <si>
    <t>User's</t>
  </si>
  <si>
    <t>Ids</t>
  </si>
  <si>
    <t>x = customer's entry</t>
  </si>
  <si>
    <t>x</t>
  </si>
  <si>
    <t>SOA</t>
  </si>
  <si>
    <t>C) This table creates the</t>
  </si>
  <si>
    <t>µF</t>
  </si>
  <si>
    <r>
      <t>k</t>
    </r>
    <r>
      <rPr>
        <sz val="10"/>
        <rFont val="Symbol"/>
        <family val="1"/>
        <charset val="2"/>
      </rPr>
      <t>W</t>
    </r>
  </si>
  <si>
    <r>
      <t>m</t>
    </r>
    <r>
      <rPr>
        <sz val="10"/>
        <rFont val="Symbol"/>
        <family val="1"/>
        <charset val="2"/>
      </rPr>
      <t>W</t>
    </r>
  </si>
  <si>
    <t>V</t>
  </si>
  <si>
    <t>W</t>
  </si>
  <si>
    <t>D) This table changes ID values to zero for Vds&gt;Vin(max)</t>
  </si>
  <si>
    <t>and adds the SOA curve. This data is plotted.</t>
  </si>
  <si>
    <r>
      <t>1. Although not mandatory, C</t>
    </r>
    <r>
      <rPr>
        <vertAlign val="subscript"/>
        <sz val="10"/>
        <rFont val="Arial"/>
        <family val="2"/>
      </rPr>
      <t>IN</t>
    </r>
    <r>
      <rPr>
        <sz val="10"/>
        <rFont val="Arial"/>
        <family val="2"/>
      </rPr>
      <t xml:space="preserve"> provides transient suppression at the VIN pin</t>
    </r>
  </si>
  <si>
    <t>Resulting Typical Restart Time</t>
  </si>
  <si>
    <t>Desired Upper UVLO Threshold</t>
  </si>
  <si>
    <t>Desired Lower UVLO Threshold</t>
  </si>
  <si>
    <t>Desired Lower OVLO Threshold</t>
  </si>
  <si>
    <t xml:space="preserve">Resulting Upper UVLO Threshold = </t>
  </si>
  <si>
    <t xml:space="preserve">Resulting Lower UVLO Threshold = </t>
  </si>
  <si>
    <t xml:space="preserve">Resulting Upper OVLO Threshold = </t>
  </si>
  <si>
    <t xml:space="preserve">Resulting Lower OVLO Threshold = </t>
  </si>
  <si>
    <t>Resulting Minimum Current Limit</t>
  </si>
  <si>
    <t>Resulting Typical Current Limit</t>
  </si>
  <si>
    <t>Resulting Maximum Current Limit</t>
  </si>
  <si>
    <t>Desired Upper OVLO Threshold</t>
  </si>
  <si>
    <t>Calculated Values are shown in White Cells</t>
  </si>
  <si>
    <t>www.ti.com/hotswap</t>
  </si>
  <si>
    <t xml:space="preserve">Enter the Resistance for R1 </t>
  </si>
  <si>
    <t xml:space="preserve">Enter the Resistance for R2 </t>
  </si>
  <si>
    <t xml:space="preserve">Enter the Resistance for R3 </t>
  </si>
  <si>
    <t xml:space="preserve">Enter the Resistance for R4 </t>
  </si>
  <si>
    <r>
      <t>Enter the Resistance for R</t>
    </r>
    <r>
      <rPr>
        <vertAlign val="subscript"/>
        <sz val="10"/>
        <rFont val="Arial"/>
        <family val="2"/>
      </rPr>
      <t>S</t>
    </r>
  </si>
  <si>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</si>
  <si>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</si>
  <si>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</si>
  <si>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r>
      <t>Maximum Power Dissipation in R</t>
    </r>
    <r>
      <rPr>
        <vertAlign val="subscript"/>
        <sz val="10"/>
        <rFont val="Arial"/>
        <family val="2"/>
      </rPr>
      <t>S</t>
    </r>
  </si>
  <si>
    <r>
      <t>Enter the Resistance for R</t>
    </r>
    <r>
      <rPr>
        <vertAlign val="subscript"/>
        <sz val="10"/>
        <rFont val="Arial"/>
        <family val="2"/>
      </rPr>
      <t>PG</t>
    </r>
  </si>
  <si>
    <t>Ramp time for output voltage</t>
  </si>
  <si>
    <t>Nominal output voltage</t>
  </si>
  <si>
    <t>Required soft-start capacitance</t>
  </si>
  <si>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</si>
  <si>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</si>
  <si>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</si>
  <si>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</si>
  <si>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t>Step 3: MOSFET Selection</t>
  </si>
  <si>
    <t>Number of MosFETs</t>
  </si>
  <si>
    <t>#</t>
  </si>
  <si>
    <r>
      <rPr>
        <vertAlign val="superscript"/>
        <sz val="10"/>
        <rFont val="Arial"/>
        <family val="2"/>
      </rPr>
      <t>o</t>
    </r>
    <r>
      <rPr>
        <sz val="10"/>
        <rFont val="Arial"/>
        <family val="2"/>
      </rPr>
      <t>C</t>
    </r>
  </si>
  <si>
    <r>
      <rPr>
        <vertAlign val="superscript"/>
        <sz val="10"/>
        <rFont val="Arial"/>
        <family val="2"/>
      </rPr>
      <t>o</t>
    </r>
    <r>
      <rPr>
        <sz val="10"/>
        <rFont val="Arial"/>
        <family val="2"/>
      </rPr>
      <t>C/W</t>
    </r>
  </si>
  <si>
    <t>Maximum FET Junction Temperature</t>
  </si>
  <si>
    <t>100ms SOA Current Maximum Input Voltage</t>
  </si>
  <si>
    <t>1ms SOA Current Maximum Input Voltage</t>
  </si>
  <si>
    <t>10ms SOA Current Maximum Input Voltage</t>
  </si>
  <si>
    <t>100ms or DC SOA Current at Maximum Input Voltage</t>
  </si>
  <si>
    <t>Current Limit</t>
  </si>
  <si>
    <t>Step 4: Startup</t>
  </si>
  <si>
    <t>Startup Load Type</t>
  </si>
  <si>
    <t>Startup Load Value</t>
  </si>
  <si>
    <t>Constant Current</t>
  </si>
  <si>
    <t>Resistive</t>
  </si>
  <si>
    <t>Vout</t>
  </si>
  <si>
    <t>ILOAD</t>
  </si>
  <si>
    <t xml:space="preserve">Start-up slop </t>
  </si>
  <si>
    <t>QG</t>
  </si>
  <si>
    <t>I_Src</t>
  </si>
  <si>
    <t>RMS</t>
  </si>
  <si>
    <t>PLIM</t>
  </si>
  <si>
    <t>combined</t>
  </si>
  <si>
    <t>I_timer</t>
  </si>
  <si>
    <t>C_timer</t>
  </si>
  <si>
    <t>Final</t>
  </si>
  <si>
    <t>Step 1: Operating Conditions</t>
  </si>
  <si>
    <t>Time</t>
  </si>
  <si>
    <t>Startup</t>
  </si>
  <si>
    <t>FET Selection</t>
  </si>
  <si>
    <t>Nominal</t>
  </si>
  <si>
    <t>Derated at TJ</t>
  </si>
  <si>
    <t>Operating Conditions</t>
  </si>
  <si>
    <t>Input Voltage</t>
  </si>
  <si>
    <t>Sense input Current</t>
  </si>
  <si>
    <t>Units</t>
  </si>
  <si>
    <t>uA</t>
  </si>
  <si>
    <t>Circuit Breaker</t>
  </si>
  <si>
    <t>Timer</t>
  </si>
  <si>
    <t>Upper Threshold</t>
  </si>
  <si>
    <t>Insertion Time Current</t>
  </si>
  <si>
    <t>Fault detection current</t>
  </si>
  <si>
    <t>ICAP</t>
  </si>
  <si>
    <t>Junction Temperature</t>
  </si>
  <si>
    <t>VIN</t>
  </si>
  <si>
    <t>Power Limit</t>
  </si>
  <si>
    <t>mV</t>
  </si>
  <si>
    <t>Minimum Power Limit=</t>
  </si>
  <si>
    <t>Look Up</t>
  </si>
  <si>
    <t>1ms</t>
  </si>
  <si>
    <t>10ms</t>
  </si>
  <si>
    <t>100ms</t>
  </si>
  <si>
    <t>Final SOA</t>
  </si>
  <si>
    <t>time</t>
  </si>
  <si>
    <t>Voltage</t>
  </si>
  <si>
    <t>Lower time</t>
  </si>
  <si>
    <t>Higher timer</t>
  </si>
  <si>
    <t>I (lower time)</t>
  </si>
  <si>
    <t>I (higher time)</t>
  </si>
  <si>
    <t>a</t>
  </si>
  <si>
    <t>m</t>
  </si>
  <si>
    <t>Extr. I</t>
  </si>
  <si>
    <t>Assuming Power vs time is linear on a log-log plot</t>
  </si>
  <si>
    <r>
      <rPr>
        <vertAlign val="superscript"/>
        <sz val="10"/>
        <rFont val="Arial"/>
        <family val="2"/>
      </rPr>
      <t>o</t>
    </r>
    <r>
      <rPr>
        <sz val="10"/>
        <rFont val="Arial"/>
        <family val="2"/>
      </rPr>
      <t>C</t>
    </r>
  </si>
  <si>
    <t>Interpolated Power=</t>
  </si>
  <si>
    <t xml:space="preserve">Max Power with Temp Derating = </t>
  </si>
  <si>
    <t>Load Turn-On Threshold</t>
  </si>
  <si>
    <t>a = iSOA1/tSOA1^m</t>
  </si>
  <si>
    <t>m = log(iSOA1/iSOA2)/log(tSOA1/tSOA2)</t>
  </si>
  <si>
    <t>I = a * t^m</t>
  </si>
  <si>
    <t>Derating factor =</t>
  </si>
  <si>
    <t>No</t>
  </si>
  <si>
    <t>Yes</t>
  </si>
  <si>
    <t>Gate</t>
  </si>
  <si>
    <t>Resulting Typical Insertion Delay Time</t>
  </si>
  <si>
    <r>
      <t>Use External Resistor Divider to Reduce Effecitve R</t>
    </r>
    <r>
      <rPr>
        <vertAlign val="subscript"/>
        <sz val="10"/>
        <rFont val="Arial"/>
        <family val="2"/>
      </rPr>
      <t>S</t>
    </r>
  </si>
  <si>
    <t>V/S</t>
  </si>
  <si>
    <t>Gate Sourcing Current</t>
  </si>
  <si>
    <t>Recommended Value for RCL1</t>
  </si>
  <si>
    <t>Recommended Value for RCL2</t>
  </si>
  <si>
    <t>Enter value for RCL1</t>
  </si>
  <si>
    <t>Enter value for RCL2</t>
  </si>
  <si>
    <t>CLMAX =</t>
  </si>
  <si>
    <t xml:space="preserve">CLNOM = </t>
  </si>
  <si>
    <t>CLMIN =</t>
  </si>
  <si>
    <t>RCL1 Recommended  =</t>
  </si>
  <si>
    <t>RCL2 Recommmended =</t>
  </si>
  <si>
    <t>Effective Rs =</t>
  </si>
  <si>
    <t>Step 5: UVLO, OVLO &amp; PGD Thresholds</t>
  </si>
  <si>
    <r>
      <t>R</t>
    </r>
    <r>
      <rPr>
        <vertAlign val="subscript"/>
        <sz val="11"/>
        <color theme="1"/>
        <rFont val="Arial"/>
        <family val="2"/>
      </rPr>
      <t>CL1</t>
    </r>
    <r>
      <rPr>
        <sz val="11"/>
        <color theme="1"/>
        <rFont val="Arial"/>
        <family val="2"/>
      </rPr>
      <t xml:space="preserve"> =</t>
    </r>
  </si>
  <si>
    <r>
      <t>R</t>
    </r>
    <r>
      <rPr>
        <vertAlign val="subscript"/>
        <sz val="11"/>
        <color theme="1"/>
        <rFont val="Arial"/>
        <family val="2"/>
      </rPr>
      <t>CL2</t>
    </r>
    <r>
      <rPr>
        <sz val="11"/>
        <color theme="1"/>
        <rFont val="Arial"/>
        <family val="2"/>
      </rPr>
      <t xml:space="preserve"> =</t>
    </r>
  </si>
  <si>
    <t>Design Summary</t>
  </si>
  <si>
    <t>Current limit</t>
  </si>
  <si>
    <t>Startup Time</t>
  </si>
  <si>
    <t>Insertion Delay</t>
  </si>
  <si>
    <t>Fault Timeout</t>
  </si>
  <si>
    <t>Restart Time During Fault</t>
  </si>
  <si>
    <t>Upper UVLO Threshold</t>
  </si>
  <si>
    <t>Lower OVLO Threshold</t>
  </si>
  <si>
    <t>Lower UVLO Threshold</t>
  </si>
  <si>
    <t>Upper OVLO Threshold</t>
  </si>
  <si>
    <t>Circuit Breaker Current</t>
  </si>
  <si>
    <t>100us</t>
  </si>
  <si>
    <t>Step 2: Current Limit and Circuit Breaker</t>
  </si>
  <si>
    <t>Circuit Breaker to Current Limit Raitio</t>
  </si>
  <si>
    <r>
      <t>Maximum Output Load Capacitance: C</t>
    </r>
    <r>
      <rPr>
        <vertAlign val="subscript"/>
        <sz val="10"/>
        <rFont val="Arial"/>
        <family val="2"/>
      </rPr>
      <t>LOAD</t>
    </r>
  </si>
  <si>
    <t>Min Insertion time =</t>
  </si>
  <si>
    <t>Max Insertion time =</t>
  </si>
  <si>
    <t xml:space="preserve">Min Restart time = </t>
  </si>
  <si>
    <t>Timer Pin</t>
  </si>
  <si>
    <t>Lower Threshold (Restart)</t>
  </si>
  <si>
    <t>End of Cycle</t>
  </si>
  <si>
    <t>Re-enable threshold</t>
  </si>
  <si>
    <t>Insertion time current</t>
  </si>
  <si>
    <t>Sink current, end of insertion</t>
  </si>
  <si>
    <t>Fault sink current</t>
  </si>
  <si>
    <t>Fault Response</t>
  </si>
  <si>
    <t>Retry</t>
  </si>
  <si>
    <t>Latch Off</t>
  </si>
  <si>
    <t>Power Good</t>
  </si>
  <si>
    <t>PGVOL</t>
  </si>
  <si>
    <t>mA sinking</t>
  </si>
  <si>
    <t>FB Pin</t>
  </si>
  <si>
    <t>FB Threshold</t>
  </si>
  <si>
    <t>FB Hysteresis Current</t>
  </si>
  <si>
    <t>Max PG Threshold =</t>
  </si>
  <si>
    <t>Nom PG Threshold =</t>
  </si>
  <si>
    <t>Min PG Threshold =</t>
  </si>
  <si>
    <t>Max Restart time =</t>
  </si>
  <si>
    <t>Min PG Hysteresis =</t>
  </si>
  <si>
    <t>Nom PG Hysteresis =</t>
  </si>
  <si>
    <t>Max PG Hysteresis =</t>
  </si>
  <si>
    <t>3. Componet tolerances not accounted for in Min/Max Calculations.</t>
  </si>
  <si>
    <t>Recommended Resistance for:  R1</t>
  </si>
  <si>
    <r>
      <t>Estimated MOSFET R</t>
    </r>
    <r>
      <rPr>
        <sz val="10"/>
        <rFont val="Symbol"/>
        <family val="1"/>
        <charset val="2"/>
      </rPr>
      <t>Q</t>
    </r>
    <r>
      <rPr>
        <vertAlign val="subscript"/>
        <sz val="10"/>
        <rFont val="Arial"/>
        <family val="2"/>
      </rPr>
      <t>JA</t>
    </r>
  </si>
  <si>
    <t>Values Used</t>
  </si>
  <si>
    <t xml:space="preserve"> </t>
  </si>
  <si>
    <r>
      <t>Effective Sense Resistance (R</t>
    </r>
    <r>
      <rPr>
        <vertAlign val="subscript"/>
        <sz val="10"/>
        <rFont val="Arial"/>
        <family val="2"/>
      </rPr>
      <t>S,EFF</t>
    </r>
    <r>
      <rPr>
        <sz val="10"/>
        <rFont val="Arial"/>
        <family val="2"/>
      </rPr>
      <t>)</t>
    </r>
  </si>
  <si>
    <t>Maximum Recommended Value for Effective Sense Resistance</t>
  </si>
  <si>
    <r>
      <t>Maximum steady state FET Junction Temperature (T</t>
    </r>
    <r>
      <rPr>
        <vertAlign val="subscript"/>
        <sz val="10"/>
        <rFont val="Arial"/>
        <family val="2"/>
      </rPr>
      <t>J,DC</t>
    </r>
    <r>
      <rPr>
        <sz val="10"/>
        <rFont val="Arial"/>
        <family val="2"/>
      </rPr>
      <t>)</t>
    </r>
  </si>
  <si>
    <r>
      <t>MOSFET On resistance @ T</t>
    </r>
    <r>
      <rPr>
        <vertAlign val="subscript"/>
        <sz val="10"/>
        <rFont val="Arial"/>
        <family val="2"/>
      </rPr>
      <t>J,DC</t>
    </r>
  </si>
  <si>
    <t>Systematic Offset</t>
  </si>
  <si>
    <t>Minimum Recommended Vsns</t>
  </si>
  <si>
    <t>&lt;= I am assuming this would have +/- 50% error at best</t>
  </si>
  <si>
    <t>A_coeff</t>
  </si>
  <si>
    <t>Vsns = Rpwr / (A*Vds) + Vos,syst</t>
  </si>
  <si>
    <t xml:space="preserve">Example: </t>
  </si>
  <si>
    <t>Rpwr</t>
  </si>
  <si>
    <t>Plim</t>
  </si>
  <si>
    <t>Rsns (m-ohm)</t>
  </si>
  <si>
    <t>Vsns (mV)</t>
  </si>
  <si>
    <t xml:space="preserve">Key Equations: </t>
  </si>
  <si>
    <t>How Plim varries vs Vds:</t>
  </si>
  <si>
    <t>Plim (Vds) = Plim (Vin,max) + (Vds - Vin,max)*Vos,syst/Rs</t>
  </si>
  <si>
    <t>Ex: Plim @ 13V = 100W, Rs = 0.5; Plim @ (Vds = 5V) = 100W - 7V * 1mV/0.5mili-ohm = 100W - 14W = 86W</t>
  </si>
  <si>
    <t>Target Power Limit</t>
  </si>
  <si>
    <r>
      <t>Calculated R</t>
    </r>
    <r>
      <rPr>
        <vertAlign val="subscript"/>
        <sz val="10"/>
        <rFont val="Arial"/>
        <family val="2"/>
      </rPr>
      <t>PWR</t>
    </r>
  </si>
  <si>
    <t>Target PLIM</t>
  </si>
  <si>
    <t>k-ohm</t>
  </si>
  <si>
    <r>
      <t>Actual R</t>
    </r>
    <r>
      <rPr>
        <vertAlign val="subscript"/>
        <sz val="10"/>
        <rFont val="Arial"/>
        <family val="2"/>
      </rPr>
      <t>PWR</t>
    </r>
  </si>
  <si>
    <t>Rpwr actual</t>
  </si>
  <si>
    <t>Final Plim</t>
  </si>
  <si>
    <t>Actual PLIM</t>
  </si>
  <si>
    <t>ILIM</t>
  </si>
  <si>
    <t>Load type</t>
  </si>
  <si>
    <t>Load Value</t>
  </si>
  <si>
    <t>Load start</t>
  </si>
  <si>
    <t>Rs</t>
  </si>
  <si>
    <t>Vos,syst</t>
  </si>
  <si>
    <r>
      <rPr>
        <b/>
        <u/>
        <sz val="10"/>
        <rFont val="Symbol"/>
        <family val="1"/>
        <charset val="2"/>
      </rPr>
      <t>D</t>
    </r>
    <r>
      <rPr>
        <b/>
        <u/>
        <sz val="10"/>
        <rFont val="Arial"/>
        <family val="2"/>
      </rPr>
      <t>t</t>
    </r>
  </si>
  <si>
    <t>IFET</t>
  </si>
  <si>
    <t>I_Fet-IL margin</t>
  </si>
  <si>
    <t>Start-time</t>
  </si>
  <si>
    <t>I_fet-I_L margin</t>
  </si>
  <si>
    <t>Slop for calculations</t>
  </si>
  <si>
    <t>Note: We get additional buffer, b/c this is designed for a Vinmax, while typically Vin = Vinnom</t>
  </si>
  <si>
    <t>&lt;= mean root square(T_start_error_Plim, timer_error, cap_error); T_start proportional to 1/Plim =&gt; T_start_error_plim = 1/(1-Plim_err) - 1 = 1/(1-0.4) - 1 = 0.66</t>
  </si>
  <si>
    <t>Computed Start - Up Slop</t>
  </si>
  <si>
    <t>Typical Start Time with Vinmax (Tstart)</t>
  </si>
  <si>
    <t>Target Fault Timer: Tstart + Margin</t>
  </si>
  <si>
    <t>Typical Start time</t>
  </si>
  <si>
    <t>Start-slop</t>
  </si>
  <si>
    <t>Target Fault Timer</t>
  </si>
  <si>
    <t>Target Timer capacitance</t>
  </si>
  <si>
    <t>Selected Timer capacitance</t>
  </si>
  <si>
    <t>IFET - ILOAD margin (lowest for Vout range)</t>
  </si>
  <si>
    <t xml:space="preserve">Selected Timer capacitance </t>
  </si>
  <si>
    <t>Final Fault Timer</t>
  </si>
  <si>
    <t>Note: I added an adjustment for the systematic offset</t>
  </si>
  <si>
    <t>Vos syst</t>
  </si>
  <si>
    <t>Rs (ohm)</t>
  </si>
  <si>
    <t>Vin, max</t>
  </si>
  <si>
    <t>Plim tolerance</t>
  </si>
  <si>
    <t>Temp Derated SOA</t>
  </si>
  <si>
    <t>Derated SOA / PLIM</t>
  </si>
  <si>
    <t>SOA / PLIM</t>
  </si>
  <si>
    <t>IFET_PLIM</t>
  </si>
  <si>
    <t>I_FET_SS</t>
  </si>
  <si>
    <t>SS</t>
  </si>
  <si>
    <t>FET Power dissapation at full load (per FET)</t>
  </si>
  <si>
    <t>With PLIM</t>
  </si>
  <si>
    <t>dv/dt rate</t>
  </si>
  <si>
    <t>V/ms</t>
  </si>
  <si>
    <t>I_Cout</t>
  </si>
  <si>
    <t>With SS</t>
  </si>
  <si>
    <t>To avoid timer running: Iload + Icap,ss &lt; IFET_PLIM / 2 =&gt; SS_RATE &lt; 1/Cout * (IFET_PLIM/2 - ILOAD)</t>
  </si>
  <si>
    <t>Max_SS_Rate</t>
  </si>
  <si>
    <t>FET_ENERGY</t>
  </si>
  <si>
    <t>J</t>
  </si>
  <si>
    <t>Max _allowed SS_rate</t>
  </si>
  <si>
    <t>Power (W)</t>
  </si>
  <si>
    <t>P_ fast_SS</t>
  </si>
  <si>
    <t>P_slow_SS</t>
  </si>
  <si>
    <t>I_g(hi/nom)</t>
  </si>
  <si>
    <t>I_g(low/nom)</t>
  </si>
  <si>
    <t>max_power_typ</t>
  </si>
  <si>
    <t>max_power_low</t>
  </si>
  <si>
    <t>max_power_high</t>
  </si>
  <si>
    <t>typical start time</t>
  </si>
  <si>
    <t>FET Energy dissipated at start-up (EFET)</t>
  </si>
  <si>
    <t>Peak Power dissipated  during start-up (PFET)</t>
  </si>
  <si>
    <t>Equivalent time at peak power - EFET/PFET (t_power)</t>
  </si>
  <si>
    <t>Available SOA for t_power at Vinmax</t>
  </si>
  <si>
    <t>SOA margin</t>
  </si>
  <si>
    <t>SOA Predictor - dv/dt start-up</t>
  </si>
  <si>
    <t>calculated SS capacitance</t>
  </si>
  <si>
    <t>actual SS capacitance</t>
  </si>
  <si>
    <t>actual dv/dt rate</t>
  </si>
  <si>
    <t>Target Fault Time</t>
  </si>
  <si>
    <t xml:space="preserve">Calculated Timer Capacitance </t>
  </si>
  <si>
    <t>Actual Timer Capacitance</t>
  </si>
  <si>
    <t>SOA margin during start-up</t>
  </si>
  <si>
    <t>Covering hot-short, start-into short for SS</t>
  </si>
  <si>
    <r>
      <t>Actual Timer Capacitance ( pick one smaller than C</t>
    </r>
    <r>
      <rPr>
        <vertAlign val="subscript"/>
        <sz val="10"/>
        <rFont val="Arial"/>
        <family val="2"/>
      </rPr>
      <t>T,CALC</t>
    </r>
    <r>
      <rPr>
        <sz val="10"/>
        <rFont val="Arial"/>
        <family val="2"/>
      </rPr>
      <t xml:space="preserve">) </t>
    </r>
  </si>
  <si>
    <t>Available derated SOA for Tfault</t>
  </si>
  <si>
    <t>Actual Fault Time (Tfault)</t>
  </si>
  <si>
    <t>dv/dt rate on Vout</t>
  </si>
  <si>
    <t>SOA Check - Based on Timer</t>
  </si>
  <si>
    <t>Final Fault Timer(Tfault)</t>
  </si>
  <si>
    <t>SOA margin during "hot-short" or "start-into short"</t>
  </si>
  <si>
    <t>timer_constant</t>
  </si>
  <si>
    <t>Enter Values in Green Shaded Cells</t>
  </si>
  <si>
    <t>1s/DC</t>
  </si>
  <si>
    <t>Can a "hot" board be hotplugged</t>
  </si>
  <si>
    <t>Temp for derating</t>
  </si>
  <si>
    <t>board hot?</t>
  </si>
  <si>
    <t>FET_Energy</t>
  </si>
  <si>
    <t>Tiime (ms)</t>
  </si>
  <si>
    <t>Recommended slew Rate (max)</t>
  </si>
  <si>
    <t>Recommended slew Rate (min)</t>
  </si>
  <si>
    <r>
      <t>100</t>
    </r>
    <r>
      <rPr>
        <sz val="10"/>
        <rFont val="Symbol"/>
        <family val="1"/>
        <charset val="2"/>
      </rPr>
      <t>m</t>
    </r>
    <r>
      <rPr>
        <sz val="10"/>
        <rFont val="Arial"/>
        <family val="2"/>
      </rPr>
      <t>s SOA Current (re-use 1ms data if unavailable) @ V</t>
    </r>
    <r>
      <rPr>
        <vertAlign val="subscript"/>
        <sz val="10"/>
        <rFont val="Arial"/>
        <family val="2"/>
      </rPr>
      <t>IN(MAX)</t>
    </r>
  </si>
  <si>
    <r>
      <t>1ms SOA Current @ V</t>
    </r>
    <r>
      <rPr>
        <vertAlign val="subscript"/>
        <sz val="10"/>
        <rFont val="Arial"/>
        <family val="2"/>
      </rPr>
      <t>IN(MAX)</t>
    </r>
  </si>
  <si>
    <r>
      <t>10ms SOA Current @ V</t>
    </r>
    <r>
      <rPr>
        <vertAlign val="subscript"/>
        <sz val="10"/>
        <rFont val="Arial"/>
        <family val="2"/>
      </rPr>
      <t>IN(MAX)</t>
    </r>
  </si>
  <si>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</si>
  <si>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</si>
  <si>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</si>
  <si>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</si>
  <si>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Cap Energy (J)</t>
  </si>
  <si>
    <t>slew rate (V/ms)</t>
  </si>
  <si>
    <t>E_load (t_worksheet)  (J)</t>
  </si>
  <si>
    <t>t_worksheet (ms)</t>
  </si>
  <si>
    <t>t_start (ms)</t>
  </si>
  <si>
    <t>I_cap (A)</t>
  </si>
  <si>
    <t>Total FET Energy (J)</t>
  </si>
  <si>
    <t>Power (load on), (W)</t>
  </si>
  <si>
    <t>SOA margin target</t>
  </si>
  <si>
    <t>Power (Vout= 0) , (W)</t>
  </si>
  <si>
    <t xml:space="preserve">                </t>
  </si>
  <si>
    <t xml:space="preserve"> P = (I_cap + Vout/R ) * (Vin - Vout) = Icap * Vin - Icap * Vout +Vin * Vout / R - Vout^2 / R </t>
  </si>
  <si>
    <t>Vout (dP/dVout = 0) (V)</t>
  </si>
  <si>
    <t xml:space="preserve"> =&gt;  dP/dVout =  -Icap + Vin/R -2Vout /R ;  Zero when Vout = -R*I_cap / 2 + Vin / 2</t>
  </si>
  <si>
    <t xml:space="preserve">Power (@ Vout above, if applicable) </t>
  </si>
  <si>
    <t>max power (W)</t>
  </si>
  <si>
    <t>Equivalent time for SOA (ms)</t>
  </si>
  <si>
    <t>SOA Coefficients</t>
  </si>
  <si>
    <t>0.1 to 1 ms</t>
  </si>
  <si>
    <t>1 to 10ms</t>
  </si>
  <si>
    <t>10ms to 100 ms</t>
  </si>
  <si>
    <t>100 ms to 1s</t>
  </si>
  <si>
    <t>t1</t>
  </si>
  <si>
    <t>t2</t>
  </si>
  <si>
    <t>Available SOA (W)</t>
  </si>
  <si>
    <t>Derated for Temp</t>
  </si>
  <si>
    <t>Temp_start_up</t>
  </si>
  <si>
    <t>SOA Margin</t>
  </si>
  <si>
    <t>Copied Inputs</t>
  </si>
  <si>
    <t># of points</t>
  </si>
  <si>
    <t>mult per point</t>
  </si>
  <si>
    <t xml:space="preserve">Pass? </t>
  </si>
  <si>
    <t>first yes</t>
  </si>
  <si>
    <t>2nd yes</t>
  </si>
  <si>
    <t>N</t>
  </si>
  <si>
    <t>Mult 1</t>
  </si>
  <si>
    <t>mult2</t>
  </si>
  <si>
    <t xml:space="preserve">max slew rate </t>
  </si>
  <si>
    <t>min slew rate</t>
  </si>
  <si>
    <t>Initial</t>
  </si>
  <si>
    <t>1.9 x Current Limit</t>
  </si>
  <si>
    <t>3.9 x Current Limit</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</si>
  <si>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</si>
  <si>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</si>
  <si>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</si>
  <si>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Option C</t>
  </si>
  <si>
    <t>Option D</t>
  </si>
  <si>
    <t>C</t>
  </si>
  <si>
    <t>D</t>
  </si>
  <si>
    <t>Higher time</t>
  </si>
  <si>
    <r>
      <t>R</t>
    </r>
    <r>
      <rPr>
        <vertAlign val="subscript"/>
        <sz val="11"/>
        <color theme="1"/>
        <rFont val="Arial"/>
        <family val="2"/>
      </rPr>
      <t>SNS</t>
    </r>
    <r>
      <rPr>
        <sz val="11"/>
        <color theme="1"/>
        <rFont val="Arial"/>
        <family val="2"/>
      </rPr>
      <t xml:space="preserve"> =</t>
    </r>
  </si>
  <si>
    <r>
      <t>C</t>
    </r>
    <r>
      <rPr>
        <vertAlign val="subscript"/>
        <sz val="10"/>
        <rFont val="Arial"/>
        <family val="2"/>
      </rPr>
      <t>TIMER</t>
    </r>
    <r>
      <rPr>
        <sz val="10"/>
        <rFont val="Arial"/>
        <family val="2"/>
      </rPr>
      <t xml:space="preserve"> =</t>
    </r>
  </si>
  <si>
    <r>
      <t>C</t>
    </r>
    <r>
      <rPr>
        <vertAlign val="subscript"/>
        <sz val="10"/>
        <rFont val="Arial"/>
        <family val="2"/>
      </rPr>
      <t>dv/dt</t>
    </r>
    <r>
      <rPr>
        <sz val="10"/>
        <rFont val="Arial"/>
        <family val="2"/>
      </rPr>
      <t xml:space="preserve"> =</t>
    </r>
  </si>
  <si>
    <t>Note: If any of the cells above are yellow, then these values are outside of the device's operating range. This will result in the device turning either on or off at its operating limits rather than at the user selected values in yellow.</t>
  </si>
  <si>
    <t>&lt;-- Cannot plot zero on a log graph. If slope ~=0, then use 1e-12 as value</t>
  </si>
  <si>
    <t>Settings</t>
  </si>
  <si>
    <t>Upper bound Slew Rate (4ms start-up) (V/ms)</t>
  </si>
  <si>
    <t>Min Slew Rate (400 ms start - up) (V/ms)</t>
  </si>
  <si>
    <t>D2</t>
  </si>
  <si>
    <t>Lower time (adjusted)</t>
  </si>
  <si>
    <t>Higher time (adjusted)</t>
  </si>
  <si>
    <r>
      <t>100ms  Current at @ V</t>
    </r>
    <r>
      <rPr>
        <vertAlign val="subscript"/>
        <sz val="10"/>
        <rFont val="Arial"/>
        <family val="2"/>
      </rPr>
      <t>IN(MAX)</t>
    </r>
    <r>
      <rPr>
        <sz val="10"/>
        <rFont val="Arial"/>
        <family val="2"/>
      </rPr>
      <t xml:space="preserve"> (enter 'NA' if not available)</t>
    </r>
  </si>
  <si>
    <r>
      <t>1s or DC SOA Current at @ V</t>
    </r>
    <r>
      <rPr>
        <vertAlign val="subscript"/>
        <sz val="10"/>
        <rFont val="Arial"/>
        <family val="2"/>
      </rPr>
      <t>IN(MAX)</t>
    </r>
    <r>
      <rPr>
        <sz val="10"/>
        <rFont val="Arial"/>
        <family val="2"/>
      </rPr>
      <t xml:space="preserve"> (enter 'NA' if not available)</t>
    </r>
  </si>
  <si>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</si>
  <si>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</si>
  <si>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</si>
  <si>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</si>
  <si>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</si>
  <si>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</si>
  <si>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</si>
  <si>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</si>
  <si>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</si>
  <si>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</si>
  <si>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</si>
  <si>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4. Select start up conditions (load and/or soft start). Check whether FET is operating with reasonable margin, within the SOA curve.</t>
  </si>
  <si>
    <t>5. Enter desired UVLO and OVLO values to get recommended resistor values.</t>
  </si>
  <si>
    <t>6. Done</t>
  </si>
  <si>
    <t xml:space="preserve">    If not, try changing start-up conditions (soft start values, timer values), add more FETs in parallel, or switch to FET with better SOA.</t>
  </si>
  <si>
    <t>3. Enter MOSTFET SOA characteristics &amp; power limit.</t>
  </si>
  <si>
    <t>2. Select current limit parameters.</t>
  </si>
  <si>
    <t>1. Enter operating conditions.</t>
  </si>
  <si>
    <t>actual typical dv/dt rate on Vout</t>
  </si>
  <si>
    <t>Note: TI recommends choosing a FET with SOA current specified for 100ms and/or 1s or DC. If choosing a FET without these parameters, this calculator will estimate the values via extrapolation, which leaves an inherent associated risk.</t>
  </si>
  <si>
    <t>Z1</t>
  </si>
  <si>
    <t>D1</t>
  </si>
  <si>
    <t>B380-13-F</t>
  </si>
  <si>
    <t>LM5069 Datasheet (See "Design-In Procedure")</t>
  </si>
  <si>
    <t>55 mV</t>
  </si>
  <si>
    <t>Current Limit Threshold Voltage</t>
  </si>
  <si>
    <r>
      <t>Minimum Power Limit to Ensure Vsns &gt; 5mV (P</t>
    </r>
    <r>
      <rPr>
        <vertAlign val="subscript"/>
        <sz val="10"/>
        <rFont val="Arial"/>
        <family val="2"/>
      </rPr>
      <t>LIM,MIN</t>
    </r>
    <r>
      <rPr>
        <sz val="10"/>
        <rFont val="Arial"/>
        <family val="2"/>
      </rPr>
      <t>)</t>
    </r>
  </si>
  <si>
    <t>Rpwr =  A * [PLIM(Vds) * Rs]</t>
  </si>
  <si>
    <t>Plim (Vds) = 1/Rs * [ Rpwr/A]</t>
  </si>
  <si>
    <t>Note: This is the typical dv/dt rate, but max value can be 1.4x. This is because the gate source current can vary from 16uA to 22uA. Thus TI recommends keeping the overall SOA margin during start-up &gt;1.5 in order to compensate for this.</t>
  </si>
  <si>
    <r>
      <t xml:space="preserve">                         </t>
    </r>
    <r>
      <rPr>
        <sz val="22"/>
        <color theme="0"/>
        <rFont val="Arial"/>
        <family val="2"/>
      </rPr>
      <t>LM5069 Hot Swap Design Tool</t>
    </r>
  </si>
  <si>
    <t>Q1 FET Name</t>
  </si>
  <si>
    <t>Q1</t>
  </si>
  <si>
    <t>Q2</t>
  </si>
  <si>
    <t>5.0SMDxx</t>
  </si>
  <si>
    <t>Use External Soft-Start Control (dv/dt)</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</si>
  <si>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</si>
  <si>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t>Robust Hot Swap Design</t>
  </si>
  <si>
    <t>Step 0: Calculator Tutorials</t>
  </si>
  <si>
    <r>
      <rPr>
        <b/>
        <u/>
        <sz val="12"/>
        <color rgb="FFFF0000"/>
        <rFont val="Arial"/>
        <family val="2"/>
      </rPr>
      <t>Note</t>
    </r>
    <r>
      <rPr>
        <sz val="12"/>
        <color rgb="FFFF0000"/>
        <rFont val="Arial"/>
        <family val="2"/>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</si>
  <si>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</si>
  <si>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</si>
  <si>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</si>
  <si>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</si>
  <si>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</si>
  <si>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</si>
  <si>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r>
      <rPr>
        <sz val="10"/>
        <rFont val="Arial"/>
        <family val="2"/>
      </rPr>
      <t>*For additional questions not addressed in the videos, please post on</t>
    </r>
    <r>
      <rPr>
        <u/>
        <sz val="10"/>
        <color theme="10"/>
        <rFont val="Arial"/>
        <family val="2"/>
      </rPr>
      <t xml:space="preserve"> E2E.ti.com</t>
    </r>
  </si>
  <si>
    <t>LM5069 Datasheet</t>
  </si>
  <si>
    <t>Steps 1 &amp; 2: Operating Conditions, Current Limit, &amp; Circuit Breaker</t>
  </si>
  <si>
    <r>
      <rPr>
        <b/>
        <u/>
        <sz val="10"/>
        <color rgb="FFFF0000"/>
        <rFont val="Arial"/>
        <family val="2"/>
      </rPr>
      <t>Note:</t>
    </r>
    <r>
      <rPr>
        <b/>
        <sz val="10"/>
        <color rgb="FFFF0000"/>
        <rFont val="Arial"/>
        <family val="2"/>
      </rPr>
      <t xml:space="preserve"> Hover here to see the 3 values affecting this curve, consult a thermal expert if you are unsure! </t>
    </r>
  </si>
  <si>
    <t>LM5069 Design Tool- Rev. C</t>
  </si>
  <si>
    <t>NA</t>
  </si>
  <si>
    <t>BSC070N10NS5</t>
  </si>
  <si>
    <t>STL90N10F7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</si>
</sst>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E+0"/>
    <numFmt numFmtId="167" formatCode="0.00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b/>
      <sz val="9"/>
      <color indexed="81"/>
      <name val="Tahoma"/>
      <family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sz val="11"/>
      <color theme="1"/>
      <name val="Arial"/>
      <family val="2"/>
    </font>
    <font>
      <vertAlign val="subscript"/>
      <sz val="11"/>
      <color theme="1"/>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1"/>
      <color rgb="FF000000"/>
      <name val="Calibri"/>
      <family val="2"/>
      <scheme val="minor"/>
    </font>
    <font>
      <sz val="10"/>
      <color rgb="FFFF0000"/>
      <name val="Arial"/>
      <family val="2"/>
    </font>
    <font>
      <sz val="22"/>
      <color theme="0"/>
      <name val="Arial"/>
      <family val="2"/>
    </font>
    <font>
      <b/>
      <u/>
      <sz val="10"/>
      <name val="Symbol"/>
      <family val="1"/>
      <charset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b/>
      <u/>
      <sz val="10"/>
      <color rgb="FFFF000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indexed="1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2">
    <xf numFmtId="0" fontId="0" fillId="0" borderId="0"/>
    <xf numFmtId="0" fontId="14" fillId="0" borderId="0" applyNumberFormat="0" applyFill="0" applyBorder="0" applyAlignment="0" applyProtection="0">
      <alignment vertical="top"/>
      <protection locked="0"/>
    </xf>
    <xf numFmtId="0" fontId="2" fillId="0" borderId="0"/>
    <xf numFmtId="0" fontId="2" fillId="2" borderId="0">
      <alignment horizontal="center"/>
    </xf>
    <xf numFmtId="0" fontId="2" fillId="2" borderId="0">
      <alignment horizontal="center"/>
    </xf>
    <xf numFmtId="0" fontId="2" fillId="5" borderId="1">
      <alignment horizontal="center" vertical="center"/>
      <protection locked="0"/>
    </xf>
    <xf numFmtId="0" fontId="2" fillId="9" borderId="1">
      <alignment horizontal="center" vertical="center"/>
      <protection locked="0"/>
    </xf>
    <xf numFmtId="0" fontId="2" fillId="0" borderId="13"/>
    <xf numFmtId="0" fontId="2" fillId="9" borderId="1">
      <alignment horizontal="center" vertical="center"/>
      <protection locked="0"/>
    </xf>
    <xf numFmtId="0" fontId="2" fillId="9" borderId="1">
      <alignment horizontal="center" vertical="center"/>
      <protection locked="0"/>
    </xf>
    <xf numFmtId="0" fontId="2" fillId="9" borderId="1">
      <alignment horizontal="center" vertical="center"/>
      <protection locked="0"/>
    </xf>
    <xf numFmtId="0" fontId="1" fillId="0" borderId="0"/>
  </cellStyleXfs>
  <cellXfs count="296">
    <xf numFmtId="0" fontId="0" fillId="0" borderId="0" xfId="0"/>
    <xf numFmtId="0" fontId="0" fillId="0" borderId="0" xfId="0" applyAlignment="1">
      <alignment horizontal="center"/>
    </xf>
    <xf numFmtId="0" fontId="0" fillId="0" borderId="0" xfId="0"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applyAlignment="1">
      <alignment horizontal="right"/>
    </xf>
    <xf numFmtId="0" fontId="0" fillId="0" borderId="6" xfId="0" applyBorder="1"/>
    <xf numFmtId="0" fontId="0" fillId="0" borderId="7" xfId="0" applyBorder="1" applyAlignment="1">
      <alignment horizontal="right"/>
    </xf>
    <xf numFmtId="0" fontId="0" fillId="0" borderId="8" xfId="0" applyBorder="1"/>
    <xf numFmtId="0" fontId="0" fillId="0" borderId="9" xfId="0" applyBorder="1"/>
    <xf numFmtId="0" fontId="0" fillId="0" borderId="10" xfId="0"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Alignment="1">
      <alignment horizontal="right"/>
    </xf>
    <xf numFmtId="0" fontId="9" fillId="2" borderId="0" xfId="0" applyFont="1" applyFill="1" applyAlignment="1">
      <alignment horizontal="left"/>
    </xf>
    <xf numFmtId="14" fontId="9" fillId="2" borderId="0" xfId="0" applyNumberFormat="1" applyFont="1" applyFill="1" applyAlignment="1">
      <alignment horizontal="left"/>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0" fillId="2" borderId="0" xfId="0" applyFill="1" applyProtection="1">
      <protection locked="0"/>
    </xf>
    <xf numFmtId="0" fontId="2" fillId="0" borderId="0" xfId="0" applyFont="1"/>
    <xf numFmtId="0" fontId="2" fillId="0" borderId="0" xfId="0" applyFont="1" applyAlignment="1">
      <alignment horizontal="right"/>
    </xf>
    <xf numFmtId="0" fontId="2" fillId="2" borderId="0" xfId="0" applyFont="1" applyFill="1" applyAlignment="1">
      <alignment horizontal="left"/>
    </xf>
    <xf numFmtId="0" fontId="0" fillId="3" borderId="0" xfId="0" applyFill="1"/>
    <xf numFmtId="0" fontId="2" fillId="2" borderId="0" xfId="0" applyFont="1" applyFill="1" applyAlignment="1">
      <alignment horizontal="right"/>
    </xf>
    <xf numFmtId="0" fontId="15" fillId="2" borderId="0" xfId="1" applyFont="1" applyFill="1" applyAlignment="1" applyProtection="1"/>
    <xf numFmtId="0" fontId="16" fillId="3" borderId="0" xfId="0" applyFont="1" applyFill="1"/>
    <xf numFmtId="0" fontId="19" fillId="3" borderId="0" xfId="0" applyFont="1" applyFill="1"/>
    <xf numFmtId="0" fontId="18" fillId="3" borderId="24" xfId="0" applyFont="1" applyFill="1" applyBorder="1" applyAlignment="1">
      <alignment horizontal="center" vertical="center"/>
    </xf>
    <xf numFmtId="0" fontId="20" fillId="2" borderId="0" xfId="0" applyFont="1" applyFill="1"/>
    <xf numFmtId="0" fontId="23" fillId="2" borderId="0" xfId="0" applyFont="1" applyFill="1"/>
    <xf numFmtId="0" fontId="0" fillId="2" borderId="1" xfId="0" applyFill="1" applyBorder="1" applyAlignment="1">
      <alignment horizontal="center" vertical="center"/>
    </xf>
    <xf numFmtId="0" fontId="0" fillId="2" borderId="11" xfId="0"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22"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0" fillId="2" borderId="0" xfId="0" applyFill="1" applyAlignment="1">
      <alignment horizontal="right" vertical="center"/>
    </xf>
    <xf numFmtId="0" fontId="2" fillId="2" borderId="0" xfId="0" applyFont="1" applyFill="1" applyAlignment="1">
      <alignment horizontal="right" vertical="center"/>
    </xf>
    <xf numFmtId="0" fontId="0" fillId="0" borderId="1" xfId="0" applyBorder="1" applyAlignment="1" applyProtection="1">
      <alignment horizontal="center" vertical="center"/>
      <protection locked="0"/>
    </xf>
    <xf numFmtId="0" fontId="2" fillId="0" borderId="0" xfId="2" applyAlignment="1">
      <alignment horizontal="center"/>
    </xf>
    <xf numFmtId="0" fontId="2" fillId="0" borderId="0" xfId="2"/>
    <xf numFmtId="164" fontId="2" fillId="0" borderId="0" xfId="2" applyNumberFormat="1" applyAlignment="1">
      <alignment horizontal="center"/>
    </xf>
    <xf numFmtId="166" fontId="2" fillId="0" borderId="0" xfId="2" applyNumberFormat="1" applyAlignment="1">
      <alignment horizontal="center"/>
    </xf>
    <xf numFmtId="2" fontId="2" fillId="0" borderId="25" xfId="2" applyNumberFormat="1" applyBorder="1" applyAlignment="1">
      <alignment horizontal="center"/>
    </xf>
    <xf numFmtId="0" fontId="2" fillId="0" borderId="1" xfId="2" applyBorder="1"/>
    <xf numFmtId="0" fontId="0" fillId="0" borderId="0" xfId="0" applyAlignment="1" applyProtection="1">
      <alignment horizontal="center" vertical="center"/>
      <protection locked="0"/>
    </xf>
    <xf numFmtId="2" fontId="2" fillId="0" borderId="0" xfId="2" applyNumberFormat="1" applyAlignment="1">
      <alignment horizontal="center"/>
    </xf>
    <xf numFmtId="0" fontId="2" fillId="0" borderId="0" xfId="0" applyFont="1" applyAlignment="1">
      <alignment horizontal="center"/>
    </xf>
    <xf numFmtId="0" fontId="0" fillId="0" borderId="1" xfId="0" applyBorder="1"/>
    <xf numFmtId="0" fontId="2" fillId="0" borderId="1" xfId="0" applyFont="1" applyBorder="1"/>
    <xf numFmtId="2" fontId="0" fillId="0" borderId="1" xfId="0" applyNumberFormat="1" applyBorder="1"/>
    <xf numFmtId="0" fontId="27" fillId="0" borderId="0" xfId="0" applyFont="1"/>
    <xf numFmtId="0" fontId="28" fillId="0" borderId="0" xfId="0" applyFont="1" applyAlignment="1">
      <alignment horizontal="center"/>
    </xf>
    <xf numFmtId="2" fontId="2" fillId="0" borderId="0" xfId="0" applyNumberFormat="1" applyFont="1" applyAlignment="1">
      <alignment horizontal="left"/>
    </xf>
    <xf numFmtId="0" fontId="0" fillId="2" borderId="24" xfId="0" applyFill="1" applyBorder="1"/>
    <xf numFmtId="0" fontId="2" fillId="2" borderId="24" xfId="0" applyFont="1" applyFill="1" applyBorder="1" applyAlignment="1">
      <alignment horizontal="right" vertical="center"/>
    </xf>
    <xf numFmtId="0" fontId="20" fillId="2" borderId="25" xfId="0" applyFont="1" applyFill="1" applyBorder="1"/>
    <xf numFmtId="0" fontId="0" fillId="2" borderId="25" xfId="0" applyFill="1" applyBorder="1"/>
    <xf numFmtId="0" fontId="0" fillId="2" borderId="27" xfId="0" applyFill="1" applyBorder="1"/>
    <xf numFmtId="0" fontId="0" fillId="2" borderId="26" xfId="0" applyFill="1" applyBorder="1"/>
    <xf numFmtId="0" fontId="2" fillId="2" borderId="26" xfId="0" applyFont="1" applyFill="1" applyBorder="1" applyAlignment="1">
      <alignment horizontal="right" vertical="center"/>
    </xf>
    <xf numFmtId="0" fontId="3" fillId="2" borderId="25" xfId="0" applyFont="1" applyFill="1" applyBorder="1"/>
    <xf numFmtId="0" fontId="2" fillId="2" borderId="24" xfId="0" applyFont="1" applyFill="1" applyBorder="1" applyAlignment="1">
      <alignment horizontal="right"/>
    </xf>
    <xf numFmtId="0" fontId="0" fillId="0" borderId="25" xfId="0" applyBorder="1"/>
    <xf numFmtId="0" fontId="0" fillId="0" borderId="0" xfId="0" applyAlignment="1">
      <alignment horizontal="left"/>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2" borderId="16" xfId="0" applyFill="1" applyBorder="1" applyAlignment="1">
      <alignment horizontal="center" vertical="center"/>
    </xf>
    <xf numFmtId="0" fontId="0" fillId="2" borderId="24" xfId="0" applyFill="1" applyBorder="1" applyAlignment="1">
      <alignment horizontal="right" vertical="center"/>
    </xf>
    <xf numFmtId="0" fontId="0" fillId="2" borderId="29" xfId="0" applyFill="1" applyBorder="1"/>
    <xf numFmtId="0" fontId="3" fillId="2" borderId="0" xfId="0" applyFont="1" applyFill="1" applyAlignment="1">
      <alignment horizontal="right"/>
    </xf>
    <xf numFmtId="0" fontId="3" fillId="2" borderId="0" xfId="0" applyFont="1" applyFill="1" applyAlignment="1">
      <alignment horizontal="center"/>
    </xf>
    <xf numFmtId="0" fontId="8" fillId="2" borderId="0" xfId="0" applyFont="1" applyFill="1"/>
    <xf numFmtId="0" fontId="0" fillId="2" borderId="30" xfId="0" applyFill="1" applyBorder="1"/>
    <xf numFmtId="0" fontId="2" fillId="2" borderId="29" xfId="0" applyFont="1" applyFill="1" applyBorder="1"/>
    <xf numFmtId="0" fontId="21" fillId="2" borderId="0" xfId="0" applyFont="1" applyFill="1" applyAlignment="1">
      <alignment horizontal="right" vertical="center"/>
    </xf>
    <xf numFmtId="0" fontId="0" fillId="2" borderId="14" xfId="0" applyFill="1" applyBorder="1" applyAlignment="1">
      <alignment horizontal="center" vertical="center"/>
    </xf>
    <xf numFmtId="0" fontId="0" fillId="2" borderId="7" xfId="0" applyFill="1" applyBorder="1" applyAlignment="1">
      <alignment horizontal="right" vertical="center"/>
    </xf>
    <xf numFmtId="0" fontId="2" fillId="2" borderId="13" xfId="0" applyFont="1"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Alignment="1">
      <alignment horizontal="center"/>
    </xf>
    <xf numFmtId="0" fontId="0" fillId="5" borderId="0" xfId="0" applyFill="1"/>
    <xf numFmtId="0" fontId="2" fillId="5" borderId="0" xfId="0" applyFont="1" applyFill="1" applyAlignment="1">
      <alignment horizontal="right" vertical="center"/>
    </xf>
    <xf numFmtId="0" fontId="0" fillId="6" borderId="0" xfId="0" applyFill="1"/>
    <xf numFmtId="0" fontId="2" fillId="6" borderId="0" xfId="0" applyFont="1" applyFill="1" applyAlignment="1">
      <alignment horizontal="right" vertical="center"/>
    </xf>
    <xf numFmtId="0" fontId="16" fillId="0" borderId="0" xfId="0" applyFont="1"/>
    <xf numFmtId="0" fontId="0" fillId="2" borderId="28" xfId="0" applyFill="1" applyBorder="1"/>
    <xf numFmtId="0" fontId="2" fillId="2" borderId="0" xfId="0" applyFont="1" applyFill="1"/>
    <xf numFmtId="0" fontId="21" fillId="2" borderId="24" xfId="0" applyFont="1" applyFill="1" applyBorder="1" applyAlignment="1">
      <alignment horizontal="right" vertical="center"/>
    </xf>
    <xf numFmtId="14" fontId="2" fillId="2" borderId="0" xfId="0" applyNumberFormat="1" applyFont="1" applyFill="1" applyAlignment="1">
      <alignment horizontal="center"/>
    </xf>
    <xf numFmtId="0" fontId="2" fillId="2" borderId="26" xfId="0" applyFont="1" applyFill="1" applyBorder="1" applyAlignment="1">
      <alignment horizontal="left"/>
    </xf>
    <xf numFmtId="0" fontId="2" fillId="2" borderId="0" xfId="0" applyFont="1" applyFill="1" applyAlignment="1">
      <alignment horizontal="center"/>
    </xf>
    <xf numFmtId="0" fontId="3" fillId="2" borderId="0" xfId="0" applyFont="1" applyFill="1"/>
    <xf numFmtId="0" fontId="3" fillId="2" borderId="29" xfId="0" applyFont="1" applyFill="1" applyBorder="1" applyAlignment="1">
      <alignment horizontal="left"/>
    </xf>
    <xf numFmtId="164" fontId="2" fillId="2" borderId="0" xfId="0" applyNumberFormat="1" applyFont="1" applyFill="1" applyAlignment="1">
      <alignment horizontal="right"/>
    </xf>
    <xf numFmtId="165" fontId="0" fillId="2" borderId="16" xfId="0" applyNumberFormat="1" applyFill="1" applyBorder="1" applyAlignment="1">
      <alignment horizontal="center"/>
    </xf>
    <xf numFmtId="1" fontId="0" fillId="2" borderId="1" xfId="0" applyNumberFormat="1" applyFill="1" applyBorder="1" applyAlignment="1">
      <alignment horizontal="center"/>
    </xf>
    <xf numFmtId="164" fontId="0" fillId="2" borderId="1" xfId="0" applyNumberFormat="1" applyFill="1" applyBorder="1" applyAlignment="1">
      <alignment horizontal="center"/>
    </xf>
    <xf numFmtId="0" fontId="29" fillId="0" borderId="0" xfId="0" applyFont="1"/>
    <xf numFmtId="0" fontId="2" fillId="2" borderId="32" xfId="0" applyFont="1" applyFill="1" applyBorder="1" applyAlignment="1">
      <alignment horizontal="right" vertical="center"/>
    </xf>
    <xf numFmtId="165" fontId="0" fillId="2" borderId="18" xfId="0" applyNumberFormat="1" applyFill="1" applyBorder="1" applyAlignment="1">
      <alignment horizontal="center"/>
    </xf>
    <xf numFmtId="165" fontId="0" fillId="2" borderId="1" xfId="0" applyNumberFormat="1" applyFill="1" applyBorder="1" applyAlignment="1">
      <alignment horizontal="center"/>
    </xf>
    <xf numFmtId="0" fontId="0" fillId="7" borderId="24" xfId="0" applyFill="1" applyBorder="1"/>
    <xf numFmtId="2" fontId="0" fillId="2" borderId="1" xfId="0" applyNumberFormat="1" applyFill="1" applyBorder="1" applyAlignment="1">
      <alignment horizontal="center"/>
    </xf>
    <xf numFmtId="164" fontId="0" fillId="2" borderId="11" xfId="0" applyNumberFormat="1" applyFill="1" applyBorder="1" applyAlignment="1">
      <alignment horizontal="center"/>
    </xf>
    <xf numFmtId="1" fontId="2" fillId="2" borderId="0" xfId="0" applyNumberFormat="1" applyFont="1" applyFill="1" applyAlignment="1">
      <alignment horizontal="center" vertical="center"/>
    </xf>
    <xf numFmtId="2" fontId="0" fillId="3" borderId="1" xfId="0" applyNumberFormat="1" applyFill="1" applyBorder="1" applyAlignment="1">
      <alignment horizontal="center" vertical="center"/>
    </xf>
    <xf numFmtId="0" fontId="0" fillId="8" borderId="0" xfId="0" applyFill="1"/>
    <xf numFmtId="0" fontId="2" fillId="8" borderId="0" xfId="0" applyFont="1" applyFill="1" applyAlignment="1">
      <alignment horizontal="right" vertical="center"/>
    </xf>
    <xf numFmtId="0" fontId="23" fillId="7" borderId="23" xfId="0" applyFont="1" applyFill="1" applyBorder="1"/>
    <xf numFmtId="0" fontId="0" fillId="3" borderId="29" xfId="0" applyFill="1" applyBorder="1"/>
    <xf numFmtId="0" fontId="2" fillId="0" borderId="1" xfId="0" applyFont="1" applyBorder="1" applyAlignment="1">
      <alignment horizontal="center"/>
    </xf>
    <xf numFmtId="0" fontId="2" fillId="0" borderId="0" xfId="0" applyFont="1" applyAlignment="1">
      <alignment horizontal="left"/>
    </xf>
    <xf numFmtId="11" fontId="0" fillId="0" borderId="0" xfId="0" applyNumberFormat="1" applyAlignment="1">
      <alignment horizontal="center"/>
    </xf>
    <xf numFmtId="167" fontId="0" fillId="0" borderId="0" xfId="0" applyNumberFormat="1"/>
    <xf numFmtId="1" fontId="0" fillId="0" borderId="0" xfId="0" applyNumberFormat="1"/>
    <xf numFmtId="2" fontId="2" fillId="0" borderId="0" xfId="2" applyNumberFormat="1"/>
    <xf numFmtId="0" fontId="26" fillId="0" borderId="0" xfId="2" applyFont="1"/>
    <xf numFmtId="0" fontId="26" fillId="0" borderId="0" xfId="2" applyFont="1" applyAlignment="1">
      <alignment horizontal="center"/>
    </xf>
    <xf numFmtId="10" fontId="2" fillId="0" borderId="0" xfId="2" applyNumberFormat="1"/>
    <xf numFmtId="9" fontId="0" fillId="2" borderId="1" xfId="0" applyNumberFormat="1" applyFill="1" applyBorder="1" applyAlignment="1">
      <alignment horizontal="center" vertical="center"/>
    </xf>
    <xf numFmtId="0" fontId="2" fillId="0" borderId="6" xfId="0" applyFont="1" applyBorder="1" applyAlignment="1">
      <alignment horizontal="center"/>
    </xf>
    <xf numFmtId="0" fontId="27" fillId="0" borderId="0" xfId="2" applyFont="1"/>
    <xf numFmtId="165" fontId="0" fillId="0" borderId="1" xfId="0" applyNumberFormat="1" applyBorder="1" applyAlignment="1">
      <alignment horizontal="center" vertical="center"/>
    </xf>
    <xf numFmtId="0" fontId="27" fillId="0" borderId="0" xfId="0" applyFont="1" applyAlignment="1">
      <alignment horizontal="center"/>
    </xf>
    <xf numFmtId="0" fontId="2" fillId="3" borderId="0" xfId="0" applyFont="1" applyFill="1" applyAlignment="1">
      <alignment horizontal="right" vertical="center"/>
    </xf>
    <xf numFmtId="0" fontId="2" fillId="3" borderId="0" xfId="0" applyFont="1" applyFill="1" applyAlignment="1">
      <alignment horizontal="right"/>
    </xf>
    <xf numFmtId="0" fontId="2" fillId="0" borderId="13" xfId="0" applyFont="1" applyBorder="1" applyAlignment="1">
      <alignment horizontal="center"/>
    </xf>
    <xf numFmtId="0" fontId="2" fillId="2" borderId="33"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2" fillId="2" borderId="31" xfId="0" applyFont="1" applyFill="1" applyBorder="1" applyAlignment="1">
      <alignment horizontal="center" vertical="center"/>
    </xf>
    <xf numFmtId="0" fontId="10" fillId="2" borderId="13" xfId="0" applyFont="1" applyFill="1" applyBorder="1" applyAlignment="1">
      <alignment horizontal="center" vertical="center"/>
    </xf>
    <xf numFmtId="0" fontId="0" fillId="2" borderId="33" xfId="0" applyFill="1" applyBorder="1" applyAlignment="1">
      <alignment horizontal="center" vertical="center"/>
    </xf>
    <xf numFmtId="0" fontId="7" fillId="2" borderId="13" xfId="0" applyFont="1" applyFill="1" applyBorder="1" applyAlignment="1">
      <alignment horizontal="center" vertical="center"/>
    </xf>
    <xf numFmtId="0" fontId="0" fillId="2" borderId="34"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7" fillId="2" borderId="7" xfId="0" applyFont="1" applyFill="1" applyBorder="1" applyAlignment="1">
      <alignment horizontal="center"/>
    </xf>
    <xf numFmtId="0" fontId="2" fillId="2" borderId="0" xfId="0" applyFont="1" applyFill="1" applyAlignment="1">
      <alignment horizontal="center" vertical="center"/>
    </xf>
    <xf numFmtId="0" fontId="0" fillId="2" borderId="26" xfId="0" applyFill="1" applyBorder="1" applyAlignment="1">
      <alignment horizontal="center"/>
    </xf>
    <xf numFmtId="0" fontId="27" fillId="0" borderId="0" xfId="0" applyFont="1" applyAlignment="1">
      <alignment horizontal="left"/>
    </xf>
    <xf numFmtId="0" fontId="0" fillId="9" borderId="16"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2"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6" borderId="1" xfId="0" applyFill="1" applyBorder="1" applyAlignment="1">
      <alignment horizontal="center"/>
    </xf>
    <xf numFmtId="0" fontId="0" fillId="0" borderId="11" xfId="0" applyBorder="1"/>
    <xf numFmtId="0" fontId="0" fillId="2" borderId="6" xfId="0" applyFill="1" applyBorder="1"/>
    <xf numFmtId="165" fontId="2" fillId="0" borderId="0" xfId="2" applyNumberFormat="1" applyAlignment="1">
      <alignment horizontal="center"/>
    </xf>
    <xf numFmtId="165" fontId="2" fillId="0" borderId="0" xfId="2" applyNumberFormat="1"/>
    <xf numFmtId="0" fontId="27" fillId="10" borderId="0" xfId="0" applyFont="1" applyFill="1"/>
    <xf numFmtId="2" fontId="27" fillId="0" borderId="0" xfId="0" applyNumberFormat="1" applyFont="1" applyAlignment="1">
      <alignment horizontal="center"/>
    </xf>
    <xf numFmtId="0" fontId="29"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Alignment="1" applyProtection="1">
      <alignment horizontal="center" vertical="center"/>
      <protection locked="0"/>
    </xf>
    <xf numFmtId="0" fontId="3" fillId="0" borderId="0" xfId="0" applyFont="1" applyAlignment="1">
      <alignment horizontal="center"/>
    </xf>
    <xf numFmtId="0" fontId="26" fillId="0" borderId="0" xfId="0" applyFont="1" applyAlignment="1">
      <alignment horizontal="center"/>
    </xf>
    <xf numFmtId="2" fontId="2" fillId="0" borderId="0" xfId="0" applyNumberFormat="1" applyFont="1"/>
    <xf numFmtId="0" fontId="3" fillId="2" borderId="0" xfId="0" applyFont="1" applyFill="1" applyAlignment="1">
      <alignment horizontal="left"/>
    </xf>
    <xf numFmtId="0" fontId="0" fillId="2" borderId="25" xfId="0" applyFill="1" applyBorder="1" applyAlignment="1">
      <alignment wrapText="1"/>
    </xf>
    <xf numFmtId="0" fontId="0" fillId="11" borderId="35" xfId="0" applyFill="1" applyBorder="1"/>
    <xf numFmtId="0" fontId="0" fillId="11" borderId="36" xfId="0" applyFill="1" applyBorder="1"/>
    <xf numFmtId="0" fontId="0" fillId="11" borderId="37" xfId="0" applyFill="1" applyBorder="1"/>
    <xf numFmtId="0" fontId="0" fillId="11" borderId="38" xfId="0" applyFill="1" applyBorder="1"/>
    <xf numFmtId="0" fontId="0" fillId="11" borderId="0" xfId="0" applyFill="1"/>
    <xf numFmtId="0" fontId="0" fillId="11" borderId="39" xfId="0" applyFill="1" applyBorder="1"/>
    <xf numFmtId="0" fontId="33" fillId="11" borderId="0" xfId="0" applyFont="1" applyFill="1"/>
    <xf numFmtId="0" fontId="34" fillId="11" borderId="0" xfId="0" applyFont="1" applyFill="1"/>
    <xf numFmtId="0" fontId="35" fillId="11" borderId="0" xfId="0" applyFont="1" applyFill="1"/>
    <xf numFmtId="0" fontId="36" fillId="11" borderId="0" xfId="0" applyFont="1" applyFill="1"/>
    <xf numFmtId="0" fontId="37" fillId="11" borderId="0" xfId="0" applyFont="1" applyFill="1"/>
    <xf numFmtId="0" fontId="37" fillId="11" borderId="0" xfId="0" applyFont="1" applyFill="1" applyAlignment="1">
      <alignment wrapText="1"/>
    </xf>
    <xf numFmtId="0" fontId="38" fillId="11" borderId="0" xfId="0" applyFont="1" applyFill="1" applyAlignment="1">
      <alignment vertical="center"/>
    </xf>
    <xf numFmtId="0" fontId="38" fillId="11" borderId="0" xfId="0" applyFont="1" applyFill="1"/>
    <xf numFmtId="0" fontId="0" fillId="11" borderId="40" xfId="0" applyFill="1" applyBorder="1"/>
    <xf numFmtId="0" fontId="0" fillId="11" borderId="41" xfId="0" applyFill="1" applyBorder="1"/>
    <xf numFmtId="0" fontId="0" fillId="11" borderId="42" xfId="0" applyFill="1" applyBorder="1"/>
    <xf numFmtId="0" fontId="2" fillId="11" borderId="0" xfId="0" applyFont="1" applyFill="1"/>
    <xf numFmtId="0" fontId="0" fillId="5" borderId="1" xfId="0" applyFill="1" applyBorder="1" applyAlignment="1" applyProtection="1">
      <alignment horizontal="center" vertical="center"/>
      <protection locked="0"/>
    </xf>
    <xf numFmtId="0" fontId="0" fillId="2" borderId="25" xfId="0" applyFill="1" applyBorder="1" applyAlignment="1">
      <alignment horizontal="right"/>
    </xf>
    <xf numFmtId="0" fontId="0" fillId="3" borderId="34" xfId="0" applyFill="1" applyBorder="1" applyAlignment="1">
      <alignment horizontal="center" vertical="center"/>
    </xf>
    <xf numFmtId="0" fontId="2" fillId="3" borderId="24" xfId="0" applyFont="1" applyFill="1" applyBorder="1" applyAlignment="1">
      <alignment horizontal="right" vertical="center"/>
    </xf>
    <xf numFmtId="0" fontId="2" fillId="3" borderId="16" xfId="0" applyFont="1" applyFill="1" applyBorder="1" applyAlignment="1">
      <alignment horizontal="center" vertical="center"/>
    </xf>
    <xf numFmtId="0" fontId="2" fillId="0" borderId="7" xfId="0" applyFont="1" applyBorder="1" applyAlignment="1">
      <alignment horizontal="center"/>
    </xf>
    <xf numFmtId="164" fontId="0" fillId="2" borderId="0" xfId="0" applyNumberFormat="1" applyFill="1" applyAlignment="1">
      <alignment horizontal="center"/>
    </xf>
    <xf numFmtId="11" fontId="0" fillId="0" borderId="0" xfId="0" applyNumberFormat="1"/>
    <xf numFmtId="0" fontId="2" fillId="2" borderId="24" xfId="2" applyFill="1" applyBorder="1" applyAlignment="1">
      <alignment horizontal="right"/>
    </xf>
    <xf numFmtId="0" fontId="2" fillId="2" borderId="0" xfId="2" applyFill="1" applyAlignment="1">
      <alignment horizontal="right" vertical="center"/>
    </xf>
    <xf numFmtId="1" fontId="2" fillId="2" borderId="1" xfId="2" applyNumberFormat="1" applyFill="1" applyBorder="1" applyAlignment="1">
      <alignment horizontal="center" vertical="center"/>
    </xf>
    <xf numFmtId="0" fontId="7" fillId="2" borderId="33" xfId="0" applyFont="1" applyFill="1" applyBorder="1" applyAlignment="1">
      <alignment horizontal="center" vertical="center"/>
    </xf>
    <xf numFmtId="0" fontId="2" fillId="6" borderId="16" xfId="2"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2" fillId="3" borderId="11" xfId="0" applyFont="1" applyFill="1" applyBorder="1" applyAlignment="1">
      <alignment horizontal="center" vertical="center"/>
    </xf>
    <xf numFmtId="0" fontId="2" fillId="3" borderId="21" xfId="0" applyFont="1" applyFill="1" applyBorder="1" applyAlignment="1">
      <alignment horizontal="center" vertical="center"/>
    </xf>
    <xf numFmtId="0" fontId="2" fillId="2" borderId="0" xfId="2" applyFill="1"/>
    <xf numFmtId="0" fontId="2" fillId="2" borderId="24" xfId="2" applyFill="1" applyBorder="1"/>
    <xf numFmtId="0" fontId="2" fillId="2" borderId="25" xfId="2" applyFill="1" applyBorder="1"/>
    <xf numFmtId="0" fontId="2" fillId="2" borderId="27" xfId="2" applyFill="1" applyBorder="1"/>
    <xf numFmtId="0" fontId="2" fillId="2" borderId="26" xfId="2" applyFill="1" applyBorder="1"/>
    <xf numFmtId="0" fontId="2" fillId="2" borderId="29" xfId="2" applyFill="1" applyBorder="1"/>
    <xf numFmtId="0" fontId="2" fillId="2" borderId="30" xfId="2" applyFill="1" applyBorder="1"/>
    <xf numFmtId="0" fontId="2" fillId="2" borderId="28" xfId="2" applyFill="1" applyBorder="1"/>
    <xf numFmtId="0" fontId="23" fillId="7" borderId="23" xfId="2" applyFont="1" applyFill="1" applyBorder="1"/>
    <xf numFmtId="0" fontId="23" fillId="3" borderId="25" xfId="2" applyFont="1" applyFill="1" applyBorder="1"/>
    <xf numFmtId="0" fontId="44" fillId="2" borderId="0" xfId="2" applyFont="1" applyFill="1"/>
    <xf numFmtId="0" fontId="44" fillId="2" borderId="0" xfId="2" applyFont="1" applyFill="1" applyAlignment="1">
      <alignment horizontal="right" vertical="center"/>
    </xf>
    <xf numFmtId="0" fontId="2" fillId="2" borderId="26" xfId="2" applyFill="1" applyBorder="1" applyAlignment="1">
      <alignment horizontal="center" vertical="center"/>
    </xf>
    <xf numFmtId="0" fontId="45" fillId="2" borderId="0" xfId="1" applyFont="1" applyFill="1" applyBorder="1" applyAlignment="1" applyProtection="1">
      <alignment horizontal="left"/>
    </xf>
    <xf numFmtId="0" fontId="41" fillId="2" borderId="25" xfId="2" applyFont="1" applyFill="1" applyBorder="1" applyAlignment="1">
      <alignment vertical="top" wrapText="1"/>
    </xf>
    <xf numFmtId="0" fontId="2" fillId="2" borderId="0" xfId="2" applyFill="1" applyAlignment="1">
      <alignment horizontal="center" vertical="center"/>
    </xf>
    <xf numFmtId="0" fontId="45" fillId="2" borderId="24"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2" applyFont="1" applyFill="1"/>
    <xf numFmtId="0" fontId="44" fillId="3" borderId="24" xfId="2" applyFont="1" applyFill="1" applyBorder="1"/>
    <xf numFmtId="0" fontId="2" fillId="2" borderId="26" xfId="2" applyFill="1" applyBorder="1" applyAlignment="1">
      <alignment vertical="top" wrapText="1"/>
    </xf>
    <xf numFmtId="0" fontId="37" fillId="6" borderId="45" xfId="2" applyFont="1" applyFill="1" applyBorder="1" applyAlignment="1" applyProtection="1">
      <alignment horizontal="center" vertical="top"/>
      <protection locked="0"/>
    </xf>
    <xf numFmtId="0" fontId="37" fillId="6" borderId="47" xfId="2" applyFont="1" applyFill="1" applyBorder="1" applyAlignment="1" applyProtection="1">
      <alignment horizontal="center" vertical="top"/>
      <protection locked="0"/>
    </xf>
    <xf numFmtId="0" fontId="14" fillId="2" borderId="0" xfId="1" applyFill="1" applyBorder="1" applyAlignment="1" applyProtection="1"/>
    <xf numFmtId="0" fontId="0" fillId="9" borderId="11" xfId="0" applyFill="1" applyBorder="1" applyAlignment="1" applyProtection="1">
      <alignment horizontal="center" vertical="center"/>
      <protection locked="0"/>
    </xf>
    <xf numFmtId="0" fontId="2" fillId="2" borderId="32" xfId="0" applyFont="1" applyFill="1" applyBorder="1" applyAlignment="1">
      <alignment horizontal="center" vertical="center"/>
    </xf>
    <xf numFmtId="0" fontId="0" fillId="3" borderId="11"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14" fillId="3" borderId="25" xfId="1" applyFill="1" applyBorder="1" applyAlignment="1" applyProtection="1">
      <alignment vertical="top" wrapText="1"/>
    </xf>
    <xf numFmtId="0" fontId="39" fillId="2" borderId="25" xfId="0" applyFont="1" applyFill="1" applyBorder="1" applyAlignment="1">
      <alignment vertical="top" wrapText="1"/>
    </xf>
    <xf numFmtId="0" fontId="14" fillId="3" borderId="25" xfId="1" applyFill="1" applyBorder="1" applyAlignment="1" applyProtection="1">
      <alignment horizontal="left"/>
    </xf>
    <xf numFmtId="0" fontId="14" fillId="3" borderId="25" xfId="1" applyFill="1" applyBorder="1" applyAlignment="1" applyProtection="1"/>
    <xf numFmtId="0" fontId="14" fillId="0" borderId="0" xfId="1" applyAlignment="1" applyProtection="1"/>
    <xf numFmtId="0" fontId="14" fillId="5" borderId="0" xfId="1" applyFill="1" applyAlignment="1" applyProtection="1"/>
    <xf numFmtId="0" fontId="40" fillId="0" borderId="23"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8"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0" xfId="0" applyFont="1" applyAlignment="1">
      <alignment horizontal="center" vertical="center" wrapText="1"/>
    </xf>
    <xf numFmtId="0" fontId="40" fillId="0" borderId="29"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30" xfId="0" applyFont="1" applyBorder="1" applyAlignment="1">
      <alignment horizontal="center" vertical="center" wrapText="1"/>
    </xf>
    <xf numFmtId="0" fontId="14" fillId="11" borderId="0" xfId="1" applyFill="1" applyAlignment="1" applyProtection="1">
      <alignment horizontal="left"/>
    </xf>
    <xf numFmtId="0" fontId="13" fillId="3" borderId="0" xfId="0" applyFont="1" applyFill="1" applyAlignment="1">
      <alignment horizontal="center" vertical="center"/>
    </xf>
    <xf numFmtId="0" fontId="17" fillId="4" borderId="23" xfId="0" applyFont="1" applyFill="1" applyBorder="1" applyAlignment="1">
      <alignment horizontal="left" vertical="center"/>
    </xf>
    <xf numFmtId="0" fontId="17" fillId="4" borderId="24" xfId="0" applyFont="1" applyFill="1" applyBorder="1" applyAlignment="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32" fillId="2" borderId="25" xfId="0" applyFont="1" applyFill="1" applyBorder="1" applyAlignment="1">
      <alignment horizontal="left" vertical="top" wrapText="1"/>
    </xf>
    <xf numFmtId="0" fontId="32" fillId="2" borderId="0" xfId="0" applyFont="1" applyFill="1" applyAlignment="1">
      <alignment horizontal="left" vertical="top" wrapText="1"/>
    </xf>
    <xf numFmtId="0" fontId="43" fillId="2" borderId="25" xfId="2" applyFont="1" applyFill="1" applyBorder="1" applyAlignment="1">
      <alignment horizontal="left" vertical="top" wrapText="1"/>
    </xf>
    <xf numFmtId="0" fontId="43" fillId="2" borderId="24"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3" xfId="2" applyFont="1" applyFill="1" applyBorder="1" applyAlignment="1">
      <alignment horizontal="left" vertical="top" wrapText="1"/>
    </xf>
    <xf numFmtId="0" fontId="46" fillId="5" borderId="44" xfId="2" applyFont="1" applyFill="1" applyBorder="1" applyAlignment="1">
      <alignment horizontal="left" vertical="top" wrapText="1"/>
    </xf>
    <xf numFmtId="0" fontId="46" fillId="5" borderId="46" xfId="2" applyFont="1" applyFill="1" applyBorder="1" applyAlignment="1">
      <alignment horizontal="left" vertical="top" wrapText="1"/>
    </xf>
    <xf numFmtId="0" fontId="14" fillId="2" borderId="0" xfId="1" applyFill="1" applyBorder="1" applyAlignment="1" applyProtection="1">
      <alignment horizontal="left" wrapText="1"/>
    </xf>
    <xf numFmtId="0" fontId="45" fillId="2" borderId="0" xfId="1" applyFont="1" applyFill="1" applyBorder="1" applyAlignment="1" applyProtection="1">
      <alignment horizontal="left"/>
    </xf>
    <xf numFmtId="0" fontId="23" fillId="5" borderId="48" xfId="2" applyFont="1" applyFill="1" applyBorder="1" applyAlignment="1">
      <alignment horizontal="left" wrapText="1"/>
    </xf>
    <xf numFmtId="0" fontId="2" fillId="5" borderId="49" xfId="2" applyFill="1" applyBorder="1" applyAlignment="1">
      <alignment horizontal="left" wrapText="1"/>
    </xf>
    <xf numFmtId="0" fontId="2" fillId="5" borderId="45" xfId="2" applyFill="1" applyBorder="1" applyAlignment="1">
      <alignment horizontal="left" wrapText="1"/>
    </xf>
    <xf numFmtId="0" fontId="14" fillId="3" borderId="25" xfId="1" applyFill="1" applyBorder="1" applyAlignment="1" applyProtection="1">
      <alignment horizontal="left" wrapText="1"/>
    </xf>
    <xf numFmtId="0" fontId="0" fillId="2" borderId="0" xfId="0" applyFill="1" applyAlignment="1">
      <alignment horizontal="left" vertical="top" wrapText="1"/>
    </xf>
    <xf numFmtId="0" fontId="0" fillId="2" borderId="26" xfId="0" applyFill="1" applyBorder="1" applyAlignment="1">
      <alignment horizontal="left" vertical="top" wrapText="1"/>
    </xf>
    <xf numFmtId="0" fontId="39" fillId="2" borderId="25" xfId="0" applyFont="1" applyFill="1" applyBorder="1" applyAlignment="1">
      <alignment horizontal="left" vertical="top" wrapText="1"/>
    </xf>
    <xf numFmtId="0" fontId="8" fillId="2" borderId="0" xfId="0" applyFont="1" applyFill="1" applyAlignment="1">
      <alignment horizontal="left" wrapText="1"/>
    </xf>
    <xf numFmtId="0" fontId="8" fillId="2" borderId="7" xfId="0" applyFont="1" applyFill="1" applyBorder="1" applyAlignment="1">
      <alignment horizontal="left" wrapText="1"/>
    </xf>
    <xf numFmtId="0" fontId="0" fillId="0" borderId="0" xfId="0" applyAlignment="1">
      <alignment horizontal="center"/>
    </xf>
    <xf numFmtId="0" fontId="26" fillId="0" borderId="0" xfId="0" applyFont="1" applyAlignment="1">
      <alignment horizontal="center"/>
    </xf>
    <xf numFmtId="0" fontId="27" fillId="0" borderId="0" xfId="0" applyFont="1" applyAlignment="1">
      <alignment horizontal="center"/>
    </xf>
    <xf numFmtId="0" fontId="3" fillId="0" borderId="0" xfId="0" applyFont="1" applyAlignment="1">
      <alignment horizontal="center"/>
    </xf>
    <xf numFmtId="0" fontId="26" fillId="0" borderId="1" xfId="2"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2" fontId="2" fillId="0" borderId="0" xfId="0" applyNumberFormat="1" applyFont="1" applyAlignment="1">
      <alignment horizontal="center"/>
    </xf>
    <xf numFmtId="2" fontId="0" fillId="0" borderId="0" xfId="0" applyNumberFormat="1" applyAlignment="1">
      <alignment horizontal="center"/>
    </xf>
  </cellXfs>
  <cellStyles count="12">
    <cellStyle name="ENTER VALUE" xfId="6" xr:uid="{00000000-0005-0000-0000-000000000000}"/>
    <cellStyle name="ENTER VALUE 2" xfId="10" xr:uid="{00000000-0005-0000-0000-000001000000}"/>
    <cellStyle name="ENTER VALUE 3" xfId="9" xr:uid="{00000000-0005-0000-0000-000002000000}"/>
    <cellStyle name="ENTER VALUE 4" xfId="8" xr:uid="{00000000-0005-0000-0000-000003000000}"/>
    <cellStyle name="Hyperlink" xfId="1" builtinId="8"/>
    <cellStyle name="Normal" xfId="0" builtinId="0"/>
    <cellStyle name="Normal 2" xfId="2" xr:uid="{00000000-0005-0000-0000-000006000000}"/>
    <cellStyle name="Normal 3" xfId="11" xr:uid="{00000000-0005-0000-0000-000007000000}"/>
    <cellStyle name="Style 1" xfId="3" xr:uid="{00000000-0005-0000-0000-000008000000}"/>
    <cellStyle name="Style 1 2" xfId="4" xr:uid="{00000000-0005-0000-0000-000009000000}"/>
    <cellStyle name="Style 2" xfId="5" xr:uid="{00000000-0005-0000-0000-00000A000000}"/>
    <cellStyle name="UNIT" xfId="7" xr:uid="{00000000-0005-0000-0000-00000B000000}"/>
  </cellStyles>
  <dxfs count="37">
    <dxf>
      <font>
        <color theme="0"/>
      </font>
      <fill>
        <patternFill>
          <bgColor theme="0"/>
        </patternFill>
      </fill>
    </dxf>
    <dxf>
      <font>
        <color theme="0"/>
      </font>
      <fill>
        <patternFill>
          <bgColor theme="0"/>
        </patternFill>
      </fill>
    </dxf>
    <dxf>
      <font>
        <color theme="0"/>
      </font>
    </dxf>
    <dxf>
      <font>
        <color theme="0"/>
      </font>
    </dxf>
    <dxf>
      <font>
        <condense val="0"/>
        <extend val="0"/>
        <color indexed="9"/>
      </font>
      <fill>
        <patternFill>
          <bgColor indexed="9"/>
        </patternFill>
      </fill>
      <border>
        <left/>
        <right/>
        <top/>
        <bottom/>
      </border>
    </dxf>
    <dxf>
      <font>
        <strike/>
        <color theme="0" tint="-0.24994659260841701"/>
      </font>
      <fill>
        <patternFill patternType="none">
          <bgColor auto="1"/>
        </patternFill>
      </fill>
    </dxf>
    <dxf>
      <font>
        <color theme="0"/>
      </font>
      <fill>
        <patternFill>
          <bgColor theme="0"/>
        </patternFill>
      </fill>
    </dxf>
    <dxf>
      <font>
        <condense val="0"/>
        <extend val="0"/>
        <color indexed="9"/>
      </font>
      <fill>
        <patternFill>
          <bgColor indexed="9"/>
        </patternFill>
      </fill>
      <border>
        <left/>
        <right/>
        <top style="thin">
          <color auto="1"/>
        </top>
        <bottom style="thin">
          <color auto="1"/>
        </bottom>
      </border>
    </dxf>
    <dxf>
      <fill>
        <patternFill>
          <bgColor indexed="1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ont>
        <color theme="0"/>
      </font>
      <fill>
        <patternFill patternType="solid">
          <bgColor theme="0"/>
        </patternFill>
      </fill>
      <border>
        <left/>
        <right/>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24994659260841701"/>
        </patternFill>
      </fill>
    </dxf>
    <dxf>
      <fill>
        <patternFill>
          <bgColor indexed="10"/>
        </patternFill>
      </fill>
    </dxf>
    <dxf>
      <font>
        <color theme="0"/>
      </font>
      <fill>
        <patternFill>
          <fgColor theme="0"/>
          <bgColor theme="0"/>
        </patternFill>
      </fill>
    </dxf>
    <dxf>
      <font>
        <strike val="0"/>
        <color theme="0"/>
      </font>
      <fill>
        <patternFill patternType="none">
          <bgColor auto="1"/>
        </patternFill>
      </fill>
    </dxf>
    <dxf>
      <font>
        <color theme="0"/>
      </font>
      <fill>
        <patternFill>
          <bgColor theme="0"/>
        </patternFill>
      </fill>
    </dxf>
    <dxf>
      <font>
        <color theme="0"/>
      </font>
      <fill>
        <patternFill patternType="solid">
          <bgColor theme="0"/>
        </patternFill>
      </fill>
      <border>
        <left/>
        <right/>
      </border>
    </dxf>
    <dxf>
      <font>
        <color theme="0"/>
      </font>
    </dxf>
    <dxf>
      <font>
        <condense val="0"/>
        <extend val="0"/>
        <color indexed="9"/>
      </font>
      <fill>
        <patternFill>
          <bgColor indexed="9"/>
        </patternFill>
      </fill>
      <border>
        <left/>
        <right/>
        <top style="thin">
          <color indexed="64"/>
        </top>
        <bottom/>
      </border>
    </dxf>
    <dxf>
      <font>
        <condense val="0"/>
        <extend val="0"/>
        <color indexed="9"/>
      </font>
      <fill>
        <patternFill>
          <bgColor indexed="9"/>
        </patternFill>
      </fill>
      <border>
        <left/>
        <right/>
        <top/>
        <bottom style="thin">
          <color auto="1"/>
        </bottom>
      </border>
    </dxf>
    <dxf>
      <fill>
        <patternFill>
          <bgColor rgb="FFFFFF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9" defaultPivotStyle="PivotStyleLight16"/>
  <colors>
    <mruColors>
      <color rgb="FF0053FA"/>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67237229923697"/>
          <c:y val="0.10613723813134238"/>
          <c:w val="0.83144069779259888"/>
          <c:h val="0.76916929287639557"/>
        </c:manualLayout>
      </c:layout>
      <c:scatterChart>
        <c:scatterStyle val="lineMarker"/>
        <c:varyColors val="0"/>
        <c:ser>
          <c:idx val="3"/>
          <c:order val="0"/>
          <c:tx>
            <c:v>Tem Derated FET SOA</c:v>
          </c:tx>
          <c:spPr>
            <a:ln w="25400">
              <a:solidFill>
                <a:srgbClr val="008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Equations!$V$193:$V$272</c:f>
              <c:numCache>
                <c:formatCode>0.00</c:formatCode>
                <c:ptCount val="80"/>
                <c:pt idx="0">
                  <c:v>127.16332644976826</c:v>
                </c:pt>
                <c:pt idx="1">
                  <c:v>63.581663224884132</c:v>
                </c:pt>
                <c:pt idx="2">
                  <c:v>42.387775483256085</c:v>
                </c:pt>
                <c:pt idx="3">
                  <c:v>31.790831612442066</c:v>
                </c:pt>
                <c:pt idx="4">
                  <c:v>25.432665289953654</c:v>
                </c:pt>
                <c:pt idx="5">
                  <c:v>21.193887741628043</c:v>
                </c:pt>
                <c:pt idx="6">
                  <c:v>18.166189492824039</c:v>
                </c:pt>
                <c:pt idx="7">
                  <c:v>15.895415806221033</c:v>
                </c:pt>
                <c:pt idx="8">
                  <c:v>14.129258494418696</c:v>
                </c:pt>
                <c:pt idx="9">
                  <c:v>12.716332644976827</c:v>
                </c:pt>
                <c:pt idx="10">
                  <c:v>11.560302404524387</c:v>
                </c:pt>
                <c:pt idx="11">
                  <c:v>10.596943870814021</c:v>
                </c:pt>
                <c:pt idx="12">
                  <c:v>9.7817943422898672</c:v>
                </c:pt>
                <c:pt idx="13">
                  <c:v>9.0830947464120193</c:v>
                </c:pt>
                <c:pt idx="14">
                  <c:v>8.4775550966512174</c:v>
                </c:pt>
                <c:pt idx="15">
                  <c:v>7.9477079031105164</c:v>
                </c:pt>
                <c:pt idx="16">
                  <c:v>7.4801956735157802</c:v>
                </c:pt>
                <c:pt idx="17">
                  <c:v>7.0646292472093482</c:v>
                </c:pt>
                <c:pt idx="18">
                  <c:v>6.6928066552509611</c:v>
                </c:pt>
                <c:pt idx="19">
                  <c:v>6.3581663224884135</c:v>
                </c:pt>
                <c:pt idx="20">
                  <c:v>6.0553964976080126</c:v>
                </c:pt>
                <c:pt idx="21">
                  <c:v>5.7801512022621937</c:v>
                </c:pt>
                <c:pt idx="22">
                  <c:v>5.5288402804247072</c:v>
                </c:pt>
                <c:pt idx="23">
                  <c:v>5.2984719354070107</c:v>
                </c:pt>
                <c:pt idx="24">
                  <c:v>5.0865330579907306</c:v>
                </c:pt>
                <c:pt idx="25">
                  <c:v>4.8908971711449336</c:v>
                </c:pt>
                <c:pt idx="26">
                  <c:v>4.7097528314728985</c:v>
                </c:pt>
                <c:pt idx="27">
                  <c:v>4.5415473732060097</c:v>
                </c:pt>
                <c:pt idx="28">
                  <c:v>4.3849422913713196</c:v>
                </c:pt>
                <c:pt idx="29">
                  <c:v>4.2387775483256087</c:v>
                </c:pt>
                <c:pt idx="30">
                  <c:v>4.1020427887022022</c:v>
                </c:pt>
                <c:pt idx="31">
                  <c:v>3.9738539515552582</c:v>
                </c:pt>
                <c:pt idx="32">
                  <c:v>3.8534341348414625</c:v>
                </c:pt>
                <c:pt idx="33">
                  <c:v>3.7400978367578901</c:v>
                </c:pt>
                <c:pt idx="34">
                  <c:v>3.6332378985648077</c:v>
                </c:pt>
                <c:pt idx="35">
                  <c:v>3.5323146236046741</c:v>
                </c:pt>
                <c:pt idx="36">
                  <c:v>3.4368466608045476</c:v>
                </c:pt>
                <c:pt idx="37">
                  <c:v>3.3464033276254805</c:v>
                </c:pt>
                <c:pt idx="38">
                  <c:v>3.2605981140966223</c:v>
                </c:pt>
                <c:pt idx="39">
                  <c:v>3.1790831612442068</c:v>
                </c:pt>
                <c:pt idx="40">
                  <c:v>3.1015445475553234</c:v>
                </c:pt>
                <c:pt idx="41">
                  <c:v>3.0276982488040063</c:v>
                </c:pt>
                <c:pt idx="42">
                  <c:v>2.957286661622518</c:v>
                </c:pt>
                <c:pt idx="43">
                  <c:v>2.8900756011310968</c:v>
                </c:pt>
                <c:pt idx="44">
                  <c:v>2.825851698883739</c:v>
                </c:pt>
                <c:pt idx="45">
                  <c:v>2.7644201402123536</c:v>
                </c:pt>
                <c:pt idx="46">
                  <c:v>2.7056026904206014</c:v>
                </c:pt>
                <c:pt idx="47">
                  <c:v>2.6492359677035053</c:v>
                </c:pt>
                <c:pt idx="48">
                  <c:v>2.5951699275462912</c:v>
                </c:pt>
                <c:pt idx="49">
                  <c:v>2.5432665289953653</c:v>
                </c:pt>
                <c:pt idx="50">
                  <c:v>2.4933985578385935</c:v>
                </c:pt>
                <c:pt idx="51">
                  <c:v>2.4454485855724668</c:v>
                </c:pt>
                <c:pt idx="52">
                  <c:v>2.3993080462220426</c:v>
                </c:pt>
                <c:pt idx="53">
                  <c:v>2.3548764157364492</c:v>
                </c:pt>
                <c:pt idx="54">
                  <c:v>2.3120604809048775</c:v>
                </c:pt>
                <c:pt idx="55">
                  <c:v>2.2707736866030048</c:v>
                </c:pt>
                <c:pt idx="56">
                  <c:v>2.2309355517503202</c:v>
                </c:pt>
                <c:pt idx="57">
                  <c:v>2.1924711456856598</c:v>
                </c:pt>
                <c:pt idx="58">
                  <c:v>2.1553106177926824</c:v>
                </c:pt>
                <c:pt idx="59">
                  <c:v>2.1193887741628044</c:v>
                </c:pt>
                <c:pt idx="60">
                  <c:v>2.0846446958978402</c:v>
                </c:pt>
                <c:pt idx="61">
                  <c:v>2.0510213943511011</c:v>
                </c:pt>
                <c:pt idx="62">
                  <c:v>2.0184654992026707</c:v>
                </c:pt>
                <c:pt idx="63">
                  <c:v>1.9869269757776291</c:v>
                </c:pt>
                <c:pt idx="64">
                  <c:v>1.9563588684579734</c:v>
                </c:pt>
                <c:pt idx="65">
                  <c:v>1.9267170674207312</c:v>
                </c:pt>
                <c:pt idx="66">
                  <c:v>1.8979600962651979</c:v>
                </c:pt>
                <c:pt idx="67">
                  <c:v>1.870048918378945</c:v>
                </c:pt>
                <c:pt idx="68">
                  <c:v>1.842946760141569</c:v>
                </c:pt>
                <c:pt idx="69">
                  <c:v>1.8166189492824039</c:v>
                </c:pt>
                <c:pt idx="70">
                  <c:v>1.7910327668981445</c:v>
                </c:pt>
                <c:pt idx="71">
                  <c:v>1.766157311802337</c:v>
                </c:pt>
                <c:pt idx="72">
                  <c:v>1.7419633760242228</c:v>
                </c:pt>
                <c:pt idx="73">
                  <c:v>1.7184233304022738</c:v>
                </c:pt>
                <c:pt idx="74">
                  <c:v>1.6955110193302436</c:v>
                </c:pt>
                <c:pt idx="75">
                  <c:v>1.6732016638127403</c:v>
                </c:pt>
                <c:pt idx="76">
                  <c:v>1.6514717720749126</c:v>
                </c:pt>
                <c:pt idx="77">
                  <c:v>1.6302990570483111</c:v>
                </c:pt>
                <c:pt idx="78">
                  <c:v>1.6096623601236488</c:v>
                </c:pt>
                <c:pt idx="79">
                  <c:v>1.5895415806221034</c:v>
                </c:pt>
              </c:numCache>
            </c:numRef>
          </c:yVal>
          <c:smooth val="0"/>
          <c:extLst>
            <c:ext xmlns:c16="http://schemas.microsoft.com/office/drawing/2014/chart" uri="{C3380CC4-5D6E-409C-BE32-E72D297353CC}">
              <c16:uniqueId val="{00000000-073E-45E8-9BFE-26EC7FB986A1}"/>
            </c:ext>
          </c:extLst>
        </c:ser>
        <c:ser>
          <c:idx val="1"/>
          <c:order val="1"/>
          <c:tx>
            <c:v>Typ Device SOA Limit</c:v>
          </c:tx>
          <c:spPr>
            <a:ln w="25400">
              <a:solidFill>
                <a:srgbClr val="FF0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Equations!$T$193:$T$272</c:f>
              <c:numCache>
                <c:formatCode>0.00</c:formatCode>
                <c:ptCount val="80"/>
                <c:pt idx="0">
                  <c:v>36.666666666666664</c:v>
                </c:pt>
                <c:pt idx="1">
                  <c:v>35.466666666666661</c:v>
                </c:pt>
                <c:pt idx="2">
                  <c:v>23.866666666666664</c:v>
                </c:pt>
                <c:pt idx="3">
                  <c:v>18.066666666666663</c:v>
                </c:pt>
                <c:pt idx="4">
                  <c:v>14.586666666666664</c:v>
                </c:pt>
                <c:pt idx="5">
                  <c:v>12.266666666666666</c:v>
                </c:pt>
                <c:pt idx="6">
                  <c:v>10.609523809523807</c:v>
                </c:pt>
                <c:pt idx="7">
                  <c:v>9.3666666666666654</c:v>
                </c:pt>
                <c:pt idx="8">
                  <c:v>8.3999999999999986</c:v>
                </c:pt>
                <c:pt idx="9">
                  <c:v>7.6266666666666652</c:v>
                </c:pt>
                <c:pt idx="10">
                  <c:v>6.9939393939393932</c:v>
                </c:pt>
                <c:pt idx="11">
                  <c:v>6.4666666666666659</c:v>
                </c:pt>
                <c:pt idx="12">
                  <c:v>6.0205128205128196</c:v>
                </c:pt>
                <c:pt idx="13">
                  <c:v>5.6380952380952376</c:v>
                </c:pt>
                <c:pt idx="14">
                  <c:v>5.3066666666666666</c:v>
                </c:pt>
                <c:pt idx="15">
                  <c:v>5.0166666666666657</c:v>
                </c:pt>
                <c:pt idx="16">
                  <c:v>4.7607843137254893</c:v>
                </c:pt>
                <c:pt idx="17">
                  <c:v>4.5333333333333332</c:v>
                </c:pt>
                <c:pt idx="18">
                  <c:v>4.329824561403508</c:v>
                </c:pt>
                <c:pt idx="19">
                  <c:v>4.1466666666666665</c:v>
                </c:pt>
                <c:pt idx="20">
                  <c:v>3.9809523809523806</c:v>
                </c:pt>
                <c:pt idx="21">
                  <c:v>3.8303030303030297</c:v>
                </c:pt>
                <c:pt idx="22">
                  <c:v>3.6927536231884055</c:v>
                </c:pt>
                <c:pt idx="23">
                  <c:v>3.5666666666666664</c:v>
                </c:pt>
                <c:pt idx="24">
                  <c:v>3.4506666666666659</c:v>
                </c:pt>
                <c:pt idx="25">
                  <c:v>5.0000000000000003E-10</c:v>
                </c:pt>
                <c:pt idx="26">
                  <c:v>5.0000000000000003E-10</c:v>
                </c:pt>
                <c:pt idx="27">
                  <c:v>5.0000000000000003E-10</c:v>
                </c:pt>
                <c:pt idx="28">
                  <c:v>5.0000000000000003E-10</c:v>
                </c:pt>
                <c:pt idx="29">
                  <c:v>5.0000000000000003E-10</c:v>
                </c:pt>
                <c:pt idx="30">
                  <c:v>5.0000000000000003E-10</c:v>
                </c:pt>
                <c:pt idx="31">
                  <c:v>5.0000000000000003E-10</c:v>
                </c:pt>
                <c:pt idx="32">
                  <c:v>5.0000000000000003E-10</c:v>
                </c:pt>
                <c:pt idx="33">
                  <c:v>5.0000000000000003E-10</c:v>
                </c:pt>
                <c:pt idx="34">
                  <c:v>5.0000000000000003E-10</c:v>
                </c:pt>
                <c:pt idx="35">
                  <c:v>5.0000000000000003E-10</c:v>
                </c:pt>
                <c:pt idx="36">
                  <c:v>5.0000000000000003E-10</c:v>
                </c:pt>
                <c:pt idx="37">
                  <c:v>5.0000000000000003E-10</c:v>
                </c:pt>
                <c:pt idx="38">
                  <c:v>5.0000000000000003E-10</c:v>
                </c:pt>
                <c:pt idx="39">
                  <c:v>5.0000000000000003E-10</c:v>
                </c:pt>
                <c:pt idx="40">
                  <c:v>5.0000000000000003E-10</c:v>
                </c:pt>
                <c:pt idx="41">
                  <c:v>5.0000000000000003E-10</c:v>
                </c:pt>
                <c:pt idx="42">
                  <c:v>5.0000000000000003E-10</c:v>
                </c:pt>
                <c:pt idx="43">
                  <c:v>5.0000000000000003E-10</c:v>
                </c:pt>
                <c:pt idx="44">
                  <c:v>5.0000000000000003E-10</c:v>
                </c:pt>
                <c:pt idx="45">
                  <c:v>5.0000000000000003E-10</c:v>
                </c:pt>
                <c:pt idx="46">
                  <c:v>5.0000000000000003E-10</c:v>
                </c:pt>
                <c:pt idx="47">
                  <c:v>5.0000000000000003E-10</c:v>
                </c:pt>
                <c:pt idx="48">
                  <c:v>5.0000000000000003E-10</c:v>
                </c:pt>
                <c:pt idx="49">
                  <c:v>5.0000000000000003E-10</c:v>
                </c:pt>
                <c:pt idx="50">
                  <c:v>5.0000000000000003E-10</c:v>
                </c:pt>
                <c:pt idx="51">
                  <c:v>5.0000000000000003E-10</c:v>
                </c:pt>
                <c:pt idx="52">
                  <c:v>5.0000000000000003E-10</c:v>
                </c:pt>
                <c:pt idx="53">
                  <c:v>5.0000000000000003E-10</c:v>
                </c:pt>
                <c:pt idx="54">
                  <c:v>5.0000000000000003E-10</c:v>
                </c:pt>
                <c:pt idx="55">
                  <c:v>5.0000000000000003E-10</c:v>
                </c:pt>
                <c:pt idx="56">
                  <c:v>5.0000000000000003E-10</c:v>
                </c:pt>
                <c:pt idx="57">
                  <c:v>5.0000000000000003E-10</c:v>
                </c:pt>
                <c:pt idx="58">
                  <c:v>5.0000000000000003E-10</c:v>
                </c:pt>
                <c:pt idx="59">
                  <c:v>5.0000000000000003E-10</c:v>
                </c:pt>
                <c:pt idx="60">
                  <c:v>5.0000000000000003E-10</c:v>
                </c:pt>
                <c:pt idx="61">
                  <c:v>5.0000000000000003E-10</c:v>
                </c:pt>
                <c:pt idx="62">
                  <c:v>5.0000000000000003E-10</c:v>
                </c:pt>
                <c:pt idx="63">
                  <c:v>5.0000000000000003E-10</c:v>
                </c:pt>
                <c:pt idx="64">
                  <c:v>5.0000000000000003E-10</c:v>
                </c:pt>
                <c:pt idx="65">
                  <c:v>5.0000000000000003E-10</c:v>
                </c:pt>
                <c:pt idx="66">
                  <c:v>5.0000000000000003E-10</c:v>
                </c:pt>
                <c:pt idx="67">
                  <c:v>5.0000000000000003E-10</c:v>
                </c:pt>
                <c:pt idx="68">
                  <c:v>5.0000000000000003E-10</c:v>
                </c:pt>
                <c:pt idx="69">
                  <c:v>5.0000000000000003E-10</c:v>
                </c:pt>
                <c:pt idx="70">
                  <c:v>5.0000000000000003E-10</c:v>
                </c:pt>
                <c:pt idx="71">
                  <c:v>5.0000000000000003E-10</c:v>
                </c:pt>
                <c:pt idx="72">
                  <c:v>5.0000000000000003E-10</c:v>
                </c:pt>
                <c:pt idx="73">
                  <c:v>5.0000000000000003E-10</c:v>
                </c:pt>
                <c:pt idx="74">
                  <c:v>5.0000000000000003E-10</c:v>
                </c:pt>
                <c:pt idx="75">
                  <c:v>5.0000000000000003E-10</c:v>
                </c:pt>
                <c:pt idx="76">
                  <c:v>5.0000000000000003E-10</c:v>
                </c:pt>
                <c:pt idx="77">
                  <c:v>5.0000000000000003E-10</c:v>
                </c:pt>
                <c:pt idx="78">
                  <c:v>5.0000000000000003E-10</c:v>
                </c:pt>
                <c:pt idx="79">
                  <c:v>5.0000000000000003E-10</c:v>
                </c:pt>
              </c:numCache>
            </c:numRef>
          </c:yVal>
          <c:smooth val="0"/>
          <c:extLst>
            <c:ext xmlns:c16="http://schemas.microsoft.com/office/drawing/2014/chart" uri="{C3380CC4-5D6E-409C-BE32-E72D297353CC}">
              <c16:uniqueId val="{00000001-073E-45E8-9BFE-26EC7FB986A1}"/>
            </c:ext>
          </c:extLst>
        </c:ser>
        <c:dLbls>
          <c:showLegendKey val="0"/>
          <c:showVal val="0"/>
          <c:showCatName val="0"/>
          <c:showSerName val="0"/>
          <c:showPercent val="0"/>
          <c:showBubbleSize val="0"/>
        </c:dLbls>
        <c:axId val="340050304"/>
        <c:axId val="340052224"/>
      </c:scatterChart>
      <c:valAx>
        <c:axId val="340050304"/>
        <c:scaling>
          <c:logBase val="10"/>
          <c:orientation val="minMax"/>
          <c:max val="1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V</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Voltage - V</a:t>
                </a:r>
              </a:p>
            </c:rich>
          </c:tx>
          <c:layout>
            <c:manualLayout>
              <c:xMode val="edge"/>
              <c:yMode val="edge"/>
              <c:x val="0.37459064370200507"/>
              <c:y val="0.940294615207360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2224"/>
        <c:crossesAt val="0.1"/>
        <c:crossBetween val="midCat"/>
      </c:valAx>
      <c:valAx>
        <c:axId val="340052224"/>
        <c:scaling>
          <c:logBase val="10"/>
          <c:orientation val="minMax"/>
          <c:max val="1000"/>
          <c:min val="1"/>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I</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Current - A</a:t>
                </a:r>
              </a:p>
            </c:rich>
          </c:tx>
          <c:layout>
            <c:manualLayout>
              <c:xMode val="edge"/>
              <c:yMode val="edge"/>
              <c:x val="2.0103885280763262E-2"/>
              <c:y val="0.21497860712616401"/>
            </c:manualLayout>
          </c:layout>
          <c:overlay val="0"/>
          <c:spPr>
            <a:noFill/>
            <a:ln w="25400">
              <a:noFill/>
            </a:ln>
          </c:spPr>
        </c:title>
        <c:numFmt formatCode="General" sourceLinked="0"/>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0304"/>
        <c:crosses val="autoZero"/>
        <c:crossBetween val="midCat"/>
      </c:valAx>
      <c:spPr>
        <a:solidFill>
          <a:srgbClr val="FFFFFF"/>
        </a:solidFill>
        <a:ln w="12700">
          <a:solidFill>
            <a:srgbClr val="808080"/>
          </a:solidFill>
          <a:prstDash val="solid"/>
        </a:ln>
      </c:spPr>
    </c:plotArea>
    <c:legend>
      <c:legendPos val="r"/>
      <c:layout>
        <c:manualLayout>
          <c:xMode val="edge"/>
          <c:yMode val="edge"/>
          <c:x val="0.43686657794363282"/>
          <c:y val="5.8933081466572397E-2"/>
          <c:w val="0.5171341264823649"/>
          <c:h val="0.23827095430172604"/>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I</a:t>
            </a:r>
            <a:r>
              <a:rPr lang="en-US" sz="1600" baseline="-25000"/>
              <a:t>LOAD</a:t>
            </a:r>
            <a:r>
              <a:rPr lang="en-US" sz="1600" baseline="0"/>
              <a:t> and I</a:t>
            </a:r>
            <a:r>
              <a:rPr lang="en-US" sz="1600" baseline="-25000"/>
              <a:t>FET</a:t>
            </a:r>
            <a:r>
              <a:rPr lang="en-US" sz="1600" baseline="0"/>
              <a:t> vs Vout </a:t>
            </a:r>
            <a:r>
              <a:rPr lang="en-US" sz="1600" b="1" i="0" baseline="0">
                <a:effectLst/>
              </a:rPr>
              <a:t>(V</a:t>
            </a:r>
            <a:r>
              <a:rPr lang="en-US" sz="1600" b="1" i="0" baseline="-25000">
                <a:effectLst/>
              </a:rPr>
              <a:t>IN</a:t>
            </a:r>
            <a:r>
              <a:rPr lang="en-US" sz="1600" b="1" i="0" baseline="0">
                <a:effectLst/>
              </a:rPr>
              <a:t> = V</a:t>
            </a:r>
            <a:r>
              <a:rPr lang="en-US" sz="1600" b="1" i="0" baseline="-25000">
                <a:effectLst/>
              </a:rPr>
              <a:t>INMAX</a:t>
            </a:r>
            <a:r>
              <a:rPr lang="en-US" sz="1600" b="1" i="0" baseline="0">
                <a:effectLst/>
              </a:rPr>
              <a:t>)</a:t>
            </a:r>
            <a:r>
              <a:rPr lang="en-US" sz="1600" baseline="0"/>
              <a:t>                                               </a:t>
            </a:r>
            <a:endParaRPr lang="en-US" sz="1600" baseline="-25000"/>
          </a:p>
        </c:rich>
      </c:tx>
      <c:layout>
        <c:manualLayout>
          <c:xMode val="edge"/>
          <c:yMode val="edge"/>
          <c:x val="0.16494063286351637"/>
          <c:y val="3.0591748387251084E-2"/>
        </c:manualLayout>
      </c:layout>
      <c:overlay val="1"/>
      <c:spPr>
        <a:solidFill>
          <a:schemeClr val="bg1"/>
        </a:solidFill>
      </c:spPr>
    </c:title>
    <c:autoTitleDeleted val="0"/>
    <c:plotArea>
      <c:layout>
        <c:manualLayout>
          <c:layoutTarget val="inner"/>
          <c:xMode val="edge"/>
          <c:yMode val="edge"/>
          <c:x val="0.15203109554174482"/>
          <c:y val="0.13835811263066838"/>
          <c:w val="0.76865751103613689"/>
          <c:h val="0.70165890209112658"/>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ABF6-4C92-9C5A-9B415DFFDC20}"/>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0.128</c:v>
                </c:pt>
                <c:pt idx="1">
                  <c:v>0.128</c:v>
                </c:pt>
                <c:pt idx="2">
                  <c:v>0.128</c:v>
                </c:pt>
                <c:pt idx="3">
                  <c:v>0.128</c:v>
                </c:pt>
                <c:pt idx="4">
                  <c:v>0.128</c:v>
                </c:pt>
                <c:pt idx="5">
                  <c:v>0.128</c:v>
                </c:pt>
                <c:pt idx="6">
                  <c:v>0.128</c:v>
                </c:pt>
                <c:pt idx="7">
                  <c:v>0.128</c:v>
                </c:pt>
                <c:pt idx="8">
                  <c:v>0.128</c:v>
                </c:pt>
                <c:pt idx="9">
                  <c:v>0.128</c:v>
                </c:pt>
                <c:pt idx="10">
                  <c:v>0.128</c:v>
                </c:pt>
                <c:pt idx="11">
                  <c:v>0.128</c:v>
                </c:pt>
                <c:pt idx="12">
                  <c:v>0.128</c:v>
                </c:pt>
                <c:pt idx="13">
                  <c:v>0.128</c:v>
                </c:pt>
                <c:pt idx="14">
                  <c:v>0.128</c:v>
                </c:pt>
                <c:pt idx="15">
                  <c:v>0.128</c:v>
                </c:pt>
                <c:pt idx="16">
                  <c:v>0.128</c:v>
                </c:pt>
                <c:pt idx="17">
                  <c:v>0.128</c:v>
                </c:pt>
                <c:pt idx="18">
                  <c:v>0.128</c:v>
                </c:pt>
                <c:pt idx="19">
                  <c:v>0.128</c:v>
                </c:pt>
                <c:pt idx="20">
                  <c:v>0.128</c:v>
                </c:pt>
                <c:pt idx="21">
                  <c:v>0.128</c:v>
                </c:pt>
                <c:pt idx="22">
                  <c:v>0.128</c:v>
                </c:pt>
                <c:pt idx="23">
                  <c:v>0.128</c:v>
                </c:pt>
                <c:pt idx="24">
                  <c:v>0.128</c:v>
                </c:pt>
                <c:pt idx="25">
                  <c:v>0.128</c:v>
                </c:pt>
                <c:pt idx="26">
                  <c:v>0.128</c:v>
                </c:pt>
                <c:pt idx="27">
                  <c:v>0.128</c:v>
                </c:pt>
                <c:pt idx="28">
                  <c:v>0.128</c:v>
                </c:pt>
                <c:pt idx="29">
                  <c:v>0.128</c:v>
                </c:pt>
                <c:pt idx="30">
                  <c:v>0.128</c:v>
                </c:pt>
                <c:pt idx="31">
                  <c:v>0.128</c:v>
                </c:pt>
                <c:pt idx="32">
                  <c:v>0.128</c:v>
                </c:pt>
                <c:pt idx="33">
                  <c:v>0.128</c:v>
                </c:pt>
                <c:pt idx="34">
                  <c:v>0.128</c:v>
                </c:pt>
                <c:pt idx="35">
                  <c:v>0.128</c:v>
                </c:pt>
                <c:pt idx="36">
                  <c:v>0.128</c:v>
                </c:pt>
                <c:pt idx="37">
                  <c:v>0.128</c:v>
                </c:pt>
                <c:pt idx="38">
                  <c:v>0.128</c:v>
                </c:pt>
                <c:pt idx="39">
                  <c:v>0.128</c:v>
                </c:pt>
                <c:pt idx="40">
                  <c:v>0.128</c:v>
                </c:pt>
                <c:pt idx="41">
                  <c:v>0.128</c:v>
                </c:pt>
                <c:pt idx="42">
                  <c:v>0.128</c:v>
                </c:pt>
                <c:pt idx="43">
                  <c:v>0.128</c:v>
                </c:pt>
                <c:pt idx="44">
                  <c:v>0.128</c:v>
                </c:pt>
                <c:pt idx="45">
                  <c:v>0.128</c:v>
                </c:pt>
                <c:pt idx="46">
                  <c:v>0.128</c:v>
                </c:pt>
                <c:pt idx="47">
                  <c:v>0.128</c:v>
                </c:pt>
                <c:pt idx="48">
                  <c:v>0.128</c:v>
                </c:pt>
                <c:pt idx="49">
                  <c:v>0.128</c:v>
                </c:pt>
                <c:pt idx="50">
                  <c:v>0.128</c:v>
                </c:pt>
                <c:pt idx="51">
                  <c:v>0.128</c:v>
                </c:pt>
                <c:pt idx="52">
                  <c:v>0.128</c:v>
                </c:pt>
                <c:pt idx="53">
                  <c:v>0.128</c:v>
                </c:pt>
                <c:pt idx="54">
                  <c:v>0.128</c:v>
                </c:pt>
                <c:pt idx="55">
                  <c:v>0.128</c:v>
                </c:pt>
                <c:pt idx="56">
                  <c:v>0.128</c:v>
                </c:pt>
                <c:pt idx="57">
                  <c:v>0.128</c:v>
                </c:pt>
                <c:pt idx="58">
                  <c:v>0.128</c:v>
                </c:pt>
                <c:pt idx="59">
                  <c:v>0.128</c:v>
                </c:pt>
                <c:pt idx="60">
                  <c:v>0.128</c:v>
                </c:pt>
                <c:pt idx="61">
                  <c:v>0.128</c:v>
                </c:pt>
                <c:pt idx="62">
                  <c:v>0.128</c:v>
                </c:pt>
                <c:pt idx="63">
                  <c:v>0.128</c:v>
                </c:pt>
                <c:pt idx="64">
                  <c:v>0.128</c:v>
                </c:pt>
                <c:pt idx="65">
                  <c:v>0.128</c:v>
                </c:pt>
                <c:pt idx="66">
                  <c:v>0.128</c:v>
                </c:pt>
                <c:pt idx="67">
                  <c:v>0.128</c:v>
                </c:pt>
                <c:pt idx="68">
                  <c:v>0.128</c:v>
                </c:pt>
                <c:pt idx="69">
                  <c:v>0.128</c:v>
                </c:pt>
                <c:pt idx="70">
                  <c:v>0.128</c:v>
                </c:pt>
                <c:pt idx="71">
                  <c:v>0.128</c:v>
                </c:pt>
                <c:pt idx="72">
                  <c:v>0.128</c:v>
                </c:pt>
                <c:pt idx="73">
                  <c:v>0.128</c:v>
                </c:pt>
                <c:pt idx="74">
                  <c:v>0.128</c:v>
                </c:pt>
                <c:pt idx="75">
                  <c:v>0.128</c:v>
                </c:pt>
                <c:pt idx="76">
                  <c:v>0.128</c:v>
                </c:pt>
                <c:pt idx="77">
                  <c:v>0.128</c:v>
                </c:pt>
                <c:pt idx="78">
                  <c:v>0.128</c:v>
                </c:pt>
                <c:pt idx="79">
                  <c:v>0.128</c:v>
                </c:pt>
                <c:pt idx="80">
                  <c:v>0.128</c:v>
                </c:pt>
                <c:pt idx="81">
                  <c:v>0.128</c:v>
                </c:pt>
                <c:pt idx="82">
                  <c:v>0.128</c:v>
                </c:pt>
                <c:pt idx="83">
                  <c:v>0.128</c:v>
                </c:pt>
                <c:pt idx="84">
                  <c:v>0.128</c:v>
                </c:pt>
                <c:pt idx="85">
                  <c:v>0.128</c:v>
                </c:pt>
                <c:pt idx="86">
                  <c:v>0.128</c:v>
                </c:pt>
                <c:pt idx="87">
                  <c:v>0.128</c:v>
                </c:pt>
                <c:pt idx="88">
                  <c:v>0.128</c:v>
                </c:pt>
                <c:pt idx="89">
                  <c:v>0.128</c:v>
                </c:pt>
                <c:pt idx="90">
                  <c:v>0.128</c:v>
                </c:pt>
                <c:pt idx="91">
                  <c:v>0.128</c:v>
                </c:pt>
                <c:pt idx="92">
                  <c:v>0.128</c:v>
                </c:pt>
                <c:pt idx="93">
                  <c:v>0.128</c:v>
                </c:pt>
                <c:pt idx="94">
                  <c:v>0.128</c:v>
                </c:pt>
                <c:pt idx="95">
                  <c:v>0.128</c:v>
                </c:pt>
                <c:pt idx="96">
                  <c:v>0.128</c:v>
                </c:pt>
                <c:pt idx="97">
                  <c:v>0.128</c:v>
                </c:pt>
                <c:pt idx="98">
                  <c:v>0.128</c:v>
                </c:pt>
                <c:pt idx="99">
                  <c:v>0.128</c:v>
                </c:pt>
                <c:pt idx="100">
                  <c:v>0.128</c:v>
                </c:pt>
                <c:pt idx="101">
                  <c:v>0.128</c:v>
                </c:pt>
                <c:pt idx="102">
                  <c:v>0.128</c:v>
                </c:pt>
              </c:numCache>
            </c:numRef>
          </c:yVal>
          <c:smooth val="1"/>
          <c:extLst>
            <c:ext xmlns:c16="http://schemas.microsoft.com/office/drawing/2014/chart" uri="{C3380CC4-5D6E-409C-BE32-E72D297353CC}">
              <c16:uniqueId val="{00000001-ABF6-4C92-9C5A-9B415DFFDC20}"/>
            </c:ext>
          </c:extLst>
        </c:ser>
        <c:dLbls>
          <c:showLegendKey val="0"/>
          <c:showVal val="0"/>
          <c:showCatName val="0"/>
          <c:showSerName val="0"/>
          <c:showPercent val="0"/>
          <c:showBubbleSize val="0"/>
        </c:dLbls>
        <c:axId val="340069376"/>
        <c:axId val="340100224"/>
      </c:scatterChart>
      <c:valAx>
        <c:axId val="340069376"/>
        <c:scaling>
          <c:orientation val="minMax"/>
        </c:scaling>
        <c:delete val="0"/>
        <c:axPos val="b"/>
        <c:majorGridlines/>
        <c:minorGridlines/>
        <c:title>
          <c:tx>
            <c:rich>
              <a:bodyPr/>
              <a:lstStyle/>
              <a:p>
                <a:pPr>
                  <a:defRPr/>
                </a:pPr>
                <a:r>
                  <a:rPr lang="en-US"/>
                  <a:t>Output</a:t>
                </a:r>
                <a:r>
                  <a:rPr lang="en-US" baseline="0"/>
                  <a:t> Voltage (V)</a:t>
                </a:r>
                <a:endParaRPr lang="en-US"/>
              </a:p>
            </c:rich>
          </c:tx>
          <c:layout>
            <c:manualLayout>
              <c:xMode val="edge"/>
              <c:yMode val="edge"/>
              <c:x val="0.40914479681091759"/>
              <c:y val="0.92545001031614371"/>
            </c:manualLayout>
          </c:layout>
          <c:overlay val="0"/>
        </c:title>
        <c:numFmt formatCode="0.00" sourceLinked="1"/>
        <c:majorTickMark val="out"/>
        <c:minorTickMark val="none"/>
        <c:tickLblPos val="nextTo"/>
        <c:txPr>
          <a:bodyPr/>
          <a:lstStyle/>
          <a:p>
            <a:pPr>
              <a:defRPr b="1"/>
            </a:pPr>
            <a:endParaRPr lang="en-US"/>
          </a:p>
        </c:txPr>
        <c:crossAx val="340100224"/>
        <c:crosses val="autoZero"/>
        <c:crossBetween val="midCat"/>
      </c:valAx>
      <c:valAx>
        <c:axId val="340100224"/>
        <c:scaling>
          <c:orientation val="minMax"/>
          <c:min val="0"/>
        </c:scaling>
        <c:delete val="0"/>
        <c:axPos val="l"/>
        <c:majorGridlines/>
        <c:minorGridlines/>
        <c:title>
          <c:tx>
            <c:rich>
              <a:bodyPr rot="-5400000" vert="horz"/>
              <a:lstStyle/>
              <a:p>
                <a:pPr>
                  <a:defRPr/>
                </a:pPr>
                <a:r>
                  <a:rPr lang="en-US"/>
                  <a:t>Current (A)</a:t>
                </a:r>
              </a:p>
            </c:rich>
          </c:tx>
          <c:layout>
            <c:manualLayout>
              <c:xMode val="edge"/>
              <c:yMode val="edge"/>
              <c:x val="2.5894125229633976E-2"/>
              <c:y val="0.40230013499530876"/>
            </c:manualLayout>
          </c:layout>
          <c:overlay val="0"/>
        </c:title>
        <c:numFmt formatCode="0.00" sourceLinked="0"/>
        <c:majorTickMark val="out"/>
        <c:minorTickMark val="none"/>
        <c:tickLblPos val="nextTo"/>
        <c:txPr>
          <a:bodyPr/>
          <a:lstStyle/>
          <a:p>
            <a:pPr>
              <a:defRPr b="1"/>
            </a:pPr>
            <a:endParaRPr lang="en-US"/>
          </a:p>
        </c:txPr>
        <c:crossAx val="340069376"/>
        <c:crosses val="autoZero"/>
        <c:crossBetween val="midCat"/>
      </c:valAx>
    </c:plotArea>
    <c:legend>
      <c:legendPos val="r"/>
      <c:layout>
        <c:manualLayout>
          <c:xMode val="edge"/>
          <c:yMode val="edge"/>
          <c:x val="0.69663816666481315"/>
          <c:y val="0.3081804569940747"/>
          <c:w val="0.21462230092985587"/>
          <c:h val="0.18516649249275954"/>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Start</a:t>
            </a:r>
            <a:r>
              <a:rPr lang="en-US" sz="1600" baseline="0"/>
              <a:t> - up: </a:t>
            </a:r>
            <a:r>
              <a:rPr lang="en-US" sz="1600"/>
              <a:t>FET</a:t>
            </a:r>
            <a:r>
              <a:rPr lang="en-US" sz="1600" baseline="0"/>
              <a:t> Power (</a:t>
            </a:r>
            <a:r>
              <a:rPr lang="en-US" sz="1600" b="1" i="0" u="none" strike="noStrike" baseline="0">
                <a:effectLst/>
              </a:rPr>
              <a:t>V</a:t>
            </a:r>
            <a:r>
              <a:rPr lang="en-US" sz="1600" b="1" i="0" u="none" strike="noStrike" baseline="-25000">
                <a:effectLst/>
              </a:rPr>
              <a:t>IN</a:t>
            </a:r>
            <a:r>
              <a:rPr lang="en-US" sz="1600" b="1" i="0" u="none" strike="noStrike" baseline="0">
                <a:effectLst/>
              </a:rPr>
              <a:t> = </a:t>
            </a:r>
            <a:r>
              <a:rPr lang="en-US" sz="1600" b="1" i="0" baseline="0">
                <a:effectLst/>
              </a:rPr>
              <a:t>V</a:t>
            </a:r>
            <a:r>
              <a:rPr lang="en-US" sz="1600" b="1" i="0" baseline="-25000">
                <a:effectLst/>
              </a:rPr>
              <a:t>INMAX</a:t>
            </a:r>
            <a:r>
              <a:rPr lang="en-US" sz="1600" b="1" i="0" u="none" strike="noStrike" baseline="0">
                <a:effectLst/>
              </a:rPr>
              <a:t>)</a:t>
            </a:r>
            <a:endParaRPr lang="en-US" sz="1600"/>
          </a:p>
        </c:rich>
      </c:tx>
      <c:layout>
        <c:manualLayout>
          <c:xMode val="edge"/>
          <c:yMode val="edge"/>
          <c:x val="0.17168280846180337"/>
          <c:y val="4.7012757938160914E-3"/>
        </c:manualLayout>
      </c:layout>
      <c:overlay val="0"/>
      <c:spPr>
        <a:solidFill>
          <a:schemeClr val="bg1"/>
        </a:solidFill>
      </c:spPr>
    </c:title>
    <c:autoTitleDeleted val="0"/>
    <c:plotArea>
      <c:layout>
        <c:manualLayout>
          <c:layoutTarget val="inner"/>
          <c:xMode val="edge"/>
          <c:yMode val="edge"/>
          <c:x val="0.13282996456702728"/>
          <c:y val="0.1721780614790322"/>
          <c:w val="0.77382819618555254"/>
          <c:h val="0.62754538725316988"/>
        </c:manualLayout>
      </c:layout>
      <c:scatterChart>
        <c:scatterStyle val="lineMarker"/>
        <c:varyColors val="0"/>
        <c:ser>
          <c:idx val="0"/>
          <c:order val="0"/>
          <c:tx>
            <c:v>FET power dissipation</c:v>
          </c:tx>
          <c:marker>
            <c:symbol val="none"/>
          </c:marker>
          <c:xVal>
            <c:numRef>
              <c:f>Start_up!$K$8:$K$115</c:f>
              <c:numCache>
                <c:formatCode>0.00</c:formatCode>
                <c:ptCount val="108"/>
                <c:pt idx="0" formatCode="0.0">
                  <c:v>-1</c:v>
                </c:pt>
                <c:pt idx="1">
                  <c:v>-0.01</c:v>
                </c:pt>
                <c:pt idx="2" formatCode="0.0">
                  <c:v>0</c:v>
                </c:pt>
                <c:pt idx="3" formatCode="0.0">
                  <c:v>1.5144230769230769</c:v>
                </c:pt>
                <c:pt idx="4" formatCode="0.0">
                  <c:v>3.0288461538461537</c:v>
                </c:pt>
                <c:pt idx="5" formatCode="0.0">
                  <c:v>4.5432692307692299</c:v>
                </c:pt>
                <c:pt idx="6" formatCode="0.0">
                  <c:v>6.0576923076923075</c:v>
                </c:pt>
                <c:pt idx="7" formatCode="0.0">
                  <c:v>7.572115384615385</c:v>
                </c:pt>
                <c:pt idx="8" formatCode="0.0">
                  <c:v>9.0865384615384617</c:v>
                </c:pt>
                <c:pt idx="9" formatCode="0.0">
                  <c:v>10.600961538461538</c:v>
                </c:pt>
                <c:pt idx="10" formatCode="0.0">
                  <c:v>12.115384615384615</c:v>
                </c:pt>
                <c:pt idx="11" formatCode="0.0">
                  <c:v>13.629807692307692</c:v>
                </c:pt>
                <c:pt idx="12" formatCode="0.0">
                  <c:v>15.14423076923077</c:v>
                </c:pt>
                <c:pt idx="13" formatCode="0.0">
                  <c:v>16.658653846153843</c:v>
                </c:pt>
                <c:pt idx="14" formatCode="0.0">
                  <c:v>18.17307692307692</c:v>
                </c:pt>
                <c:pt idx="15" formatCode="0.0">
                  <c:v>19.687499999999996</c:v>
                </c:pt>
                <c:pt idx="16" formatCode="0.0">
                  <c:v>21.201923076923073</c:v>
                </c:pt>
                <c:pt idx="17" formatCode="0.0">
                  <c:v>22.716346153846146</c:v>
                </c:pt>
                <c:pt idx="18" formatCode="0.0">
                  <c:v>24.230769230769226</c:v>
                </c:pt>
                <c:pt idx="19" formatCode="0.0">
                  <c:v>25.745192307692299</c:v>
                </c:pt>
                <c:pt idx="20" formatCode="0.0">
                  <c:v>27.259615384615376</c:v>
                </c:pt>
                <c:pt idx="21" formatCode="0.0">
                  <c:v>28.774038461538453</c:v>
                </c:pt>
                <c:pt idx="22" formatCode="0.0">
                  <c:v>30.288461538461537</c:v>
                </c:pt>
                <c:pt idx="23" formatCode="0.0">
                  <c:v>31.802884615384606</c:v>
                </c:pt>
                <c:pt idx="24" formatCode="0.0">
                  <c:v>33.317307692307686</c:v>
                </c:pt>
                <c:pt idx="25" formatCode="0.0">
                  <c:v>34.831730769230766</c:v>
                </c:pt>
                <c:pt idx="26" formatCode="0.0">
                  <c:v>36.346153846153847</c:v>
                </c:pt>
                <c:pt idx="27" formatCode="0.0">
                  <c:v>37.860576923076927</c:v>
                </c:pt>
                <c:pt idx="28" formatCode="0.0">
                  <c:v>39.375000000000007</c:v>
                </c:pt>
                <c:pt idx="29" formatCode="0.0">
                  <c:v>40.889423076923087</c:v>
                </c:pt>
                <c:pt idx="30" formatCode="0.0">
                  <c:v>42.40384615384616</c:v>
                </c:pt>
                <c:pt idx="31" formatCode="0.0">
                  <c:v>43.918269230769241</c:v>
                </c:pt>
                <c:pt idx="32" formatCode="0.0">
                  <c:v>45.432692307692314</c:v>
                </c:pt>
                <c:pt idx="33" formatCode="0.0">
                  <c:v>46.947115384615394</c:v>
                </c:pt>
                <c:pt idx="34" formatCode="0.0">
                  <c:v>48.461538461538474</c:v>
                </c:pt>
                <c:pt idx="35" formatCode="0.0">
                  <c:v>49.975961538461547</c:v>
                </c:pt>
                <c:pt idx="36" formatCode="0.0">
                  <c:v>51.490384615384627</c:v>
                </c:pt>
                <c:pt idx="37" formatCode="0.0">
                  <c:v>53.004807692307715</c:v>
                </c:pt>
                <c:pt idx="38" formatCode="0.0">
                  <c:v>54.519230769230781</c:v>
                </c:pt>
                <c:pt idx="39" formatCode="0.0">
                  <c:v>56.033653846153861</c:v>
                </c:pt>
                <c:pt idx="40" formatCode="0.0">
                  <c:v>57.548076923076941</c:v>
                </c:pt>
                <c:pt idx="41" formatCode="0.0">
                  <c:v>59.062500000000014</c:v>
                </c:pt>
                <c:pt idx="42" formatCode="0.0">
                  <c:v>60.576923076923102</c:v>
                </c:pt>
                <c:pt idx="43" formatCode="0.0">
                  <c:v>62.091346153846168</c:v>
                </c:pt>
                <c:pt idx="44" formatCode="0.0">
                  <c:v>63.605769230769241</c:v>
                </c:pt>
                <c:pt idx="45" formatCode="0.0">
                  <c:v>65.120192307692321</c:v>
                </c:pt>
                <c:pt idx="46" formatCode="0.0">
                  <c:v>66.634615384615401</c:v>
                </c:pt>
                <c:pt idx="47" formatCode="0.0">
                  <c:v>68.149038461538481</c:v>
                </c:pt>
                <c:pt idx="48" formatCode="0.0">
                  <c:v>69.663461538461561</c:v>
                </c:pt>
                <c:pt idx="49" formatCode="0.0">
                  <c:v>71.177884615384642</c:v>
                </c:pt>
                <c:pt idx="50" formatCode="0.0">
                  <c:v>72.692307692307722</c:v>
                </c:pt>
                <c:pt idx="51" formatCode="0.0">
                  <c:v>74.206730769230802</c:v>
                </c:pt>
                <c:pt idx="52" formatCode="0.0">
                  <c:v>75.721153846153882</c:v>
                </c:pt>
                <c:pt idx="53" formatCode="0.0">
                  <c:v>77.235576923076962</c:v>
                </c:pt>
                <c:pt idx="54" formatCode="0.0">
                  <c:v>78.750000000000043</c:v>
                </c:pt>
                <c:pt idx="55" formatCode="0.0">
                  <c:v>80.264423076923109</c:v>
                </c:pt>
                <c:pt idx="56" formatCode="0.0">
                  <c:v>81.778846153846203</c:v>
                </c:pt>
                <c:pt idx="57" formatCode="0.0">
                  <c:v>83.293269230769269</c:v>
                </c:pt>
                <c:pt idx="58" formatCode="0.0">
                  <c:v>84.807692307692349</c:v>
                </c:pt>
                <c:pt idx="59" formatCode="0.0">
                  <c:v>86.322115384615444</c:v>
                </c:pt>
                <c:pt idx="60" formatCode="0.0">
                  <c:v>87.83653846153851</c:v>
                </c:pt>
                <c:pt idx="61" formatCode="0.0">
                  <c:v>89.35096153846159</c:v>
                </c:pt>
                <c:pt idx="62" formatCode="0.0">
                  <c:v>90.865384615384656</c:v>
                </c:pt>
                <c:pt idx="63" formatCode="0.0">
                  <c:v>92.37980769230775</c:v>
                </c:pt>
                <c:pt idx="64" formatCode="0.0">
                  <c:v>93.89423076923083</c:v>
                </c:pt>
                <c:pt idx="65" formatCode="0.0">
                  <c:v>95.408653846153896</c:v>
                </c:pt>
                <c:pt idx="66" formatCode="0.0">
                  <c:v>96.923076923076991</c:v>
                </c:pt>
                <c:pt idx="67" formatCode="0.0">
                  <c:v>98.437500000000071</c:v>
                </c:pt>
                <c:pt idx="68" formatCode="0.0">
                  <c:v>99.951923076923137</c:v>
                </c:pt>
                <c:pt idx="69" formatCode="0.0">
                  <c:v>101.46634615384623</c:v>
                </c:pt>
                <c:pt idx="70" formatCode="0.0">
                  <c:v>102.9807692307693</c:v>
                </c:pt>
                <c:pt idx="71" formatCode="0.0">
                  <c:v>104.49519230769239</c:v>
                </c:pt>
                <c:pt idx="72" formatCode="0.0">
                  <c:v>106.00961538461549</c:v>
                </c:pt>
                <c:pt idx="73" formatCode="0.0">
                  <c:v>107.52403846153855</c:v>
                </c:pt>
                <c:pt idx="74" formatCode="0.0">
                  <c:v>109.03846153846162</c:v>
                </c:pt>
                <c:pt idx="75" formatCode="0.0">
                  <c:v>110.55288461538468</c:v>
                </c:pt>
                <c:pt idx="76" formatCode="0.0">
                  <c:v>112.06730769230776</c:v>
                </c:pt>
                <c:pt idx="77" formatCode="0.0">
                  <c:v>113.58173076923086</c:v>
                </c:pt>
                <c:pt idx="78" formatCode="0.0">
                  <c:v>115.09615384615392</c:v>
                </c:pt>
                <c:pt idx="79" formatCode="0.0">
                  <c:v>116.61057692307702</c:v>
                </c:pt>
                <c:pt idx="80" formatCode="0.0">
                  <c:v>118.12500000000009</c:v>
                </c:pt>
                <c:pt idx="81" formatCode="0.0">
                  <c:v>119.63942307692315</c:v>
                </c:pt>
                <c:pt idx="82" formatCode="0.0">
                  <c:v>121.15384615384626</c:v>
                </c:pt>
                <c:pt idx="83" formatCode="0.0">
                  <c:v>122.66826923076933</c:v>
                </c:pt>
                <c:pt idx="84" formatCode="0.0">
                  <c:v>124.18269230769239</c:v>
                </c:pt>
                <c:pt idx="85" formatCode="0.0">
                  <c:v>125.69711538461547</c:v>
                </c:pt>
                <c:pt idx="86" formatCode="0.0">
                  <c:v>127.21153846153854</c:v>
                </c:pt>
                <c:pt idx="87" formatCode="0.0">
                  <c:v>128.72596153846163</c:v>
                </c:pt>
                <c:pt idx="88" formatCode="0.0">
                  <c:v>130.2403846153847</c:v>
                </c:pt>
                <c:pt idx="89" formatCode="0.0">
                  <c:v>131.75480769230779</c:v>
                </c:pt>
                <c:pt idx="90" formatCode="0.0">
                  <c:v>133.26923076923086</c:v>
                </c:pt>
                <c:pt idx="91" formatCode="0.0">
                  <c:v>134.78365384615392</c:v>
                </c:pt>
                <c:pt idx="92" formatCode="0.0">
                  <c:v>136.29807692307702</c:v>
                </c:pt>
                <c:pt idx="93" formatCode="0.0">
                  <c:v>137.81250000000011</c:v>
                </c:pt>
                <c:pt idx="94" formatCode="0.0">
                  <c:v>139.32692307692318</c:v>
                </c:pt>
                <c:pt idx="95" formatCode="0.0">
                  <c:v>140.84134615384627</c:v>
                </c:pt>
                <c:pt idx="96" formatCode="0.0">
                  <c:v>142.35576923076934</c:v>
                </c:pt>
                <c:pt idx="97" formatCode="0.0">
                  <c:v>143.87019230769241</c:v>
                </c:pt>
                <c:pt idx="98" formatCode="0.0">
                  <c:v>145.3846153846155</c:v>
                </c:pt>
                <c:pt idx="99" formatCode="0.0">
                  <c:v>146.89903846153859</c:v>
                </c:pt>
                <c:pt idx="100" formatCode="0.0">
                  <c:v>148.41346153846166</c:v>
                </c:pt>
                <c:pt idx="101" formatCode="0.0">
                  <c:v>149.92788461538473</c:v>
                </c:pt>
                <c:pt idx="102" formatCode="0.0">
                  <c:v>151.44230769230782</c:v>
                </c:pt>
                <c:pt idx="103" formatCode="0.0">
                  <c:v>152.95673076923089</c:v>
                </c:pt>
                <c:pt idx="104" formatCode="0.0">
                  <c:v>154.47115384615398</c:v>
                </c:pt>
                <c:pt idx="105" formatCode="0.0">
                  <c:v>155.98557692307708</c:v>
                </c:pt>
                <c:pt idx="106" formatCode="0.0">
                  <c:v>157.50000000000014</c:v>
                </c:pt>
                <c:pt idx="107" formatCode="0.0">
                  <c:v>158.00000000000014</c:v>
                </c:pt>
              </c:numCache>
            </c:numRef>
          </c:xVal>
          <c:yVal>
            <c:numRef>
              <c:f>Start_up!$O$8:$O$115</c:f>
              <c:numCache>
                <c:formatCode>General</c:formatCode>
                <c:ptCount val="108"/>
                <c:pt idx="0">
                  <c:v>0</c:v>
                </c:pt>
                <c:pt idx="1">
                  <c:v>0</c:v>
                </c:pt>
                <c:pt idx="2">
                  <c:v>3.2256</c:v>
                </c:pt>
                <c:pt idx="3">
                  <c:v>3.1945846153846156</c:v>
                </c:pt>
                <c:pt idx="4">
                  <c:v>3.1635692307692307</c:v>
                </c:pt>
                <c:pt idx="5">
                  <c:v>3.1325538461538462</c:v>
                </c:pt>
                <c:pt idx="6">
                  <c:v>3.1015384615384614</c:v>
                </c:pt>
                <c:pt idx="7">
                  <c:v>3.0705230769230765</c:v>
                </c:pt>
                <c:pt idx="8">
                  <c:v>3.0395076923076925</c:v>
                </c:pt>
                <c:pt idx="9">
                  <c:v>3.008492307692308</c:v>
                </c:pt>
                <c:pt idx="10">
                  <c:v>2.9774769230769231</c:v>
                </c:pt>
                <c:pt idx="11">
                  <c:v>2.9464615384615387</c:v>
                </c:pt>
                <c:pt idx="12">
                  <c:v>2.9154461538461538</c:v>
                </c:pt>
                <c:pt idx="13">
                  <c:v>2.8844307692307694</c:v>
                </c:pt>
                <c:pt idx="14">
                  <c:v>2.8534153846153845</c:v>
                </c:pt>
                <c:pt idx="15">
                  <c:v>2.8224</c:v>
                </c:pt>
                <c:pt idx="16">
                  <c:v>2.7913846153846151</c:v>
                </c:pt>
                <c:pt idx="17">
                  <c:v>2.7603692307692311</c:v>
                </c:pt>
                <c:pt idx="18">
                  <c:v>2.7293538461538462</c:v>
                </c:pt>
                <c:pt idx="19">
                  <c:v>2.6983384615384618</c:v>
                </c:pt>
                <c:pt idx="20">
                  <c:v>2.6673230769230769</c:v>
                </c:pt>
                <c:pt idx="21">
                  <c:v>2.6363076923076925</c:v>
                </c:pt>
                <c:pt idx="22">
                  <c:v>2.6052923076923076</c:v>
                </c:pt>
                <c:pt idx="23">
                  <c:v>2.5742769230769231</c:v>
                </c:pt>
                <c:pt idx="24">
                  <c:v>2.5432615384615382</c:v>
                </c:pt>
                <c:pt idx="25">
                  <c:v>2.5122461538461538</c:v>
                </c:pt>
                <c:pt idx="26">
                  <c:v>2.4812307692307689</c:v>
                </c:pt>
                <c:pt idx="27">
                  <c:v>2.4502153846153849</c:v>
                </c:pt>
                <c:pt idx="28">
                  <c:v>2.4192</c:v>
                </c:pt>
                <c:pt idx="29">
                  <c:v>2.3881846153846156</c:v>
                </c:pt>
                <c:pt idx="30">
                  <c:v>2.3571692307692307</c:v>
                </c:pt>
                <c:pt idx="31">
                  <c:v>2.3261538461538462</c:v>
                </c:pt>
                <c:pt idx="32">
                  <c:v>2.2951384615384613</c:v>
                </c:pt>
                <c:pt idx="33">
                  <c:v>2.2641230769230769</c:v>
                </c:pt>
                <c:pt idx="34">
                  <c:v>2.233107692307692</c:v>
                </c:pt>
                <c:pt idx="35">
                  <c:v>2.2020923076923076</c:v>
                </c:pt>
                <c:pt idx="36">
                  <c:v>2.1710769230769231</c:v>
                </c:pt>
                <c:pt idx="37">
                  <c:v>2.1400615384615387</c:v>
                </c:pt>
                <c:pt idx="38">
                  <c:v>2.1090461538461542</c:v>
                </c:pt>
                <c:pt idx="39">
                  <c:v>2.0780307692307693</c:v>
                </c:pt>
                <c:pt idx="40">
                  <c:v>2.0470153846153845</c:v>
                </c:pt>
                <c:pt idx="41">
                  <c:v>2.016</c:v>
                </c:pt>
                <c:pt idx="42">
                  <c:v>1.9849846153846151</c:v>
                </c:pt>
                <c:pt idx="43">
                  <c:v>1.9539692307692309</c:v>
                </c:pt>
                <c:pt idx="44">
                  <c:v>1.9229538461538462</c:v>
                </c:pt>
                <c:pt idx="45">
                  <c:v>1.8919384615384616</c:v>
                </c:pt>
                <c:pt idx="46">
                  <c:v>1.8609230769230769</c:v>
                </c:pt>
                <c:pt idx="47">
                  <c:v>1.8299076923076922</c:v>
                </c:pt>
                <c:pt idx="48">
                  <c:v>1.7988923076923078</c:v>
                </c:pt>
                <c:pt idx="49">
                  <c:v>1.7678769230769231</c:v>
                </c:pt>
                <c:pt idx="50">
                  <c:v>1.7368615384615385</c:v>
                </c:pt>
                <c:pt idx="51">
                  <c:v>1.7058461538461538</c:v>
                </c:pt>
                <c:pt idx="52">
                  <c:v>1.6748307692307691</c:v>
                </c:pt>
                <c:pt idx="53">
                  <c:v>1.6438153846153847</c:v>
                </c:pt>
                <c:pt idx="54">
                  <c:v>1.6128</c:v>
                </c:pt>
                <c:pt idx="55">
                  <c:v>1.5817846153846156</c:v>
                </c:pt>
                <c:pt idx="56">
                  <c:v>1.5507692307692305</c:v>
                </c:pt>
                <c:pt idx="57">
                  <c:v>1.5197538461538462</c:v>
                </c:pt>
                <c:pt idx="58">
                  <c:v>1.4887384615384616</c:v>
                </c:pt>
                <c:pt idx="59">
                  <c:v>1.4577230769230767</c:v>
                </c:pt>
                <c:pt idx="60">
                  <c:v>1.4267076923076922</c:v>
                </c:pt>
                <c:pt idx="61">
                  <c:v>1.3956923076923076</c:v>
                </c:pt>
                <c:pt idx="62">
                  <c:v>1.3646769230769233</c:v>
                </c:pt>
                <c:pt idx="63">
                  <c:v>1.3336615384615385</c:v>
                </c:pt>
                <c:pt idx="64">
                  <c:v>1.3026461538461538</c:v>
                </c:pt>
                <c:pt idx="65">
                  <c:v>1.2716307692307693</c:v>
                </c:pt>
                <c:pt idx="66">
                  <c:v>1.2406153846153845</c:v>
                </c:pt>
                <c:pt idx="67">
                  <c:v>1.2096</c:v>
                </c:pt>
                <c:pt idx="68">
                  <c:v>1.1785846153846156</c:v>
                </c:pt>
                <c:pt idx="69">
                  <c:v>1.1475692307692307</c:v>
                </c:pt>
                <c:pt idx="70">
                  <c:v>1.1165538461538462</c:v>
                </c:pt>
                <c:pt idx="71">
                  <c:v>1.0855384615384616</c:v>
                </c:pt>
                <c:pt idx="72">
                  <c:v>1.0545230769230767</c:v>
                </c:pt>
                <c:pt idx="73">
                  <c:v>1.0235076923076922</c:v>
                </c:pt>
                <c:pt idx="74">
                  <c:v>0.99249230769230778</c:v>
                </c:pt>
                <c:pt idx="75">
                  <c:v>0.96147692307692345</c:v>
                </c:pt>
                <c:pt idx="76">
                  <c:v>0.93046153846153856</c:v>
                </c:pt>
                <c:pt idx="77">
                  <c:v>0.89944615384615378</c:v>
                </c:pt>
                <c:pt idx="78">
                  <c:v>0.86843076923076934</c:v>
                </c:pt>
                <c:pt idx="79">
                  <c:v>0.83741538461538445</c:v>
                </c:pt>
                <c:pt idx="80">
                  <c:v>0.80640000000000012</c:v>
                </c:pt>
                <c:pt idx="81">
                  <c:v>0.77538461538461567</c:v>
                </c:pt>
                <c:pt idx="82">
                  <c:v>0.74436923076923045</c:v>
                </c:pt>
                <c:pt idx="83">
                  <c:v>0.71335384615384601</c:v>
                </c:pt>
                <c:pt idx="84">
                  <c:v>0.68233846153846167</c:v>
                </c:pt>
                <c:pt idx="85">
                  <c:v>0.65132307692307678</c:v>
                </c:pt>
                <c:pt idx="86">
                  <c:v>0.62030769230769234</c:v>
                </c:pt>
                <c:pt idx="87">
                  <c:v>0.58929230769230756</c:v>
                </c:pt>
                <c:pt idx="88">
                  <c:v>0.55827692307692312</c:v>
                </c:pt>
                <c:pt idx="89">
                  <c:v>0.52726153846153834</c:v>
                </c:pt>
                <c:pt idx="90">
                  <c:v>0.49624615384615389</c:v>
                </c:pt>
                <c:pt idx="91">
                  <c:v>0.4652307692307695</c:v>
                </c:pt>
                <c:pt idx="92">
                  <c:v>0.43421538461538467</c:v>
                </c:pt>
                <c:pt idx="93">
                  <c:v>0.40319999999999984</c:v>
                </c:pt>
                <c:pt idx="94">
                  <c:v>0.37218461538461545</c:v>
                </c:pt>
                <c:pt idx="95">
                  <c:v>0.34116923076923061</c:v>
                </c:pt>
                <c:pt idx="96">
                  <c:v>0.31015384615384617</c:v>
                </c:pt>
                <c:pt idx="97">
                  <c:v>0.27913846153846178</c:v>
                </c:pt>
                <c:pt idx="98">
                  <c:v>0.24812307692307695</c:v>
                </c:pt>
                <c:pt idx="99">
                  <c:v>0.21710769230769211</c:v>
                </c:pt>
                <c:pt idx="100">
                  <c:v>0.18609230769230772</c:v>
                </c:pt>
                <c:pt idx="101">
                  <c:v>0.15507692307692333</c:v>
                </c:pt>
                <c:pt idx="102">
                  <c:v>0.12406153846153847</c:v>
                </c:pt>
                <c:pt idx="103">
                  <c:v>9.3046153846154084E-2</c:v>
                </c:pt>
                <c:pt idx="104">
                  <c:v>6.2030769230769237E-2</c:v>
                </c:pt>
                <c:pt idx="105">
                  <c:v>3.1015384615384393E-2</c:v>
                </c:pt>
                <c:pt idx="106">
                  <c:v>0</c:v>
                </c:pt>
                <c:pt idx="107">
                  <c:v>0</c:v>
                </c:pt>
              </c:numCache>
            </c:numRef>
          </c:yVal>
          <c:smooth val="0"/>
          <c:extLst>
            <c:ext xmlns:c16="http://schemas.microsoft.com/office/drawing/2014/chart" uri="{C3380CC4-5D6E-409C-BE32-E72D297353CC}">
              <c16:uniqueId val="{00000000-FF1B-473C-BB38-A2EFC7A97FFE}"/>
            </c:ext>
          </c:extLst>
        </c:ser>
        <c:dLbls>
          <c:showLegendKey val="0"/>
          <c:showVal val="0"/>
          <c:showCatName val="0"/>
          <c:showSerName val="0"/>
          <c:showPercent val="0"/>
          <c:showBubbleSize val="0"/>
        </c:dLbls>
        <c:axId val="340407808"/>
        <c:axId val="340409728"/>
      </c:scatterChart>
      <c:valAx>
        <c:axId val="340407808"/>
        <c:scaling>
          <c:orientation val="minMax"/>
          <c:min val="-1"/>
        </c:scaling>
        <c:delete val="0"/>
        <c:axPos val="b"/>
        <c:minorGridlines/>
        <c:title>
          <c:tx>
            <c:rich>
              <a:bodyPr/>
              <a:lstStyle/>
              <a:p>
                <a:pPr>
                  <a:defRPr/>
                </a:pPr>
                <a:r>
                  <a:rPr lang="en-US"/>
                  <a:t>Time (ms)</a:t>
                </a:r>
              </a:p>
            </c:rich>
          </c:tx>
          <c:layout>
            <c:manualLayout>
              <c:xMode val="edge"/>
              <c:yMode val="edge"/>
              <c:x val="0.44799096768442925"/>
              <c:y val="0.90583847854517363"/>
            </c:manualLayout>
          </c:layout>
          <c:overlay val="0"/>
        </c:title>
        <c:numFmt formatCode="0.0" sourceLinked="1"/>
        <c:majorTickMark val="out"/>
        <c:minorTickMark val="none"/>
        <c:tickLblPos val="nextTo"/>
        <c:txPr>
          <a:bodyPr/>
          <a:lstStyle/>
          <a:p>
            <a:pPr>
              <a:defRPr b="1"/>
            </a:pPr>
            <a:endParaRPr lang="en-US"/>
          </a:p>
        </c:txPr>
        <c:crossAx val="340409728"/>
        <c:crosses val="autoZero"/>
        <c:crossBetween val="midCat"/>
      </c:valAx>
      <c:valAx>
        <c:axId val="340409728"/>
        <c:scaling>
          <c:orientation val="minMax"/>
          <c:min val="0"/>
        </c:scaling>
        <c:delete val="0"/>
        <c:axPos val="l"/>
        <c:majorGridlines/>
        <c:minorGridlines/>
        <c:title>
          <c:tx>
            <c:rich>
              <a:bodyPr rot="-5400000" vert="horz"/>
              <a:lstStyle/>
              <a:p>
                <a:pPr>
                  <a:defRPr/>
                </a:pPr>
                <a:r>
                  <a:rPr lang="en-US"/>
                  <a:t>FET Power (W)</a:t>
                </a:r>
              </a:p>
            </c:rich>
          </c:tx>
          <c:layout>
            <c:manualLayout>
              <c:xMode val="edge"/>
              <c:yMode val="edge"/>
              <c:x val="1.2836103229293341E-2"/>
              <c:y val="0.25775146359374557"/>
            </c:manualLayout>
          </c:layout>
          <c:overlay val="0"/>
        </c:title>
        <c:numFmt formatCode="General" sourceLinked="1"/>
        <c:majorTickMark val="out"/>
        <c:minorTickMark val="none"/>
        <c:tickLblPos val="nextTo"/>
        <c:txPr>
          <a:bodyPr/>
          <a:lstStyle/>
          <a:p>
            <a:pPr>
              <a:defRPr b="1"/>
            </a:pPr>
            <a:endParaRPr lang="en-US"/>
          </a:p>
        </c:txPr>
        <c:crossAx val="340407808"/>
        <c:crossesAt val="-1"/>
        <c:crossBetween val="midCat"/>
      </c:valAx>
    </c:plotArea>
    <c:legend>
      <c:legendPos val="r"/>
      <c:layout>
        <c:manualLayout>
          <c:xMode val="edge"/>
          <c:yMode val="edge"/>
          <c:x val="0.59835330214444382"/>
          <c:y val="0.52994902761778084"/>
          <c:w val="0.39515213037394709"/>
          <c:h val="0.10848830734152082"/>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and FET</a:t>
            </a:r>
            <a:r>
              <a:rPr lang="en-US" baseline="0"/>
              <a:t> current vs Vout</a:t>
            </a:r>
            <a:endParaRPr lang="en-US"/>
          </a:p>
        </c:rich>
      </c:tx>
      <c:overlay val="1"/>
    </c:title>
    <c:autoTitleDeleted val="0"/>
    <c:plotArea>
      <c:layout>
        <c:manualLayout>
          <c:layoutTarget val="inner"/>
          <c:xMode val="edge"/>
          <c:yMode val="edge"/>
          <c:x val="0.20280211116986058"/>
          <c:y val="0.14177960397727438"/>
          <c:w val="0.69967132057676096"/>
          <c:h val="0.7119118368882501"/>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5849-4052-B606-AC1AAD4E004B}"/>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0.128</c:v>
                </c:pt>
                <c:pt idx="1">
                  <c:v>0.128</c:v>
                </c:pt>
                <c:pt idx="2">
                  <c:v>0.128</c:v>
                </c:pt>
                <c:pt idx="3">
                  <c:v>0.128</c:v>
                </c:pt>
                <c:pt idx="4">
                  <c:v>0.128</c:v>
                </c:pt>
                <c:pt idx="5">
                  <c:v>0.128</c:v>
                </c:pt>
                <c:pt idx="6">
                  <c:v>0.128</c:v>
                </c:pt>
                <c:pt idx="7">
                  <c:v>0.128</c:v>
                </c:pt>
                <c:pt idx="8">
                  <c:v>0.128</c:v>
                </c:pt>
                <c:pt idx="9">
                  <c:v>0.128</c:v>
                </c:pt>
                <c:pt idx="10">
                  <c:v>0.128</c:v>
                </c:pt>
                <c:pt idx="11">
                  <c:v>0.128</c:v>
                </c:pt>
                <c:pt idx="12">
                  <c:v>0.128</c:v>
                </c:pt>
                <c:pt idx="13">
                  <c:v>0.128</c:v>
                </c:pt>
                <c:pt idx="14">
                  <c:v>0.128</c:v>
                </c:pt>
                <c:pt idx="15">
                  <c:v>0.128</c:v>
                </c:pt>
                <c:pt idx="16">
                  <c:v>0.128</c:v>
                </c:pt>
                <c:pt idx="17">
                  <c:v>0.128</c:v>
                </c:pt>
                <c:pt idx="18">
                  <c:v>0.128</c:v>
                </c:pt>
                <c:pt idx="19">
                  <c:v>0.128</c:v>
                </c:pt>
                <c:pt idx="20">
                  <c:v>0.128</c:v>
                </c:pt>
                <c:pt idx="21">
                  <c:v>0.128</c:v>
                </c:pt>
                <c:pt idx="22">
                  <c:v>0.128</c:v>
                </c:pt>
                <c:pt idx="23">
                  <c:v>0.128</c:v>
                </c:pt>
                <c:pt idx="24">
                  <c:v>0.128</c:v>
                </c:pt>
                <c:pt idx="25">
                  <c:v>0.128</c:v>
                </c:pt>
                <c:pt idx="26">
                  <c:v>0.128</c:v>
                </c:pt>
                <c:pt idx="27">
                  <c:v>0.128</c:v>
                </c:pt>
                <c:pt idx="28">
                  <c:v>0.128</c:v>
                </c:pt>
                <c:pt idx="29">
                  <c:v>0.128</c:v>
                </c:pt>
                <c:pt idx="30">
                  <c:v>0.128</c:v>
                </c:pt>
                <c:pt idx="31">
                  <c:v>0.128</c:v>
                </c:pt>
                <c:pt idx="32">
                  <c:v>0.128</c:v>
                </c:pt>
                <c:pt idx="33">
                  <c:v>0.128</c:v>
                </c:pt>
                <c:pt idx="34">
                  <c:v>0.128</c:v>
                </c:pt>
                <c:pt idx="35">
                  <c:v>0.128</c:v>
                </c:pt>
                <c:pt idx="36">
                  <c:v>0.128</c:v>
                </c:pt>
                <c:pt idx="37">
                  <c:v>0.128</c:v>
                </c:pt>
                <c:pt idx="38">
                  <c:v>0.128</c:v>
                </c:pt>
                <c:pt idx="39">
                  <c:v>0.128</c:v>
                </c:pt>
                <c:pt idx="40">
                  <c:v>0.128</c:v>
                </c:pt>
                <c:pt idx="41">
                  <c:v>0.128</c:v>
                </c:pt>
                <c:pt idx="42">
                  <c:v>0.128</c:v>
                </c:pt>
                <c:pt idx="43">
                  <c:v>0.128</c:v>
                </c:pt>
                <c:pt idx="44">
                  <c:v>0.128</c:v>
                </c:pt>
                <c:pt idx="45">
                  <c:v>0.128</c:v>
                </c:pt>
                <c:pt idx="46">
                  <c:v>0.128</c:v>
                </c:pt>
                <c:pt idx="47">
                  <c:v>0.128</c:v>
                </c:pt>
                <c:pt idx="48">
                  <c:v>0.128</c:v>
                </c:pt>
                <c:pt idx="49">
                  <c:v>0.128</c:v>
                </c:pt>
                <c:pt idx="50">
                  <c:v>0.128</c:v>
                </c:pt>
                <c:pt idx="51">
                  <c:v>0.128</c:v>
                </c:pt>
                <c:pt idx="52">
                  <c:v>0.128</c:v>
                </c:pt>
                <c:pt idx="53">
                  <c:v>0.128</c:v>
                </c:pt>
                <c:pt idx="54">
                  <c:v>0.128</c:v>
                </c:pt>
                <c:pt idx="55">
                  <c:v>0.128</c:v>
                </c:pt>
                <c:pt idx="56">
                  <c:v>0.128</c:v>
                </c:pt>
                <c:pt idx="57">
                  <c:v>0.128</c:v>
                </c:pt>
                <c:pt idx="58">
                  <c:v>0.128</c:v>
                </c:pt>
                <c:pt idx="59">
                  <c:v>0.128</c:v>
                </c:pt>
                <c:pt idx="60">
                  <c:v>0.128</c:v>
                </c:pt>
                <c:pt idx="61">
                  <c:v>0.128</c:v>
                </c:pt>
                <c:pt idx="62">
                  <c:v>0.128</c:v>
                </c:pt>
                <c:pt idx="63">
                  <c:v>0.128</c:v>
                </c:pt>
                <c:pt idx="64">
                  <c:v>0.128</c:v>
                </c:pt>
                <c:pt idx="65">
                  <c:v>0.128</c:v>
                </c:pt>
                <c:pt idx="66">
                  <c:v>0.128</c:v>
                </c:pt>
                <c:pt idx="67">
                  <c:v>0.128</c:v>
                </c:pt>
                <c:pt idx="68">
                  <c:v>0.128</c:v>
                </c:pt>
                <c:pt idx="69">
                  <c:v>0.128</c:v>
                </c:pt>
                <c:pt idx="70">
                  <c:v>0.128</c:v>
                </c:pt>
                <c:pt idx="71">
                  <c:v>0.128</c:v>
                </c:pt>
                <c:pt idx="72">
                  <c:v>0.128</c:v>
                </c:pt>
                <c:pt idx="73">
                  <c:v>0.128</c:v>
                </c:pt>
                <c:pt idx="74">
                  <c:v>0.128</c:v>
                </c:pt>
                <c:pt idx="75">
                  <c:v>0.128</c:v>
                </c:pt>
                <c:pt idx="76">
                  <c:v>0.128</c:v>
                </c:pt>
                <c:pt idx="77">
                  <c:v>0.128</c:v>
                </c:pt>
                <c:pt idx="78">
                  <c:v>0.128</c:v>
                </c:pt>
                <c:pt idx="79">
                  <c:v>0.128</c:v>
                </c:pt>
                <c:pt idx="80">
                  <c:v>0.128</c:v>
                </c:pt>
                <c:pt idx="81">
                  <c:v>0.128</c:v>
                </c:pt>
                <c:pt idx="82">
                  <c:v>0.128</c:v>
                </c:pt>
                <c:pt idx="83">
                  <c:v>0.128</c:v>
                </c:pt>
                <c:pt idx="84">
                  <c:v>0.128</c:v>
                </c:pt>
                <c:pt idx="85">
                  <c:v>0.128</c:v>
                </c:pt>
                <c:pt idx="86">
                  <c:v>0.128</c:v>
                </c:pt>
                <c:pt idx="87">
                  <c:v>0.128</c:v>
                </c:pt>
                <c:pt idx="88">
                  <c:v>0.128</c:v>
                </c:pt>
                <c:pt idx="89">
                  <c:v>0.128</c:v>
                </c:pt>
                <c:pt idx="90">
                  <c:v>0.128</c:v>
                </c:pt>
                <c:pt idx="91">
                  <c:v>0.128</c:v>
                </c:pt>
                <c:pt idx="92">
                  <c:v>0.128</c:v>
                </c:pt>
                <c:pt idx="93">
                  <c:v>0.128</c:v>
                </c:pt>
                <c:pt idx="94">
                  <c:v>0.128</c:v>
                </c:pt>
                <c:pt idx="95">
                  <c:v>0.128</c:v>
                </c:pt>
                <c:pt idx="96">
                  <c:v>0.128</c:v>
                </c:pt>
                <c:pt idx="97">
                  <c:v>0.128</c:v>
                </c:pt>
                <c:pt idx="98">
                  <c:v>0.128</c:v>
                </c:pt>
                <c:pt idx="99">
                  <c:v>0.128</c:v>
                </c:pt>
                <c:pt idx="100">
                  <c:v>0.128</c:v>
                </c:pt>
                <c:pt idx="101">
                  <c:v>0.128</c:v>
                </c:pt>
                <c:pt idx="102">
                  <c:v>0.128</c:v>
                </c:pt>
              </c:numCache>
            </c:numRef>
          </c:yVal>
          <c:smooth val="1"/>
          <c:extLst>
            <c:ext xmlns:c16="http://schemas.microsoft.com/office/drawing/2014/chart" uri="{C3380CC4-5D6E-409C-BE32-E72D297353CC}">
              <c16:uniqueId val="{00000001-5849-4052-B606-AC1AAD4E004B}"/>
            </c:ext>
          </c:extLst>
        </c:ser>
        <c:dLbls>
          <c:showLegendKey val="0"/>
          <c:showVal val="0"/>
          <c:showCatName val="0"/>
          <c:showSerName val="0"/>
          <c:showPercent val="0"/>
          <c:showBubbleSize val="0"/>
        </c:dLbls>
        <c:axId val="352111616"/>
        <c:axId val="389465216"/>
      </c:scatterChart>
      <c:valAx>
        <c:axId val="352111616"/>
        <c:scaling>
          <c:orientation val="minMax"/>
        </c:scaling>
        <c:delete val="0"/>
        <c:axPos val="b"/>
        <c:title>
          <c:tx>
            <c:rich>
              <a:bodyPr/>
              <a:lstStyle/>
              <a:p>
                <a:pPr>
                  <a:defRPr/>
                </a:pPr>
                <a:r>
                  <a:rPr lang="en-US"/>
                  <a:t>Output</a:t>
                </a:r>
                <a:r>
                  <a:rPr lang="en-US" baseline="0"/>
                  <a:t> Voltage (V)</a:t>
                </a:r>
                <a:endParaRPr lang="en-US"/>
              </a:p>
            </c:rich>
          </c:tx>
          <c:overlay val="0"/>
        </c:title>
        <c:numFmt formatCode="0.00" sourceLinked="1"/>
        <c:majorTickMark val="out"/>
        <c:minorTickMark val="none"/>
        <c:tickLblPos val="nextTo"/>
        <c:crossAx val="389465216"/>
        <c:crosses val="autoZero"/>
        <c:crossBetween val="midCat"/>
      </c:valAx>
      <c:valAx>
        <c:axId val="389465216"/>
        <c:scaling>
          <c:orientation val="minMax"/>
          <c:min val="0"/>
        </c:scaling>
        <c:delete val="0"/>
        <c:axPos val="l"/>
        <c:majorGridlines/>
        <c:title>
          <c:tx>
            <c:rich>
              <a:bodyPr rot="-5400000" vert="horz"/>
              <a:lstStyle/>
              <a:p>
                <a:pPr>
                  <a:defRPr/>
                </a:pPr>
                <a:r>
                  <a:rPr lang="en-US"/>
                  <a:t>Current (A)</a:t>
                </a:r>
              </a:p>
            </c:rich>
          </c:tx>
          <c:overlay val="0"/>
        </c:title>
        <c:numFmt formatCode="0.000" sourceLinked="1"/>
        <c:majorTickMark val="out"/>
        <c:minorTickMark val="none"/>
        <c:tickLblPos val="nextTo"/>
        <c:crossAx val="352111616"/>
        <c:crosses val="autoZero"/>
        <c:crossBetween val="midCat"/>
      </c:valAx>
    </c:plotArea>
    <c:legend>
      <c:legendPos val="r"/>
      <c:layout>
        <c:manualLayout>
          <c:xMode val="edge"/>
          <c:yMode val="edge"/>
          <c:x val="0.34624252358789726"/>
          <c:y val="0.24479126489117176"/>
          <c:w val="0.21462230092985587"/>
          <c:h val="0.16792443955258282"/>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3.png"/><Relationship Id="rId26" Type="http://schemas.openxmlformats.org/officeDocument/2006/relationships/hyperlink" Target="https://training.ti.com/node/1133664" TargetMode="External"/><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image" Target="../media/image7.jpeg"/><Relationship Id="rId17" Type="http://schemas.openxmlformats.org/officeDocument/2006/relationships/image" Target="../media/image12.emf"/><Relationship Id="rId25" Type="http://schemas.openxmlformats.org/officeDocument/2006/relationships/image" Target="../media/image17.png"/><Relationship Id="rId2" Type="http://schemas.openxmlformats.org/officeDocument/2006/relationships/hyperlink" Target="http://www.ti.com/" TargetMode="External"/><Relationship Id="rId16" Type="http://schemas.openxmlformats.org/officeDocument/2006/relationships/image" Target="../media/image11.png"/><Relationship Id="rId20" Type="http://schemas.openxmlformats.org/officeDocument/2006/relationships/hyperlink" Target="http://www.ti.com/power-management/protection-monitoring-hot-swap/controllers/support-training.html#videos" TargetMode="External"/><Relationship Id="rId29" Type="http://schemas.openxmlformats.org/officeDocument/2006/relationships/image" Target="../media/image19.png"/><Relationship Id="rId1" Type="http://schemas.openxmlformats.org/officeDocument/2006/relationships/hyperlink" Target="http://www.ti.com/lit/gpn/lm5069" TargetMode="External"/><Relationship Id="rId6" Type="http://schemas.openxmlformats.org/officeDocument/2006/relationships/chart" Target="../charts/chart1.xml"/><Relationship Id="rId11" Type="http://schemas.openxmlformats.org/officeDocument/2006/relationships/hyperlink" Target="http://www.ti.com/product/lm5069" TargetMode="External"/><Relationship Id="rId24" Type="http://schemas.openxmlformats.org/officeDocument/2006/relationships/hyperlink" Target="https://training.ti.com/node/1133673" TargetMode="External"/><Relationship Id="rId5" Type="http://schemas.openxmlformats.org/officeDocument/2006/relationships/image" Target="../media/image4.png"/><Relationship Id="rId15" Type="http://schemas.openxmlformats.org/officeDocument/2006/relationships/image" Target="../media/image10.emf"/><Relationship Id="rId23" Type="http://schemas.openxmlformats.org/officeDocument/2006/relationships/image" Target="../media/image16.png"/><Relationship Id="rId28" Type="http://schemas.openxmlformats.org/officeDocument/2006/relationships/hyperlink" Target="https://training.ti.com/node/1133681" TargetMode="External"/><Relationship Id="rId10" Type="http://schemas.openxmlformats.org/officeDocument/2006/relationships/image" Target="../media/image6.gif"/><Relationship Id="rId19" Type="http://schemas.openxmlformats.org/officeDocument/2006/relationships/image" Target="../media/image14.png"/><Relationship Id="rId4" Type="http://schemas.openxmlformats.org/officeDocument/2006/relationships/image" Target="../media/image3.emf"/><Relationship Id="rId9" Type="http://schemas.openxmlformats.org/officeDocument/2006/relationships/image" Target="../media/image5.gif"/><Relationship Id="rId14" Type="http://schemas.openxmlformats.org/officeDocument/2006/relationships/image" Target="../media/image9.png"/><Relationship Id="rId22" Type="http://schemas.openxmlformats.org/officeDocument/2006/relationships/hyperlink" Target="https://training.ti.com/node/1133677" TargetMode="External"/><Relationship Id="rId27"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0" y="257175"/>
          <a:ext cx="97250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a:extLst>
            <a:ext uri="{FF2B5EF4-FFF2-40B4-BE49-F238E27FC236}">
              <a16:creationId xmlns:a16="http://schemas.microsoft.com/office/drawing/2014/main" id="{00000000-0008-0000-0100-000001040000}"/>
            </a:ext>
          </a:extLst>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LM5069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LM5069 datasheet for more detail.</a:t>
          </a:r>
        </a:p>
      </xdr:txBody>
    </xdr:sp>
    <xdr:clientData/>
  </xdr:twoCellAnchor>
  <xdr:twoCellAnchor>
    <xdr:from>
      <xdr:col>39</xdr:col>
      <xdr:colOff>0</xdr:colOff>
      <xdr:row>60</xdr:row>
      <xdr:rowOff>0</xdr:rowOff>
    </xdr:from>
    <xdr:to>
      <xdr:col>39</xdr:col>
      <xdr:colOff>0</xdr:colOff>
      <xdr:row>67</xdr:row>
      <xdr:rowOff>0</xdr:rowOff>
    </xdr:to>
    <xdr:sp macro="" textlink="">
      <xdr:nvSpPr>
        <xdr:cNvPr id="1056" name="Text Box 32">
          <a:extLst>
            <a:ext uri="{FF2B5EF4-FFF2-40B4-BE49-F238E27FC236}">
              <a16:creationId xmlns:a16="http://schemas.microsoft.com/office/drawing/2014/main" id="{00000000-0008-0000-0100-000020040000}"/>
            </a:ext>
          </a:extLst>
        </xdr:cNvPr>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xdr:from>
      <xdr:col>39</xdr:col>
      <xdr:colOff>0</xdr:colOff>
      <xdr:row>115</xdr:row>
      <xdr:rowOff>0</xdr:rowOff>
    </xdr:from>
    <xdr:to>
      <xdr:col>39</xdr:col>
      <xdr:colOff>0</xdr:colOff>
      <xdr:row>149</xdr:row>
      <xdr:rowOff>93355</xdr:rowOff>
    </xdr:to>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11777870" y="19497261"/>
          <a:ext cx="0" cy="640470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1.17V  x  R1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OVLO(upper) - OVLO(lower)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R4 =  </a:t>
          </a:r>
          <a:r>
            <a:rPr lang="en-US" sz="1000" b="0" i="0" u="sng" strike="noStrike" baseline="0">
              <a:solidFill>
                <a:srgbClr val="000000"/>
              </a:solidFill>
              <a:latin typeface="Arial"/>
              <a:cs typeface="Arial"/>
            </a:rPr>
            <a:t>       1.16V  x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- 1.16V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1.17V + (R1 x  </a:t>
          </a:r>
          <a:r>
            <a:rPr lang="en-US" sz="1000" b="0" i="0" u="sng" strike="noStrike" baseline="0">
              <a:solidFill>
                <a:srgbClr val="000000"/>
              </a:solidFill>
              <a:latin typeface="Arial"/>
              <a:cs typeface="Arial"/>
            </a:rPr>
            <a:t>( 1.17V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 x (R1 + R2)/R2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1.16V x (R3 + R4)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1.16V)</a:t>
          </a:r>
          <a:r>
            <a:rPr lang="en-US" sz="1000" b="0" i="0" u="none" strike="noStrike" baseline="0">
              <a:solidFill>
                <a:srgbClr val="000000"/>
              </a:solidFill>
              <a:latin typeface="Arial"/>
              <a:cs typeface="Arial"/>
            </a:rPr>
            <a:t>  -  20uA)) + 1.16V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151</xdr:row>
      <xdr:rowOff>95251</xdr:rowOff>
    </xdr:from>
    <xdr:to>
      <xdr:col>10</xdr:col>
      <xdr:colOff>556641</xdr:colOff>
      <xdr:row>151</xdr:row>
      <xdr:rowOff>97409</xdr:rowOff>
    </xdr:to>
    <xdr:pic>
      <xdr:nvPicPr>
        <xdr:cNvPr id="3" name="Picture 21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twoCellAnchor>
    <xdr:from>
      <xdr:col>7</xdr:col>
      <xdr:colOff>274320</xdr:colOff>
      <xdr:row>50</xdr:row>
      <xdr:rowOff>76202</xdr:rowOff>
    </xdr:from>
    <xdr:to>
      <xdr:col>38</xdr:col>
      <xdr:colOff>373530</xdr:colOff>
      <xdr:row>63</xdr:row>
      <xdr:rowOff>171823</xdr:rowOff>
    </xdr:to>
    <xdr:graphicFrame macro="">
      <xdr:nvGraphicFramePr>
        <xdr:cNvPr id="19" name="Chart 100">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53340</xdr:colOff>
      <xdr:row>42</xdr:row>
      <xdr:rowOff>175260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220084</xdr:colOff>
      <xdr:row>67</xdr:row>
      <xdr:rowOff>94131</xdr:rowOff>
    </xdr:from>
    <xdr:to>
      <xdr:col>38</xdr:col>
      <xdr:colOff>215153</xdr:colOff>
      <xdr:row>81</xdr:row>
      <xdr:rowOff>71718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434340</xdr:colOff>
      <xdr:row>56</xdr:row>
      <xdr:rowOff>91440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192079</xdr:colOff>
      <xdr:row>81</xdr:row>
      <xdr:rowOff>125506</xdr:rowOff>
    </xdr:from>
    <xdr:to>
      <xdr:col>38</xdr:col>
      <xdr:colOff>282193</xdr:colOff>
      <xdr:row>92</xdr:row>
      <xdr:rowOff>60610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662940</xdr:colOff>
      <xdr:row>69</xdr:row>
      <xdr:rowOff>30480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9</xdr:row>
      <xdr:rowOff>0</xdr:rowOff>
    </xdr:from>
    <xdr:to>
      <xdr:col>11</xdr:col>
      <xdr:colOff>9525</xdr:colOff>
      <xdr:row>9</xdr:row>
      <xdr:rowOff>9525</xdr:rowOff>
    </xdr:to>
    <xdr:pic>
      <xdr:nvPicPr>
        <xdr:cNvPr id="31" name="Picture 30" descr="http://d.adroll.com/cm/w/out">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440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9</xdr:row>
      <xdr:rowOff>0</xdr:rowOff>
    </xdr:from>
    <xdr:to>
      <xdr:col>11</xdr:col>
      <xdr:colOff>28575</xdr:colOff>
      <xdr:row>9</xdr:row>
      <xdr:rowOff>9525</xdr:rowOff>
    </xdr:to>
    <xdr:sp macro="" textlink="">
      <xdr:nvSpPr>
        <xdr:cNvPr id="1357" name="AutoShape 333" descr="http://d.adroll.com/cm/x/out">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97631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xdr:colOff>
      <xdr:row>9</xdr:row>
      <xdr:rowOff>0</xdr:rowOff>
    </xdr:from>
    <xdr:to>
      <xdr:col>11</xdr:col>
      <xdr:colOff>47625</xdr:colOff>
      <xdr:row>9</xdr:row>
      <xdr:rowOff>9525</xdr:rowOff>
    </xdr:to>
    <xdr:pic>
      <xdr:nvPicPr>
        <xdr:cNvPr id="33" name="Picture 32" descr="http://www.googleadservices.com/pagead/conversion/1011350631/?label=RVMHCInF3gYQ5_if4gM&amp;guid=ON&amp;script=0&amp;ord=8507963758213217">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9</xdr:row>
      <xdr:rowOff>0</xdr:rowOff>
    </xdr:from>
    <xdr:to>
      <xdr:col>11</xdr:col>
      <xdr:colOff>66675</xdr:colOff>
      <xdr:row>9</xdr:row>
      <xdr:rowOff>9525</xdr:rowOff>
    </xdr:to>
    <xdr:sp macro="" textlink="">
      <xdr:nvSpPr>
        <xdr:cNvPr id="1359" name="AutoShape 335" descr="http://d.adroll.com/cm/g/out?google_nid=adroll2">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98012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76200</xdr:colOff>
      <xdr:row>9</xdr:row>
      <xdr:rowOff>0</xdr:rowOff>
    </xdr:from>
    <xdr:to>
      <xdr:col>11</xdr:col>
      <xdr:colOff>85725</xdr:colOff>
      <xdr:row>9</xdr:row>
      <xdr:rowOff>9525</xdr:rowOff>
    </xdr:to>
    <xdr:sp macro="" textlink="">
      <xdr:nvSpPr>
        <xdr:cNvPr id="1360" name="AutoShape 336" descr="http://ib.adnxs.com/seg?add=556715&amp;t=2">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982027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198783</xdr:colOff>
      <xdr:row>2</xdr:row>
      <xdr:rowOff>140812</xdr:rowOff>
    </xdr:from>
    <xdr:to>
      <xdr:col>10</xdr:col>
      <xdr:colOff>576469</xdr:colOff>
      <xdr:row>10</xdr:row>
      <xdr:rowOff>160691</xdr:rowOff>
    </xdr:to>
    <xdr:pic>
      <xdr:nvPicPr>
        <xdr:cNvPr id="36" name="Picture 35" descr="Positive High Voltage Hot Swap / Inrush Current Controller with Power Limiting - LM5069">
          <a:hlinkClick xmlns:r="http://schemas.openxmlformats.org/officeDocument/2006/relationships" r:id="rId11"/>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93935" y="1109877"/>
          <a:ext cx="1851991" cy="143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405845</xdr:colOff>
      <xdr:row>35</xdr:row>
      <xdr:rowOff>157373</xdr:rowOff>
    </xdr:from>
    <xdr:to>
      <xdr:col>12</xdr:col>
      <xdr:colOff>517904</xdr:colOff>
      <xdr:row>49</xdr:row>
      <xdr:rowOff>39315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8489021" y="7867020"/>
          <a:ext cx="2950883" cy="2780530"/>
          <a:chOff x="8000997" y="4398069"/>
          <a:chExt cx="2861885" cy="2548942"/>
        </a:xfrm>
      </xdr:grpSpPr>
      <xdr:grpSp>
        <xdr:nvGrpSpPr>
          <xdr:cNvPr id="12" name="Group 11">
            <a:extLst>
              <a:ext uri="{FF2B5EF4-FFF2-40B4-BE49-F238E27FC236}">
                <a16:creationId xmlns:a16="http://schemas.microsoft.com/office/drawing/2014/main" id="{00000000-0008-0000-0100-00000C000000}"/>
              </a:ext>
            </a:extLst>
          </xdr:cNvPr>
          <xdr:cNvGrpSpPr/>
        </xdr:nvGrpSpPr>
        <xdr:grpSpPr>
          <a:xfrm>
            <a:off x="8000997" y="4398069"/>
            <a:ext cx="2861885" cy="2548942"/>
            <a:chOff x="8000997" y="4398069"/>
            <a:chExt cx="2861885" cy="2548942"/>
          </a:xfrm>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8000997" y="4398069"/>
              <a:ext cx="2861885" cy="2548942"/>
              <a:chOff x="7507942" y="4356356"/>
              <a:chExt cx="2857500" cy="2548942"/>
            </a:xfrm>
          </xdr:grpSpPr>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3"/>
              <a:stretch>
                <a:fillRect/>
              </a:stretch>
            </xdr:blipFill>
            <xdr:spPr>
              <a:xfrm>
                <a:off x="7507942" y="4356356"/>
                <a:ext cx="2857500" cy="2548942"/>
              </a:xfrm>
              <a:prstGeom prst="rect">
                <a:avLst/>
              </a:prstGeom>
            </xdr:spPr>
          </xdr:pic>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8561294" y="5154706"/>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CL1</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9397253" y="5038165"/>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CL2</a:t>
                </a:r>
              </a:p>
            </xdr:txBody>
          </xdr:sp>
        </xdr:grpSp>
        <xdr:sp macro="" textlink="">
          <xdr:nvSpPr>
            <xdr:cNvPr id="9" name="Rectangle 8">
              <a:extLst>
                <a:ext uri="{FF2B5EF4-FFF2-40B4-BE49-F238E27FC236}">
                  <a16:creationId xmlns:a16="http://schemas.microsoft.com/office/drawing/2014/main" id="{00000000-0008-0000-0100-000009000000}"/>
                </a:ext>
              </a:extLst>
            </xdr:cNvPr>
            <xdr:cNvSpPr/>
          </xdr:nvSpPr>
          <xdr:spPr>
            <a:xfrm>
              <a:off x="9177130" y="6493565"/>
              <a:ext cx="1432893" cy="32302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4"/>
          <a:stretch>
            <a:fillRect/>
          </a:stretch>
        </xdr:blipFill>
        <xdr:spPr>
          <a:xfrm>
            <a:off x="8912674" y="6278217"/>
            <a:ext cx="1424743" cy="447261"/>
          </a:xfrm>
          <a:prstGeom prst="rect">
            <a:avLst/>
          </a:prstGeom>
        </xdr:spPr>
      </xdr:pic>
    </xdr:grpSp>
    <xdr:clientData/>
  </xdr:twoCellAnchor>
  <xdr:twoCellAnchor>
    <xdr:from>
      <xdr:col>11</xdr:col>
      <xdr:colOff>306455</xdr:colOff>
      <xdr:row>102</xdr:row>
      <xdr:rowOff>57978</xdr:rowOff>
    </xdr:from>
    <xdr:to>
      <xdr:col>12</xdr:col>
      <xdr:colOff>272456</xdr:colOff>
      <xdr:row>103</xdr:row>
      <xdr:rowOff>41413</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4"/>
        <a:stretch>
          <a:fillRect/>
        </a:stretch>
      </xdr:blipFill>
      <xdr:spPr>
        <a:xfrm>
          <a:off x="10063368" y="17078739"/>
          <a:ext cx="554066" cy="173935"/>
        </a:xfrm>
        <a:prstGeom prst="rect">
          <a:avLst/>
        </a:prstGeom>
      </xdr:spPr>
    </xdr:pic>
    <xdr:clientData/>
  </xdr:twoCellAnchor>
  <xdr:twoCellAnchor>
    <xdr:from>
      <xdr:col>8</xdr:col>
      <xdr:colOff>98612</xdr:colOff>
      <xdr:row>95</xdr:row>
      <xdr:rowOff>5956</xdr:rowOff>
    </xdr:from>
    <xdr:to>
      <xdr:col>12</xdr:col>
      <xdr:colOff>325531</xdr:colOff>
      <xdr:row>106</xdr:row>
      <xdr:rowOff>26894</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8181788" y="19414544"/>
          <a:ext cx="3065743" cy="2157526"/>
          <a:chOff x="7873187" y="15693217"/>
          <a:chExt cx="2797322" cy="1973621"/>
        </a:xfrm>
      </xdr:grpSpPr>
      <xdr:pic>
        <xdr:nvPicPr>
          <xdr:cNvPr id="1253" name="Picture 229">
            <a:extLst>
              <a:ext uri="{FF2B5EF4-FFF2-40B4-BE49-F238E27FC236}">
                <a16:creationId xmlns:a16="http://schemas.microsoft.com/office/drawing/2014/main" id="{00000000-0008-0000-0100-0000E5040000}"/>
              </a:ext>
            </a:extLst>
          </xdr:cNvPr>
          <xdr:cNvPicPr>
            <a:picLocks noChangeAspect="1" noChangeArrowheads="1"/>
          </xdr:cNvPicPr>
        </xdr:nvPicPr>
        <xdr:blipFill rotWithShape="1">
          <a:blip xmlns:r="http://schemas.openxmlformats.org/officeDocument/2006/relationships" r:embed="rId15" cstate="print"/>
          <a:srcRect t="87769"/>
          <a:stretch/>
        </xdr:blipFill>
        <xdr:spPr bwMode="auto">
          <a:xfrm>
            <a:off x="7873187" y="17443174"/>
            <a:ext cx="2797322" cy="223664"/>
          </a:xfrm>
          <a:prstGeom prst="rect">
            <a:avLst/>
          </a:prstGeom>
          <a:noFill/>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stretch>
            <a:fillRect/>
          </a:stretch>
        </xdr:blipFill>
        <xdr:spPr>
          <a:xfrm>
            <a:off x="7887218" y="15693217"/>
            <a:ext cx="2764216" cy="1760647"/>
          </a:xfrm>
          <a:prstGeom prst="rect">
            <a:avLst/>
          </a:prstGeom>
        </xdr:spPr>
      </xdr:pic>
    </xdr:grpSp>
    <xdr:clientData/>
  </xdr:twoCellAnchor>
  <xdr:twoCellAnchor>
    <xdr:from>
      <xdr:col>8</xdr:col>
      <xdr:colOff>80683</xdr:colOff>
      <xdr:row>106</xdr:row>
      <xdr:rowOff>183276</xdr:rowOff>
    </xdr:from>
    <xdr:to>
      <xdr:col>12</xdr:col>
      <xdr:colOff>379320</xdr:colOff>
      <xdr:row>118</xdr:row>
      <xdr:rowOff>80681</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8163859" y="21728452"/>
          <a:ext cx="3137461" cy="2228229"/>
          <a:chOff x="7880463" y="18111714"/>
          <a:chExt cx="2861764" cy="1978020"/>
        </a:xfrm>
      </xdr:grpSpPr>
      <xdr:pic>
        <xdr:nvPicPr>
          <xdr:cNvPr id="1254" name="Picture 230">
            <a:extLst>
              <a:ext uri="{FF2B5EF4-FFF2-40B4-BE49-F238E27FC236}">
                <a16:creationId xmlns:a16="http://schemas.microsoft.com/office/drawing/2014/main" id="{00000000-0008-0000-0100-0000E6040000}"/>
              </a:ext>
            </a:extLst>
          </xdr:cNvPr>
          <xdr:cNvPicPr>
            <a:picLocks noChangeAspect="1" noChangeArrowheads="1"/>
          </xdr:cNvPicPr>
        </xdr:nvPicPr>
        <xdr:blipFill rotWithShape="1">
          <a:blip xmlns:r="http://schemas.openxmlformats.org/officeDocument/2006/relationships" r:embed="rId17" cstate="print"/>
          <a:srcRect t="90397"/>
          <a:stretch/>
        </xdr:blipFill>
        <xdr:spPr bwMode="auto">
          <a:xfrm>
            <a:off x="7949257" y="19911391"/>
            <a:ext cx="2792970" cy="178343"/>
          </a:xfrm>
          <a:prstGeom prst="rect">
            <a:avLst/>
          </a:prstGeom>
          <a:noFill/>
        </xdr:spPr>
      </xdr:pic>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8"/>
          <a:stretch>
            <a:fillRect/>
          </a:stretch>
        </xdr:blipFill>
        <xdr:spPr>
          <a:xfrm>
            <a:off x="7880463" y="18111714"/>
            <a:ext cx="2845515" cy="1736436"/>
          </a:xfrm>
          <a:prstGeom prst="rect">
            <a:avLst/>
          </a:prstGeom>
        </xdr:spPr>
      </xdr:pic>
    </xdr:grpSp>
    <xdr:clientData/>
  </xdr:twoCellAnchor>
  <xdr:twoCellAnchor editAs="oneCell">
    <xdr:from>
      <xdr:col>1</xdr:col>
      <xdr:colOff>91109</xdr:colOff>
      <xdr:row>122</xdr:row>
      <xdr:rowOff>99397</xdr:rowOff>
    </xdr:from>
    <xdr:to>
      <xdr:col>4</xdr:col>
      <xdr:colOff>823128</xdr:colOff>
      <xdr:row>134</xdr:row>
      <xdr:rowOff>8290</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9"/>
        <a:stretch>
          <a:fillRect/>
        </a:stretch>
      </xdr:blipFill>
      <xdr:spPr>
        <a:xfrm>
          <a:off x="115957" y="20979854"/>
          <a:ext cx="4900769" cy="2186609"/>
        </a:xfrm>
        <a:prstGeom prst="rect">
          <a:avLst/>
        </a:prstGeom>
      </xdr:spPr>
    </xdr:pic>
    <xdr:clientData/>
  </xdr:twoCellAnchor>
  <xdr:twoCellAnchor editAs="oneCell">
    <xdr:from>
      <xdr:col>1</xdr:col>
      <xdr:colOff>74705</xdr:colOff>
      <xdr:row>14</xdr:row>
      <xdr:rowOff>44824</xdr:rowOff>
    </xdr:from>
    <xdr:to>
      <xdr:col>1</xdr:col>
      <xdr:colOff>1775094</xdr:colOff>
      <xdr:row>21</xdr:row>
      <xdr:rowOff>230069</xdr:rowOff>
    </xdr:to>
    <xdr:pic>
      <xdr:nvPicPr>
        <xdr:cNvPr id="41" name="Picture 40">
          <a:hlinkClick xmlns:r="http://schemas.openxmlformats.org/officeDocument/2006/relationships" r:id="rId2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1"/>
        <a:stretch>
          <a:fillRect/>
        </a:stretch>
      </xdr:blipFill>
      <xdr:spPr>
        <a:xfrm>
          <a:off x="104587" y="3294530"/>
          <a:ext cx="1700389" cy="1544892"/>
        </a:xfrm>
        <a:prstGeom prst="rect">
          <a:avLst/>
        </a:prstGeom>
      </xdr:spPr>
    </xdr:pic>
    <xdr:clientData/>
  </xdr:twoCellAnchor>
  <xdr:twoCellAnchor editAs="oneCell">
    <xdr:from>
      <xdr:col>1</xdr:col>
      <xdr:colOff>74706</xdr:colOff>
      <xdr:row>27</xdr:row>
      <xdr:rowOff>67235</xdr:rowOff>
    </xdr:from>
    <xdr:to>
      <xdr:col>1</xdr:col>
      <xdr:colOff>1821191</xdr:colOff>
      <xdr:row>32</xdr:row>
      <xdr:rowOff>57290</xdr:rowOff>
    </xdr:to>
    <xdr:pic>
      <xdr:nvPicPr>
        <xdr:cNvPr id="42" name="Picture 41">
          <a:hlinkClick xmlns:r="http://schemas.openxmlformats.org/officeDocument/2006/relationships" r:id="rId22"/>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23"/>
        <a:stretch>
          <a:fillRect/>
        </a:stretch>
      </xdr:blipFill>
      <xdr:spPr>
        <a:xfrm>
          <a:off x="104588" y="6223000"/>
          <a:ext cx="1746485" cy="961231"/>
        </a:xfrm>
        <a:prstGeom prst="rect">
          <a:avLst/>
        </a:prstGeom>
      </xdr:spPr>
    </xdr:pic>
    <xdr:clientData/>
  </xdr:twoCellAnchor>
  <xdr:twoCellAnchor editAs="oneCell">
    <xdr:from>
      <xdr:col>1</xdr:col>
      <xdr:colOff>44824</xdr:colOff>
      <xdr:row>36</xdr:row>
      <xdr:rowOff>29881</xdr:rowOff>
    </xdr:from>
    <xdr:to>
      <xdr:col>1</xdr:col>
      <xdr:colOff>1850101</xdr:colOff>
      <xdr:row>42</xdr:row>
      <xdr:rowOff>23530</xdr:rowOff>
    </xdr:to>
    <xdr:pic>
      <xdr:nvPicPr>
        <xdr:cNvPr id="43" name="Picture 42">
          <a:hlinkClick xmlns:r="http://schemas.openxmlformats.org/officeDocument/2006/relationships" r:id="rId2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3"/>
        <a:stretch>
          <a:fillRect/>
        </a:stretch>
      </xdr:blipFill>
      <xdr:spPr>
        <a:xfrm>
          <a:off x="74706" y="7933763"/>
          <a:ext cx="1805277" cy="1159061"/>
        </a:xfrm>
        <a:prstGeom prst="rect">
          <a:avLst/>
        </a:prstGeom>
      </xdr:spPr>
    </xdr:pic>
    <xdr:clientData/>
  </xdr:twoCellAnchor>
  <xdr:twoCellAnchor editAs="oneCell">
    <xdr:from>
      <xdr:col>1</xdr:col>
      <xdr:colOff>29883</xdr:colOff>
      <xdr:row>51</xdr:row>
      <xdr:rowOff>7470</xdr:rowOff>
    </xdr:from>
    <xdr:to>
      <xdr:col>1</xdr:col>
      <xdr:colOff>1886971</xdr:colOff>
      <xdr:row>56</xdr:row>
      <xdr:rowOff>37336</xdr:rowOff>
    </xdr:to>
    <xdr:pic>
      <xdr:nvPicPr>
        <xdr:cNvPr id="44" name="Picture 43">
          <a:hlinkClick xmlns:r="http://schemas.openxmlformats.org/officeDocument/2006/relationships" r:id="rId24"/>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25"/>
        <a:stretch>
          <a:fillRect/>
        </a:stretch>
      </xdr:blipFill>
      <xdr:spPr>
        <a:xfrm>
          <a:off x="59765" y="10989235"/>
          <a:ext cx="1857088" cy="1045866"/>
        </a:xfrm>
        <a:prstGeom prst="rect">
          <a:avLst/>
        </a:prstGeom>
      </xdr:spPr>
    </xdr:pic>
    <xdr:clientData/>
  </xdr:twoCellAnchor>
  <xdr:twoCellAnchor editAs="oneCell">
    <xdr:from>
      <xdr:col>1</xdr:col>
      <xdr:colOff>44824</xdr:colOff>
      <xdr:row>68</xdr:row>
      <xdr:rowOff>37353</xdr:rowOff>
    </xdr:from>
    <xdr:to>
      <xdr:col>1</xdr:col>
      <xdr:colOff>2004404</xdr:colOff>
      <xdr:row>76</xdr:row>
      <xdr:rowOff>82177</xdr:rowOff>
    </xdr:to>
    <xdr:pic>
      <xdr:nvPicPr>
        <xdr:cNvPr id="45" name="Picture 44">
          <a:hlinkClick xmlns:r="http://schemas.openxmlformats.org/officeDocument/2006/relationships" r:id="rId26"/>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7"/>
        <a:stretch>
          <a:fillRect/>
        </a:stretch>
      </xdr:blipFill>
      <xdr:spPr>
        <a:xfrm>
          <a:off x="74706" y="14403294"/>
          <a:ext cx="1959580" cy="1344707"/>
        </a:xfrm>
        <a:prstGeom prst="rect">
          <a:avLst/>
        </a:prstGeom>
      </xdr:spPr>
    </xdr:pic>
    <xdr:clientData/>
  </xdr:twoCellAnchor>
  <xdr:twoCellAnchor editAs="oneCell">
    <xdr:from>
      <xdr:col>1</xdr:col>
      <xdr:colOff>52294</xdr:colOff>
      <xdr:row>94</xdr:row>
      <xdr:rowOff>29883</xdr:rowOff>
    </xdr:from>
    <xdr:to>
      <xdr:col>1</xdr:col>
      <xdr:colOff>2061080</xdr:colOff>
      <xdr:row>99</xdr:row>
      <xdr:rowOff>156882</xdr:rowOff>
    </xdr:to>
    <xdr:pic>
      <xdr:nvPicPr>
        <xdr:cNvPr id="46" name="Picture 45">
          <a:hlinkClick xmlns:r="http://schemas.openxmlformats.org/officeDocument/2006/relationships" r:id="rId28"/>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29"/>
        <a:stretch>
          <a:fillRect/>
        </a:stretch>
      </xdr:blipFill>
      <xdr:spPr>
        <a:xfrm>
          <a:off x="82176" y="19244236"/>
          <a:ext cx="2008786" cy="109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124</xdr:row>
      <xdr:rowOff>85725</xdr:rowOff>
    </xdr:from>
    <xdr:to>
      <xdr:col>16</xdr:col>
      <xdr:colOff>247650</xdr:colOff>
      <xdr:row>150</xdr:row>
      <xdr:rowOff>28575</xdr:rowOff>
    </xdr:to>
    <xdr:sp macro="" textlink="">
      <xdr:nvSpPr>
        <xdr:cNvPr id="2" name="Text Box 17">
          <a:extLst>
            <a:ext uri="{FF2B5EF4-FFF2-40B4-BE49-F238E27FC236}">
              <a16:creationId xmlns:a16="http://schemas.microsoft.com/office/drawing/2014/main" id="{00000000-0008-0000-0300-000002000000}"/>
            </a:ext>
          </a:extLst>
        </xdr:cNvPr>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2.5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2.5V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2.5V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38100</xdr:colOff>
      <xdr:row>173</xdr:row>
      <xdr:rowOff>133350</xdr:rowOff>
    </xdr:from>
    <xdr:to>
      <xdr:col>9</xdr:col>
      <xdr:colOff>276225</xdr:colOff>
      <xdr:row>184</xdr:row>
      <xdr:rowOff>142875</xdr:rowOff>
    </xdr:to>
    <xdr:sp macro="" textlink="">
      <xdr:nvSpPr>
        <xdr:cNvPr id="3" name="Text Box 98">
          <a:extLst>
            <a:ext uri="{FF2B5EF4-FFF2-40B4-BE49-F238E27FC236}">
              <a16:creationId xmlns:a16="http://schemas.microsoft.com/office/drawing/2014/main" id="{00000000-0008-0000-0300-000003000000}"/>
            </a:ext>
          </a:extLst>
        </xdr:cNvPr>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16</xdr:col>
      <xdr:colOff>333375</xdr:colOff>
      <xdr:row>124</xdr:row>
      <xdr:rowOff>85725</xdr:rowOff>
    </xdr:from>
    <xdr:to>
      <xdr:col>23</xdr:col>
      <xdr:colOff>95250</xdr:colOff>
      <xdr:row>150</xdr:row>
      <xdr:rowOff>28575</xdr:rowOff>
    </xdr:to>
    <xdr:sp macro="" textlink="">
      <xdr:nvSpPr>
        <xdr:cNvPr id="4" name="Text Box 17">
          <a:extLst>
            <a:ext uri="{FF2B5EF4-FFF2-40B4-BE49-F238E27FC236}">
              <a16:creationId xmlns:a16="http://schemas.microsoft.com/office/drawing/2014/main" id="{00000000-0008-0000-0300-000004000000}"/>
            </a:ext>
          </a:extLst>
        </xdr:cNvPr>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2.5V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- 2.5V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2.5V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- 2.5V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563880</xdr:colOff>
      <xdr:row>26</xdr:row>
      <xdr:rowOff>87630</xdr:rowOff>
    </xdr:from>
    <xdr:to>
      <xdr:col>28</xdr:col>
      <xdr:colOff>388620</xdr:colOff>
      <xdr:row>46</xdr:row>
      <xdr:rowOff>137160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1.2333333333333334</v>
          </cell>
        </row>
        <row r="47">
          <cell r="C47">
            <v>14.44821271299568</v>
          </cell>
        </row>
        <row r="52">
          <cell r="C52">
            <v>61.344890223835883</v>
          </cell>
        </row>
        <row r="61">
          <cell r="C61">
            <v>1650</v>
          </cell>
        </row>
        <row r="67">
          <cell r="C67">
            <v>2.2000000000000001E-7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ti.com/lit/pdf/slva673" TargetMode="External"/><Relationship Id="rId1" Type="http://schemas.openxmlformats.org/officeDocument/2006/relationships/hyperlink" Target="http://www.ti.com/lit/gpn/lm50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9077122001" TargetMode="External"/><Relationship Id="rId13" Type="http://schemas.openxmlformats.org/officeDocument/2006/relationships/hyperlink" Target="https://training.ti.com/node/1133664" TargetMode="External"/><Relationship Id="rId18" Type="http://schemas.openxmlformats.org/officeDocument/2006/relationships/printerSettings" Target="../printerSettings/printerSettings1.bin"/><Relationship Id="rId3" Type="http://schemas.openxmlformats.org/officeDocument/2006/relationships/hyperlink" Target="http://www.ti.com/product/lm5069" TargetMode="External"/><Relationship Id="rId21" Type="http://schemas.openxmlformats.org/officeDocument/2006/relationships/comments" Target="../comments1.xml"/><Relationship Id="rId7" Type="http://schemas.openxmlformats.org/officeDocument/2006/relationships/hyperlink" Target="http://www.ti.com/general/docs/video/watch.tsp?entryid=4609733745001" TargetMode="External"/><Relationship Id="rId12" Type="http://schemas.openxmlformats.org/officeDocument/2006/relationships/hyperlink" Target="https://training.ti.com/node/1133673" TargetMode="External"/><Relationship Id="rId17" Type="http://schemas.openxmlformats.org/officeDocument/2006/relationships/hyperlink" Target="https://training.ti.com/node/1133681" TargetMode="External"/><Relationship Id="rId2" Type="http://schemas.openxmlformats.org/officeDocument/2006/relationships/hyperlink" Target="http://e2e.ti.com/" TargetMode="External"/><Relationship Id="rId16" Type="http://schemas.openxmlformats.org/officeDocument/2006/relationships/hyperlink" Target="https://training.ti.com/node/1133677" TargetMode="External"/><Relationship Id="rId20" Type="http://schemas.openxmlformats.org/officeDocument/2006/relationships/vmlDrawing" Target="../drawings/vmlDrawing1.vml"/><Relationship Id="rId1" Type="http://schemas.openxmlformats.org/officeDocument/2006/relationships/hyperlink" Target="http://www.ti.com/hotswap" TargetMode="External"/><Relationship Id="rId6" Type="http://schemas.openxmlformats.org/officeDocument/2006/relationships/hyperlink" Target="https://training.ti.com/node/1133664" TargetMode="External"/><Relationship Id="rId11" Type="http://schemas.openxmlformats.org/officeDocument/2006/relationships/hyperlink" Target="https://training.ti.com/node/1133677" TargetMode="External"/><Relationship Id="rId5" Type="http://schemas.openxmlformats.org/officeDocument/2006/relationships/hyperlink" Target="https://training.ti.com/node/1133673" TargetMode="External"/><Relationship Id="rId15" Type="http://schemas.openxmlformats.org/officeDocument/2006/relationships/hyperlink" Target="http://www.ti.com/general/docs/video/watch.tsp?entryid=4607940999001" TargetMode="External"/><Relationship Id="rId10" Type="http://schemas.openxmlformats.org/officeDocument/2006/relationships/hyperlink" Target="http://www.ti.com/general/docs/video/watch.tsp?entryid=4607940999001" TargetMode="External"/><Relationship Id="rId19" Type="http://schemas.openxmlformats.org/officeDocument/2006/relationships/drawing" Target="../drawings/drawing2.xml"/><Relationship Id="rId4" Type="http://schemas.openxmlformats.org/officeDocument/2006/relationships/hyperlink" Target="https://training.ti.com/node/1133677" TargetMode="External"/><Relationship Id="rId9" Type="http://schemas.openxmlformats.org/officeDocument/2006/relationships/hyperlink" Target="http://www.ti.com/general/docs/video/watch.tsp?entryid=4609077027001" TargetMode="External"/><Relationship Id="rId14" Type="http://schemas.openxmlformats.org/officeDocument/2006/relationships/hyperlink" Target="https://training.ti.com/node/113368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55" zoomScaleNormal="55" workbookViewId="0">
      <selection activeCell="B9" sqref="B9"/>
    </sheetView>
  </sheetViews>
  <sheetFormatPr defaultRowHeight="12.5" x14ac:dyDescent="0.25"/>
  <sheetData>
    <row r="1" spans="1:16" ht="13" thickTop="1" x14ac:dyDescent="0.25">
      <c r="A1" s="185"/>
      <c r="B1" s="186"/>
      <c r="C1" s="186"/>
      <c r="D1" s="186"/>
      <c r="E1" s="186"/>
      <c r="F1" s="186"/>
      <c r="G1" s="186"/>
      <c r="H1" s="186"/>
      <c r="I1" s="186"/>
      <c r="J1" s="186"/>
      <c r="K1" s="186"/>
      <c r="L1" s="186"/>
      <c r="M1" s="186"/>
      <c r="N1" s="186"/>
      <c r="O1" s="186"/>
      <c r="P1" s="187"/>
    </row>
    <row r="2" spans="1:16" x14ac:dyDescent="0.25">
      <c r="A2" s="188"/>
      <c r="B2" s="189"/>
      <c r="C2" s="189"/>
      <c r="D2" s="189"/>
      <c r="E2" s="189"/>
      <c r="F2" s="189"/>
      <c r="G2" s="189"/>
      <c r="H2" s="189"/>
      <c r="I2" s="189"/>
      <c r="J2" s="189"/>
      <c r="K2" s="189"/>
      <c r="L2" s="189"/>
      <c r="M2" s="189"/>
      <c r="N2" s="189"/>
      <c r="O2" s="189"/>
      <c r="P2" s="190"/>
    </row>
    <row r="3" spans="1:16" ht="30" x14ac:dyDescent="0.6">
      <c r="A3" s="188"/>
      <c r="B3" s="189"/>
      <c r="C3" s="189"/>
      <c r="D3" s="191"/>
      <c r="E3" s="189"/>
      <c r="F3" s="189"/>
      <c r="G3" s="189"/>
      <c r="H3" s="189"/>
      <c r="I3" s="189"/>
      <c r="J3" s="189"/>
      <c r="K3" s="189"/>
      <c r="L3" s="192"/>
      <c r="M3" s="189"/>
      <c r="N3" s="189"/>
      <c r="O3" s="189"/>
      <c r="P3" s="190"/>
    </row>
    <row r="4" spans="1:16" ht="23" x14ac:dyDescent="0.5">
      <c r="A4" s="188"/>
      <c r="B4" s="189"/>
      <c r="C4" s="189"/>
      <c r="D4" s="193"/>
      <c r="E4" s="189"/>
      <c r="F4" s="189"/>
      <c r="G4" s="189"/>
      <c r="H4" s="189"/>
      <c r="I4" s="189"/>
      <c r="J4" s="189"/>
      <c r="K4" s="189"/>
      <c r="L4" s="189"/>
      <c r="M4" s="189"/>
      <c r="N4" s="189"/>
      <c r="O4" s="189"/>
      <c r="P4" s="190"/>
    </row>
    <row r="5" spans="1:16" x14ac:dyDescent="0.25">
      <c r="A5" s="188"/>
      <c r="B5" s="189"/>
      <c r="C5" s="189"/>
      <c r="D5" s="189"/>
      <c r="E5" s="189"/>
      <c r="F5" s="189"/>
      <c r="G5" s="189"/>
      <c r="H5" s="189"/>
      <c r="I5" s="189"/>
      <c r="J5" s="189"/>
      <c r="K5" s="189"/>
      <c r="L5" s="189"/>
      <c r="M5" s="189"/>
      <c r="N5" s="189"/>
      <c r="O5" s="189"/>
      <c r="P5" s="190"/>
    </row>
    <row r="6" spans="1:16" x14ac:dyDescent="0.25">
      <c r="A6" s="188"/>
      <c r="B6" s="189"/>
      <c r="C6" s="189"/>
      <c r="D6" s="189"/>
      <c r="E6" s="189"/>
      <c r="F6" s="189"/>
      <c r="G6" s="189"/>
      <c r="H6" s="189"/>
      <c r="I6" s="189"/>
      <c r="J6" s="189"/>
      <c r="K6" s="189"/>
      <c r="L6" s="189"/>
      <c r="M6" s="189"/>
      <c r="N6" s="189"/>
      <c r="O6" s="189"/>
      <c r="P6" s="190"/>
    </row>
    <row r="7" spans="1:16" ht="15.5" x14ac:dyDescent="0.35">
      <c r="A7" s="188"/>
      <c r="B7" s="189"/>
      <c r="C7" s="189"/>
      <c r="D7" s="189"/>
      <c r="E7" s="189"/>
      <c r="F7" s="189"/>
      <c r="G7" s="189"/>
      <c r="H7" s="189"/>
      <c r="I7" s="189"/>
      <c r="J7" s="189"/>
      <c r="K7" s="189"/>
      <c r="L7" s="189"/>
      <c r="M7" s="192" t="s">
        <v>450</v>
      </c>
      <c r="N7" s="189"/>
      <c r="O7" s="189"/>
      <c r="P7" s="190"/>
    </row>
    <row r="8" spans="1:16" ht="30" x14ac:dyDescent="0.6">
      <c r="A8" s="188"/>
      <c r="B8" s="191" t="s">
        <v>493</v>
      </c>
      <c r="C8" s="189"/>
      <c r="D8" s="189"/>
      <c r="E8" s="189"/>
      <c r="F8" s="189"/>
      <c r="G8" s="189"/>
      <c r="H8" s="189"/>
      <c r="I8" s="189"/>
      <c r="J8" s="189"/>
      <c r="K8" s="189"/>
      <c r="L8" s="189"/>
      <c r="M8" s="189"/>
      <c r="N8" s="189"/>
      <c r="O8" s="189"/>
      <c r="P8" s="190"/>
    </row>
    <row r="9" spans="1:16" x14ac:dyDescent="0.25">
      <c r="A9" s="188"/>
      <c r="B9" s="189"/>
      <c r="C9" s="189"/>
      <c r="D9" s="189"/>
      <c r="E9" s="189"/>
      <c r="F9" s="189"/>
      <c r="G9" s="189"/>
      <c r="H9" s="189"/>
      <c r="I9" s="189"/>
      <c r="J9" s="189"/>
      <c r="K9" s="189"/>
      <c r="L9" s="189"/>
      <c r="M9" s="189"/>
      <c r="N9" s="189"/>
      <c r="O9" s="189"/>
      <c r="P9" s="190"/>
    </row>
    <row r="10" spans="1:16" ht="20" x14ac:dyDescent="0.4">
      <c r="A10" s="188"/>
      <c r="B10" s="194" t="s">
        <v>443</v>
      </c>
      <c r="C10" s="189"/>
      <c r="D10" s="189"/>
      <c r="E10" s="189"/>
      <c r="F10" s="189"/>
      <c r="G10" s="189"/>
      <c r="H10" s="189"/>
      <c r="I10" s="189"/>
      <c r="J10" s="189"/>
      <c r="K10" s="189"/>
      <c r="L10" s="189"/>
      <c r="M10" s="189"/>
      <c r="N10" s="189"/>
      <c r="O10" s="189"/>
      <c r="P10" s="190"/>
    </row>
    <row r="11" spans="1:16" ht="14" x14ac:dyDescent="0.3">
      <c r="A11" s="188"/>
      <c r="B11" s="195" t="s">
        <v>444</v>
      </c>
      <c r="C11" s="196"/>
      <c r="D11" s="196"/>
      <c r="E11" s="196"/>
      <c r="F11" s="189"/>
      <c r="G11" s="189"/>
      <c r="H11" s="189"/>
      <c r="I11" s="189"/>
      <c r="J11" s="189"/>
      <c r="K11" s="189"/>
      <c r="L11" s="189"/>
      <c r="M11" s="189"/>
      <c r="N11" s="189"/>
      <c r="O11" s="189"/>
      <c r="P11" s="190"/>
    </row>
    <row r="12" spans="1:16" ht="14" x14ac:dyDescent="0.3">
      <c r="A12" s="188"/>
      <c r="B12" s="195" t="s">
        <v>445</v>
      </c>
      <c r="C12" s="196"/>
      <c r="D12" s="196"/>
      <c r="E12" s="196"/>
      <c r="F12" s="189"/>
      <c r="G12" s="189"/>
      <c r="H12" s="189"/>
      <c r="I12" s="189"/>
      <c r="J12" s="189"/>
      <c r="K12" s="189"/>
      <c r="L12" s="189"/>
      <c r="M12" s="189"/>
      <c r="N12" s="189"/>
      <c r="O12" s="189"/>
      <c r="P12" s="190"/>
    </row>
    <row r="13" spans="1:16" x14ac:dyDescent="0.25">
      <c r="A13" s="188"/>
      <c r="B13" s="189"/>
      <c r="C13" s="189"/>
      <c r="D13" s="189"/>
      <c r="E13" s="189"/>
      <c r="F13" s="189"/>
      <c r="G13" s="189"/>
      <c r="H13" s="189"/>
      <c r="I13" s="189"/>
      <c r="J13" s="189"/>
      <c r="K13" s="189"/>
      <c r="L13" s="189"/>
      <c r="M13" s="189"/>
      <c r="N13" s="189"/>
      <c r="O13" s="189"/>
      <c r="P13" s="190"/>
    </row>
    <row r="14" spans="1:16" x14ac:dyDescent="0.25">
      <c r="A14" s="188"/>
      <c r="B14" s="262" t="s">
        <v>480</v>
      </c>
      <c r="C14" s="262"/>
      <c r="D14" s="262"/>
      <c r="E14" s="189"/>
      <c r="F14" s="189"/>
      <c r="G14" s="189"/>
      <c r="H14" s="189"/>
      <c r="I14" s="189"/>
      <c r="J14" s="189"/>
      <c r="K14" s="189"/>
      <c r="L14" s="189"/>
      <c r="M14" s="189"/>
      <c r="N14" s="189"/>
      <c r="O14" s="189"/>
      <c r="P14" s="190"/>
    </row>
    <row r="15" spans="1:16" x14ac:dyDescent="0.25">
      <c r="A15" s="188"/>
      <c r="B15" s="252" t="s">
        <v>466</v>
      </c>
      <c r="C15" s="252"/>
      <c r="D15" s="252"/>
      <c r="E15" s="252"/>
      <c r="F15" s="252"/>
      <c r="G15" s="252"/>
      <c r="H15" s="252"/>
      <c r="I15" s="252"/>
      <c r="J15" s="189"/>
      <c r="K15" s="189"/>
      <c r="L15" s="189"/>
      <c r="M15" s="189"/>
      <c r="N15" s="189"/>
      <c r="O15" s="189"/>
      <c r="P15" s="190"/>
    </row>
    <row r="16" spans="1:16" x14ac:dyDescent="0.25">
      <c r="A16" s="188"/>
      <c r="B16" s="189"/>
      <c r="C16" s="189"/>
      <c r="D16" s="189"/>
      <c r="E16" s="189"/>
      <c r="F16" s="189"/>
      <c r="G16" s="189"/>
      <c r="H16" s="189"/>
      <c r="I16" s="189"/>
      <c r="J16" s="189"/>
      <c r="K16" s="189"/>
      <c r="L16" s="189"/>
      <c r="M16" s="189"/>
      <c r="N16" s="189"/>
      <c r="O16" s="189"/>
      <c r="P16" s="190"/>
    </row>
    <row r="17" spans="1:16" ht="13" x14ac:dyDescent="0.25">
      <c r="A17" s="188"/>
      <c r="B17" s="197" t="s">
        <v>446</v>
      </c>
      <c r="C17" s="189"/>
      <c r="D17" s="189"/>
      <c r="E17" s="189"/>
      <c r="F17" s="189"/>
      <c r="G17" s="189"/>
      <c r="H17" s="189"/>
      <c r="I17" s="189"/>
      <c r="J17" s="189"/>
      <c r="K17" s="189"/>
      <c r="L17" s="189"/>
      <c r="M17" s="189"/>
      <c r="N17" s="189"/>
      <c r="O17" s="189"/>
      <c r="P17" s="190"/>
    </row>
    <row r="18" spans="1:16" ht="13" x14ac:dyDescent="0.3">
      <c r="A18" s="188"/>
      <c r="B18" s="198" t="s">
        <v>460</v>
      </c>
      <c r="C18" s="189"/>
      <c r="D18" s="189"/>
      <c r="E18" s="189"/>
      <c r="F18" s="189"/>
      <c r="G18" s="189"/>
      <c r="H18" s="189"/>
      <c r="I18" s="189"/>
      <c r="J18" s="189"/>
      <c r="K18" s="189"/>
      <c r="L18" s="189"/>
      <c r="M18" s="189"/>
      <c r="N18" s="189"/>
      <c r="O18" s="189"/>
      <c r="P18" s="190"/>
    </row>
    <row r="19" spans="1:16" ht="13" x14ac:dyDescent="0.3">
      <c r="A19" s="188"/>
      <c r="B19" s="198" t="s">
        <v>459</v>
      </c>
      <c r="C19" s="189"/>
      <c r="D19" s="189"/>
      <c r="E19" s="189"/>
      <c r="F19" s="189"/>
      <c r="G19" s="189"/>
      <c r="H19" s="189"/>
      <c r="I19" s="189"/>
      <c r="J19" s="189"/>
      <c r="K19" s="189"/>
      <c r="L19" s="189"/>
      <c r="M19" s="189"/>
      <c r="N19" s="189"/>
      <c r="O19" s="189"/>
      <c r="P19" s="190"/>
    </row>
    <row r="20" spans="1:16" ht="13" x14ac:dyDescent="0.3">
      <c r="A20" s="188"/>
      <c r="B20" s="198" t="s">
        <v>458</v>
      </c>
      <c r="C20" s="189"/>
      <c r="D20" s="189"/>
      <c r="E20" s="189"/>
      <c r="F20" s="189"/>
      <c r="G20" s="189"/>
      <c r="H20" s="189"/>
      <c r="I20" s="189"/>
      <c r="J20" s="189"/>
      <c r="K20" s="189"/>
      <c r="L20" s="189"/>
      <c r="M20" s="189"/>
      <c r="N20" s="189"/>
      <c r="O20" s="189"/>
      <c r="P20" s="190"/>
    </row>
    <row r="21" spans="1:16" ht="13" x14ac:dyDescent="0.3">
      <c r="A21" s="188"/>
      <c r="B21" s="198" t="s">
        <v>454</v>
      </c>
      <c r="C21" s="189"/>
      <c r="D21" s="189"/>
      <c r="E21" s="189"/>
      <c r="F21" s="189"/>
      <c r="G21" s="189"/>
      <c r="H21" s="189"/>
      <c r="I21" s="189"/>
      <c r="J21" s="189"/>
      <c r="K21" s="189"/>
      <c r="L21" s="189"/>
      <c r="M21" s="189"/>
      <c r="N21" s="189"/>
      <c r="O21" s="189"/>
      <c r="P21" s="190"/>
    </row>
    <row r="22" spans="1:16" ht="13" x14ac:dyDescent="0.3">
      <c r="A22" s="188"/>
      <c r="B22" s="198" t="s">
        <v>457</v>
      </c>
      <c r="C22" s="189"/>
      <c r="D22" s="189"/>
      <c r="E22" s="189"/>
      <c r="F22" s="189"/>
      <c r="G22" s="189"/>
      <c r="H22" s="189"/>
      <c r="I22" s="189"/>
      <c r="J22" s="189"/>
      <c r="K22" s="189"/>
      <c r="L22" s="189"/>
      <c r="M22" s="189"/>
      <c r="N22" s="189"/>
      <c r="O22" s="189"/>
      <c r="P22" s="190"/>
    </row>
    <row r="23" spans="1:16" ht="13" x14ac:dyDescent="0.3">
      <c r="A23" s="188"/>
      <c r="B23" s="198" t="s">
        <v>455</v>
      </c>
      <c r="C23" s="189"/>
      <c r="D23" s="189"/>
      <c r="E23" s="189"/>
      <c r="F23" s="189"/>
      <c r="G23" s="189"/>
      <c r="H23" s="189"/>
      <c r="I23" s="189"/>
      <c r="J23" s="189"/>
      <c r="K23" s="189"/>
      <c r="L23" s="189"/>
      <c r="M23" s="189"/>
      <c r="N23" s="189"/>
      <c r="O23" s="189"/>
      <c r="P23" s="190"/>
    </row>
    <row r="24" spans="1:16" ht="13" x14ac:dyDescent="0.3">
      <c r="A24" s="188"/>
      <c r="B24" s="198" t="s">
        <v>456</v>
      </c>
      <c r="C24" s="189"/>
      <c r="D24" s="189"/>
      <c r="E24" s="189"/>
      <c r="F24" s="189"/>
      <c r="G24" s="189"/>
      <c r="H24" s="189"/>
      <c r="I24" s="189"/>
      <c r="J24" s="189"/>
      <c r="K24" s="189"/>
      <c r="L24" s="189"/>
      <c r="M24" s="189"/>
      <c r="N24" s="189"/>
      <c r="O24" s="189"/>
      <c r="P24" s="190"/>
    </row>
    <row r="25" spans="1:16" ht="13" x14ac:dyDescent="0.3">
      <c r="A25" s="188"/>
      <c r="B25" s="198"/>
      <c r="C25" s="189"/>
      <c r="D25" s="189"/>
      <c r="E25" s="189"/>
      <c r="F25" s="189"/>
      <c r="G25" s="189"/>
      <c r="H25" s="189"/>
      <c r="I25" s="189"/>
      <c r="J25" s="189"/>
      <c r="K25" s="189"/>
      <c r="L25" s="189"/>
      <c r="M25" s="189"/>
      <c r="N25" s="189"/>
      <c r="O25" s="189"/>
      <c r="P25" s="190"/>
    </row>
    <row r="26" spans="1:16" ht="20" x14ac:dyDescent="0.4">
      <c r="A26" s="188"/>
      <c r="B26" s="194" t="s">
        <v>447</v>
      </c>
      <c r="C26" s="189"/>
      <c r="D26" s="189"/>
      <c r="E26" s="189"/>
      <c r="F26" s="189"/>
      <c r="G26" s="189"/>
      <c r="H26" s="189"/>
      <c r="I26" s="189"/>
      <c r="J26" s="189"/>
      <c r="K26" s="189"/>
      <c r="L26" s="189"/>
      <c r="M26" s="189"/>
      <c r="N26" s="189"/>
      <c r="O26" s="189"/>
      <c r="P26" s="190"/>
    </row>
    <row r="27" spans="1:16" x14ac:dyDescent="0.25">
      <c r="A27" s="188"/>
      <c r="B27" s="202" t="s">
        <v>453</v>
      </c>
      <c r="C27" s="189"/>
      <c r="D27" s="189"/>
      <c r="E27" s="189"/>
      <c r="F27" s="189"/>
      <c r="G27" s="189"/>
      <c r="H27" s="189"/>
      <c r="I27" s="189"/>
      <c r="J27" s="189"/>
      <c r="K27" s="189"/>
      <c r="L27" s="189"/>
      <c r="M27" s="189"/>
      <c r="N27" s="189"/>
      <c r="O27" s="189"/>
      <c r="P27" s="190"/>
    </row>
    <row r="28" spans="1:16" x14ac:dyDescent="0.25">
      <c r="A28" s="188"/>
      <c r="B28" s="189" t="s">
        <v>448</v>
      </c>
      <c r="C28" s="189"/>
      <c r="D28" s="189"/>
      <c r="E28" s="189"/>
      <c r="F28" s="189"/>
      <c r="G28" s="189"/>
      <c r="H28" s="189"/>
      <c r="I28" s="189"/>
      <c r="J28" s="189"/>
      <c r="K28" s="189"/>
      <c r="L28" s="189"/>
      <c r="M28" s="189"/>
      <c r="N28" s="189"/>
      <c r="O28" s="189"/>
      <c r="P28" s="190"/>
    </row>
    <row r="29" spans="1:16" x14ac:dyDescent="0.25">
      <c r="A29" s="188"/>
      <c r="B29" s="189"/>
      <c r="C29" s="189"/>
      <c r="D29" s="189"/>
      <c r="E29" s="189"/>
      <c r="F29" s="189"/>
      <c r="G29" s="189"/>
      <c r="H29" s="189"/>
      <c r="I29" s="189"/>
      <c r="J29" s="189"/>
      <c r="K29" s="189"/>
      <c r="L29" s="189"/>
      <c r="M29" s="189"/>
      <c r="N29" s="189"/>
      <c r="O29" s="189"/>
      <c r="P29" s="190"/>
    </row>
    <row r="30" spans="1:16" x14ac:dyDescent="0.25">
      <c r="A30" s="188"/>
      <c r="B30" s="202" t="s">
        <v>452</v>
      </c>
      <c r="C30" s="189"/>
      <c r="D30" s="189"/>
      <c r="E30" s="189"/>
      <c r="F30" s="189"/>
      <c r="G30" s="189"/>
      <c r="H30" s="189"/>
      <c r="I30" s="189"/>
      <c r="J30" s="189"/>
      <c r="K30" s="189"/>
      <c r="L30" s="189"/>
      <c r="M30" s="189"/>
      <c r="N30" s="189"/>
      <c r="O30" s="189"/>
      <c r="P30" s="190"/>
    </row>
    <row r="31" spans="1:16" x14ac:dyDescent="0.25">
      <c r="A31" s="188"/>
      <c r="B31" s="189"/>
      <c r="C31" s="189"/>
      <c r="D31" s="189"/>
      <c r="E31" s="189"/>
      <c r="F31" s="189"/>
      <c r="G31" s="189"/>
      <c r="H31" s="189"/>
      <c r="I31" s="189"/>
      <c r="J31" s="189"/>
      <c r="K31" s="189"/>
      <c r="L31" s="189"/>
      <c r="M31" s="189"/>
      <c r="N31" s="189"/>
      <c r="O31" s="189"/>
      <c r="P31" s="190"/>
    </row>
    <row r="32" spans="1:16" x14ac:dyDescent="0.25">
      <c r="A32" s="188"/>
      <c r="B32" s="189" t="s">
        <v>449</v>
      </c>
      <c r="C32" s="189"/>
      <c r="D32" s="189"/>
      <c r="E32" s="189"/>
      <c r="F32" s="189"/>
      <c r="G32" s="189"/>
      <c r="H32" s="189"/>
      <c r="I32" s="189"/>
      <c r="J32" s="189"/>
      <c r="K32" s="189"/>
      <c r="L32" s="189"/>
      <c r="M32" s="189"/>
      <c r="N32" s="189"/>
      <c r="O32" s="189"/>
      <c r="P32" s="190"/>
    </row>
    <row r="33" spans="1:16" x14ac:dyDescent="0.25">
      <c r="A33" s="188"/>
      <c r="B33" s="202"/>
      <c r="C33" s="189"/>
      <c r="D33" s="189"/>
      <c r="E33" s="189"/>
      <c r="F33" s="189"/>
      <c r="G33" s="189"/>
      <c r="H33" s="189"/>
      <c r="I33" s="189"/>
      <c r="J33" s="189"/>
      <c r="K33" s="189"/>
      <c r="L33" s="189"/>
      <c r="M33" s="189"/>
      <c r="N33" s="189"/>
      <c r="O33" s="189"/>
      <c r="P33" s="190"/>
    </row>
    <row r="34" spans="1:16" ht="13" thickBot="1" x14ac:dyDescent="0.3">
      <c r="A34" s="188"/>
      <c r="B34" s="202"/>
      <c r="C34" s="189"/>
      <c r="D34" s="189"/>
      <c r="E34" s="189"/>
      <c r="F34" s="189"/>
      <c r="G34" s="189"/>
      <c r="H34" s="189"/>
      <c r="I34" s="189"/>
      <c r="J34" s="189"/>
      <c r="K34" s="189"/>
      <c r="L34" s="189"/>
      <c r="M34" s="189"/>
      <c r="N34" s="189"/>
      <c r="O34" s="189"/>
      <c r="P34" s="190"/>
    </row>
    <row r="35" spans="1:16" x14ac:dyDescent="0.25">
      <c r="A35" s="188"/>
      <c r="B35" s="253" t="s">
        <v>479</v>
      </c>
      <c r="C35" s="254"/>
      <c r="D35" s="254"/>
      <c r="E35" s="254"/>
      <c r="F35" s="254"/>
      <c r="G35" s="254"/>
      <c r="H35" s="254"/>
      <c r="I35" s="254"/>
      <c r="J35" s="254"/>
      <c r="K35" s="254"/>
      <c r="L35" s="254"/>
      <c r="M35" s="255"/>
      <c r="N35" s="189"/>
      <c r="O35" s="189"/>
      <c r="P35" s="190"/>
    </row>
    <row r="36" spans="1:16" x14ac:dyDescent="0.25">
      <c r="A36" s="188"/>
      <c r="B36" s="256"/>
      <c r="C36" s="257"/>
      <c r="D36" s="257"/>
      <c r="E36" s="257"/>
      <c r="F36" s="257"/>
      <c r="G36" s="257"/>
      <c r="H36" s="257"/>
      <c r="I36" s="257"/>
      <c r="J36" s="257"/>
      <c r="K36" s="257"/>
      <c r="L36" s="257"/>
      <c r="M36" s="258"/>
      <c r="N36" s="189"/>
      <c r="O36" s="189"/>
      <c r="P36" s="190"/>
    </row>
    <row r="37" spans="1:16" x14ac:dyDescent="0.25">
      <c r="A37" s="188"/>
      <c r="B37" s="256"/>
      <c r="C37" s="257"/>
      <c r="D37" s="257"/>
      <c r="E37" s="257"/>
      <c r="F37" s="257"/>
      <c r="G37" s="257"/>
      <c r="H37" s="257"/>
      <c r="I37" s="257"/>
      <c r="J37" s="257"/>
      <c r="K37" s="257"/>
      <c r="L37" s="257"/>
      <c r="M37" s="258"/>
      <c r="N37" s="189"/>
      <c r="O37" s="189"/>
      <c r="P37" s="190"/>
    </row>
    <row r="38" spans="1:16" x14ac:dyDescent="0.25">
      <c r="A38" s="188"/>
      <c r="B38" s="256"/>
      <c r="C38" s="257"/>
      <c r="D38" s="257"/>
      <c r="E38" s="257"/>
      <c r="F38" s="257"/>
      <c r="G38" s="257"/>
      <c r="H38" s="257"/>
      <c r="I38" s="257"/>
      <c r="J38" s="257"/>
      <c r="K38" s="257"/>
      <c r="L38" s="257"/>
      <c r="M38" s="258"/>
      <c r="N38" s="189"/>
      <c r="O38" s="189"/>
      <c r="P38" s="190"/>
    </row>
    <row r="39" spans="1:16" x14ac:dyDescent="0.25">
      <c r="A39" s="188"/>
      <c r="B39" s="256"/>
      <c r="C39" s="257"/>
      <c r="D39" s="257"/>
      <c r="E39" s="257"/>
      <c r="F39" s="257"/>
      <c r="G39" s="257"/>
      <c r="H39" s="257"/>
      <c r="I39" s="257"/>
      <c r="J39" s="257"/>
      <c r="K39" s="257"/>
      <c r="L39" s="257"/>
      <c r="M39" s="258"/>
      <c r="N39" s="189"/>
      <c r="O39" s="189"/>
      <c r="P39" s="190"/>
    </row>
    <row r="40" spans="1:16" x14ac:dyDescent="0.25">
      <c r="A40" s="188"/>
      <c r="B40" s="256"/>
      <c r="C40" s="257"/>
      <c r="D40" s="257"/>
      <c r="E40" s="257"/>
      <c r="F40" s="257"/>
      <c r="G40" s="257"/>
      <c r="H40" s="257"/>
      <c r="I40" s="257"/>
      <c r="J40" s="257"/>
      <c r="K40" s="257"/>
      <c r="L40" s="257"/>
      <c r="M40" s="258"/>
      <c r="N40" s="189"/>
      <c r="O40" s="189"/>
      <c r="P40" s="190"/>
    </row>
    <row r="41" spans="1:16" x14ac:dyDescent="0.25">
      <c r="A41" s="188"/>
      <c r="B41" s="256"/>
      <c r="C41" s="257"/>
      <c r="D41" s="257"/>
      <c r="E41" s="257"/>
      <c r="F41" s="257"/>
      <c r="G41" s="257"/>
      <c r="H41" s="257"/>
      <c r="I41" s="257"/>
      <c r="J41" s="257"/>
      <c r="K41" s="257"/>
      <c r="L41" s="257"/>
      <c r="M41" s="258"/>
      <c r="N41" s="189"/>
      <c r="O41" s="189"/>
      <c r="P41" s="190"/>
    </row>
    <row r="42" spans="1:16" x14ac:dyDescent="0.25">
      <c r="A42" s="188"/>
      <c r="B42" s="256"/>
      <c r="C42" s="257"/>
      <c r="D42" s="257"/>
      <c r="E42" s="257"/>
      <c r="F42" s="257"/>
      <c r="G42" s="257"/>
      <c r="H42" s="257"/>
      <c r="I42" s="257"/>
      <c r="J42" s="257"/>
      <c r="K42" s="257"/>
      <c r="L42" s="257"/>
      <c r="M42" s="258"/>
      <c r="N42" s="189"/>
      <c r="O42" s="189"/>
      <c r="P42" s="190"/>
    </row>
    <row r="43" spans="1:16" x14ac:dyDescent="0.25">
      <c r="A43" s="188"/>
      <c r="B43" s="256"/>
      <c r="C43" s="257"/>
      <c r="D43" s="257"/>
      <c r="E43" s="257"/>
      <c r="F43" s="257"/>
      <c r="G43" s="257"/>
      <c r="H43" s="257"/>
      <c r="I43" s="257"/>
      <c r="J43" s="257"/>
      <c r="K43" s="257"/>
      <c r="L43" s="257"/>
      <c r="M43" s="258"/>
      <c r="N43" s="189"/>
      <c r="O43" s="189"/>
      <c r="P43" s="190"/>
    </row>
    <row r="44" spans="1:16" x14ac:dyDescent="0.25">
      <c r="A44" s="188"/>
      <c r="B44" s="256"/>
      <c r="C44" s="257"/>
      <c r="D44" s="257"/>
      <c r="E44" s="257"/>
      <c r="F44" s="257"/>
      <c r="G44" s="257"/>
      <c r="H44" s="257"/>
      <c r="I44" s="257"/>
      <c r="J44" s="257"/>
      <c r="K44" s="257"/>
      <c r="L44" s="257"/>
      <c r="M44" s="258"/>
      <c r="N44" s="189"/>
      <c r="O44" s="189"/>
      <c r="P44" s="190"/>
    </row>
    <row r="45" spans="1:16" x14ac:dyDescent="0.25">
      <c r="A45" s="188"/>
      <c r="B45" s="256"/>
      <c r="C45" s="257"/>
      <c r="D45" s="257"/>
      <c r="E45" s="257"/>
      <c r="F45" s="257"/>
      <c r="G45" s="257"/>
      <c r="H45" s="257"/>
      <c r="I45" s="257"/>
      <c r="J45" s="257"/>
      <c r="K45" s="257"/>
      <c r="L45" s="257"/>
      <c r="M45" s="258"/>
      <c r="N45" s="189"/>
      <c r="O45" s="189"/>
      <c r="P45" s="190"/>
    </row>
    <row r="46" spans="1:16" x14ac:dyDescent="0.25">
      <c r="A46" s="188"/>
      <c r="B46" s="256"/>
      <c r="C46" s="257"/>
      <c r="D46" s="257"/>
      <c r="E46" s="257"/>
      <c r="F46" s="257"/>
      <c r="G46" s="257"/>
      <c r="H46" s="257"/>
      <c r="I46" s="257"/>
      <c r="J46" s="257"/>
      <c r="K46" s="257"/>
      <c r="L46" s="257"/>
      <c r="M46" s="258"/>
      <c r="N46" s="189"/>
      <c r="O46" s="189"/>
      <c r="P46" s="190"/>
    </row>
    <row r="47" spans="1:16" x14ac:dyDescent="0.25">
      <c r="A47" s="188"/>
      <c r="B47" s="256"/>
      <c r="C47" s="257"/>
      <c r="D47" s="257"/>
      <c r="E47" s="257"/>
      <c r="F47" s="257"/>
      <c r="G47" s="257"/>
      <c r="H47" s="257"/>
      <c r="I47" s="257"/>
      <c r="J47" s="257"/>
      <c r="K47" s="257"/>
      <c r="L47" s="257"/>
      <c r="M47" s="258"/>
      <c r="N47" s="189"/>
      <c r="O47" s="189"/>
      <c r="P47" s="190"/>
    </row>
    <row r="48" spans="1:16" x14ac:dyDescent="0.25">
      <c r="A48" s="188"/>
      <c r="B48" s="256"/>
      <c r="C48" s="257"/>
      <c r="D48" s="257"/>
      <c r="E48" s="257"/>
      <c r="F48" s="257"/>
      <c r="G48" s="257"/>
      <c r="H48" s="257"/>
      <c r="I48" s="257"/>
      <c r="J48" s="257"/>
      <c r="K48" s="257"/>
      <c r="L48" s="257"/>
      <c r="M48" s="258"/>
      <c r="N48" s="189"/>
      <c r="O48" s="189"/>
      <c r="P48" s="190"/>
    </row>
    <row r="49" spans="1:16" x14ac:dyDescent="0.25">
      <c r="A49" s="188"/>
      <c r="B49" s="256"/>
      <c r="C49" s="257"/>
      <c r="D49" s="257"/>
      <c r="E49" s="257"/>
      <c r="F49" s="257"/>
      <c r="G49" s="257"/>
      <c r="H49" s="257"/>
      <c r="I49" s="257"/>
      <c r="J49" s="257"/>
      <c r="K49" s="257"/>
      <c r="L49" s="257"/>
      <c r="M49" s="258"/>
      <c r="N49" s="189"/>
      <c r="O49" s="189"/>
      <c r="P49" s="190"/>
    </row>
    <row r="50" spans="1:16" x14ac:dyDescent="0.25">
      <c r="A50" s="188"/>
      <c r="B50" s="256"/>
      <c r="C50" s="257"/>
      <c r="D50" s="257"/>
      <c r="E50" s="257"/>
      <c r="F50" s="257"/>
      <c r="G50" s="257"/>
      <c r="H50" s="257"/>
      <c r="I50" s="257"/>
      <c r="J50" s="257"/>
      <c r="K50" s="257"/>
      <c r="L50" s="257"/>
      <c r="M50" s="258"/>
      <c r="N50" s="189"/>
      <c r="O50" s="189"/>
      <c r="P50" s="190"/>
    </row>
    <row r="51" spans="1:16" x14ac:dyDescent="0.25">
      <c r="A51" s="188"/>
      <c r="B51" s="256"/>
      <c r="C51" s="257"/>
      <c r="D51" s="257"/>
      <c r="E51" s="257"/>
      <c r="F51" s="257"/>
      <c r="G51" s="257"/>
      <c r="H51" s="257"/>
      <c r="I51" s="257"/>
      <c r="J51" s="257"/>
      <c r="K51" s="257"/>
      <c r="L51" s="257"/>
      <c r="M51" s="258"/>
      <c r="N51" s="189"/>
      <c r="O51" s="189"/>
      <c r="P51" s="190"/>
    </row>
    <row r="52" spans="1:16" x14ac:dyDescent="0.25">
      <c r="A52" s="188"/>
      <c r="B52" s="256"/>
      <c r="C52" s="257"/>
      <c r="D52" s="257"/>
      <c r="E52" s="257"/>
      <c r="F52" s="257"/>
      <c r="G52" s="257"/>
      <c r="H52" s="257"/>
      <c r="I52" s="257"/>
      <c r="J52" s="257"/>
      <c r="K52" s="257"/>
      <c r="L52" s="257"/>
      <c r="M52" s="258"/>
      <c r="N52" s="189"/>
      <c r="O52" s="189"/>
      <c r="P52" s="190"/>
    </row>
    <row r="53" spans="1:16" x14ac:dyDescent="0.25">
      <c r="A53" s="188"/>
      <c r="B53" s="256"/>
      <c r="C53" s="257"/>
      <c r="D53" s="257"/>
      <c r="E53" s="257"/>
      <c r="F53" s="257"/>
      <c r="G53" s="257"/>
      <c r="H53" s="257"/>
      <c r="I53" s="257"/>
      <c r="J53" s="257"/>
      <c r="K53" s="257"/>
      <c r="L53" s="257"/>
      <c r="M53" s="258"/>
      <c r="N53" s="189"/>
      <c r="O53" s="189"/>
      <c r="P53" s="190"/>
    </row>
    <row r="54" spans="1:16" x14ac:dyDescent="0.25">
      <c r="A54" s="188"/>
      <c r="B54" s="256"/>
      <c r="C54" s="257"/>
      <c r="D54" s="257"/>
      <c r="E54" s="257"/>
      <c r="F54" s="257"/>
      <c r="G54" s="257"/>
      <c r="H54" s="257"/>
      <c r="I54" s="257"/>
      <c r="J54" s="257"/>
      <c r="K54" s="257"/>
      <c r="L54" s="257"/>
      <c r="M54" s="258"/>
      <c r="N54" s="189"/>
      <c r="O54" s="189"/>
      <c r="P54" s="190"/>
    </row>
    <row r="55" spans="1:16" x14ac:dyDescent="0.25">
      <c r="A55" s="188"/>
      <c r="B55" s="256"/>
      <c r="C55" s="257"/>
      <c r="D55" s="257"/>
      <c r="E55" s="257"/>
      <c r="F55" s="257"/>
      <c r="G55" s="257"/>
      <c r="H55" s="257"/>
      <c r="I55" s="257"/>
      <c r="J55" s="257"/>
      <c r="K55" s="257"/>
      <c r="L55" s="257"/>
      <c r="M55" s="258"/>
      <c r="N55" s="189"/>
      <c r="O55" s="189"/>
      <c r="P55" s="190"/>
    </row>
    <row r="56" spans="1:16" x14ac:dyDescent="0.25">
      <c r="A56" s="188"/>
      <c r="B56" s="256"/>
      <c r="C56" s="257"/>
      <c r="D56" s="257"/>
      <c r="E56" s="257"/>
      <c r="F56" s="257"/>
      <c r="G56" s="257"/>
      <c r="H56" s="257"/>
      <c r="I56" s="257"/>
      <c r="J56" s="257"/>
      <c r="K56" s="257"/>
      <c r="L56" s="257"/>
      <c r="M56" s="258"/>
      <c r="N56" s="189"/>
      <c r="O56" s="189"/>
      <c r="P56" s="190"/>
    </row>
    <row r="57" spans="1:16" x14ac:dyDescent="0.25">
      <c r="A57" s="188"/>
      <c r="B57" s="256"/>
      <c r="C57" s="257"/>
      <c r="D57" s="257"/>
      <c r="E57" s="257"/>
      <c r="F57" s="257"/>
      <c r="G57" s="257"/>
      <c r="H57" s="257"/>
      <c r="I57" s="257"/>
      <c r="J57" s="257"/>
      <c r="K57" s="257"/>
      <c r="L57" s="257"/>
      <c r="M57" s="258"/>
      <c r="N57" s="189"/>
      <c r="O57" s="189"/>
      <c r="P57" s="190"/>
    </row>
    <row r="58" spans="1:16" x14ac:dyDescent="0.25">
      <c r="A58" s="188"/>
      <c r="B58" s="256"/>
      <c r="C58" s="257"/>
      <c r="D58" s="257"/>
      <c r="E58" s="257"/>
      <c r="F58" s="257"/>
      <c r="G58" s="257"/>
      <c r="H58" s="257"/>
      <c r="I58" s="257"/>
      <c r="J58" s="257"/>
      <c r="K58" s="257"/>
      <c r="L58" s="257"/>
      <c r="M58" s="258"/>
      <c r="N58" s="189"/>
      <c r="O58" s="189"/>
      <c r="P58" s="190"/>
    </row>
    <row r="59" spans="1:16" x14ac:dyDescent="0.25">
      <c r="A59" s="188"/>
      <c r="B59" s="256"/>
      <c r="C59" s="257"/>
      <c r="D59" s="257"/>
      <c r="E59" s="257"/>
      <c r="F59" s="257"/>
      <c r="G59" s="257"/>
      <c r="H59" s="257"/>
      <c r="I59" s="257"/>
      <c r="J59" s="257"/>
      <c r="K59" s="257"/>
      <c r="L59" s="257"/>
      <c r="M59" s="258"/>
      <c r="N59" s="189"/>
      <c r="O59" s="189"/>
      <c r="P59" s="190"/>
    </row>
    <row r="60" spans="1:16" x14ac:dyDescent="0.25">
      <c r="A60" s="188"/>
      <c r="B60" s="256"/>
      <c r="C60" s="257"/>
      <c r="D60" s="257"/>
      <c r="E60" s="257"/>
      <c r="F60" s="257"/>
      <c r="G60" s="257"/>
      <c r="H60" s="257"/>
      <c r="I60" s="257"/>
      <c r="J60" s="257"/>
      <c r="K60" s="257"/>
      <c r="L60" s="257"/>
      <c r="M60" s="258"/>
      <c r="N60" s="189"/>
      <c r="O60" s="189"/>
      <c r="P60" s="190"/>
    </row>
    <row r="61" spans="1:16" x14ac:dyDescent="0.25">
      <c r="A61" s="188"/>
      <c r="B61" s="256"/>
      <c r="C61" s="257"/>
      <c r="D61" s="257"/>
      <c r="E61" s="257"/>
      <c r="F61" s="257"/>
      <c r="G61" s="257"/>
      <c r="H61" s="257"/>
      <c r="I61" s="257"/>
      <c r="J61" s="257"/>
      <c r="K61" s="257"/>
      <c r="L61" s="257"/>
      <c r="M61" s="258"/>
      <c r="N61" s="189"/>
      <c r="O61" s="189"/>
      <c r="P61" s="190"/>
    </row>
    <row r="62" spans="1:16" x14ac:dyDescent="0.25">
      <c r="A62" s="188"/>
      <c r="B62" s="256"/>
      <c r="C62" s="257"/>
      <c r="D62" s="257"/>
      <c r="E62" s="257"/>
      <c r="F62" s="257"/>
      <c r="G62" s="257"/>
      <c r="H62" s="257"/>
      <c r="I62" s="257"/>
      <c r="J62" s="257"/>
      <c r="K62" s="257"/>
      <c r="L62" s="257"/>
      <c r="M62" s="258"/>
      <c r="N62" s="189"/>
      <c r="O62" s="189"/>
      <c r="P62" s="190"/>
    </row>
    <row r="63" spans="1:16" x14ac:dyDescent="0.25">
      <c r="A63" s="188"/>
      <c r="B63" s="256"/>
      <c r="C63" s="257"/>
      <c r="D63" s="257"/>
      <c r="E63" s="257"/>
      <c r="F63" s="257"/>
      <c r="G63" s="257"/>
      <c r="H63" s="257"/>
      <c r="I63" s="257"/>
      <c r="J63" s="257"/>
      <c r="K63" s="257"/>
      <c r="L63" s="257"/>
      <c r="M63" s="258"/>
      <c r="N63" s="189"/>
      <c r="O63" s="189"/>
      <c r="P63" s="190"/>
    </row>
    <row r="64" spans="1:16" x14ac:dyDescent="0.25">
      <c r="A64" s="188"/>
      <c r="B64" s="256"/>
      <c r="C64" s="257"/>
      <c r="D64" s="257"/>
      <c r="E64" s="257"/>
      <c r="F64" s="257"/>
      <c r="G64" s="257"/>
      <c r="H64" s="257"/>
      <c r="I64" s="257"/>
      <c r="J64" s="257"/>
      <c r="K64" s="257"/>
      <c r="L64" s="257"/>
      <c r="M64" s="258"/>
      <c r="N64" s="189"/>
      <c r="O64" s="189"/>
      <c r="P64" s="190"/>
    </row>
    <row r="65" spans="1:16" x14ac:dyDescent="0.25">
      <c r="A65" s="188"/>
      <c r="B65" s="256"/>
      <c r="C65" s="257"/>
      <c r="D65" s="257"/>
      <c r="E65" s="257"/>
      <c r="F65" s="257"/>
      <c r="G65" s="257"/>
      <c r="H65" s="257"/>
      <c r="I65" s="257"/>
      <c r="J65" s="257"/>
      <c r="K65" s="257"/>
      <c r="L65" s="257"/>
      <c r="M65" s="258"/>
      <c r="N65" s="189"/>
      <c r="O65" s="189"/>
      <c r="P65" s="190"/>
    </row>
    <row r="66" spans="1:16" x14ac:dyDescent="0.25">
      <c r="A66" s="188"/>
      <c r="B66" s="256"/>
      <c r="C66" s="257"/>
      <c r="D66" s="257"/>
      <c r="E66" s="257"/>
      <c r="F66" s="257"/>
      <c r="G66" s="257"/>
      <c r="H66" s="257"/>
      <c r="I66" s="257"/>
      <c r="J66" s="257"/>
      <c r="K66" s="257"/>
      <c r="L66" s="257"/>
      <c r="M66" s="258"/>
      <c r="N66" s="189"/>
      <c r="O66" s="189"/>
      <c r="P66" s="190"/>
    </row>
    <row r="67" spans="1:16" x14ac:dyDescent="0.25">
      <c r="A67" s="188"/>
      <c r="B67" s="256"/>
      <c r="C67" s="257"/>
      <c r="D67" s="257"/>
      <c r="E67" s="257"/>
      <c r="F67" s="257"/>
      <c r="G67" s="257"/>
      <c r="H67" s="257"/>
      <c r="I67" s="257"/>
      <c r="J67" s="257"/>
      <c r="K67" s="257"/>
      <c r="L67" s="257"/>
      <c r="M67" s="258"/>
      <c r="N67" s="189"/>
      <c r="O67" s="189"/>
      <c r="P67" s="190"/>
    </row>
    <row r="68" spans="1:16" x14ac:dyDescent="0.25">
      <c r="A68" s="188"/>
      <c r="B68" s="256"/>
      <c r="C68" s="257"/>
      <c r="D68" s="257"/>
      <c r="E68" s="257"/>
      <c r="F68" s="257"/>
      <c r="G68" s="257"/>
      <c r="H68" s="257"/>
      <c r="I68" s="257"/>
      <c r="J68" s="257"/>
      <c r="K68" s="257"/>
      <c r="L68" s="257"/>
      <c r="M68" s="258"/>
      <c r="N68" s="189"/>
      <c r="O68" s="189"/>
      <c r="P68" s="190"/>
    </row>
    <row r="69" spans="1:16" x14ac:dyDescent="0.25">
      <c r="A69" s="188"/>
      <c r="B69" s="256"/>
      <c r="C69" s="257"/>
      <c r="D69" s="257"/>
      <c r="E69" s="257"/>
      <c r="F69" s="257"/>
      <c r="G69" s="257"/>
      <c r="H69" s="257"/>
      <c r="I69" s="257"/>
      <c r="J69" s="257"/>
      <c r="K69" s="257"/>
      <c r="L69" s="257"/>
      <c r="M69" s="258"/>
      <c r="N69" s="189"/>
      <c r="O69" s="189"/>
      <c r="P69" s="190"/>
    </row>
    <row r="70" spans="1:16" x14ac:dyDescent="0.25">
      <c r="A70" s="188"/>
      <c r="B70" s="256"/>
      <c r="C70" s="257"/>
      <c r="D70" s="257"/>
      <c r="E70" s="257"/>
      <c r="F70" s="257"/>
      <c r="G70" s="257"/>
      <c r="H70" s="257"/>
      <c r="I70" s="257"/>
      <c r="J70" s="257"/>
      <c r="K70" s="257"/>
      <c r="L70" s="257"/>
      <c r="M70" s="258"/>
      <c r="N70" s="189"/>
      <c r="O70" s="189"/>
      <c r="P70" s="190"/>
    </row>
    <row r="71" spans="1:16" x14ac:dyDescent="0.25">
      <c r="A71" s="188"/>
      <c r="B71" s="256"/>
      <c r="C71" s="257"/>
      <c r="D71" s="257"/>
      <c r="E71" s="257"/>
      <c r="F71" s="257"/>
      <c r="G71" s="257"/>
      <c r="H71" s="257"/>
      <c r="I71" s="257"/>
      <c r="J71" s="257"/>
      <c r="K71" s="257"/>
      <c r="L71" s="257"/>
      <c r="M71" s="258"/>
      <c r="N71" s="189"/>
      <c r="O71" s="189"/>
      <c r="P71" s="190"/>
    </row>
    <row r="72" spans="1:16" x14ac:dyDescent="0.25">
      <c r="A72" s="188"/>
      <c r="B72" s="256"/>
      <c r="C72" s="257"/>
      <c r="D72" s="257"/>
      <c r="E72" s="257"/>
      <c r="F72" s="257"/>
      <c r="G72" s="257"/>
      <c r="H72" s="257"/>
      <c r="I72" s="257"/>
      <c r="J72" s="257"/>
      <c r="K72" s="257"/>
      <c r="L72" s="257"/>
      <c r="M72" s="258"/>
      <c r="N72" s="189"/>
      <c r="O72" s="189"/>
      <c r="P72" s="190"/>
    </row>
    <row r="73" spans="1:16" x14ac:dyDescent="0.25">
      <c r="A73" s="188"/>
      <c r="B73" s="256"/>
      <c r="C73" s="257"/>
      <c r="D73" s="257"/>
      <c r="E73" s="257"/>
      <c r="F73" s="257"/>
      <c r="G73" s="257"/>
      <c r="H73" s="257"/>
      <c r="I73" s="257"/>
      <c r="J73" s="257"/>
      <c r="K73" s="257"/>
      <c r="L73" s="257"/>
      <c r="M73" s="258"/>
      <c r="N73" s="189"/>
      <c r="O73" s="189"/>
      <c r="P73" s="190"/>
    </row>
    <row r="74" spans="1:16" x14ac:dyDescent="0.25">
      <c r="A74" s="188"/>
      <c r="B74" s="256"/>
      <c r="C74" s="257"/>
      <c r="D74" s="257"/>
      <c r="E74" s="257"/>
      <c r="F74" s="257"/>
      <c r="G74" s="257"/>
      <c r="H74" s="257"/>
      <c r="I74" s="257"/>
      <c r="J74" s="257"/>
      <c r="K74" s="257"/>
      <c r="L74" s="257"/>
      <c r="M74" s="258"/>
      <c r="N74" s="189"/>
      <c r="O74" s="189"/>
      <c r="P74" s="190"/>
    </row>
    <row r="75" spans="1:16" x14ac:dyDescent="0.25">
      <c r="A75" s="188"/>
      <c r="B75" s="256"/>
      <c r="C75" s="257"/>
      <c r="D75" s="257"/>
      <c r="E75" s="257"/>
      <c r="F75" s="257"/>
      <c r="G75" s="257"/>
      <c r="H75" s="257"/>
      <c r="I75" s="257"/>
      <c r="J75" s="257"/>
      <c r="K75" s="257"/>
      <c r="L75" s="257"/>
      <c r="M75" s="258"/>
      <c r="N75" s="189"/>
      <c r="O75" s="189"/>
      <c r="P75" s="190"/>
    </row>
    <row r="76" spans="1:16" x14ac:dyDescent="0.25">
      <c r="A76" s="188"/>
      <c r="B76" s="256"/>
      <c r="C76" s="257"/>
      <c r="D76" s="257"/>
      <c r="E76" s="257"/>
      <c r="F76" s="257"/>
      <c r="G76" s="257"/>
      <c r="H76" s="257"/>
      <c r="I76" s="257"/>
      <c r="J76" s="257"/>
      <c r="K76" s="257"/>
      <c r="L76" s="257"/>
      <c r="M76" s="258"/>
      <c r="N76" s="189"/>
      <c r="O76" s="189"/>
      <c r="P76" s="190"/>
    </row>
    <row r="77" spans="1:16" x14ac:dyDescent="0.25">
      <c r="A77" s="188"/>
      <c r="B77" s="256"/>
      <c r="C77" s="257"/>
      <c r="D77" s="257"/>
      <c r="E77" s="257"/>
      <c r="F77" s="257"/>
      <c r="G77" s="257"/>
      <c r="H77" s="257"/>
      <c r="I77" s="257"/>
      <c r="J77" s="257"/>
      <c r="K77" s="257"/>
      <c r="L77" s="257"/>
      <c r="M77" s="258"/>
      <c r="N77" s="189"/>
      <c r="O77" s="189"/>
      <c r="P77" s="190"/>
    </row>
    <row r="78" spans="1:16" x14ac:dyDescent="0.25">
      <c r="A78" s="188"/>
      <c r="B78" s="256"/>
      <c r="C78" s="257"/>
      <c r="D78" s="257"/>
      <c r="E78" s="257"/>
      <c r="F78" s="257"/>
      <c r="G78" s="257"/>
      <c r="H78" s="257"/>
      <c r="I78" s="257"/>
      <c r="J78" s="257"/>
      <c r="K78" s="257"/>
      <c r="L78" s="257"/>
      <c r="M78" s="258"/>
      <c r="N78" s="189"/>
      <c r="O78" s="189"/>
      <c r="P78" s="190"/>
    </row>
    <row r="79" spans="1:16" x14ac:dyDescent="0.25">
      <c r="A79" s="188"/>
      <c r="B79" s="256"/>
      <c r="C79" s="257"/>
      <c r="D79" s="257"/>
      <c r="E79" s="257"/>
      <c r="F79" s="257"/>
      <c r="G79" s="257"/>
      <c r="H79" s="257"/>
      <c r="I79" s="257"/>
      <c r="J79" s="257"/>
      <c r="K79" s="257"/>
      <c r="L79" s="257"/>
      <c r="M79" s="258"/>
      <c r="N79" s="189"/>
      <c r="O79" s="189"/>
      <c r="P79" s="190"/>
    </row>
    <row r="80" spans="1:16" x14ac:dyDescent="0.25">
      <c r="A80" s="188"/>
      <c r="B80" s="256"/>
      <c r="C80" s="257"/>
      <c r="D80" s="257"/>
      <c r="E80" s="257"/>
      <c r="F80" s="257"/>
      <c r="G80" s="257"/>
      <c r="H80" s="257"/>
      <c r="I80" s="257"/>
      <c r="J80" s="257"/>
      <c r="K80" s="257"/>
      <c r="L80" s="257"/>
      <c r="M80" s="258"/>
      <c r="N80" s="189"/>
      <c r="O80" s="189"/>
      <c r="P80" s="190"/>
    </row>
    <row r="81" spans="1:16" x14ac:dyDescent="0.25">
      <c r="A81" s="188"/>
      <c r="B81" s="256"/>
      <c r="C81" s="257"/>
      <c r="D81" s="257"/>
      <c r="E81" s="257"/>
      <c r="F81" s="257"/>
      <c r="G81" s="257"/>
      <c r="H81" s="257"/>
      <c r="I81" s="257"/>
      <c r="J81" s="257"/>
      <c r="K81" s="257"/>
      <c r="L81" s="257"/>
      <c r="M81" s="258"/>
      <c r="N81" s="189"/>
      <c r="O81" s="189"/>
      <c r="P81" s="190"/>
    </row>
    <row r="82" spans="1:16" x14ac:dyDescent="0.25">
      <c r="A82" s="188"/>
      <c r="B82" s="256"/>
      <c r="C82" s="257"/>
      <c r="D82" s="257"/>
      <c r="E82" s="257"/>
      <c r="F82" s="257"/>
      <c r="G82" s="257"/>
      <c r="H82" s="257"/>
      <c r="I82" s="257"/>
      <c r="J82" s="257"/>
      <c r="K82" s="257"/>
      <c r="L82" s="257"/>
      <c r="M82" s="258"/>
      <c r="N82" s="189"/>
      <c r="O82" s="189"/>
      <c r="P82" s="190"/>
    </row>
    <row r="83" spans="1:16" x14ac:dyDescent="0.25">
      <c r="A83" s="188"/>
      <c r="B83" s="256"/>
      <c r="C83" s="257"/>
      <c r="D83" s="257"/>
      <c r="E83" s="257"/>
      <c r="F83" s="257"/>
      <c r="G83" s="257"/>
      <c r="H83" s="257"/>
      <c r="I83" s="257"/>
      <c r="J83" s="257"/>
      <c r="K83" s="257"/>
      <c r="L83" s="257"/>
      <c r="M83" s="258"/>
      <c r="N83" s="189"/>
      <c r="O83" s="189"/>
      <c r="P83" s="190"/>
    </row>
    <row r="84" spans="1:16" x14ac:dyDescent="0.25">
      <c r="A84" s="188"/>
      <c r="B84" s="256"/>
      <c r="C84" s="257"/>
      <c r="D84" s="257"/>
      <c r="E84" s="257"/>
      <c r="F84" s="257"/>
      <c r="G84" s="257"/>
      <c r="H84" s="257"/>
      <c r="I84" s="257"/>
      <c r="J84" s="257"/>
      <c r="K84" s="257"/>
      <c r="L84" s="257"/>
      <c r="M84" s="258"/>
      <c r="N84" s="189"/>
      <c r="O84" s="189"/>
      <c r="P84" s="190"/>
    </row>
    <row r="85" spans="1:16" x14ac:dyDescent="0.25">
      <c r="A85" s="188"/>
      <c r="B85" s="256"/>
      <c r="C85" s="257"/>
      <c r="D85" s="257"/>
      <c r="E85" s="257"/>
      <c r="F85" s="257"/>
      <c r="G85" s="257"/>
      <c r="H85" s="257"/>
      <c r="I85" s="257"/>
      <c r="J85" s="257"/>
      <c r="K85" s="257"/>
      <c r="L85" s="257"/>
      <c r="M85" s="258"/>
      <c r="N85" s="189"/>
      <c r="O85" s="189"/>
      <c r="P85" s="190"/>
    </row>
    <row r="86" spans="1:16" x14ac:dyDescent="0.25">
      <c r="A86" s="188"/>
      <c r="B86" s="256"/>
      <c r="C86" s="257"/>
      <c r="D86" s="257"/>
      <c r="E86" s="257"/>
      <c r="F86" s="257"/>
      <c r="G86" s="257"/>
      <c r="H86" s="257"/>
      <c r="I86" s="257"/>
      <c r="J86" s="257"/>
      <c r="K86" s="257"/>
      <c r="L86" s="257"/>
      <c r="M86" s="258"/>
      <c r="N86" s="189"/>
      <c r="O86" s="189"/>
      <c r="P86" s="190"/>
    </row>
    <row r="87" spans="1:16" x14ac:dyDescent="0.25">
      <c r="A87" s="188"/>
      <c r="B87" s="256"/>
      <c r="C87" s="257"/>
      <c r="D87" s="257"/>
      <c r="E87" s="257"/>
      <c r="F87" s="257"/>
      <c r="G87" s="257"/>
      <c r="H87" s="257"/>
      <c r="I87" s="257"/>
      <c r="J87" s="257"/>
      <c r="K87" s="257"/>
      <c r="L87" s="257"/>
      <c r="M87" s="258"/>
      <c r="N87" s="189"/>
      <c r="O87" s="189"/>
      <c r="P87" s="190"/>
    </row>
    <row r="88" spans="1:16" x14ac:dyDescent="0.25">
      <c r="A88" s="188"/>
      <c r="B88" s="256"/>
      <c r="C88" s="257"/>
      <c r="D88" s="257"/>
      <c r="E88" s="257"/>
      <c r="F88" s="257"/>
      <c r="G88" s="257"/>
      <c r="H88" s="257"/>
      <c r="I88" s="257"/>
      <c r="J88" s="257"/>
      <c r="K88" s="257"/>
      <c r="L88" s="257"/>
      <c r="M88" s="258"/>
      <c r="N88" s="189"/>
      <c r="O88" s="189"/>
      <c r="P88" s="190"/>
    </row>
    <row r="89" spans="1:16" x14ac:dyDescent="0.25">
      <c r="A89" s="188"/>
      <c r="B89" s="256"/>
      <c r="C89" s="257"/>
      <c r="D89" s="257"/>
      <c r="E89" s="257"/>
      <c r="F89" s="257"/>
      <c r="G89" s="257"/>
      <c r="H89" s="257"/>
      <c r="I89" s="257"/>
      <c r="J89" s="257"/>
      <c r="K89" s="257"/>
      <c r="L89" s="257"/>
      <c r="M89" s="258"/>
      <c r="N89" s="189"/>
      <c r="O89" s="189"/>
      <c r="P89" s="190"/>
    </row>
    <row r="90" spans="1:16" x14ac:dyDescent="0.25">
      <c r="A90" s="188"/>
      <c r="B90" s="256"/>
      <c r="C90" s="257"/>
      <c r="D90" s="257"/>
      <c r="E90" s="257"/>
      <c r="F90" s="257"/>
      <c r="G90" s="257"/>
      <c r="H90" s="257"/>
      <c r="I90" s="257"/>
      <c r="J90" s="257"/>
      <c r="K90" s="257"/>
      <c r="L90" s="257"/>
      <c r="M90" s="258"/>
      <c r="N90" s="189"/>
      <c r="O90" s="189"/>
      <c r="P90" s="190"/>
    </row>
    <row r="91" spans="1:16" x14ac:dyDescent="0.25">
      <c r="A91" s="188"/>
      <c r="B91" s="256"/>
      <c r="C91" s="257"/>
      <c r="D91" s="257"/>
      <c r="E91" s="257"/>
      <c r="F91" s="257"/>
      <c r="G91" s="257"/>
      <c r="H91" s="257"/>
      <c r="I91" s="257"/>
      <c r="J91" s="257"/>
      <c r="K91" s="257"/>
      <c r="L91" s="257"/>
      <c r="M91" s="258"/>
      <c r="N91" s="189"/>
      <c r="O91" s="189"/>
      <c r="P91" s="190"/>
    </row>
    <row r="92" spans="1:16" x14ac:dyDescent="0.25">
      <c r="A92" s="188"/>
      <c r="B92" s="256"/>
      <c r="C92" s="257"/>
      <c r="D92" s="257"/>
      <c r="E92" s="257"/>
      <c r="F92" s="257"/>
      <c r="G92" s="257"/>
      <c r="H92" s="257"/>
      <c r="I92" s="257"/>
      <c r="J92" s="257"/>
      <c r="K92" s="257"/>
      <c r="L92" s="257"/>
      <c r="M92" s="258"/>
      <c r="N92" s="189"/>
      <c r="O92" s="189"/>
      <c r="P92" s="190"/>
    </row>
    <row r="93" spans="1:16" x14ac:dyDescent="0.25">
      <c r="A93" s="188"/>
      <c r="B93" s="256"/>
      <c r="C93" s="257"/>
      <c r="D93" s="257"/>
      <c r="E93" s="257"/>
      <c r="F93" s="257"/>
      <c r="G93" s="257"/>
      <c r="H93" s="257"/>
      <c r="I93" s="257"/>
      <c r="J93" s="257"/>
      <c r="K93" s="257"/>
      <c r="L93" s="257"/>
      <c r="M93" s="258"/>
      <c r="N93" s="189"/>
      <c r="O93" s="189"/>
      <c r="P93" s="190"/>
    </row>
    <row r="94" spans="1:16" x14ac:dyDescent="0.25">
      <c r="A94" s="188"/>
      <c r="B94" s="256"/>
      <c r="C94" s="257"/>
      <c r="D94" s="257"/>
      <c r="E94" s="257"/>
      <c r="F94" s="257"/>
      <c r="G94" s="257"/>
      <c r="H94" s="257"/>
      <c r="I94" s="257"/>
      <c r="J94" s="257"/>
      <c r="K94" s="257"/>
      <c r="L94" s="257"/>
      <c r="M94" s="258"/>
      <c r="N94" s="189"/>
      <c r="O94" s="189"/>
      <c r="P94" s="190"/>
    </row>
    <row r="95" spans="1:16" x14ac:dyDescent="0.25">
      <c r="A95" s="188"/>
      <c r="B95" s="256"/>
      <c r="C95" s="257"/>
      <c r="D95" s="257"/>
      <c r="E95" s="257"/>
      <c r="F95" s="257"/>
      <c r="G95" s="257"/>
      <c r="H95" s="257"/>
      <c r="I95" s="257"/>
      <c r="J95" s="257"/>
      <c r="K95" s="257"/>
      <c r="L95" s="257"/>
      <c r="M95" s="258"/>
      <c r="N95" s="189"/>
      <c r="O95" s="189"/>
      <c r="P95" s="190"/>
    </row>
    <row r="96" spans="1:16" x14ac:dyDescent="0.25">
      <c r="A96" s="188"/>
      <c r="B96" s="256"/>
      <c r="C96" s="257"/>
      <c r="D96" s="257"/>
      <c r="E96" s="257"/>
      <c r="F96" s="257"/>
      <c r="G96" s="257"/>
      <c r="H96" s="257"/>
      <c r="I96" s="257"/>
      <c r="J96" s="257"/>
      <c r="K96" s="257"/>
      <c r="L96" s="257"/>
      <c r="M96" s="258"/>
      <c r="N96" s="189"/>
      <c r="O96" s="189"/>
      <c r="P96" s="190"/>
    </row>
    <row r="97" spans="1:16" ht="13" thickBot="1" x14ac:dyDescent="0.3">
      <c r="A97" s="188"/>
      <c r="B97" s="259"/>
      <c r="C97" s="260"/>
      <c r="D97" s="260"/>
      <c r="E97" s="260"/>
      <c r="F97" s="260"/>
      <c r="G97" s="260"/>
      <c r="H97" s="260"/>
      <c r="I97" s="260"/>
      <c r="J97" s="260"/>
      <c r="K97" s="260"/>
      <c r="L97" s="260"/>
      <c r="M97" s="261"/>
      <c r="N97" s="189"/>
      <c r="O97" s="189"/>
      <c r="P97" s="190"/>
    </row>
    <row r="98" spans="1:16" x14ac:dyDescent="0.25">
      <c r="A98" s="188"/>
      <c r="B98" s="189"/>
      <c r="C98" s="189"/>
      <c r="D98" s="189"/>
      <c r="E98" s="189"/>
      <c r="F98" s="189"/>
      <c r="G98" s="189"/>
      <c r="H98" s="189"/>
      <c r="I98" s="189"/>
      <c r="J98" s="189"/>
      <c r="K98" s="189"/>
      <c r="L98" s="189"/>
      <c r="M98" s="189"/>
      <c r="N98" s="189"/>
      <c r="O98" s="189"/>
      <c r="P98" s="190"/>
    </row>
    <row r="99" spans="1:16" ht="13" thickBot="1" x14ac:dyDescent="0.3">
      <c r="A99" s="199"/>
      <c r="B99" s="200"/>
      <c r="C99" s="200"/>
      <c r="D99" s="200"/>
      <c r="E99" s="200"/>
      <c r="F99" s="200"/>
      <c r="G99" s="200"/>
      <c r="H99" s="200"/>
      <c r="I99" s="200"/>
      <c r="J99" s="200"/>
      <c r="K99" s="200"/>
      <c r="L99" s="200"/>
      <c r="M99" s="200"/>
      <c r="N99" s="200"/>
      <c r="O99" s="200"/>
      <c r="P99" s="201"/>
    </row>
    <row r="100" spans="1:16" ht="13" thickTop="1" x14ac:dyDescent="0.25"/>
  </sheetData>
  <mergeCells count="3">
    <mergeCell ref="B15:I15"/>
    <mergeCell ref="B35:M97"/>
    <mergeCell ref="B14:D14"/>
  </mergeCells>
  <hyperlinks>
    <hyperlink ref="B15:I15" r:id="rId1" display="LM5069 Datasheet (See &quot;Design-In Procedure&quot;)" xr:uid="{00000000-0004-0000-0000-000000000000}"/>
    <hyperlink ref="B1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S214"/>
  <sheetViews>
    <sheetView tabSelected="1" topLeftCell="A43" zoomScale="85" zoomScaleNormal="85" zoomScaleSheetLayoutView="100" workbookViewId="0">
      <selection activeCell="F56" sqref="F56"/>
    </sheetView>
  </sheetViews>
  <sheetFormatPr defaultRowHeight="12.5" x14ac:dyDescent="0.25"/>
  <cols>
    <col min="1" max="1" width="0.36328125" customWidth="1"/>
    <col min="2" max="2" width="30" customWidth="1"/>
    <col min="3" max="3" width="15.08984375" customWidth="1"/>
    <col min="4" max="4" width="17.26953125" customWidth="1"/>
    <col min="5" max="5" width="20.81640625" customWidth="1"/>
    <col min="6" max="6" width="16.81640625" customWidth="1"/>
    <col min="7" max="7" width="5.6328125" style="1" customWidth="1"/>
    <col min="8" max="8" width="9.6328125" customWidth="1"/>
    <col min="9" max="9" width="12.81640625" customWidth="1"/>
    <col min="11" max="11" width="10.26953125" customWidth="1"/>
    <col min="12" max="12" width="8.81640625" customWidth="1"/>
    <col min="13" max="13" width="9.81640625" customWidth="1"/>
    <col min="14" max="19" width="0" hidden="1" customWidth="1"/>
    <col min="20" max="20" width="2.7265625" hidden="1" customWidth="1"/>
    <col min="21" max="21" width="3" hidden="1" customWidth="1"/>
    <col min="22" max="22" width="1.08984375" hidden="1" customWidth="1"/>
    <col min="23" max="23" width="3.7265625" hidden="1" customWidth="1"/>
    <col min="24" max="38" width="0" hidden="1" customWidth="1"/>
    <col min="39" max="39" width="11.7265625" customWidth="1"/>
    <col min="40" max="40" width="6.7265625" customWidth="1"/>
    <col min="41" max="41" width="9.26953125" customWidth="1"/>
    <col min="42" max="42" width="12.26953125" customWidth="1"/>
    <col min="43" max="43" width="12" customWidth="1"/>
    <col min="44" max="44" width="13.36328125" hidden="1" customWidth="1"/>
    <col min="45" max="45" width="14.6328125" customWidth="1"/>
    <col min="46" max="46" width="14.7265625" customWidth="1"/>
    <col min="47" max="47" width="11.26953125" customWidth="1"/>
    <col min="48" max="48" width="13" customWidth="1"/>
    <col min="49" max="49" width="13.36328125" customWidth="1"/>
    <col min="50" max="50" width="14.7265625" customWidth="1"/>
    <col min="51" max="51" width="14.08984375" customWidth="1"/>
    <col min="52" max="52" width="12.81640625" customWidth="1"/>
    <col min="53" max="53" width="12.6328125" customWidth="1"/>
    <col min="54" max="54" width="9.81640625" customWidth="1"/>
    <col min="55" max="55" width="12.7265625" customWidth="1"/>
    <col min="56" max="56" width="13.7265625" customWidth="1"/>
    <col min="57" max="57" width="13.81640625" customWidth="1"/>
    <col min="58" max="59" width="14.36328125" customWidth="1"/>
    <col min="60" max="60" width="15.36328125" customWidth="1"/>
    <col min="61" max="61" width="15.26953125" customWidth="1"/>
    <col min="62" max="62" width="15.7265625" customWidth="1"/>
    <col min="63" max="63" width="12.6328125" customWidth="1"/>
    <col min="64" max="64" width="16.81640625" customWidth="1"/>
    <col min="65" max="65" width="15.36328125" customWidth="1"/>
    <col min="66" max="66" width="14.6328125" customWidth="1"/>
    <col min="67" max="67" width="10" customWidth="1"/>
    <col min="68" max="68" width="6.08984375" customWidth="1"/>
    <col min="69" max="69" width="7.08984375" customWidth="1"/>
    <col min="70" max="70" width="8.26953125" customWidth="1"/>
    <col min="71" max="71" width="4.7265625" customWidth="1"/>
  </cols>
  <sheetData>
    <row r="1" spans="1:44" s="106" customFormat="1" ht="60.75" customHeight="1" x14ac:dyDescent="0.3">
      <c r="A1" s="264" t="s">
        <v>473</v>
      </c>
      <c r="B1" s="265"/>
      <c r="C1" s="265"/>
      <c r="D1" s="265"/>
      <c r="E1" s="265"/>
      <c r="F1" s="265"/>
      <c r="G1" s="265"/>
      <c r="H1" s="265"/>
      <c r="I1" s="265"/>
      <c r="J1" s="265"/>
      <c r="K1" s="265"/>
      <c r="L1" s="265"/>
      <c r="M1" s="265"/>
      <c r="N1" s="36"/>
      <c r="O1" s="36"/>
      <c r="P1" s="36"/>
      <c r="Q1" s="36"/>
      <c r="R1" s="35"/>
      <c r="S1" s="35"/>
      <c r="T1" s="34"/>
      <c r="U1" s="34"/>
      <c r="V1" s="34"/>
      <c r="W1" s="34"/>
      <c r="X1" s="34"/>
      <c r="Y1" s="34"/>
      <c r="Z1" s="34"/>
      <c r="AA1" s="34"/>
      <c r="AB1" s="34"/>
      <c r="AC1" s="34"/>
      <c r="AD1" s="34"/>
      <c r="AE1" s="34"/>
      <c r="AF1" s="34"/>
      <c r="AG1" s="34"/>
      <c r="AH1" s="34"/>
      <c r="AI1" s="34"/>
      <c r="AJ1" s="34"/>
      <c r="AK1" s="34"/>
      <c r="AL1" s="34"/>
      <c r="AM1" s="34"/>
    </row>
    <row r="2" spans="1:44" ht="15.5" x14ac:dyDescent="0.25">
      <c r="A2" s="17"/>
      <c r="B2" s="33" t="s">
        <v>104</v>
      </c>
      <c r="C2" s="17"/>
      <c r="D2" s="17"/>
      <c r="E2" s="17"/>
      <c r="F2" s="18"/>
      <c r="G2" s="18"/>
      <c r="H2" s="17"/>
      <c r="I2" s="17"/>
      <c r="J2" s="17"/>
      <c r="K2" s="17"/>
      <c r="L2" s="263"/>
      <c r="M2" s="263"/>
      <c r="N2" s="17"/>
      <c r="O2" s="17"/>
      <c r="P2" s="17"/>
      <c r="Q2" s="17"/>
      <c r="R2" s="17"/>
      <c r="S2" s="17"/>
      <c r="T2" s="17"/>
      <c r="U2" s="17"/>
      <c r="V2" s="17"/>
      <c r="W2" s="17"/>
      <c r="X2" s="17"/>
      <c r="Y2" s="17"/>
      <c r="Z2" s="17"/>
      <c r="AA2" s="17"/>
      <c r="AB2" s="17"/>
      <c r="AC2" s="17"/>
      <c r="AD2" s="17"/>
      <c r="AE2" s="17"/>
      <c r="AF2" s="17"/>
      <c r="AG2" s="17"/>
      <c r="AH2" s="17"/>
      <c r="AI2" s="17"/>
      <c r="AJ2" s="17"/>
      <c r="AK2" s="17"/>
      <c r="AL2" s="17"/>
      <c r="AM2" s="17"/>
    </row>
    <row r="3" spans="1:44" x14ac:dyDescent="0.25">
      <c r="A3" s="17"/>
      <c r="B3" s="17"/>
      <c r="C3" s="17"/>
      <c r="D3" s="17"/>
      <c r="E3" s="17"/>
      <c r="F3" s="17"/>
      <c r="G3" s="18"/>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row>
    <row r="4" spans="1:44" x14ac:dyDescent="0.25">
      <c r="A4" s="17"/>
      <c r="B4" s="17"/>
      <c r="C4" s="17"/>
      <c r="D4" s="17"/>
      <c r="E4" s="17"/>
      <c r="F4" s="17"/>
      <c r="G4" s="18"/>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row>
    <row r="5" spans="1:44" x14ac:dyDescent="0.25">
      <c r="A5" s="17"/>
      <c r="B5" s="17"/>
      <c r="C5" s="17"/>
      <c r="D5" s="17"/>
      <c r="E5" s="17"/>
      <c r="F5" s="17"/>
      <c r="G5" s="18"/>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row>
    <row r="6" spans="1:44" x14ac:dyDescent="0.25">
      <c r="A6" s="17"/>
      <c r="B6" s="17"/>
      <c r="C6" s="17"/>
      <c r="D6" s="17"/>
      <c r="E6" s="17"/>
      <c r="F6" s="17"/>
      <c r="G6" s="18"/>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row>
    <row r="7" spans="1:44" ht="16.5" customHeight="1" x14ac:dyDescent="0.25">
      <c r="A7" s="17"/>
      <c r="B7" s="17"/>
      <c r="C7" s="17"/>
      <c r="D7" s="17"/>
      <c r="E7" s="17"/>
      <c r="F7" s="17"/>
      <c r="G7" s="18"/>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row>
    <row r="8" spans="1:44"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row>
    <row r="9" spans="1:44" ht="15" customHeight="1" x14ac:dyDescent="0.25">
      <c r="A9" s="17"/>
      <c r="B9" s="21"/>
      <c r="C9" s="170"/>
      <c r="D9" s="108" t="s">
        <v>364</v>
      </c>
      <c r="E9" s="1"/>
      <c r="F9" s="17"/>
      <c r="G9" s="18"/>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row>
    <row r="10" spans="1:44" ht="15" customHeight="1" x14ac:dyDescent="0.25">
      <c r="A10" s="17"/>
      <c r="B10" s="22"/>
      <c r="C10" s="19"/>
      <c r="D10" s="17" t="s">
        <v>103</v>
      </c>
      <c r="E10" s="101"/>
      <c r="F10" s="17"/>
      <c r="G10" s="18"/>
      <c r="H10" s="17"/>
      <c r="I10" s="17"/>
      <c r="J10" s="17"/>
      <c r="K10" s="17"/>
      <c r="L10" s="31"/>
      <c r="M10" s="31"/>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row>
    <row r="11" spans="1:44" ht="22.9" customHeight="1" x14ac:dyDescent="0.25">
      <c r="A11" s="17"/>
      <c r="B11" s="22"/>
      <c r="C11" s="178"/>
      <c r="D11" s="266" t="s">
        <v>451</v>
      </c>
      <c r="E11" s="267"/>
      <c r="F11" s="17"/>
      <c r="G11" s="18"/>
      <c r="H11" s="17"/>
      <c r="I11" s="17"/>
      <c r="J11" s="17"/>
      <c r="K11" s="17"/>
      <c r="L11" s="31"/>
      <c r="M11" s="31"/>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row>
    <row r="12" spans="1:44" ht="18" customHeight="1" x14ac:dyDescent="0.25">
      <c r="A12" s="17"/>
      <c r="B12" s="22"/>
      <c r="C12" s="177"/>
      <c r="D12" s="266"/>
      <c r="E12" s="267"/>
      <c r="F12" s="17"/>
      <c r="G12" s="18"/>
      <c r="H12" s="17"/>
      <c r="I12" s="17"/>
      <c r="J12" s="17"/>
      <c r="K12" s="17"/>
      <c r="L12" s="31"/>
      <c r="M12" s="31"/>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row>
    <row r="13" spans="1:44" ht="15" customHeight="1" thickBot="1" x14ac:dyDescent="0.3">
      <c r="A13" s="17"/>
      <c r="B13" s="17"/>
      <c r="C13" s="17"/>
      <c r="D13" s="17"/>
      <c r="E13" s="17"/>
      <c r="F13" s="27"/>
      <c r="G13" s="18"/>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row>
    <row r="14" spans="1:44" ht="15" customHeight="1" x14ac:dyDescent="0.35">
      <c r="A14" s="17"/>
      <c r="B14" s="227" t="s">
        <v>481</v>
      </c>
      <c r="C14" s="238"/>
      <c r="D14" s="271" t="s">
        <v>482</v>
      </c>
      <c r="E14" s="271"/>
      <c r="F14" s="271"/>
      <c r="G14" s="271"/>
      <c r="H14" s="235"/>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0"/>
      <c r="AG14" s="220"/>
      <c r="AH14" s="220"/>
      <c r="AI14" s="220"/>
      <c r="AJ14" s="220"/>
      <c r="AK14" s="220"/>
      <c r="AL14" s="220"/>
      <c r="AM14" s="226"/>
    </row>
    <row r="15" spans="1:44" ht="15" customHeight="1" x14ac:dyDescent="0.35">
      <c r="A15" s="17"/>
      <c r="B15" s="228"/>
      <c r="C15" s="237"/>
      <c r="D15" s="272"/>
      <c r="E15" s="272"/>
      <c r="F15" s="272"/>
      <c r="G15" s="272"/>
      <c r="H15" s="236"/>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24"/>
      <c r="AR15" s="28" t="s">
        <v>195</v>
      </c>
    </row>
    <row r="16" spans="1:44" ht="15" customHeight="1" x14ac:dyDescent="0.35">
      <c r="A16" s="17"/>
      <c r="B16" s="270"/>
      <c r="C16" s="229"/>
      <c r="D16" s="277" t="s">
        <v>483</v>
      </c>
      <c r="E16" s="277"/>
      <c r="F16" s="277"/>
      <c r="G16" s="277"/>
      <c r="H16" s="277"/>
      <c r="I16" s="277"/>
      <c r="J16" s="232"/>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24"/>
      <c r="AR16" s="28" t="s">
        <v>194</v>
      </c>
    </row>
    <row r="17" spans="1:39" ht="15" customHeight="1" x14ac:dyDescent="0.35">
      <c r="A17" s="17"/>
      <c r="B17" s="270"/>
      <c r="C17" s="229"/>
      <c r="D17" s="277" t="s">
        <v>484</v>
      </c>
      <c r="E17" s="277"/>
      <c r="F17" s="277"/>
      <c r="G17" s="277"/>
      <c r="H17" s="277"/>
      <c r="I17" s="277"/>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24"/>
    </row>
    <row r="18" spans="1:39" ht="15" customHeight="1" x14ac:dyDescent="0.35">
      <c r="A18" s="17"/>
      <c r="B18" s="270"/>
      <c r="C18" s="229"/>
      <c r="D18" s="277" t="s">
        <v>485</v>
      </c>
      <c r="E18" s="277"/>
      <c r="F18" s="277"/>
      <c r="G18" s="277"/>
      <c r="H18" s="277"/>
      <c r="I18" s="277"/>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24"/>
    </row>
    <row r="19" spans="1:39" ht="15" customHeight="1" x14ac:dyDescent="0.35">
      <c r="A19" s="17"/>
      <c r="B19" s="270"/>
      <c r="C19" s="229"/>
      <c r="D19" s="277" t="s">
        <v>486</v>
      </c>
      <c r="E19" s="277"/>
      <c r="F19" s="277"/>
      <c r="G19" s="277"/>
      <c r="H19" s="277"/>
      <c r="I19" s="277"/>
      <c r="J19" s="219"/>
      <c r="K19" s="219"/>
      <c r="L19" s="219"/>
      <c r="M19" s="219"/>
      <c r="N19" s="219"/>
      <c r="O19" s="219"/>
      <c r="P19" s="219"/>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24"/>
    </row>
    <row r="20" spans="1:39" ht="15" customHeight="1" x14ac:dyDescent="0.35">
      <c r="A20" s="17"/>
      <c r="B20" s="233"/>
      <c r="C20" s="229"/>
      <c r="D20" s="242" t="s">
        <v>490</v>
      </c>
      <c r="E20" s="230"/>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24"/>
    </row>
    <row r="21" spans="1:39" ht="15" customHeight="1" thickBot="1" x14ac:dyDescent="0.3">
      <c r="A21" s="17"/>
      <c r="B21" s="221"/>
      <c r="C21" s="219"/>
      <c r="D21" s="219"/>
      <c r="E21" s="212"/>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c r="AD21" s="219"/>
      <c r="AE21" s="219"/>
      <c r="AF21" s="219"/>
      <c r="AG21" s="219"/>
      <c r="AH21" s="219"/>
      <c r="AI21" s="219"/>
      <c r="AJ21" s="219"/>
      <c r="AK21" s="219"/>
      <c r="AL21" s="219"/>
      <c r="AM21" s="224"/>
    </row>
    <row r="22" spans="1:39" ht="29.15" customHeight="1" thickBot="1" x14ac:dyDescent="0.3">
      <c r="A22" s="17"/>
      <c r="B22" s="221"/>
      <c r="C22" s="219"/>
      <c r="D22" s="273" t="s">
        <v>487</v>
      </c>
      <c r="E22" s="274"/>
      <c r="F22" s="275"/>
      <c r="G22" s="240" t="s">
        <v>195</v>
      </c>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24"/>
    </row>
    <row r="23" spans="1:39" ht="32.15" customHeight="1" thickBot="1" x14ac:dyDescent="0.35">
      <c r="A23" s="17"/>
      <c r="B23" s="221"/>
      <c r="C23" s="219"/>
      <c r="D23" s="278" t="s">
        <v>488</v>
      </c>
      <c r="E23" s="279"/>
      <c r="F23" s="280"/>
      <c r="G23" s="241" t="s">
        <v>195</v>
      </c>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24"/>
    </row>
    <row r="24" spans="1:39" ht="15" customHeight="1" x14ac:dyDescent="0.25">
      <c r="A24" s="17"/>
      <c r="B24" s="221"/>
      <c r="C24" s="219"/>
      <c r="D24" s="276" t="s">
        <v>489</v>
      </c>
      <c r="E24" s="276"/>
      <c r="F24" s="276"/>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24"/>
    </row>
    <row r="25" spans="1:39" ht="15" customHeight="1" x14ac:dyDescent="0.25">
      <c r="A25" s="17"/>
      <c r="B25" s="221"/>
      <c r="C25" s="219"/>
      <c r="D25" s="276"/>
      <c r="E25" s="276"/>
      <c r="F25" s="276"/>
      <c r="G25" s="234"/>
      <c r="H25" s="219"/>
      <c r="I25" s="219"/>
      <c r="J25" s="219"/>
      <c r="K25" s="219"/>
      <c r="L25" s="219"/>
      <c r="M25" s="219"/>
      <c r="N25" s="219"/>
      <c r="O25" s="219"/>
      <c r="P25" s="219"/>
      <c r="Q25" s="219"/>
      <c r="R25" s="219"/>
      <c r="S25" s="219"/>
      <c r="T25" s="219"/>
      <c r="U25" s="219"/>
      <c r="V25" s="219"/>
      <c r="W25" s="219"/>
      <c r="X25" s="219"/>
      <c r="Y25" s="219"/>
      <c r="Z25" s="219"/>
      <c r="AA25" s="219"/>
      <c r="AB25" s="219"/>
      <c r="AC25" s="219"/>
      <c r="AD25" s="219"/>
      <c r="AE25" s="219"/>
      <c r="AF25" s="219"/>
      <c r="AG25" s="219"/>
      <c r="AH25" s="219"/>
      <c r="AI25" s="219"/>
      <c r="AJ25" s="219"/>
      <c r="AK25" s="219"/>
      <c r="AL25" s="219"/>
      <c r="AM25" s="224"/>
    </row>
    <row r="26" spans="1:39" ht="15" customHeight="1" thickBot="1" x14ac:dyDescent="0.3">
      <c r="A26" s="17"/>
      <c r="B26" s="222"/>
      <c r="C26" s="223"/>
      <c r="D26" s="239"/>
      <c r="E26" s="239"/>
      <c r="F26" s="239"/>
      <c r="G26" s="231"/>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5"/>
    </row>
    <row r="27" spans="1:39" ht="15" customHeight="1" x14ac:dyDescent="0.3">
      <c r="A27" s="17"/>
      <c r="B27" s="130" t="s">
        <v>149</v>
      </c>
      <c r="C27" s="75"/>
      <c r="D27" s="75"/>
      <c r="E27" s="76" t="s">
        <v>111</v>
      </c>
      <c r="F27" s="164">
        <v>15</v>
      </c>
      <c r="G27" s="149" t="s">
        <v>86</v>
      </c>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107"/>
    </row>
    <row r="28" spans="1:39" ht="15" customHeight="1" x14ac:dyDescent="0.3">
      <c r="A28" s="17"/>
      <c r="B28" s="77"/>
      <c r="C28" s="17"/>
      <c r="D28" s="17"/>
      <c r="E28" s="58" t="s">
        <v>119</v>
      </c>
      <c r="F28" s="165">
        <v>22.2</v>
      </c>
      <c r="G28" s="150" t="s">
        <v>86</v>
      </c>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90"/>
    </row>
    <row r="29" spans="1:39" ht="15" customHeight="1" x14ac:dyDescent="0.25">
      <c r="A29" s="17"/>
      <c r="B29" s="78"/>
      <c r="C29" s="17"/>
      <c r="D29" s="17"/>
      <c r="E29" s="58" t="s">
        <v>112</v>
      </c>
      <c r="F29" s="165">
        <v>25.2</v>
      </c>
      <c r="G29" s="150" t="s">
        <v>86</v>
      </c>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90"/>
    </row>
    <row r="30" spans="1:39" ht="15" customHeight="1" x14ac:dyDescent="0.25">
      <c r="A30" s="17"/>
      <c r="B30" s="78"/>
      <c r="C30" s="17"/>
      <c r="D30" s="17"/>
      <c r="E30" s="58" t="s">
        <v>121</v>
      </c>
      <c r="F30" s="165">
        <f>(3.3*5+12+0.5)</f>
        <v>29</v>
      </c>
      <c r="G30" s="150" t="s">
        <v>25</v>
      </c>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90"/>
    </row>
    <row r="31" spans="1:39" ht="15" customHeight="1" x14ac:dyDescent="0.25">
      <c r="A31" s="17"/>
      <c r="B31" s="78"/>
      <c r="C31" s="17"/>
      <c r="D31" s="17"/>
      <c r="E31" s="58" t="s">
        <v>228</v>
      </c>
      <c r="F31" s="165">
        <v>800</v>
      </c>
      <c r="G31" s="151" t="s">
        <v>83</v>
      </c>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90"/>
    </row>
    <row r="32" spans="1:39" ht="15" customHeight="1" x14ac:dyDescent="0.25">
      <c r="A32" s="17"/>
      <c r="B32" s="78"/>
      <c r="C32" s="17"/>
      <c r="D32" s="17"/>
      <c r="E32" s="58" t="s">
        <v>120</v>
      </c>
      <c r="F32" s="243">
        <v>45</v>
      </c>
      <c r="G32" s="150" t="s">
        <v>125</v>
      </c>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90"/>
    </row>
    <row r="33" spans="1:40" ht="15" customHeight="1" x14ac:dyDescent="0.25">
      <c r="A33" s="17"/>
      <c r="B33" s="281" t="s">
        <v>491</v>
      </c>
      <c r="C33" s="17"/>
      <c r="D33" s="17"/>
      <c r="E33" s="58"/>
      <c r="F33" s="245"/>
      <c r="G33" s="15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90"/>
    </row>
    <row r="34" spans="1:40" ht="15" customHeight="1" x14ac:dyDescent="0.25">
      <c r="A34" s="17"/>
      <c r="B34" s="281"/>
      <c r="C34" s="17"/>
      <c r="D34" s="17"/>
      <c r="E34" s="58"/>
      <c r="F34" s="245"/>
      <c r="G34" s="15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90"/>
    </row>
    <row r="35" spans="1:40" ht="15" customHeight="1" thickBot="1" x14ac:dyDescent="0.3">
      <c r="A35" s="17"/>
      <c r="B35" s="79"/>
      <c r="C35" s="80"/>
      <c r="D35" s="80"/>
      <c r="E35" s="81"/>
      <c r="F35" s="246"/>
      <c r="G35" s="244"/>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94"/>
    </row>
    <row r="36" spans="1:40" ht="15" customHeight="1" x14ac:dyDescent="0.3">
      <c r="A36" s="17"/>
      <c r="B36" s="130" t="s">
        <v>226</v>
      </c>
      <c r="C36" s="123"/>
      <c r="D36" s="75"/>
      <c r="E36" s="206" t="s">
        <v>468</v>
      </c>
      <c r="F36" s="207" t="s">
        <v>467</v>
      </c>
      <c r="G36" s="20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107"/>
      <c r="AN36" s="28"/>
    </row>
    <row r="37" spans="1:40" ht="15" customHeight="1" x14ac:dyDescent="0.3">
      <c r="A37" s="17"/>
      <c r="B37" s="82"/>
      <c r="C37" s="17"/>
      <c r="D37" s="17"/>
      <c r="E37" s="58" t="s">
        <v>261</v>
      </c>
      <c r="F37" s="54">
        <f>Equations!F20</f>
        <v>1.6558552406964835</v>
      </c>
      <c r="G37" s="150" t="s">
        <v>85</v>
      </c>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90"/>
      <c r="AN37" s="28"/>
    </row>
    <row r="38" spans="1:40" ht="15" customHeight="1" x14ac:dyDescent="0.25">
      <c r="A38" s="17"/>
      <c r="B38" s="78"/>
      <c r="C38" s="17"/>
      <c r="D38" s="17"/>
      <c r="E38" s="58" t="s">
        <v>198</v>
      </c>
      <c r="F38" s="166" t="s">
        <v>194</v>
      </c>
      <c r="G38" s="150"/>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90"/>
      <c r="AN38" s="28" t="s">
        <v>195</v>
      </c>
    </row>
    <row r="39" spans="1:40" ht="15" customHeight="1" x14ac:dyDescent="0.25">
      <c r="A39" s="17"/>
      <c r="B39" s="78"/>
      <c r="C39" s="17"/>
      <c r="D39" s="17"/>
      <c r="E39" s="58" t="s">
        <v>109</v>
      </c>
      <c r="F39" s="167">
        <v>1.5</v>
      </c>
      <c r="G39" s="150" t="s">
        <v>85</v>
      </c>
      <c r="H39" s="108"/>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90"/>
      <c r="AN39" s="28" t="s">
        <v>194</v>
      </c>
    </row>
    <row r="40" spans="1:40" ht="15" customHeight="1" x14ac:dyDescent="0.25">
      <c r="A40" s="17"/>
      <c r="B40" s="78"/>
      <c r="C40" s="17"/>
      <c r="D40" s="17"/>
      <c r="E40" s="58" t="s">
        <v>201</v>
      </c>
      <c r="F40" s="87" t="str">
        <f>Equations!F21</f>
        <v>NA</v>
      </c>
      <c r="G40" s="153" t="s">
        <v>87</v>
      </c>
      <c r="H40" s="172"/>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90"/>
    </row>
    <row r="41" spans="1:40" ht="15" customHeight="1" x14ac:dyDescent="0.25">
      <c r="A41" s="17"/>
      <c r="B41" s="78"/>
      <c r="C41" s="17"/>
      <c r="D41" s="17"/>
      <c r="E41" s="58" t="s">
        <v>202</v>
      </c>
      <c r="F41" s="86" t="str">
        <f>Equations!F22</f>
        <v>NA</v>
      </c>
      <c r="G41" s="153" t="s">
        <v>87</v>
      </c>
      <c r="H41" s="172"/>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90"/>
    </row>
    <row r="42" spans="1:40" ht="15" customHeight="1" x14ac:dyDescent="0.25">
      <c r="A42" s="17"/>
      <c r="B42" s="78"/>
      <c r="C42" s="17"/>
      <c r="D42" s="17"/>
      <c r="E42" s="58" t="s">
        <v>203</v>
      </c>
      <c r="F42" s="166">
        <v>10</v>
      </c>
      <c r="G42" s="153" t="s">
        <v>87</v>
      </c>
      <c r="H42" s="172"/>
      <c r="I42" s="17"/>
      <c r="J42" s="108"/>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90"/>
      <c r="AN42" t="b">
        <f>AND(F38="No")</f>
        <v>1</v>
      </c>
    </row>
    <row r="43" spans="1:40" ht="29.5" customHeight="1" x14ac:dyDescent="0.25">
      <c r="A43" s="17"/>
      <c r="B43" s="247" t="s">
        <v>491</v>
      </c>
      <c r="C43" s="17"/>
      <c r="D43" s="17"/>
      <c r="E43" s="58" t="s">
        <v>204</v>
      </c>
      <c r="F43" s="166">
        <v>3.04</v>
      </c>
      <c r="G43" s="153" t="s">
        <v>87</v>
      </c>
      <c r="H43" s="172"/>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90"/>
    </row>
    <row r="44" spans="1:40" ht="15" customHeight="1" x14ac:dyDescent="0.25">
      <c r="A44" s="17"/>
      <c r="B44" s="247"/>
      <c r="C44" s="17"/>
      <c r="D44" s="17"/>
      <c r="E44" s="58" t="s">
        <v>260</v>
      </c>
      <c r="F44" s="86">
        <f>RsEFF</f>
        <v>1.5</v>
      </c>
      <c r="G44" s="150" t="s">
        <v>85</v>
      </c>
      <c r="H44" s="172"/>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90"/>
    </row>
    <row r="45" spans="1:40" ht="15" customHeight="1" x14ac:dyDescent="0.25">
      <c r="A45" s="17"/>
      <c r="B45" s="247"/>
      <c r="C45" s="17"/>
      <c r="D45" s="102"/>
      <c r="E45" s="103" t="s">
        <v>99</v>
      </c>
      <c r="F45" s="56">
        <f>CLMIN</f>
        <v>32.333333333333336</v>
      </c>
      <c r="G45" s="150" t="s">
        <v>25</v>
      </c>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90"/>
    </row>
    <row r="46" spans="1:40" ht="15" customHeight="1" x14ac:dyDescent="0.25">
      <c r="A46" s="17"/>
      <c r="B46" s="78"/>
      <c r="C46" s="17"/>
      <c r="D46" s="104"/>
      <c r="E46" s="105" t="s">
        <v>100</v>
      </c>
      <c r="F46" s="56">
        <f>CLNOM</f>
        <v>36.666666666666664</v>
      </c>
      <c r="G46" s="150" t="s">
        <v>25</v>
      </c>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90"/>
    </row>
    <row r="47" spans="1:40" ht="15" customHeight="1" x14ac:dyDescent="0.25">
      <c r="A47" s="17"/>
      <c r="B47" s="78"/>
      <c r="C47" s="17"/>
      <c r="D47" s="128"/>
      <c r="E47" s="129" t="s">
        <v>101</v>
      </c>
      <c r="F47" s="56">
        <f>CLMAX</f>
        <v>41</v>
      </c>
      <c r="G47" s="150" t="s">
        <v>25</v>
      </c>
      <c r="H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90"/>
      <c r="AN47" s="28" t="s">
        <v>240</v>
      </c>
    </row>
    <row r="48" spans="1:40" ht="15" customHeight="1" x14ac:dyDescent="0.25">
      <c r="A48" s="17"/>
      <c r="B48" s="78"/>
      <c r="C48" s="17"/>
      <c r="D48" s="17"/>
      <c r="E48" s="58" t="s">
        <v>113</v>
      </c>
      <c r="F48" s="41">
        <f>Equations!F27/1000</f>
        <v>2.5215000000000001</v>
      </c>
      <c r="G48" s="150" t="s">
        <v>87</v>
      </c>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90"/>
      <c r="AN48" s="28" t="s">
        <v>241</v>
      </c>
    </row>
    <row r="49" spans="1:45" ht="15" customHeight="1" x14ac:dyDescent="0.25">
      <c r="A49" s="17"/>
      <c r="B49" s="78"/>
      <c r="C49" s="17"/>
      <c r="D49" s="17"/>
      <c r="E49" s="58" t="s">
        <v>239</v>
      </c>
      <c r="F49" s="217" t="s">
        <v>240</v>
      </c>
      <c r="G49" s="150"/>
      <c r="H49" s="108"/>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90"/>
      <c r="AN49" s="28" t="s">
        <v>420</v>
      </c>
    </row>
    <row r="50" spans="1:45" ht="15" customHeight="1" thickBot="1" x14ac:dyDescent="0.3">
      <c r="A50" s="17"/>
      <c r="B50" s="79"/>
      <c r="C50" s="80"/>
      <c r="D50" s="80"/>
      <c r="E50" s="120" t="s">
        <v>227</v>
      </c>
      <c r="F50" s="218" t="s">
        <v>420</v>
      </c>
      <c r="G50" s="152"/>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94"/>
      <c r="AN50" s="28" t="s">
        <v>421</v>
      </c>
    </row>
    <row r="51" spans="1:45" ht="14" x14ac:dyDescent="0.3">
      <c r="A51" s="17"/>
      <c r="B51" s="130" t="s">
        <v>122</v>
      </c>
      <c r="C51" s="75"/>
      <c r="D51" s="75"/>
      <c r="E51" s="211" t="s">
        <v>474</v>
      </c>
      <c r="F51" s="215" t="s">
        <v>496</v>
      </c>
      <c r="G51" s="154"/>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107"/>
    </row>
    <row r="52" spans="1:45" ht="15.5" x14ac:dyDescent="0.4">
      <c r="A52" s="17"/>
      <c r="B52" s="78"/>
      <c r="C52" s="17"/>
      <c r="D52" s="17"/>
      <c r="E52" s="32" t="s">
        <v>257</v>
      </c>
      <c r="F52" s="203">
        <v>31</v>
      </c>
      <c r="G52" s="150" t="s">
        <v>126</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90"/>
      <c r="AN52">
        <f>((((TJMAX-TAMB)/ThetaJA)/(CLMAX^2))*1000)*NUMFETS^2</f>
        <v>9.9786993149239116</v>
      </c>
      <c r="AO52">
        <f>((TJMAX-TAMB)/ThetaJA)</f>
        <v>4.193548387096774</v>
      </c>
    </row>
    <row r="53" spans="1:45" ht="13" x14ac:dyDescent="0.3">
      <c r="A53" s="17"/>
      <c r="B53" s="78"/>
      <c r="C53" s="17"/>
      <c r="D53" s="17"/>
      <c r="E53" s="32" t="s">
        <v>123</v>
      </c>
      <c r="F53" s="167">
        <v>2</v>
      </c>
      <c r="G53" s="150" t="s">
        <v>124</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90"/>
      <c r="AN53" s="23" t="s">
        <v>258</v>
      </c>
    </row>
    <row r="54" spans="1:45" ht="15.75" customHeight="1" x14ac:dyDescent="0.4">
      <c r="A54" s="17"/>
      <c r="B54" s="78"/>
      <c r="C54" s="17"/>
      <c r="D54" s="17"/>
      <c r="E54" s="32" t="s">
        <v>263</v>
      </c>
      <c r="F54" s="167">
        <v>7</v>
      </c>
      <c r="G54" s="150" t="s">
        <v>85</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90"/>
      <c r="AN54" s="28">
        <f>F54</f>
        <v>7</v>
      </c>
    </row>
    <row r="55" spans="1:45" ht="14.5" x14ac:dyDescent="0.25">
      <c r="A55" s="17"/>
      <c r="B55" s="184"/>
      <c r="C55" s="17"/>
      <c r="D55" s="17"/>
      <c r="E55" s="32" t="s">
        <v>127</v>
      </c>
      <c r="F55" s="167">
        <v>175</v>
      </c>
      <c r="G55" s="150" t="s">
        <v>186</v>
      </c>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90"/>
      <c r="AN55" s="28">
        <f t="shared" ref="AN55:AN60" si="0">F55</f>
        <v>175</v>
      </c>
    </row>
    <row r="56" spans="1:45" ht="22.15" customHeight="1" x14ac:dyDescent="0.4">
      <c r="A56" s="17"/>
      <c r="B56" s="248"/>
      <c r="C56" s="17"/>
      <c r="D56" s="17"/>
      <c r="E56" s="32" t="s">
        <v>373</v>
      </c>
      <c r="F56" s="167">
        <v>20</v>
      </c>
      <c r="G56" s="150" t="s">
        <v>25</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90"/>
      <c r="AN56" s="28">
        <f t="shared" si="0"/>
        <v>20</v>
      </c>
    </row>
    <row r="57" spans="1:45" ht="15.75" customHeight="1" x14ac:dyDescent="0.4">
      <c r="A57" s="17"/>
      <c r="B57" s="249" t="s">
        <v>122</v>
      </c>
      <c r="C57" s="17"/>
      <c r="D57" s="17"/>
      <c r="E57" s="32" t="s">
        <v>374</v>
      </c>
      <c r="F57" s="167">
        <v>17</v>
      </c>
      <c r="G57" s="150" t="s">
        <v>25</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90"/>
      <c r="AN57" s="28">
        <f t="shared" si="0"/>
        <v>17</v>
      </c>
    </row>
    <row r="58" spans="1:45" ht="15.5" x14ac:dyDescent="0.4">
      <c r="A58" s="17"/>
      <c r="B58" s="248"/>
      <c r="C58" s="17"/>
      <c r="D58" s="17"/>
      <c r="E58" s="32" t="s">
        <v>375</v>
      </c>
      <c r="F58" s="167">
        <v>0.6</v>
      </c>
      <c r="G58" s="150" t="s">
        <v>25</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90"/>
      <c r="AN58" s="28">
        <f t="shared" si="0"/>
        <v>0.6</v>
      </c>
    </row>
    <row r="59" spans="1:45" ht="15.75" customHeight="1" x14ac:dyDescent="0.4">
      <c r="A59" s="17"/>
      <c r="B59" s="248"/>
      <c r="C59" s="17"/>
      <c r="D59" s="17"/>
      <c r="E59" s="32" t="s">
        <v>441</v>
      </c>
      <c r="F59" s="166" t="s">
        <v>494</v>
      </c>
      <c r="G59" s="150" t="s">
        <v>25</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90"/>
      <c r="AN59" s="28" t="str">
        <f t="shared" si="0"/>
        <v>NA</v>
      </c>
      <c r="AS59" s="284"/>
    </row>
    <row r="60" spans="1:45" ht="19.899999999999999" customHeight="1" x14ac:dyDescent="0.4">
      <c r="A60" s="17"/>
      <c r="B60" s="248"/>
      <c r="C60" s="17"/>
      <c r="D60" s="17"/>
      <c r="E60" s="32" t="s">
        <v>442</v>
      </c>
      <c r="F60" s="167">
        <v>0.2</v>
      </c>
      <c r="G60" s="150" t="s">
        <v>25</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90"/>
      <c r="AN60" s="28">
        <f t="shared" si="0"/>
        <v>0.2</v>
      </c>
      <c r="AS60" s="284"/>
    </row>
    <row r="61" spans="1:45" ht="15" customHeight="1" x14ac:dyDescent="0.25">
      <c r="A61" s="17"/>
      <c r="B61" s="284" t="s">
        <v>462</v>
      </c>
      <c r="C61" s="17"/>
      <c r="D61" s="17"/>
      <c r="E61" s="32" t="s">
        <v>322</v>
      </c>
      <c r="F61" s="144">
        <f>(IOUTMAX/NUMFETS)^2*RDSON/1000</f>
        <v>1.4717499999999999</v>
      </c>
      <c r="G61" s="150" t="s">
        <v>87</v>
      </c>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90"/>
      <c r="AS61" s="284"/>
    </row>
    <row r="62" spans="1:45" ht="15" customHeight="1" x14ac:dyDescent="0.4">
      <c r="A62" s="17"/>
      <c r="B62" s="284"/>
      <c r="C62" s="17"/>
      <c r="D62" s="17"/>
      <c r="E62" s="32" t="s">
        <v>262</v>
      </c>
      <c r="F62" s="144">
        <f>TAMB+(FETPDISS*ThetaJA)</f>
        <v>90.624249999999989</v>
      </c>
      <c r="G62" s="150" t="s">
        <v>125</v>
      </c>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90"/>
      <c r="AS62" s="284"/>
    </row>
    <row r="63" spans="1:45" ht="15" customHeight="1" x14ac:dyDescent="0.25">
      <c r="A63" s="17"/>
      <c r="B63" s="284"/>
      <c r="C63" s="17"/>
      <c r="D63" s="17"/>
      <c r="E63" s="58" t="s">
        <v>469</v>
      </c>
      <c r="F63" s="144">
        <f>Equations!F38</f>
        <v>84</v>
      </c>
      <c r="G63" s="150" t="s">
        <v>87</v>
      </c>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90"/>
      <c r="AS63" s="284"/>
    </row>
    <row r="64" spans="1:45" ht="15" customHeight="1" x14ac:dyDescent="0.25">
      <c r="A64" s="17"/>
      <c r="B64" s="284"/>
      <c r="C64" s="17"/>
      <c r="D64" s="17"/>
      <c r="E64" s="58" t="s">
        <v>278</v>
      </c>
      <c r="F64" s="216">
        <v>126</v>
      </c>
      <c r="G64" s="150" t="s">
        <v>87</v>
      </c>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90"/>
      <c r="AS64" s="284"/>
    </row>
    <row r="65" spans="1:45" ht="15" customHeight="1" x14ac:dyDescent="0.25">
      <c r="A65" s="17"/>
      <c r="B65" s="284"/>
      <c r="C65" s="17"/>
      <c r="D65" s="17"/>
      <c r="E65" s="58" t="s">
        <v>279</v>
      </c>
      <c r="F65" s="127">
        <f>Equations!F40</f>
        <v>23.625</v>
      </c>
      <c r="G65" s="155" t="s">
        <v>84</v>
      </c>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90"/>
      <c r="AS65" s="284"/>
    </row>
    <row r="66" spans="1:45" ht="15" customHeight="1" x14ac:dyDescent="0.25">
      <c r="A66" s="17"/>
      <c r="B66" s="284"/>
      <c r="C66" s="17"/>
      <c r="D66" s="17"/>
      <c r="E66" s="58" t="s">
        <v>282</v>
      </c>
      <c r="F66" s="167">
        <v>16.2</v>
      </c>
      <c r="G66" s="155" t="s">
        <v>84</v>
      </c>
      <c r="H66" s="17"/>
      <c r="I66" s="269" t="s">
        <v>492</v>
      </c>
      <c r="J66" s="282"/>
      <c r="K66" s="282"/>
      <c r="L66" s="282"/>
      <c r="M66" s="282"/>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90"/>
    </row>
    <row r="67" spans="1:45" ht="15" customHeight="1" thickBot="1" x14ac:dyDescent="0.3">
      <c r="A67" s="17"/>
      <c r="B67" s="284"/>
      <c r="C67" s="17"/>
      <c r="D67" s="17"/>
      <c r="E67" s="58" t="s">
        <v>285</v>
      </c>
      <c r="F67" s="127">
        <f>Equations!F42</f>
        <v>86.399999999999991</v>
      </c>
      <c r="G67" s="150" t="s">
        <v>87</v>
      </c>
      <c r="H67" s="17"/>
      <c r="I67" s="283"/>
      <c r="J67" s="283"/>
      <c r="K67" s="283"/>
      <c r="L67" s="283"/>
      <c r="M67" s="283"/>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90"/>
    </row>
    <row r="68" spans="1:45" ht="14" x14ac:dyDescent="0.3">
      <c r="A68" s="17"/>
      <c r="B68" s="130" t="s">
        <v>133</v>
      </c>
      <c r="C68" s="75"/>
      <c r="D68" s="75"/>
      <c r="E68" s="83" t="s">
        <v>189</v>
      </c>
      <c r="F68" s="168">
        <v>0</v>
      </c>
      <c r="G68" s="154" t="s">
        <v>86</v>
      </c>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107"/>
      <c r="AN68" s="28"/>
    </row>
    <row r="69" spans="1:45" x14ac:dyDescent="0.25">
      <c r="A69" s="17"/>
      <c r="B69" s="84"/>
      <c r="C69" s="17"/>
      <c r="D69" s="17"/>
      <c r="E69" s="32" t="s">
        <v>134</v>
      </c>
      <c r="F69" s="167" t="s">
        <v>136</v>
      </c>
      <c r="G69" s="151"/>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90"/>
      <c r="AN69" s="28"/>
    </row>
    <row r="70" spans="1:45" x14ac:dyDescent="0.25">
      <c r="A70" s="17"/>
      <c r="B70" s="78"/>
      <c r="C70" s="17"/>
      <c r="D70" s="17"/>
      <c r="E70" s="32" t="s">
        <v>135</v>
      </c>
      <c r="F70" s="167">
        <v>0</v>
      </c>
      <c r="G70" s="151" t="str">
        <f>IF(F69="Constant Current","A","Ohms")</f>
        <v>A</v>
      </c>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90"/>
      <c r="AN70" t="s">
        <v>136</v>
      </c>
    </row>
    <row r="71" spans="1:45" x14ac:dyDescent="0.25">
      <c r="A71" s="17"/>
      <c r="B71" s="78"/>
      <c r="C71" s="17"/>
      <c r="D71" s="17"/>
      <c r="E71" s="58" t="s">
        <v>478</v>
      </c>
      <c r="F71" s="166" t="s">
        <v>195</v>
      </c>
      <c r="G71" s="151"/>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90"/>
      <c r="AN71" t="s">
        <v>137</v>
      </c>
    </row>
    <row r="72" spans="1:45" x14ac:dyDescent="0.25">
      <c r="A72" s="17"/>
      <c r="B72" s="78"/>
      <c r="C72" s="17"/>
      <c r="D72" s="17"/>
      <c r="E72" s="32" t="s">
        <v>301</v>
      </c>
      <c r="F72" s="48">
        <f>Start_up!M2</f>
        <v>157.50000000000014</v>
      </c>
      <c r="G72" s="150" t="s">
        <v>8</v>
      </c>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90"/>
      <c r="AN72" s="28"/>
    </row>
    <row r="73" spans="1:45" x14ac:dyDescent="0.25">
      <c r="A73" s="17"/>
      <c r="B73" s="78"/>
      <c r="C73" s="17"/>
      <c r="D73" s="17"/>
      <c r="E73" s="32" t="s">
        <v>308</v>
      </c>
      <c r="F73" s="141">
        <f>Start_up!O2</f>
        <v>1</v>
      </c>
      <c r="G73" s="150"/>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90"/>
      <c r="AN73" s="28"/>
    </row>
    <row r="74" spans="1:45" ht="13.15" customHeight="1" x14ac:dyDescent="0.25">
      <c r="A74" s="17"/>
      <c r="B74" s="84"/>
      <c r="C74" s="17"/>
      <c r="D74" s="31"/>
      <c r="E74" s="146" t="s">
        <v>302</v>
      </c>
      <c r="F74" s="48">
        <f>Equations!F55</f>
        <v>236.25000000000023</v>
      </c>
      <c r="G74" s="151" t="s">
        <v>8</v>
      </c>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90"/>
    </row>
    <row r="75" spans="1:45" ht="12.65" customHeight="1" x14ac:dyDescent="0.25">
      <c r="A75" s="17"/>
      <c r="B75" s="78"/>
      <c r="C75" s="17"/>
      <c r="D75" s="31"/>
      <c r="E75" s="147" t="s">
        <v>306</v>
      </c>
      <c r="F75" s="48">
        <f>Equations!F56</f>
        <v>5020.3125000000045</v>
      </c>
      <c r="G75" s="150" t="s">
        <v>118</v>
      </c>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90"/>
    </row>
    <row r="76" spans="1:45" ht="15" customHeight="1" x14ac:dyDescent="0.25">
      <c r="A76" s="17"/>
      <c r="B76" s="78"/>
      <c r="C76" s="17"/>
      <c r="D76" s="31"/>
      <c r="E76" s="147" t="s">
        <v>309</v>
      </c>
      <c r="F76" s="167">
        <v>220</v>
      </c>
      <c r="G76" s="150" t="s">
        <v>118</v>
      </c>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90"/>
    </row>
    <row r="77" spans="1:45" ht="15" customHeight="1" x14ac:dyDescent="0.25">
      <c r="A77" s="17"/>
      <c r="B77" s="78"/>
      <c r="C77" s="17"/>
      <c r="D77" s="31"/>
      <c r="E77" s="147" t="s">
        <v>361</v>
      </c>
      <c r="F77" s="48">
        <f>Equations!F58</f>
        <v>10.352941176470589</v>
      </c>
      <c r="G77" s="150" t="s">
        <v>8</v>
      </c>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90"/>
    </row>
    <row r="78" spans="1:45" ht="15" customHeight="1" x14ac:dyDescent="0.25">
      <c r="A78" s="17"/>
      <c r="B78" s="250" t="s">
        <v>133</v>
      </c>
      <c r="C78" s="17"/>
      <c r="D78" s="31"/>
      <c r="E78" s="147" t="s">
        <v>317</v>
      </c>
      <c r="F78" s="48">
        <f>Equations!F59</f>
        <v>1.4717977598352809</v>
      </c>
      <c r="G78" s="150"/>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90"/>
    </row>
    <row r="79" spans="1:45" ht="15" customHeight="1" x14ac:dyDescent="0.25">
      <c r="A79" s="17"/>
      <c r="B79" s="78"/>
      <c r="C79" s="17"/>
      <c r="D79" s="31"/>
      <c r="E79" s="147" t="s">
        <v>366</v>
      </c>
      <c r="F79" s="166" t="s">
        <v>194</v>
      </c>
      <c r="G79" s="150"/>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90"/>
    </row>
    <row r="80" spans="1:45" ht="15" customHeight="1" x14ac:dyDescent="0.25">
      <c r="A80" s="17"/>
      <c r="B80" s="78"/>
      <c r="C80" s="17"/>
      <c r="D80" s="31"/>
      <c r="E80" s="147" t="s">
        <v>371</v>
      </c>
      <c r="F80" s="48">
        <f>dv_dt_recommendations!J28</f>
        <v>0.17135413257197143</v>
      </c>
      <c r="G80" s="150" t="s">
        <v>325</v>
      </c>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90"/>
    </row>
    <row r="81" spans="1:40" ht="15" customHeight="1" x14ac:dyDescent="0.25">
      <c r="A81" s="17"/>
      <c r="B81" s="78"/>
      <c r="C81" s="17"/>
      <c r="D81" s="31"/>
      <c r="E81" s="147" t="s">
        <v>372</v>
      </c>
      <c r="F81" s="48">
        <f>dv_dt_recommendations!J29</f>
        <v>0.10708559822108767</v>
      </c>
      <c r="G81" s="150" t="s">
        <v>325</v>
      </c>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90"/>
    </row>
    <row r="82" spans="1:40" ht="15" customHeight="1" x14ac:dyDescent="0.25">
      <c r="A82" s="17"/>
      <c r="B82" s="78"/>
      <c r="C82" s="17"/>
      <c r="D82" s="31"/>
      <c r="E82" s="29" t="s">
        <v>359</v>
      </c>
      <c r="F82" s="167">
        <v>0.15</v>
      </c>
      <c r="G82" s="150" t="s">
        <v>325</v>
      </c>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90"/>
    </row>
    <row r="83" spans="1:40" ht="15" customHeight="1" x14ac:dyDescent="0.25">
      <c r="A83" s="17"/>
      <c r="B83" s="78"/>
      <c r="C83" s="17"/>
      <c r="D83" s="31"/>
      <c r="E83" s="29" t="s">
        <v>348</v>
      </c>
      <c r="F83" s="48">
        <f>Equations!F62</f>
        <v>106.66666666666667</v>
      </c>
      <c r="G83" s="148" t="s">
        <v>118</v>
      </c>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90"/>
    </row>
    <row r="84" spans="1:40" ht="15" customHeight="1" x14ac:dyDescent="0.25">
      <c r="A84" s="17"/>
      <c r="B84" s="268" t="s">
        <v>472</v>
      </c>
      <c r="C84" s="269"/>
      <c r="D84" s="31"/>
      <c r="E84" s="29" t="s">
        <v>349</v>
      </c>
      <c r="F84" s="167">
        <v>100</v>
      </c>
      <c r="G84" s="150" t="s">
        <v>118</v>
      </c>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90"/>
    </row>
    <row r="85" spans="1:40" ht="15" customHeight="1" x14ac:dyDescent="0.25">
      <c r="A85" s="17"/>
      <c r="B85" s="268"/>
      <c r="C85" s="269"/>
      <c r="D85" s="31"/>
      <c r="E85" s="29" t="s">
        <v>461</v>
      </c>
      <c r="F85" s="48">
        <f>Equations!F64</f>
        <v>0.16</v>
      </c>
      <c r="G85" s="150" t="s">
        <v>325</v>
      </c>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90"/>
    </row>
    <row r="86" spans="1:40" ht="16.899999999999999" customHeight="1" x14ac:dyDescent="0.25">
      <c r="A86" s="17"/>
      <c r="B86" s="268"/>
      <c r="C86" s="269"/>
      <c r="D86" s="31"/>
      <c r="E86" s="29" t="s">
        <v>354</v>
      </c>
      <c r="F86" s="48">
        <f>Equations!F71</f>
        <v>1.721108363016927</v>
      </c>
      <c r="G86" s="15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90"/>
    </row>
    <row r="87" spans="1:40" ht="16.899999999999999" customHeight="1" x14ac:dyDescent="0.25">
      <c r="A87" s="17"/>
      <c r="B87" s="268"/>
      <c r="C87" s="269"/>
      <c r="D87" s="31"/>
      <c r="E87" s="29" t="s">
        <v>351</v>
      </c>
      <c r="F87" s="167">
        <v>0.52</v>
      </c>
      <c r="G87" s="150" t="s">
        <v>8</v>
      </c>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90"/>
    </row>
    <row r="88" spans="1:40" ht="16.899999999999999" customHeight="1" x14ac:dyDescent="0.25">
      <c r="A88" s="17"/>
      <c r="B88" s="268"/>
      <c r="C88" s="269"/>
      <c r="D88" s="31"/>
      <c r="E88" s="29" t="s">
        <v>352</v>
      </c>
      <c r="F88" s="48">
        <f>Equations!F76</f>
        <v>11.05</v>
      </c>
      <c r="G88" s="150" t="s">
        <v>118</v>
      </c>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90"/>
    </row>
    <row r="89" spans="1:40" ht="16.899999999999999" customHeight="1" x14ac:dyDescent="0.4">
      <c r="A89" s="17"/>
      <c r="B89" s="78"/>
      <c r="C89" s="17"/>
      <c r="D89" s="31"/>
      <c r="E89" s="29" t="s">
        <v>356</v>
      </c>
      <c r="F89" s="167">
        <v>33</v>
      </c>
      <c r="G89" s="150" t="s">
        <v>118</v>
      </c>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90"/>
    </row>
    <row r="90" spans="1:40" ht="15" customHeight="1" x14ac:dyDescent="0.25">
      <c r="A90" s="17"/>
      <c r="B90" s="78"/>
      <c r="C90" s="17"/>
      <c r="D90" s="31"/>
      <c r="E90" s="147" t="s">
        <v>358</v>
      </c>
      <c r="F90" s="48">
        <f>Equations!F78</f>
        <v>1.5529411764705883</v>
      </c>
      <c r="G90" s="150" t="s">
        <v>8</v>
      </c>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95" t="s">
        <v>259</v>
      </c>
    </row>
    <row r="91" spans="1:40" ht="15" customHeight="1" x14ac:dyDescent="0.25">
      <c r="A91" s="17"/>
      <c r="B91" s="78"/>
      <c r="C91" s="17"/>
      <c r="D91" s="31"/>
      <c r="E91" s="147" t="s">
        <v>362</v>
      </c>
      <c r="F91" s="48">
        <f>Equations!F80</f>
        <v>1.4717977598352809</v>
      </c>
      <c r="G91" s="151"/>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95"/>
    </row>
    <row r="92" spans="1:40" ht="14.5" customHeight="1" x14ac:dyDescent="0.25">
      <c r="A92" s="17"/>
      <c r="B92" s="78"/>
      <c r="C92" s="17"/>
      <c r="D92" s="31"/>
      <c r="E92" s="146" t="s">
        <v>197</v>
      </c>
      <c r="F92" s="55">
        <f>Equations!F107</f>
        <v>24</v>
      </c>
      <c r="G92" s="151" t="s">
        <v>8</v>
      </c>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90"/>
    </row>
    <row r="93" spans="1:40" ht="15" customHeight="1" thickBot="1" x14ac:dyDescent="0.3">
      <c r="A93" s="17"/>
      <c r="B93" s="78"/>
      <c r="C93" s="17"/>
      <c r="D93" s="31"/>
      <c r="E93" s="146" t="s">
        <v>91</v>
      </c>
      <c r="F93" s="48">
        <f>Equations!F110</f>
        <v>310.41352941176478</v>
      </c>
      <c r="G93" s="150" t="s">
        <v>8</v>
      </c>
      <c r="H93" s="108"/>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90"/>
    </row>
    <row r="94" spans="1:40" ht="15" customHeight="1" x14ac:dyDescent="0.3">
      <c r="A94" s="17"/>
      <c r="B94" s="130" t="s">
        <v>211</v>
      </c>
      <c r="C94" s="123"/>
      <c r="D94" s="75"/>
      <c r="E94" s="89" t="s">
        <v>21</v>
      </c>
      <c r="F94" s="168" t="s">
        <v>20</v>
      </c>
      <c r="G94" s="156"/>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107"/>
      <c r="AN94" s="28" t="s">
        <v>19</v>
      </c>
    </row>
    <row r="95" spans="1:40" ht="15" customHeight="1" x14ac:dyDescent="0.25">
      <c r="A95" s="17"/>
      <c r="B95" s="78"/>
      <c r="C95" s="17"/>
      <c r="D95" s="17"/>
      <c r="E95" s="58" t="s">
        <v>92</v>
      </c>
      <c r="F95" s="167">
        <v>16</v>
      </c>
      <c r="G95" s="157" t="s">
        <v>86</v>
      </c>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90"/>
      <c r="AN95" s="28" t="s">
        <v>20</v>
      </c>
    </row>
    <row r="96" spans="1:40" ht="15" customHeight="1" x14ac:dyDescent="0.25">
      <c r="A96" s="17"/>
      <c r="B96" s="78"/>
      <c r="C96" s="17"/>
      <c r="D96" s="17"/>
      <c r="E96" s="58" t="s">
        <v>93</v>
      </c>
      <c r="F96" s="167">
        <v>15</v>
      </c>
      <c r="G96" s="157" t="s">
        <v>86</v>
      </c>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90"/>
      <c r="AN96" t="s">
        <v>425</v>
      </c>
    </row>
    <row r="97" spans="1:40" ht="15" customHeight="1" x14ac:dyDescent="0.25">
      <c r="A97" s="17"/>
      <c r="B97" s="78"/>
      <c r="C97" s="17"/>
      <c r="D97" s="17"/>
      <c r="E97" s="58" t="s">
        <v>102</v>
      </c>
      <c r="F97" s="167">
        <v>30</v>
      </c>
      <c r="G97" s="157" t="s">
        <v>86</v>
      </c>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90"/>
      <c r="AN97" t="s">
        <v>426</v>
      </c>
    </row>
    <row r="98" spans="1:40" ht="15" customHeight="1" x14ac:dyDescent="0.25">
      <c r="A98" s="17"/>
      <c r="B98" s="78"/>
      <c r="C98" s="17"/>
      <c r="D98" s="17"/>
      <c r="E98" s="100" t="s">
        <v>94</v>
      </c>
      <c r="F98" s="167">
        <v>28</v>
      </c>
      <c r="G98" s="157" t="s">
        <v>86</v>
      </c>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90"/>
    </row>
    <row r="99" spans="1:40" ht="15" customHeight="1" x14ac:dyDescent="0.25">
      <c r="A99" s="17"/>
      <c r="B99" s="78"/>
      <c r="C99" s="17"/>
      <c r="D99" s="17"/>
      <c r="E99" s="99" t="s">
        <v>256</v>
      </c>
      <c r="F99" s="53">
        <f>IF(F94="Option A",Equations!F128,Equations!G128)</f>
        <v>47.61904761904762</v>
      </c>
      <c r="G99" s="158" t="s">
        <v>84</v>
      </c>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90"/>
    </row>
    <row r="100" spans="1:40" ht="15" customHeight="1" x14ac:dyDescent="0.25">
      <c r="A100" s="17"/>
      <c r="B100" s="78"/>
      <c r="C100" s="17"/>
      <c r="D100" s="17"/>
      <c r="E100" s="98" t="s">
        <v>22</v>
      </c>
      <c r="F100" s="53">
        <f>IF(F94="Option A",Equations!F129,Equations!G129)</f>
        <v>9.5238095238095237</v>
      </c>
      <c r="G100" s="158" t="s">
        <v>84</v>
      </c>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90"/>
    </row>
    <row r="101" spans="1:40" ht="15" customHeight="1" x14ac:dyDescent="0.25">
      <c r="A101" s="17"/>
      <c r="B101" s="251" t="s">
        <v>211</v>
      </c>
      <c r="C101" s="17"/>
      <c r="D101" s="17"/>
      <c r="E101" s="98" t="s">
        <v>23</v>
      </c>
      <c r="F101" s="53">
        <f>IF(F94="Option A",Equations!F130,Equations!G130)</f>
        <v>95.238095238095241</v>
      </c>
      <c r="G101" s="158" t="s">
        <v>84</v>
      </c>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90"/>
    </row>
    <row r="102" spans="1:40" ht="15" customHeight="1" x14ac:dyDescent="0.3">
      <c r="A102" s="17"/>
      <c r="B102" s="78"/>
      <c r="C102" s="17"/>
      <c r="D102" s="17"/>
      <c r="E102" s="98" t="s">
        <v>24</v>
      </c>
      <c r="F102" s="53">
        <f>IF(F94="Option A",Equations!F131,Equations!G131)</f>
        <v>8.6580086580086579</v>
      </c>
      <c r="G102" s="157" t="s">
        <v>84</v>
      </c>
      <c r="H102" s="17"/>
      <c r="I102" s="17"/>
      <c r="J102" s="93"/>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90"/>
    </row>
    <row r="103" spans="1:40" ht="15" customHeight="1" x14ac:dyDescent="0.3">
      <c r="A103" s="17"/>
      <c r="B103" s="78"/>
      <c r="C103" s="17"/>
      <c r="D103" s="17"/>
      <c r="E103" s="58" t="s">
        <v>105</v>
      </c>
      <c r="F103" s="167">
        <v>47.5</v>
      </c>
      <c r="G103" s="158" t="s">
        <v>84</v>
      </c>
      <c r="H103" s="17"/>
      <c r="I103" s="17"/>
      <c r="J103" s="93"/>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90"/>
    </row>
    <row r="104" spans="1:40" ht="15" customHeight="1" x14ac:dyDescent="0.3">
      <c r="A104" s="17"/>
      <c r="B104" s="78"/>
      <c r="C104" s="17"/>
      <c r="D104" s="17"/>
      <c r="E104" s="58" t="s">
        <v>106</v>
      </c>
      <c r="F104" s="167">
        <v>9.5299999999999994</v>
      </c>
      <c r="G104" s="158" t="s">
        <v>84</v>
      </c>
      <c r="H104" s="17"/>
      <c r="I104" s="17"/>
      <c r="J104" s="93"/>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90"/>
    </row>
    <row r="105" spans="1:40" ht="15" customHeight="1" x14ac:dyDescent="0.3">
      <c r="A105" s="17"/>
      <c r="B105" s="78"/>
      <c r="C105" s="17"/>
      <c r="D105" s="17"/>
      <c r="E105" s="58" t="s">
        <v>107</v>
      </c>
      <c r="F105" s="167">
        <v>95.3</v>
      </c>
      <c r="G105" s="158" t="s">
        <v>84</v>
      </c>
      <c r="H105" s="17"/>
      <c r="I105" s="17"/>
      <c r="J105" s="93"/>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90"/>
    </row>
    <row r="106" spans="1:40" ht="15" customHeight="1" x14ac:dyDescent="0.25">
      <c r="A106" s="17"/>
      <c r="B106" s="78"/>
      <c r="C106" s="17"/>
      <c r="D106" s="17"/>
      <c r="E106" s="58" t="s">
        <v>108</v>
      </c>
      <c r="F106" s="167">
        <v>8.66</v>
      </c>
      <c r="G106" s="158" t="s">
        <v>84</v>
      </c>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90"/>
    </row>
    <row r="107" spans="1:40" ht="15" customHeight="1" x14ac:dyDescent="0.25">
      <c r="A107" s="17"/>
      <c r="B107" s="78"/>
      <c r="C107" s="17"/>
      <c r="D107" s="17"/>
      <c r="E107" s="17"/>
      <c r="F107" s="17"/>
      <c r="G107" s="159"/>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90"/>
    </row>
    <row r="108" spans="1:40" ht="15" customHeight="1" thickBot="1" x14ac:dyDescent="0.35">
      <c r="A108" s="17"/>
      <c r="B108" s="78"/>
      <c r="C108" s="91" t="s">
        <v>54</v>
      </c>
      <c r="D108" s="92" t="s">
        <v>35</v>
      </c>
      <c r="E108" s="92" t="s">
        <v>36</v>
      </c>
      <c r="F108" s="92" t="s">
        <v>37</v>
      </c>
      <c r="G108" s="159"/>
      <c r="H108" s="31"/>
      <c r="I108" s="31"/>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90"/>
    </row>
    <row r="109" spans="1:40" ht="15" customHeight="1" x14ac:dyDescent="0.25">
      <c r="A109" s="17"/>
      <c r="B109" s="78"/>
      <c r="C109" s="32" t="s">
        <v>95</v>
      </c>
      <c r="D109" s="44">
        <f>IF($F$94="Option A",Equations!F132,Equations!G132)</f>
        <v>15.231437565582375</v>
      </c>
      <c r="E109" s="45">
        <f>IF($F$94="Option A",Equations!F133,Equations!G133)</f>
        <v>15.95815057712487</v>
      </c>
      <c r="F109" s="46">
        <f>IF($F$94="Option A",Equations!F134,Equations!G134)</f>
        <v>16.684863588667366</v>
      </c>
      <c r="G109" s="157" t="s">
        <v>86</v>
      </c>
      <c r="H109" s="31"/>
      <c r="I109" s="31"/>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90"/>
    </row>
    <row r="110" spans="1:40" ht="15" customHeight="1" x14ac:dyDescent="0.25">
      <c r="A110" s="17"/>
      <c r="B110" s="78"/>
      <c r="C110" s="32" t="s">
        <v>96</v>
      </c>
      <c r="D110" s="47">
        <f>IF($F$94="Option A",Equations!F135,Equations!G135)</f>
        <v>14.661437565582373</v>
      </c>
      <c r="E110" s="48">
        <f>IF($F$94="Option A",Equations!F136,Equations!G136)</f>
        <v>14.960650577124868</v>
      </c>
      <c r="F110" s="49">
        <f>IF($F$94="Option A",Equations!F137,Equations!G137)</f>
        <v>15.259863588667368</v>
      </c>
      <c r="G110" s="157" t="s">
        <v>86</v>
      </c>
      <c r="H110" s="31"/>
      <c r="I110" s="31"/>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90"/>
    </row>
    <row r="111" spans="1:40" ht="15" customHeight="1" x14ac:dyDescent="0.25">
      <c r="A111" s="17"/>
      <c r="B111" s="78"/>
      <c r="C111" s="32" t="s">
        <v>97</v>
      </c>
      <c r="D111" s="47">
        <f>IF($F$94="Option A",Equations!F138,Equations!G138)</f>
        <v>29.411316397228635</v>
      </c>
      <c r="E111" s="48">
        <f>IF($F$94="Option A",Equations!F139,Equations!G139)</f>
        <v>30.011547344110852</v>
      </c>
      <c r="F111" s="49">
        <f>IF($F$94="Option A",Equations!F140,Equations!G140)</f>
        <v>30.611778290993065</v>
      </c>
      <c r="G111" s="157" t="s">
        <v>86</v>
      </c>
      <c r="H111" s="31"/>
      <c r="I111" s="31"/>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90"/>
    </row>
    <row r="112" spans="1:40" ht="15" customHeight="1" thickBot="1" x14ac:dyDescent="0.3">
      <c r="A112" s="17"/>
      <c r="B112" s="78"/>
      <c r="C112" s="32" t="s">
        <v>98</v>
      </c>
      <c r="D112" s="50">
        <f>IF($F$94="Option A",Equations!F141,Equations!G141)</f>
        <v>26.55231639722864</v>
      </c>
      <c r="E112" s="51">
        <f>IF($F$94="Option A",Equations!F142,Equations!G142)</f>
        <v>28.010247344110851</v>
      </c>
      <c r="F112" s="52">
        <f>IF($F$94="Option A",Equations!F143,Equations!G143)</f>
        <v>29.468178290993066</v>
      </c>
      <c r="G112" s="157" t="s">
        <v>86</v>
      </c>
      <c r="H112" s="31"/>
      <c r="I112" s="31"/>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90"/>
    </row>
    <row r="113" spans="1:39" ht="15" customHeight="1" x14ac:dyDescent="0.25">
      <c r="A113" s="17"/>
      <c r="B113" s="78"/>
      <c r="C113" s="285" t="s">
        <v>433</v>
      </c>
      <c r="D113" s="285"/>
      <c r="E113" s="285"/>
      <c r="F113" s="285"/>
      <c r="G113" s="286"/>
      <c r="H113" s="31"/>
      <c r="I113" s="31"/>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90"/>
    </row>
    <row r="114" spans="1:39" ht="15" customHeight="1" x14ac:dyDescent="0.25">
      <c r="A114" s="17"/>
      <c r="B114" s="78"/>
      <c r="C114" s="285"/>
      <c r="D114" s="285"/>
      <c r="E114" s="285"/>
      <c r="F114" s="285"/>
      <c r="G114" s="286"/>
      <c r="H114" s="31"/>
      <c r="I114" s="31"/>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90"/>
    </row>
    <row r="115" spans="1:39" ht="15" customHeight="1" x14ac:dyDescent="0.25">
      <c r="A115" s="17"/>
      <c r="B115" s="78"/>
      <c r="C115" s="285"/>
      <c r="D115" s="285"/>
      <c r="E115" s="285"/>
      <c r="F115" s="285"/>
      <c r="G115" s="286"/>
      <c r="H115" s="31"/>
      <c r="I115" s="31"/>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90"/>
    </row>
    <row r="116" spans="1:39" ht="15" customHeight="1" x14ac:dyDescent="0.4">
      <c r="A116" s="17"/>
      <c r="B116" s="77"/>
      <c r="C116" s="17"/>
      <c r="D116" s="17"/>
      <c r="E116" s="32" t="s">
        <v>114</v>
      </c>
      <c r="F116" s="169">
        <v>10</v>
      </c>
      <c r="G116" s="160" t="s">
        <v>84</v>
      </c>
      <c r="H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90"/>
    </row>
    <row r="117" spans="1:39" ht="15" customHeight="1" x14ac:dyDescent="0.25">
      <c r="A117" s="17"/>
      <c r="B117" s="78"/>
      <c r="C117" s="17"/>
      <c r="D117" s="17"/>
      <c r="E117" s="32"/>
      <c r="F117" s="17"/>
      <c r="G117" s="160"/>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90"/>
    </row>
    <row r="118" spans="1:39" ht="15" customHeight="1" x14ac:dyDescent="0.25">
      <c r="A118" s="17"/>
      <c r="B118" s="78"/>
      <c r="C118" s="17"/>
      <c r="D118" s="17"/>
      <c r="E118" s="32"/>
      <c r="F118" s="17"/>
      <c r="G118" s="160"/>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90"/>
    </row>
    <row r="119" spans="1:39" ht="15" customHeight="1" x14ac:dyDescent="0.25">
      <c r="A119" s="17"/>
      <c r="B119" s="78"/>
      <c r="C119" s="17"/>
      <c r="D119" s="17"/>
      <c r="E119" s="32"/>
      <c r="F119" s="17"/>
      <c r="G119" s="160"/>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90"/>
    </row>
    <row r="120" spans="1:39" ht="15" customHeight="1" thickBot="1" x14ac:dyDescent="0.3">
      <c r="A120" s="17"/>
      <c r="B120" s="78"/>
      <c r="C120" s="80"/>
      <c r="D120" s="80"/>
      <c r="E120" s="17"/>
      <c r="F120" s="17"/>
      <c r="G120" s="208"/>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94"/>
    </row>
    <row r="121" spans="1:39" ht="18.75" customHeight="1" x14ac:dyDescent="0.3">
      <c r="A121" s="17"/>
      <c r="B121" s="130" t="s">
        <v>214</v>
      </c>
      <c r="C121" s="75"/>
      <c r="D121" s="75"/>
      <c r="E121" s="109" t="s">
        <v>430</v>
      </c>
      <c r="F121" s="88">
        <f>Rs</f>
        <v>1.5</v>
      </c>
      <c r="G121" s="214" t="s">
        <v>85</v>
      </c>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107"/>
    </row>
    <row r="122" spans="1:39" ht="15" customHeight="1" x14ac:dyDescent="0.3">
      <c r="A122" s="17"/>
      <c r="B122" s="77"/>
      <c r="C122" s="17"/>
      <c r="D122" s="17"/>
      <c r="E122" s="96" t="s">
        <v>212</v>
      </c>
      <c r="F122" s="97" t="str">
        <f>IF(RsMAX&gt;Rs,"DNP",RDIV1)</f>
        <v>DNP</v>
      </c>
      <c r="G122" s="153" t="s">
        <v>87</v>
      </c>
      <c r="H122" s="17"/>
      <c r="I122" s="17"/>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131"/>
    </row>
    <row r="123" spans="1:39" ht="14.25" customHeight="1" x14ac:dyDescent="0.3">
      <c r="A123" s="17"/>
      <c r="B123" s="77"/>
      <c r="C123" s="17"/>
      <c r="D123" s="17"/>
      <c r="E123" s="96" t="s">
        <v>213</v>
      </c>
      <c r="F123" s="97" t="str">
        <f>IF(RsMAX&gt;Rs,"0",RDIV2)</f>
        <v>0</v>
      </c>
      <c r="G123" s="153" t="s">
        <v>87</v>
      </c>
      <c r="H123" s="17"/>
      <c r="I123" s="17"/>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131"/>
    </row>
    <row r="124" spans="1:39" ht="15" customHeight="1" thickBot="1" x14ac:dyDescent="0.35">
      <c r="A124" s="17"/>
      <c r="B124" s="78"/>
      <c r="C124" s="17"/>
      <c r="D124" s="17"/>
      <c r="E124" s="57" t="s">
        <v>17</v>
      </c>
      <c r="F124" s="39">
        <f>F66</f>
        <v>16.2</v>
      </c>
      <c r="G124" s="155" t="s">
        <v>84</v>
      </c>
      <c r="H124" s="17"/>
      <c r="I124" s="17"/>
      <c r="J124" s="112"/>
      <c r="K124" s="92" t="s">
        <v>435</v>
      </c>
      <c r="L124" s="183" t="s">
        <v>158</v>
      </c>
      <c r="M124" s="31"/>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4"/>
    </row>
    <row r="125" spans="1:39" ht="15" customHeight="1" x14ac:dyDescent="0.25">
      <c r="A125" s="17"/>
      <c r="B125" s="78"/>
      <c r="C125" s="17"/>
      <c r="D125" s="17"/>
      <c r="E125" s="58" t="s">
        <v>431</v>
      </c>
      <c r="F125" s="48">
        <f>IF(F71="YES", F89, F76)</f>
        <v>33</v>
      </c>
      <c r="G125" s="150" t="s">
        <v>118</v>
      </c>
      <c r="H125" s="17"/>
      <c r="I125" s="17"/>
      <c r="J125" s="32" t="s">
        <v>215</v>
      </c>
      <c r="K125" s="116">
        <f>F46</f>
        <v>36.666666666666664</v>
      </c>
      <c r="L125" s="108" t="s">
        <v>25</v>
      </c>
      <c r="M125" s="31"/>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95"/>
    </row>
    <row r="126" spans="1:39" ht="15" customHeight="1" x14ac:dyDescent="0.25">
      <c r="A126" s="17"/>
      <c r="B126" s="78"/>
      <c r="C126" s="17"/>
      <c r="D126" s="17"/>
      <c r="E126" s="57" t="s">
        <v>11</v>
      </c>
      <c r="F126" s="39">
        <f>F103</f>
        <v>47.5</v>
      </c>
      <c r="G126" s="155" t="s">
        <v>84</v>
      </c>
      <c r="H126" s="17"/>
      <c r="I126" s="17"/>
      <c r="J126" s="32" t="s">
        <v>168</v>
      </c>
      <c r="K126" s="117">
        <f>F67</f>
        <v>86.399999999999991</v>
      </c>
      <c r="L126" s="108" t="s">
        <v>87</v>
      </c>
      <c r="M126" s="31"/>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95"/>
    </row>
    <row r="127" spans="1:39" ht="15" customHeight="1" x14ac:dyDescent="0.25">
      <c r="A127" s="17"/>
      <c r="B127" s="78"/>
      <c r="C127" s="17"/>
      <c r="D127" s="17"/>
      <c r="E127" s="57" t="s">
        <v>12</v>
      </c>
      <c r="F127" s="39">
        <f>F104</f>
        <v>9.5299999999999994</v>
      </c>
      <c r="G127" s="155" t="s">
        <v>84</v>
      </c>
      <c r="H127" s="17"/>
      <c r="I127" s="17"/>
      <c r="J127" s="29" t="s">
        <v>224</v>
      </c>
      <c r="K127" s="121">
        <f>F46</f>
        <v>36.666666666666664</v>
      </c>
      <c r="L127" s="108" t="s">
        <v>25</v>
      </c>
      <c r="M127" s="31"/>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95"/>
    </row>
    <row r="128" spans="1:39" ht="15" customHeight="1" x14ac:dyDescent="0.25">
      <c r="A128" s="17"/>
      <c r="B128" s="78"/>
      <c r="C128" s="17"/>
      <c r="D128" s="17"/>
      <c r="E128" s="57" t="s">
        <v>13</v>
      </c>
      <c r="F128" s="39">
        <f>F105</f>
        <v>95.3</v>
      </c>
      <c r="G128" s="155" t="s">
        <v>84</v>
      </c>
      <c r="H128" s="17"/>
      <c r="I128" s="17"/>
      <c r="J128" s="32" t="s">
        <v>216</v>
      </c>
      <c r="K128" s="124">
        <f>IF(F71="YES",Equations!F66,Start_up!M2)</f>
        <v>157.5</v>
      </c>
      <c r="L128" s="108" t="s">
        <v>8</v>
      </c>
      <c r="M128" s="31"/>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95"/>
    </row>
    <row r="129" spans="1:40" ht="15" customHeight="1" x14ac:dyDescent="0.25">
      <c r="A129" s="17"/>
      <c r="B129" s="78"/>
      <c r="C129" s="17"/>
      <c r="D129" s="17"/>
      <c r="E129" s="57" t="s">
        <v>14</v>
      </c>
      <c r="F129" s="40">
        <f>IF(F94="Option A","N/A",F106)</f>
        <v>8.66</v>
      </c>
      <c r="G129" s="155" t="s">
        <v>84</v>
      </c>
      <c r="H129" s="17"/>
      <c r="I129" s="17"/>
      <c r="J129" s="32" t="s">
        <v>217</v>
      </c>
      <c r="K129" s="122">
        <f>TINSERT</f>
        <v>24</v>
      </c>
      <c r="L129" s="108" t="s">
        <v>8</v>
      </c>
      <c r="M129" s="31"/>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95"/>
    </row>
    <row r="130" spans="1:40" ht="15" customHeight="1" x14ac:dyDescent="0.25">
      <c r="A130" s="17"/>
      <c r="B130" s="78"/>
      <c r="C130" s="17"/>
      <c r="D130" s="17"/>
      <c r="E130" s="58" t="s">
        <v>432</v>
      </c>
      <c r="F130" s="43">
        <f>IF(F71="YES", F84, "DNP")</f>
        <v>100</v>
      </c>
      <c r="G130" s="150" t="s">
        <v>118</v>
      </c>
      <c r="H130" s="17"/>
      <c r="I130" s="17"/>
      <c r="J130" s="32" t="s">
        <v>218</v>
      </c>
      <c r="K130" s="124">
        <f>IF(F71="YES", F90,F77)</f>
        <v>1.5529411764705883</v>
      </c>
      <c r="L130" s="108" t="s">
        <v>8</v>
      </c>
      <c r="M130" s="31"/>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95"/>
    </row>
    <row r="131" spans="1:40" ht="15" customHeight="1" x14ac:dyDescent="0.25">
      <c r="A131" s="17"/>
      <c r="B131" s="78"/>
      <c r="C131" s="17"/>
      <c r="D131" s="17"/>
      <c r="E131" s="57" t="s">
        <v>55</v>
      </c>
      <c r="F131" s="42">
        <v>0.01</v>
      </c>
      <c r="G131" s="155" t="s">
        <v>83</v>
      </c>
      <c r="H131" s="17"/>
      <c r="I131" s="17"/>
      <c r="J131" s="32" t="s">
        <v>219</v>
      </c>
      <c r="K131" s="125">
        <f>F93</f>
        <v>310.41352941176478</v>
      </c>
      <c r="L131" s="108" t="s">
        <v>8</v>
      </c>
      <c r="M131" s="31"/>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95"/>
    </row>
    <row r="132" spans="1:40" ht="15" customHeight="1" x14ac:dyDescent="0.25">
      <c r="A132" s="17"/>
      <c r="B132" s="78"/>
      <c r="C132" s="17"/>
      <c r="D132" s="17"/>
      <c r="E132" s="212" t="s">
        <v>464</v>
      </c>
      <c r="F132" s="213" t="s">
        <v>465</v>
      </c>
      <c r="G132" s="150"/>
      <c r="H132" s="17"/>
      <c r="I132" s="17"/>
      <c r="J132" s="115" t="s">
        <v>220</v>
      </c>
      <c r="K132" s="118">
        <f>E109</f>
        <v>15.95815057712487</v>
      </c>
      <c r="L132" s="108" t="s">
        <v>86</v>
      </c>
      <c r="M132" s="31"/>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95"/>
    </row>
    <row r="133" spans="1:40" ht="15" customHeight="1" x14ac:dyDescent="0.25">
      <c r="A133" s="17"/>
      <c r="B133" s="78"/>
      <c r="C133" s="17"/>
      <c r="D133" s="17"/>
      <c r="E133" s="212" t="s">
        <v>438</v>
      </c>
      <c r="F133" s="213" t="str">
        <f>IF(F71="YES","1N4148W-7-F","DNP")</f>
        <v>1N4148W-7-F</v>
      </c>
      <c r="G133" s="150"/>
      <c r="H133" s="17"/>
      <c r="I133" s="17"/>
      <c r="J133" s="115" t="s">
        <v>222</v>
      </c>
      <c r="K133" s="118">
        <f>E110</f>
        <v>14.960650577124868</v>
      </c>
      <c r="L133" s="108" t="s">
        <v>86</v>
      </c>
      <c r="M133" s="31"/>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95"/>
    </row>
    <row r="134" spans="1:40" ht="15" customHeight="1" x14ac:dyDescent="0.25">
      <c r="A134" s="17"/>
      <c r="B134" s="78"/>
      <c r="C134" s="17"/>
      <c r="D134" s="17"/>
      <c r="E134" s="212" t="s">
        <v>475</v>
      </c>
      <c r="F134" s="213" t="s">
        <v>495</v>
      </c>
      <c r="G134" s="150"/>
      <c r="H134" s="17"/>
      <c r="I134" s="17"/>
      <c r="J134" s="115" t="s">
        <v>223</v>
      </c>
      <c r="K134" s="118">
        <f>E111</f>
        <v>30.011547344110852</v>
      </c>
      <c r="L134" s="108" t="s">
        <v>86</v>
      </c>
      <c r="M134" s="31"/>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95"/>
    </row>
    <row r="135" spans="1:40" ht="15" customHeight="1" x14ac:dyDescent="0.25">
      <c r="A135" s="17"/>
      <c r="B135" s="78"/>
      <c r="C135" s="17"/>
      <c r="D135" s="17"/>
      <c r="E135" s="212" t="s">
        <v>476</v>
      </c>
      <c r="F135" s="213" t="str">
        <f>IF(F71="YES","MMBT5401LT1G","DNP")</f>
        <v>MMBT5401LT1G</v>
      </c>
      <c r="G135" s="150"/>
      <c r="H135" s="17"/>
      <c r="I135" s="17"/>
      <c r="J135" s="115" t="s">
        <v>221</v>
      </c>
      <c r="K135" s="118">
        <f>E112</f>
        <v>28.010247344110851</v>
      </c>
      <c r="L135" s="108" t="s">
        <v>86</v>
      </c>
      <c r="M135" s="31"/>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95"/>
    </row>
    <row r="136" spans="1:40" ht="15" customHeight="1" x14ac:dyDescent="0.25">
      <c r="A136" s="17"/>
      <c r="B136" s="78"/>
      <c r="C136" s="17"/>
      <c r="D136" s="17"/>
      <c r="E136" s="212" t="s">
        <v>463</v>
      </c>
      <c r="F136" s="213" t="s">
        <v>477</v>
      </c>
      <c r="G136" s="150"/>
      <c r="H136" s="17"/>
      <c r="I136" s="17"/>
      <c r="J136" s="115"/>
      <c r="K136" s="209"/>
      <c r="L136" s="108"/>
      <c r="M136" s="31"/>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95"/>
    </row>
    <row r="137" spans="1:40" ht="15" customHeight="1" x14ac:dyDescent="0.25">
      <c r="A137" s="17"/>
      <c r="B137" s="78"/>
      <c r="C137" s="17"/>
      <c r="D137" s="17"/>
      <c r="F137" s="126"/>
      <c r="G137" s="161"/>
      <c r="H137" s="17"/>
      <c r="I137" s="17"/>
      <c r="J137" s="115"/>
      <c r="K137" s="209"/>
      <c r="L137" s="108"/>
      <c r="M137" s="31"/>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95"/>
    </row>
    <row r="138" spans="1:40" ht="15" customHeight="1" x14ac:dyDescent="0.25">
      <c r="A138" s="17"/>
      <c r="B138" s="78"/>
      <c r="C138" s="17"/>
      <c r="D138" s="17"/>
      <c r="E138" s="58"/>
      <c r="F138" s="126"/>
      <c r="G138" s="161"/>
      <c r="H138" s="17"/>
      <c r="I138" s="17"/>
      <c r="J138" s="17"/>
      <c r="K138" s="17"/>
      <c r="L138" s="17"/>
      <c r="M138" s="31"/>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90"/>
      <c r="AN138" s="28"/>
    </row>
    <row r="139" spans="1:40" ht="15.5" x14ac:dyDescent="0.4">
      <c r="A139" s="17"/>
      <c r="B139" s="204" t="s">
        <v>18</v>
      </c>
      <c r="C139" s="30" t="s">
        <v>90</v>
      </c>
      <c r="D139" s="20"/>
      <c r="E139" s="30"/>
      <c r="F139" s="110"/>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90"/>
      <c r="AN139" s="28"/>
    </row>
    <row r="140" spans="1:40" x14ac:dyDescent="0.25">
      <c r="A140" s="17"/>
      <c r="B140" s="78"/>
      <c r="C140" s="30" t="s">
        <v>110</v>
      </c>
      <c r="D140" s="17"/>
      <c r="E140" s="30"/>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90"/>
    </row>
    <row r="141" spans="1:40" x14ac:dyDescent="0.25">
      <c r="A141" s="17"/>
      <c r="B141" s="78"/>
      <c r="C141" s="30" t="s">
        <v>255</v>
      </c>
      <c r="D141" s="17"/>
      <c r="E141" s="30"/>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90"/>
    </row>
    <row r="142" spans="1:40" ht="13" thickBot="1" x14ac:dyDescent="0.3">
      <c r="A142" s="17"/>
      <c r="B142" s="79"/>
      <c r="C142" s="80"/>
      <c r="D142" s="80"/>
      <c r="E142" s="111"/>
      <c r="F142" s="80"/>
      <c r="G142" s="162"/>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94"/>
    </row>
    <row r="143" spans="1:40"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row>
    <row r="144" spans="1:40" ht="14" x14ac:dyDescent="0.3">
      <c r="A144" s="17"/>
      <c r="B144" s="37"/>
      <c r="C144" s="17"/>
      <c r="D144" s="17"/>
      <c r="E144" s="17"/>
      <c r="F144" s="31"/>
      <c r="G144" s="101"/>
      <c r="H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row>
    <row r="145" spans="1:39" x14ac:dyDescent="0.25">
      <c r="A145" s="17"/>
      <c r="B145" s="17"/>
      <c r="C145" s="17"/>
      <c r="D145" s="17"/>
      <c r="E145" s="17"/>
      <c r="F145" s="31"/>
      <c r="G145" s="101"/>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row>
    <row r="146" spans="1:39" x14ac:dyDescent="0.25">
      <c r="A146" s="17"/>
      <c r="B146" s="17"/>
      <c r="C146" s="17"/>
      <c r="D146" s="17"/>
      <c r="E146" s="17"/>
      <c r="F146" s="31"/>
      <c r="G146" s="101"/>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row>
    <row r="147" spans="1:39" x14ac:dyDescent="0.25">
      <c r="A147" s="17"/>
      <c r="B147" s="17"/>
      <c r="C147" s="17"/>
      <c r="D147" s="17"/>
      <c r="E147" s="17"/>
      <c r="F147" s="31"/>
      <c r="G147" s="101"/>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row>
    <row r="148" spans="1:39" x14ac:dyDescent="0.25">
      <c r="A148" s="17"/>
      <c r="B148" s="17"/>
      <c r="C148" s="17"/>
      <c r="D148" s="17"/>
      <c r="E148" s="17"/>
      <c r="F148" s="31"/>
      <c r="G148" s="101"/>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row>
    <row r="149" spans="1:39" x14ac:dyDescent="0.25">
      <c r="A149" s="17"/>
      <c r="B149" s="17"/>
      <c r="C149" s="17"/>
      <c r="D149" s="17"/>
      <c r="E149" s="17"/>
      <c r="F149" s="31"/>
      <c r="G149" s="101"/>
      <c r="H149" s="31"/>
      <c r="I149" s="31"/>
      <c r="J149" s="31"/>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row>
    <row r="150" spans="1:39" x14ac:dyDescent="0.25">
      <c r="A150" s="17"/>
      <c r="B150" s="17"/>
      <c r="C150" s="17"/>
      <c r="D150" s="17"/>
      <c r="E150" s="17"/>
      <c r="F150" s="31"/>
      <c r="G150" s="101"/>
      <c r="H150" s="31"/>
      <c r="I150" s="31"/>
      <c r="J150" s="31"/>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row>
    <row r="151" spans="1:39" x14ac:dyDescent="0.25">
      <c r="A151" s="17"/>
      <c r="B151" s="17"/>
      <c r="C151" s="17"/>
      <c r="D151" s="17"/>
      <c r="E151" s="17"/>
      <c r="F151" s="31"/>
      <c r="G151" s="101"/>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row>
    <row r="152" spans="1:39" x14ac:dyDescent="0.25">
      <c r="A152" s="17"/>
      <c r="B152" s="17"/>
      <c r="C152" s="17"/>
      <c r="D152" s="17"/>
      <c r="E152" s="17"/>
      <c r="F152" s="17"/>
      <c r="G152" s="18"/>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row>
    <row r="153" spans="1:39" x14ac:dyDescent="0.25">
      <c r="A153" s="17"/>
      <c r="B153" s="17"/>
      <c r="C153" s="17"/>
      <c r="D153" s="17"/>
      <c r="E153" s="17"/>
      <c r="F153" s="31"/>
      <c r="G153" s="101"/>
      <c r="H153" s="31"/>
      <c r="I153" s="31"/>
      <c r="J153" s="31"/>
      <c r="K153" s="31"/>
      <c r="L153" s="31"/>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row>
    <row r="154" spans="1:39" x14ac:dyDescent="0.25">
      <c r="A154" s="17"/>
      <c r="B154" s="17"/>
      <c r="C154" s="17"/>
      <c r="D154" s="17"/>
      <c r="E154" s="17"/>
      <c r="F154" s="31"/>
      <c r="G154" s="101"/>
      <c r="H154" s="31"/>
      <c r="I154" s="31"/>
      <c r="J154" s="31"/>
      <c r="K154" s="31"/>
      <c r="L154" s="31"/>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row>
    <row r="155" spans="1:39" x14ac:dyDescent="0.25">
      <c r="A155" s="17"/>
      <c r="B155" s="17"/>
      <c r="C155" s="17"/>
      <c r="D155" s="17"/>
      <c r="E155" s="17"/>
      <c r="F155" s="31"/>
      <c r="G155" s="101"/>
      <c r="H155" s="31"/>
      <c r="I155" s="31"/>
      <c r="J155" s="31"/>
      <c r="K155" s="31"/>
      <c r="L155" s="31"/>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row>
    <row r="156" spans="1:39" x14ac:dyDescent="0.25">
      <c r="A156" s="17"/>
      <c r="B156" s="17"/>
      <c r="C156" s="17"/>
      <c r="D156" s="17"/>
      <c r="E156" s="17"/>
      <c r="F156" s="31"/>
      <c r="G156" s="101"/>
      <c r="H156" s="31"/>
      <c r="I156" s="31"/>
      <c r="J156" s="31"/>
      <c r="K156" s="31"/>
      <c r="L156" s="31"/>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row>
    <row r="157" spans="1:39" x14ac:dyDescent="0.25">
      <c r="A157" s="17"/>
      <c r="B157" s="17"/>
      <c r="C157" s="17"/>
      <c r="D157" s="17"/>
      <c r="E157" s="17"/>
      <c r="F157" s="31"/>
      <c r="G157" s="101"/>
      <c r="H157" s="31"/>
      <c r="I157" s="31"/>
      <c r="J157" s="31"/>
      <c r="K157" s="31"/>
      <c r="L157" s="31"/>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row>
    <row r="158" spans="1:39" x14ac:dyDescent="0.25">
      <c r="A158" s="17"/>
      <c r="B158" s="17"/>
      <c r="C158" s="17"/>
      <c r="D158" s="17"/>
      <c r="E158" s="17"/>
      <c r="F158" s="31"/>
      <c r="G158" s="101"/>
      <c r="H158" s="31"/>
      <c r="I158" s="31"/>
      <c r="J158" s="31"/>
      <c r="K158" s="31"/>
      <c r="L158" s="31"/>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row>
    <row r="159" spans="1:39" x14ac:dyDescent="0.25">
      <c r="A159" s="17"/>
      <c r="B159" s="17"/>
      <c r="C159" s="17"/>
      <c r="D159" s="17"/>
      <c r="E159" s="17"/>
      <c r="F159" s="17"/>
      <c r="G159" s="18"/>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row>
    <row r="160" spans="1:39" x14ac:dyDescent="0.25">
      <c r="A160" s="17"/>
      <c r="B160" s="17"/>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row>
    <row r="161" spans="1:39" x14ac:dyDescent="0.25">
      <c r="A161" s="17"/>
      <c r="B161" s="17"/>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row>
    <row r="162" spans="1:39" x14ac:dyDescent="0.25">
      <c r="A162" s="17"/>
      <c r="B162" s="17"/>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row>
    <row r="163" spans="1:39" x14ac:dyDescent="0.25">
      <c r="A163" s="17"/>
      <c r="B163" s="17"/>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row>
    <row r="164" spans="1:39"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8"/>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8"/>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8"/>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row>
    <row r="170" spans="1:39" ht="14" x14ac:dyDescent="0.3">
      <c r="A170" s="17"/>
      <c r="B170" s="38"/>
      <c r="C170" s="17"/>
      <c r="D170" s="17"/>
      <c r="E170" s="17"/>
      <c r="F170" s="17"/>
      <c r="G170" s="18"/>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row>
    <row r="171" spans="1:39" x14ac:dyDescent="0.25">
      <c r="A171" s="17"/>
      <c r="B171" s="17"/>
      <c r="C171" s="17"/>
      <c r="D171" s="17"/>
      <c r="E171" s="17"/>
      <c r="F171" s="17"/>
      <c r="G171" s="18"/>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row>
    <row r="172" spans="1:39" x14ac:dyDescent="0.25">
      <c r="A172" s="17"/>
      <c r="B172" s="17"/>
      <c r="C172" s="17"/>
      <c r="D172" s="17"/>
      <c r="E172" s="17"/>
      <c r="F172" s="17"/>
      <c r="G172" s="18"/>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row>
    <row r="173" spans="1:39" x14ac:dyDescent="0.25">
      <c r="A173" s="17"/>
      <c r="B173" s="17"/>
      <c r="C173" s="17"/>
      <c r="D173" s="17"/>
      <c r="E173" s="17"/>
      <c r="F173" s="17"/>
      <c r="G173" s="18"/>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row>
    <row r="174" spans="1:39" x14ac:dyDescent="0.25">
      <c r="A174" s="17"/>
      <c r="B174" s="17"/>
      <c r="C174" s="17"/>
      <c r="D174" s="17"/>
      <c r="E174" s="17"/>
      <c r="F174" s="17"/>
      <c r="G174" s="18"/>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row>
    <row r="175" spans="1:39" x14ac:dyDescent="0.25">
      <c r="A175" s="17"/>
      <c r="B175" s="17"/>
      <c r="D175" s="17"/>
      <c r="E175" s="17"/>
      <c r="F175" s="17"/>
      <c r="G175" s="18"/>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row>
    <row r="176" spans="1:39" x14ac:dyDescent="0.25">
      <c r="A176" s="17"/>
      <c r="B176" s="17"/>
      <c r="C176" s="17"/>
      <c r="D176" s="17"/>
      <c r="E176" s="17"/>
      <c r="F176" s="17"/>
      <c r="G176" s="18"/>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row>
    <row r="177" spans="1:39" x14ac:dyDescent="0.25">
      <c r="A177" s="17"/>
      <c r="B177" s="17"/>
      <c r="C177" s="17"/>
      <c r="D177" s="17"/>
      <c r="E177" s="17"/>
      <c r="F177" s="17"/>
      <c r="G177" s="18"/>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row>
    <row r="178" spans="1:39" x14ac:dyDescent="0.25">
      <c r="A178" s="17"/>
      <c r="B178" s="17"/>
      <c r="C178" s="17"/>
      <c r="D178" s="17"/>
      <c r="E178" s="17"/>
      <c r="F178" s="17"/>
      <c r="G178" s="18"/>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row>
    <row r="179" spans="1:39" x14ac:dyDescent="0.25">
      <c r="A179" s="17"/>
      <c r="B179" s="17"/>
      <c r="C179" s="17"/>
      <c r="D179" s="17"/>
      <c r="E179" s="17"/>
      <c r="F179" s="17"/>
      <c r="G179" s="18"/>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row>
    <row r="180" spans="1:39" x14ac:dyDescent="0.25">
      <c r="A180" s="17"/>
      <c r="B180" s="17"/>
      <c r="C180" s="17"/>
      <c r="D180" s="17"/>
      <c r="E180" s="17"/>
      <c r="F180" s="17"/>
      <c r="G180" s="18"/>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row>
    <row r="181" spans="1:39" x14ac:dyDescent="0.25">
      <c r="A181" s="17"/>
      <c r="B181" s="17"/>
      <c r="C181" s="17"/>
      <c r="D181" s="17"/>
      <c r="E181" s="17"/>
      <c r="F181" s="17"/>
      <c r="G181" s="18"/>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row>
    <row r="182" spans="1:39" x14ac:dyDescent="0.25">
      <c r="A182" s="17"/>
      <c r="B182" s="17"/>
      <c r="C182" s="17"/>
      <c r="D182" s="17"/>
      <c r="E182" s="17"/>
      <c r="F182" s="17"/>
      <c r="G182" s="18"/>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row>
    <row r="183" spans="1:39" x14ac:dyDescent="0.25">
      <c r="A183" s="17"/>
      <c r="B183" s="17"/>
      <c r="C183" s="17"/>
      <c r="D183" s="17"/>
      <c r="E183" s="17"/>
      <c r="F183" s="17"/>
      <c r="G183" s="18"/>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row>
    <row r="184" spans="1:39" x14ac:dyDescent="0.25">
      <c r="A184" s="17"/>
      <c r="B184" s="17"/>
      <c r="C184" s="17"/>
      <c r="D184" s="17"/>
      <c r="E184" s="17"/>
      <c r="F184" s="17"/>
      <c r="G184" s="18"/>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row>
    <row r="185" spans="1:39" x14ac:dyDescent="0.25">
      <c r="A185" s="17"/>
      <c r="B185" s="17"/>
      <c r="C185" s="17"/>
      <c r="D185" s="17"/>
      <c r="E185" s="17"/>
      <c r="F185" s="17"/>
      <c r="G185" s="18"/>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row>
    <row r="186" spans="1:39" x14ac:dyDescent="0.25">
      <c r="A186" s="17"/>
      <c r="B186" s="17"/>
      <c r="C186" s="17"/>
      <c r="D186" s="17"/>
      <c r="E186" s="17"/>
      <c r="F186" s="17"/>
      <c r="G186" s="18"/>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row>
    <row r="187" spans="1:39" x14ac:dyDescent="0.25">
      <c r="A187" s="17"/>
      <c r="B187" s="17"/>
      <c r="C187" s="17"/>
      <c r="D187" s="17"/>
      <c r="E187" s="17"/>
      <c r="F187" s="17"/>
      <c r="G187" s="18"/>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row>
    <row r="188" spans="1:39" x14ac:dyDescent="0.25">
      <c r="A188" s="17"/>
      <c r="B188" s="17"/>
      <c r="C188" s="17"/>
      <c r="D188" s="17"/>
      <c r="E188" s="17"/>
      <c r="F188" s="17"/>
      <c r="G188" s="18"/>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row>
    <row r="189" spans="1:39" x14ac:dyDescent="0.25">
      <c r="A189" s="17"/>
      <c r="B189" s="17"/>
      <c r="C189" s="17"/>
      <c r="D189" s="17"/>
      <c r="E189" s="17"/>
      <c r="F189" s="17"/>
      <c r="G189" s="18"/>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row>
    <row r="190" spans="1:39" x14ac:dyDescent="0.25">
      <c r="A190" s="17"/>
      <c r="B190" s="17"/>
      <c r="C190" s="17"/>
      <c r="D190" s="17"/>
      <c r="E190" s="17"/>
      <c r="F190" s="17"/>
      <c r="G190" s="18"/>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row>
    <row r="191" spans="1:39" x14ac:dyDescent="0.25">
      <c r="A191" s="17"/>
      <c r="B191" s="17"/>
      <c r="C191" s="17"/>
      <c r="D191" s="17"/>
      <c r="E191" s="17"/>
      <c r="F191" s="17"/>
      <c r="G191" s="18"/>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row>
    <row r="192" spans="1:39" x14ac:dyDescent="0.25">
      <c r="A192" s="17"/>
      <c r="B192" s="17"/>
      <c r="C192" s="17"/>
      <c r="D192" s="17"/>
      <c r="E192" s="17"/>
      <c r="F192" s="17"/>
      <c r="G192" s="18"/>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row>
    <row r="193" spans="1:39" x14ac:dyDescent="0.25">
      <c r="A193" s="17"/>
      <c r="B193" s="17"/>
      <c r="C193" s="17"/>
      <c r="D193" s="17"/>
      <c r="E193" s="17"/>
      <c r="F193" s="17"/>
      <c r="G193" s="18"/>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row>
    <row r="194" spans="1:39" x14ac:dyDescent="0.25">
      <c r="A194" s="17"/>
      <c r="B194" s="17"/>
      <c r="C194" s="17"/>
      <c r="D194" s="17"/>
      <c r="E194" s="17"/>
      <c r="F194" s="17"/>
      <c r="G194" s="18"/>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row>
    <row r="195" spans="1:39" x14ac:dyDescent="0.25">
      <c r="A195" s="17"/>
      <c r="B195" s="17"/>
      <c r="C195" s="17"/>
      <c r="D195" s="17"/>
      <c r="E195" s="17"/>
      <c r="F195" s="17"/>
      <c r="G195" s="18"/>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row>
    <row r="196" spans="1:39" x14ac:dyDescent="0.25">
      <c r="A196" s="17"/>
      <c r="B196" s="17"/>
      <c r="C196" s="17"/>
      <c r="D196" s="17"/>
      <c r="E196" s="17"/>
      <c r="F196" s="17"/>
      <c r="G196" s="18"/>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row>
    <row r="197" spans="1:39" x14ac:dyDescent="0.25">
      <c r="A197" s="17"/>
      <c r="B197" s="17"/>
      <c r="C197" s="17"/>
      <c r="D197" s="17"/>
      <c r="E197" s="17"/>
      <c r="F197" s="17"/>
      <c r="G197" s="18"/>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row>
    <row r="198" spans="1:39" x14ac:dyDescent="0.25">
      <c r="A198" s="17"/>
      <c r="B198" s="17"/>
      <c r="C198" s="17"/>
      <c r="D198" s="17"/>
      <c r="E198" s="17"/>
      <c r="F198" s="17"/>
      <c r="G198" s="18"/>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row>
    <row r="199" spans="1:39" x14ac:dyDescent="0.25">
      <c r="A199" s="17"/>
      <c r="B199" s="17"/>
      <c r="C199" s="17"/>
      <c r="D199" s="17"/>
      <c r="E199" s="17"/>
      <c r="F199" s="17"/>
      <c r="G199" s="18"/>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row>
    <row r="200" spans="1:39" x14ac:dyDescent="0.25">
      <c r="A200" s="17"/>
      <c r="B200" s="17"/>
      <c r="C200" s="17"/>
      <c r="D200" s="17"/>
      <c r="E200" s="17"/>
      <c r="F200" s="17"/>
      <c r="G200" s="18"/>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row>
    <row r="201" spans="1:39" x14ac:dyDescent="0.25">
      <c r="A201" s="17"/>
      <c r="B201" s="17"/>
      <c r="C201" s="17"/>
      <c r="D201" s="17"/>
      <c r="E201" s="17"/>
      <c r="F201" s="17"/>
      <c r="G201" s="18"/>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row>
    <row r="202" spans="1:39" x14ac:dyDescent="0.25">
      <c r="A202" s="17"/>
      <c r="B202" s="17"/>
      <c r="C202" s="17"/>
      <c r="D202" s="17"/>
      <c r="E202" s="17"/>
      <c r="F202" s="17"/>
      <c r="G202" s="18"/>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row>
    <row r="203" spans="1:39" x14ac:dyDescent="0.25">
      <c r="A203" s="17"/>
      <c r="B203" s="17"/>
      <c r="C203" s="17"/>
      <c r="D203" s="17"/>
      <c r="E203" s="17"/>
      <c r="F203" s="17"/>
      <c r="G203" s="18"/>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row>
    <row r="204" spans="1:39" x14ac:dyDescent="0.25">
      <c r="A204" s="17"/>
      <c r="B204" s="17"/>
      <c r="C204" s="17"/>
      <c r="D204" s="17"/>
      <c r="E204" s="17"/>
      <c r="F204" s="17"/>
      <c r="G204" s="18"/>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row>
    <row r="205" spans="1:39" x14ac:dyDescent="0.25">
      <c r="A205" s="17"/>
      <c r="B205" s="17"/>
      <c r="C205" s="17"/>
      <c r="D205" s="17"/>
      <c r="E205" s="17"/>
      <c r="F205" s="17"/>
      <c r="G205" s="18"/>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row>
    <row r="206" spans="1:39" x14ac:dyDescent="0.25">
      <c r="A206" s="17"/>
      <c r="B206" s="17"/>
      <c r="C206" s="17"/>
      <c r="D206" s="17"/>
      <c r="E206" s="17"/>
      <c r="F206" s="17"/>
      <c r="G206" s="18"/>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row>
    <row r="207" spans="1:39" x14ac:dyDescent="0.25">
      <c r="A207" s="17"/>
      <c r="B207" s="17"/>
      <c r="C207" s="17"/>
      <c r="D207" s="17"/>
      <c r="E207" s="17"/>
      <c r="F207" s="17"/>
      <c r="G207" s="18"/>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row>
    <row r="208" spans="1:39" x14ac:dyDescent="0.25">
      <c r="A208" s="17"/>
      <c r="B208" s="17"/>
      <c r="C208" s="17"/>
      <c r="D208" s="17"/>
      <c r="E208" s="17"/>
      <c r="F208" s="17"/>
      <c r="G208" s="18"/>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row>
    <row r="209" spans="1:39" x14ac:dyDescent="0.25">
      <c r="A209" s="17"/>
      <c r="B209" s="17"/>
      <c r="C209" s="17"/>
      <c r="D209" s="17"/>
      <c r="E209" s="17"/>
      <c r="F209" s="17"/>
      <c r="G209" s="18"/>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row>
    <row r="210" spans="1:39" x14ac:dyDescent="0.25">
      <c r="A210" s="17"/>
      <c r="B210" s="17"/>
      <c r="C210" s="17"/>
      <c r="D210" s="17"/>
      <c r="E210" s="17"/>
      <c r="F210" s="17"/>
      <c r="G210" s="18"/>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row>
    <row r="211" spans="1:39" x14ac:dyDescent="0.25">
      <c r="A211" s="17"/>
      <c r="B211" s="17"/>
      <c r="C211" s="17"/>
      <c r="D211" s="17"/>
      <c r="E211" s="17"/>
      <c r="F211" s="17"/>
      <c r="G211" s="18"/>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row>
    <row r="212" spans="1:39" x14ac:dyDescent="0.25">
      <c r="A212" s="17"/>
      <c r="B212" s="17"/>
      <c r="C212" s="17"/>
      <c r="D212" s="17"/>
      <c r="E212" s="17"/>
      <c r="F212" s="17"/>
      <c r="G212" s="18"/>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row>
    <row r="213" spans="1:39" x14ac:dyDescent="0.25">
      <c r="A213" s="17"/>
      <c r="B213" s="17"/>
      <c r="C213" s="17"/>
      <c r="D213" s="17"/>
      <c r="E213" s="17"/>
      <c r="F213" s="17"/>
      <c r="G213" s="18"/>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row>
    <row r="214" spans="1:39" x14ac:dyDescent="0.25">
      <c r="A214" s="17"/>
      <c r="B214" s="17"/>
      <c r="C214" s="17"/>
      <c r="D214" s="17"/>
      <c r="E214" s="17"/>
      <c r="F214" s="17"/>
      <c r="G214" s="18"/>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row>
  </sheetData>
  <sheetProtection selectLockedCells="1"/>
  <mergeCells count="18">
    <mergeCell ref="AS59:AS65"/>
    <mergeCell ref="B61:B67"/>
    <mergeCell ref="C113:G115"/>
    <mergeCell ref="L2:M2"/>
    <mergeCell ref="A1:M1"/>
    <mergeCell ref="D11:E12"/>
    <mergeCell ref="B84:C88"/>
    <mergeCell ref="B16:B19"/>
    <mergeCell ref="D14:G15"/>
    <mergeCell ref="D22:F22"/>
    <mergeCell ref="D24:F25"/>
    <mergeCell ref="D16:I16"/>
    <mergeCell ref="D17:I17"/>
    <mergeCell ref="D18:I18"/>
    <mergeCell ref="D19:I19"/>
    <mergeCell ref="D23:F23"/>
    <mergeCell ref="B33:B34"/>
    <mergeCell ref="I66:M67"/>
  </mergeCells>
  <phoneticPr fontId="4" type="noConversion"/>
  <conditionalFormatting sqref="B61:B67">
    <cfRule type="expression" dxfId="36" priority="1">
      <formula>$G$23="No"</formula>
    </cfRule>
    <cfRule type="expression" dxfId="35" priority="2">
      <formula>$G$22="No"</formula>
    </cfRule>
  </conditionalFormatting>
  <conditionalFormatting sqref="B27:AO60 C61:AO65 C66:I66 N66:AO67 C67:H67 B68:AO142">
    <cfRule type="expression" dxfId="34" priority="5">
      <formula>$G$23="No"</formula>
    </cfRule>
    <cfRule type="expression" dxfId="33" priority="6">
      <formula>$G$22="No"</formula>
    </cfRule>
  </conditionalFormatting>
  <conditionalFormatting sqref="D109:F112">
    <cfRule type="cellIs" dxfId="32" priority="74" stopIfTrue="1" operator="notBetween">
      <formula>10</formula>
      <formula>80</formula>
    </cfRule>
  </conditionalFormatting>
  <conditionalFormatting sqref="E98">
    <cfRule type="expression" dxfId="31" priority="68" stopIfTrue="1">
      <formula>F94="Option A"</formula>
    </cfRule>
  </conditionalFormatting>
  <conditionalFormatting sqref="E102">
    <cfRule type="expression" dxfId="30" priority="71" stopIfTrue="1">
      <formula>F94="Option A"</formula>
    </cfRule>
  </conditionalFormatting>
  <conditionalFormatting sqref="E106">
    <cfRule type="expression" dxfId="29" priority="59">
      <formula>F94="Option A"</formula>
    </cfRule>
  </conditionalFormatting>
  <conditionalFormatting sqref="E71:F71">
    <cfRule type="expression" dxfId="28" priority="76">
      <formula>#REF!="Yes"</formula>
    </cfRule>
  </conditionalFormatting>
  <conditionalFormatting sqref="E40:G44">
    <cfRule type="expression" dxfId="27" priority="11" stopIfTrue="1">
      <formula>IF($F$38="No", "TRUE", "FALSE")</formula>
    </cfRule>
  </conditionalFormatting>
  <conditionalFormatting sqref="E72:G78">
    <cfRule type="expression" dxfId="26" priority="22" stopIfTrue="1">
      <formula>$F$71="Yes"</formula>
    </cfRule>
  </conditionalFormatting>
  <conditionalFormatting sqref="E79:G79 D80:G91 B84">
    <cfRule type="expression" dxfId="25" priority="8" stopIfTrue="1">
      <formula>$F$71="NO"</formula>
    </cfRule>
  </conditionalFormatting>
  <conditionalFormatting sqref="F39">
    <cfRule type="cellIs" dxfId="24" priority="72" stopIfTrue="1" operator="greaterThan">
      <formula>200</formula>
    </cfRule>
  </conditionalFormatting>
  <conditionalFormatting sqref="F40:F41">
    <cfRule type="cellIs" dxfId="23" priority="39" operator="equal">
      <formula>"""NA"""</formula>
    </cfRule>
    <cfRule type="cellIs" dxfId="22" priority="33" operator="equal">
      <formula>"NA"</formula>
    </cfRule>
  </conditionalFormatting>
  <conditionalFormatting sqref="F45:F47">
    <cfRule type="cellIs" dxfId="21" priority="10" operator="lessThan">
      <formula>$F$30</formula>
    </cfRule>
  </conditionalFormatting>
  <conditionalFormatting sqref="F62">
    <cfRule type="colorScale" priority="36">
      <colorScale>
        <cfvo type="min"/>
        <cfvo type="formula" val="$AN$55*0.8"/>
        <cfvo type="num" val="$AN$55"/>
        <color theme="0"/>
        <color rgb="FFFFC000"/>
        <color rgb="FFFF0000"/>
      </colorScale>
    </cfRule>
  </conditionalFormatting>
  <conditionalFormatting sqref="F64">
    <cfRule type="cellIs" dxfId="20" priority="7" operator="lessThan">
      <formula>$F$63</formula>
    </cfRule>
  </conditionalFormatting>
  <conditionalFormatting sqref="F67">
    <cfRule type="cellIs" dxfId="19" priority="15" operator="lessThan">
      <formula>$F$63</formula>
    </cfRule>
  </conditionalFormatting>
  <conditionalFormatting sqref="F73">
    <cfRule type="cellIs" dxfId="18" priority="78" operator="lessThan">
      <formula>0.25</formula>
    </cfRule>
  </conditionalFormatting>
  <conditionalFormatting sqref="F76">
    <cfRule type="cellIs" dxfId="17" priority="29" operator="lessThan">
      <formula>$F$75</formula>
    </cfRule>
  </conditionalFormatting>
  <conditionalFormatting sqref="F78">
    <cfRule type="cellIs" dxfId="16" priority="26" operator="lessThan">
      <formula>1.1</formula>
    </cfRule>
    <cfRule type="cellIs" dxfId="15" priority="27" operator="between">
      <formula>1.1</formula>
      <formula>1.3</formula>
    </cfRule>
  </conditionalFormatting>
  <conditionalFormatting sqref="F79">
    <cfRule type="expression" dxfId="14" priority="14">
      <formula>#REF!="Yes"</formula>
    </cfRule>
  </conditionalFormatting>
  <conditionalFormatting sqref="F80:F81">
    <cfRule type="containsText" dxfId="13" priority="9" operator="containsText" text="NA">
      <formula>NOT(ISERROR(SEARCH("NA",F80)))</formula>
    </cfRule>
  </conditionalFormatting>
  <conditionalFormatting sqref="F82 F85">
    <cfRule type="cellIs" dxfId="12" priority="17" operator="greaterThanOrEqual">
      <formula>$F$80</formula>
    </cfRule>
  </conditionalFormatting>
  <conditionalFormatting sqref="F86 F91">
    <cfRule type="cellIs" dxfId="11" priority="19" operator="lessThan">
      <formula>1.1</formula>
    </cfRule>
  </conditionalFormatting>
  <conditionalFormatting sqref="F86">
    <cfRule type="cellIs" dxfId="10" priority="18" operator="between">
      <formula>1.1</formula>
      <formula>1.499999</formula>
    </cfRule>
  </conditionalFormatting>
  <conditionalFormatting sqref="F91">
    <cfRule type="cellIs" dxfId="9" priority="16" operator="between">
      <formula>1.1</formula>
      <formula>1.299999</formula>
    </cfRule>
  </conditionalFormatting>
  <conditionalFormatting sqref="F96">
    <cfRule type="cellIs" dxfId="8" priority="65" stopIfTrue="1" operator="greaterThanOrEqual">
      <formula>F95</formula>
    </cfRule>
  </conditionalFormatting>
  <conditionalFormatting sqref="F102">
    <cfRule type="expression" dxfId="7" priority="69" stopIfTrue="1">
      <formula>F94="Option A"</formula>
    </cfRule>
  </conditionalFormatting>
  <conditionalFormatting sqref="G54:G60">
    <cfRule type="expression" dxfId="6" priority="12" stopIfTrue="1">
      <formula>IF($F$51="Custom", "FALSE", "TRUE")</formula>
    </cfRule>
  </conditionalFormatting>
  <conditionalFormatting sqref="G82 G84:G89">
    <cfRule type="expression" dxfId="5" priority="24">
      <formula>#REF!="Yes"</formula>
    </cfRule>
  </conditionalFormatting>
  <conditionalFormatting sqref="G98">
    <cfRule type="expression" dxfId="4" priority="67" stopIfTrue="1">
      <formula>F94="Option A"</formula>
    </cfRule>
  </conditionalFormatting>
  <conditionalFormatting sqref="G102">
    <cfRule type="expression" dxfId="3" priority="62">
      <formula>F94="Option A"</formula>
    </cfRule>
  </conditionalFormatting>
  <conditionalFormatting sqref="G106">
    <cfRule type="expression" dxfId="2" priority="61">
      <formula>F94="Option A"</formula>
    </cfRule>
  </conditionalFormatting>
  <conditionalFormatting sqref="AS59:AS65">
    <cfRule type="expression" dxfId="1" priority="4">
      <formula>$G$22="No"</formula>
    </cfRule>
    <cfRule type="expression" dxfId="0" priority="3">
      <formula>$G$23="No"</formula>
    </cfRule>
  </conditionalFormatting>
  <dataValidations xWindow="820" yWindow="376" count="18">
    <dataValidation type="decimal" allowBlank="1" showInputMessage="1" showErrorMessage="1" errorTitle="Lower UVLO Violation" error="The lower UVLO threshold MUST be at least 2.65V, and  less than the upper UVLO threshold. They cannot be equal." sqref="F96" xr:uid="{00000000-0002-0000-0100-000000000000}">
      <formula1>2.65</formula1>
      <formula2>F95</formula2>
    </dataValidation>
    <dataValidation type="decimal" allowBlank="1" showInputMessage="1" showErrorMessage="1" errorTitle="Upper OVLO Threshold Violation" error="The Upper OVLO Threshold must be greater than the upper UVLO threshold, and less than 80V." sqref="F97" xr:uid="{00000000-0002-0000-0100-000001000000}">
      <formula1>F95+0.01</formula1>
      <formula2>80</formula2>
    </dataValidation>
    <dataValidation type="decimal" allowBlank="1" showInputMessage="1" showErrorMessage="1" errorTitle="Lower OVLO Threshold Violation" error="The lower OVLO threshold must be greater than the upper UVLO threshold, and less than the upper OVLO threshold." sqref="F98" xr:uid="{00000000-0002-0000-0100-000002000000}">
      <formula1>F95+0.01</formula1>
      <formula2>F97</formula2>
    </dataValidation>
    <dataValidation type="decimal" allowBlank="1" showInputMessage="1" showErrorMessage="1" errorTitle="UVLO Threshold Violation" error="The upper UVLO threshold must be no less than 10V, and no greater than 80V." sqref="F95" xr:uid="{00000000-0002-0000-0100-000003000000}">
      <formula1>10</formula1>
      <formula2>80</formula2>
    </dataValidation>
    <dataValidation type="decimal" allowBlank="1" showInputMessage="1" showErrorMessage="1" errorTitle="Minimum System Voltage Violation" error="Input voltage should be between 10V and 80V." sqref="F28" xr:uid="{00000000-0002-0000-0100-000004000000}">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1" xr:uid="{00000000-0002-0000-0100-000005000000}">
      <formula1>10</formula1>
    </dataValidation>
    <dataValidation type="decimal" operator="greaterThan" allowBlank="1" showInputMessage="1" showErrorMessage="1" errorTitle="Maximum Load Current Violation" error="Maximum Load Current must be greater than 0." sqref="F30" xr:uid="{00000000-0002-0000-0100-000006000000}">
      <formula1>0</formula1>
    </dataValidation>
    <dataValidation type="list" allowBlank="1" showInputMessage="1" showErrorMessage="1" sqref="F94" xr:uid="{00000000-0002-0000-0100-000007000000}">
      <formula1>$AN$94:$AN$95</formula1>
    </dataValidation>
    <dataValidation type="list" allowBlank="1" showInputMessage="1" showErrorMessage="1" sqref="F50" xr:uid="{00000000-0002-0000-0100-000008000000}">
      <formula1>$AN$49:$AN$50</formula1>
    </dataValidation>
    <dataValidation type="list" allowBlank="1" showInputMessage="1" showErrorMessage="1" sqref="F49" xr:uid="{00000000-0002-0000-0100-000009000000}">
      <formula1>$AN$47:$AN$48</formula1>
    </dataValidation>
    <dataValidation type="whole" allowBlank="1" showInputMessage="1" showErrorMessage="1" sqref="F53" xr:uid="{00000000-0002-0000-0100-00000A000000}">
      <formula1>1</formula1>
      <formula2>6</formula2>
    </dataValidation>
    <dataValidation type="decimal" operator="greaterThan" allowBlank="1" showInputMessage="1" showErrorMessage="1" sqref="F42 F44" xr:uid="{00000000-0002-0000-0100-00000B000000}">
      <formula1>0</formula1>
    </dataValidation>
    <dataValidation type="custom" errorStyle="information" operator="equal" allowBlank="1" showInputMessage="1" showErrorMessage="1" errorTitle="Resistor Divider" error="When using resistor divider Rs should be set larger than Rs,eff. _x000a__x000a_Otherwise switch to &quot;No resistor divider&quot;" sqref="F40" xr:uid="{00000000-0002-0000-0100-00000C000000}">
      <formula1>"""NA"""</formula1>
    </dataValidation>
    <dataValidation type="list" allowBlank="1" showInputMessage="1" showErrorMessage="1" sqref="F71 F79" xr:uid="{00000000-0002-0000-0100-00000D000000}">
      <formula1>$AN$38:$AN$39</formula1>
    </dataValidation>
    <dataValidation type="list" allowBlank="1" showErrorMessage="1" sqref="F38" xr:uid="{00000000-0002-0000-0100-00000E000000}">
      <formula1>$AN$38:$AN$39</formula1>
    </dataValidation>
    <dataValidation type="list" allowBlank="1" showInputMessage="1" showErrorMessage="1" sqref="F69" xr:uid="{00000000-0002-0000-0100-00000F000000}">
      <formula1>$AN$70:$AN$71</formula1>
    </dataValidation>
    <dataValidation type="decimal" allowBlank="1" showInputMessage="1" showErrorMessage="1" error="Must enter a value less than 10" sqref="F43" xr:uid="{00000000-0002-0000-0100-000010000000}">
      <formula1>0</formula1>
      <formula2>10</formula2>
    </dataValidation>
    <dataValidation type="list" allowBlank="1" showInputMessage="1" showErrorMessage="1" sqref="G22:G23" xr:uid="{00000000-0002-0000-0100-000011000000}">
      <formula1>yesno</formula1>
    </dataValidation>
  </dataValidations>
  <hyperlinks>
    <hyperlink ref="B2" r:id="rId1" xr:uid="{00000000-0004-0000-0100-000000000000}"/>
    <hyperlink ref="D24:F25" r:id="rId2" display="*For additional questions not addressed in the videos, please post on E2E.ti.com" xr:uid="{00000000-0004-0000-0100-000001000000}"/>
    <hyperlink ref="D20" r:id="rId3" xr:uid="{00000000-0004-0000-0100-000002000000}"/>
    <hyperlink ref="B33:B34" r:id="rId4" display="Steps 1 &amp; 2: Operating Conditions, Current Limit, &amp; Circuit Breaker" xr:uid="{00000000-0004-0000-0100-000003000000}"/>
    <hyperlink ref="B57" r:id="rId5" xr:uid="{00000000-0004-0000-0100-000004000000}"/>
    <hyperlink ref="B78" r:id="rId6" xr:uid="{00000000-0004-0000-0100-000005000000}"/>
    <hyperlink ref="D19" r:id="rId7" display="Step 5: UVLO, OVLO &amp; PGD Thresholds" xr:uid="{00000000-0004-0000-0100-000006000000}"/>
    <hyperlink ref="D18" r:id="rId8" display="Step 4: Startup" xr:uid="{00000000-0004-0000-0100-000007000000}"/>
    <hyperlink ref="D17" r:id="rId9" display="Step 3: MOSFET Selection" xr:uid="{00000000-0004-0000-0100-000008000000}"/>
    <hyperlink ref="D16:F16" r:id="rId10" display="Steps 1 &amp; 2: Operating Conditions, Current Limit, &amp; Circuit Breaker" xr:uid="{00000000-0004-0000-0100-000009000000}"/>
    <hyperlink ref="D16:I16" r:id="rId11" display="Steps 1 &amp; 2: Operating Conditions, Current Limit, &amp; Circuit Breaker (7:41)" xr:uid="{00000000-0004-0000-0100-00000A000000}"/>
    <hyperlink ref="D17:I17" r:id="rId12" display="Step 3: MOSFET Selection (9:58)" xr:uid="{00000000-0004-0000-0100-00000B000000}"/>
    <hyperlink ref="D18:I18" r:id="rId13" display="Step 4: Startup (10:32)" xr:uid="{00000000-0004-0000-0100-00000C000000}"/>
    <hyperlink ref="D19:I19" r:id="rId14" display="Step 5: UVLO, OVLO &amp; PGD Thresholds (4:20)" xr:uid="{00000000-0004-0000-0100-00000D000000}"/>
    <hyperlink ref="B43:B45" r:id="rId15" display="Steps 1 &amp; 2: Operating Conditions, Current Limit, &amp; Circuit Breaker" xr:uid="{00000000-0004-0000-0100-00000E000000}"/>
    <hyperlink ref="B43" r:id="rId16" xr:uid="{00000000-0004-0000-0100-00000F000000}"/>
    <hyperlink ref="B101" r:id="rId17" xr:uid="{00000000-0004-0000-0100-000010000000}"/>
  </hyperlinks>
  <pageMargins left="0.17" right="0.17" top="0.55000000000000004" bottom="0.92" header="0.48" footer="0.2"/>
  <pageSetup scale="62" fitToHeight="2" orientation="portrait" r:id="rId18"/>
  <headerFooter alignWithMargins="0"/>
  <drawing r:id="rId19"/>
  <legacyDrawing r:id="rId20"/>
  <extLst>
    <ext xmlns:x14="http://schemas.microsoft.com/office/spreadsheetml/2009/9/main" uri="{CCE6A557-97BC-4b89-ADB6-D9C93CAAB3DF}">
      <x14:dataValidations xmlns:xm="http://schemas.microsoft.com/office/excel/2006/main" xWindow="820" yWindow="376" count="6">
        <x14:dataValidation type="decimal" allowBlank="1" showInputMessage="1" showErrorMessage="1" xr:uid="{00000000-0002-0000-0100-000012000000}">
          <x14:formula1>
            <xm:f>0</xm:f>
          </x14:formula1>
          <x14:formula2>
            <xm:f>Equations!F91</xm:f>
          </x14:formula2>
          <xm:sqref>F68</xm:sqref>
        </x14:dataValidation>
        <x14:dataValidation type="decimal" allowBlank="1" showInputMessage="1" showErrorMessage="1" errorTitle="Ambient Temperature Violation" error="The Ambient Temperature must be between -40C and 125C" xr:uid="{00000000-0002-0000-0100-000013000000}">
          <x14:formula1>
            <xm:f>'Device Parameters'!C5</xm:f>
          </x14:formula1>
          <x14:formula2>
            <xm:f>'Device Parameters'!E5</xm:f>
          </x14:formula2>
          <xm:sqref>F35</xm:sqref>
        </x14:dataValidation>
        <x14:dataValidation type="decimal" allowBlank="1" showInputMessage="1" showErrorMessage="1" errorTitle="Ambient Temperature Violation" error="The Ambient Temperature must be between -40C and 125C" xr:uid="{00000000-0002-0000-0100-000014000000}">
          <x14:formula1>
            <xm:f>'Device Parameters'!C4</xm:f>
          </x14:formula1>
          <x14:formula2>
            <xm:f>'Device Parameters'!E4</xm:f>
          </x14:formula2>
          <xm:sqref>F34 F32</xm:sqref>
        </x14:dataValidation>
        <x14:dataValidation type="decimal" operator="lessThanOrEqual" allowBlank="1" showInputMessage="1" showErrorMessage="1" errorTitle="Maximum System Voltage Violation" error="The maximum system voltage must be no greater than 80V." xr:uid="{00000000-0002-0000-0100-000015000000}">
          <x14:formula1>
            <xm:f>'Device Parameters'!E5</xm:f>
          </x14:formula1>
          <xm:sqref>F29</xm:sqref>
        </x14:dataValidation>
        <x14:dataValidation type="decimal" allowBlank="1" showInputMessage="1" showErrorMessage="1" errorTitle="Ambient Temperature Violation" error="The Ambient Temperature must be between -40C and 125C" xr:uid="{00000000-0002-0000-0100-000016000000}">
          <x14:formula1>
            <xm:f>'Device Parameters'!C6</xm:f>
          </x14:formula1>
          <x14:formula2>
            <xm:f>'Device Parameters'!E6</xm:f>
          </x14:formula2>
          <xm:sqref>F33</xm:sqref>
        </x14:dataValidation>
        <x14:dataValidation type="decimal" operator="greaterThanOrEqual" allowBlank="1" showInputMessage="1" showErrorMessage="1" errorTitle="Minimum System Voltage Violation" error="The minimum system voltage must be at least 9V." xr:uid="{00000000-0002-0000-0100-000017000000}">
          <x14:formula1>
            <xm:f>'Device Parameters'!C5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Q52"/>
  <sheetViews>
    <sheetView topLeftCell="A61" workbookViewId="0">
      <selection activeCell="R19" sqref="R19"/>
    </sheetView>
  </sheetViews>
  <sheetFormatPr defaultRowHeight="12.5" x14ac:dyDescent="0.25"/>
  <cols>
    <col min="1" max="1" width="9.36328125" customWidth="1"/>
    <col min="2" max="2" width="24.26953125" customWidth="1"/>
    <col min="3" max="3" width="9.08984375" customWidth="1"/>
    <col min="12" max="12" width="13.6328125" customWidth="1"/>
  </cols>
  <sheetData>
    <row r="2" spans="1:17" x14ac:dyDescent="0.25">
      <c r="A2" s="28"/>
      <c r="C2" s="28" t="s">
        <v>71</v>
      </c>
      <c r="D2" s="28" t="s">
        <v>72</v>
      </c>
      <c r="E2" s="28" t="s">
        <v>73</v>
      </c>
      <c r="F2" s="28" t="s">
        <v>158</v>
      </c>
    </row>
    <row r="3" spans="1:17" ht="13" x14ac:dyDescent="0.3">
      <c r="A3" s="23" t="s">
        <v>155</v>
      </c>
      <c r="C3" s="28"/>
      <c r="D3" s="28"/>
      <c r="E3" s="28"/>
    </row>
    <row r="4" spans="1:17" ht="13" x14ac:dyDescent="0.3">
      <c r="A4" s="23"/>
      <c r="B4" s="28" t="s">
        <v>166</v>
      </c>
      <c r="C4" s="68">
        <v>-40</v>
      </c>
      <c r="D4" s="68"/>
      <c r="E4" s="68">
        <v>125</v>
      </c>
    </row>
    <row r="5" spans="1:17" x14ac:dyDescent="0.25">
      <c r="B5" s="29" t="s">
        <v>156</v>
      </c>
      <c r="C5" s="1">
        <v>9</v>
      </c>
      <c r="D5" s="1"/>
      <c r="E5" s="1">
        <v>80</v>
      </c>
      <c r="F5" s="28" t="s">
        <v>86</v>
      </c>
      <c r="J5" s="2"/>
    </row>
    <row r="6" spans="1:17" ht="16.5" customHeight="1" x14ac:dyDescent="0.3">
      <c r="A6" s="23" t="s">
        <v>132</v>
      </c>
      <c r="B6" s="29"/>
      <c r="C6" s="1"/>
      <c r="D6" s="1"/>
      <c r="E6" s="1"/>
      <c r="J6" s="2"/>
    </row>
    <row r="7" spans="1:17" x14ac:dyDescent="0.25">
      <c r="B7" s="29"/>
      <c r="C7" s="1"/>
      <c r="D7" s="1"/>
      <c r="E7" s="1"/>
      <c r="J7" s="2"/>
    </row>
    <row r="8" spans="1:17" x14ac:dyDescent="0.25">
      <c r="B8" s="29"/>
      <c r="C8" s="1">
        <v>48.5</v>
      </c>
      <c r="D8" s="1">
        <v>55</v>
      </c>
      <c r="E8" s="1">
        <v>61.5</v>
      </c>
      <c r="J8" s="29"/>
    </row>
    <row r="9" spans="1:17" x14ac:dyDescent="0.25">
      <c r="B9" s="29" t="s">
        <v>157</v>
      </c>
      <c r="C9" s="1"/>
      <c r="D9" s="1">
        <v>23</v>
      </c>
      <c r="E9" s="1"/>
      <c r="F9" s="28" t="s">
        <v>159</v>
      </c>
      <c r="J9" s="29"/>
    </row>
    <row r="10" spans="1:17" x14ac:dyDescent="0.25">
      <c r="C10" s="1"/>
      <c r="D10" s="1"/>
      <c r="E10" s="1"/>
    </row>
    <row r="11" spans="1:17" ht="13" x14ac:dyDescent="0.3">
      <c r="A11" s="23" t="s">
        <v>168</v>
      </c>
      <c r="C11" s="1"/>
      <c r="D11" s="1"/>
      <c r="E11" s="1"/>
    </row>
    <row r="12" spans="1:17" x14ac:dyDescent="0.25">
      <c r="B12" s="28" t="s">
        <v>264</v>
      </c>
      <c r="C12" s="1"/>
      <c r="D12" s="1"/>
      <c r="E12" s="1">
        <v>1E-3</v>
      </c>
      <c r="F12" s="28" t="s">
        <v>86</v>
      </c>
    </row>
    <row r="13" spans="1:17" x14ac:dyDescent="0.25">
      <c r="B13" s="28" t="s">
        <v>265</v>
      </c>
      <c r="C13" s="1"/>
      <c r="D13" s="1"/>
      <c r="E13" s="1">
        <v>5.0000000000000001E-3</v>
      </c>
      <c r="F13" s="28" t="s">
        <v>86</v>
      </c>
      <c r="G13" s="28" t="s">
        <v>266</v>
      </c>
    </row>
    <row r="14" spans="1:17" x14ac:dyDescent="0.25">
      <c r="B14" s="28" t="s">
        <v>267</v>
      </c>
      <c r="C14" s="1"/>
      <c r="D14" s="1"/>
      <c r="E14" s="134">
        <v>125000</v>
      </c>
      <c r="F14" s="28"/>
    </row>
    <row r="15" spans="1:17" x14ac:dyDescent="0.25">
      <c r="B15" s="28"/>
      <c r="C15" s="1"/>
      <c r="D15" s="1"/>
      <c r="E15" s="134"/>
      <c r="F15" s="28"/>
    </row>
    <row r="16" spans="1:17" x14ac:dyDescent="0.25">
      <c r="B16" s="28" t="s">
        <v>274</v>
      </c>
      <c r="C16" s="133" t="s">
        <v>268</v>
      </c>
      <c r="D16" s="1"/>
      <c r="E16" s="1"/>
      <c r="F16" s="28"/>
      <c r="I16" s="28" t="s">
        <v>269</v>
      </c>
      <c r="J16" s="28" t="s">
        <v>70</v>
      </c>
      <c r="K16" s="28" t="s">
        <v>270</v>
      </c>
      <c r="L16" s="28" t="s">
        <v>272</v>
      </c>
      <c r="M16" s="28" t="s">
        <v>271</v>
      </c>
      <c r="N16" s="28" t="s">
        <v>273</v>
      </c>
      <c r="P16" s="28" t="s">
        <v>271</v>
      </c>
      <c r="Q16" s="28" t="s">
        <v>270</v>
      </c>
    </row>
    <row r="17" spans="1:17" x14ac:dyDescent="0.25">
      <c r="B17" s="28"/>
      <c r="C17" s="133" t="s">
        <v>471</v>
      </c>
      <c r="D17" s="1"/>
      <c r="E17" s="1"/>
      <c r="F17" s="28"/>
      <c r="J17">
        <v>12</v>
      </c>
      <c r="K17">
        <v>25</v>
      </c>
      <c r="L17">
        <f>0.5</f>
        <v>0.5</v>
      </c>
      <c r="M17" s="136">
        <f>1/(0.001*L17)*(K17*1000/$E$14+J17*$E$12)</f>
        <v>424.00000000000006</v>
      </c>
      <c r="N17" s="135">
        <f>K17*1000/$E$14/J17+$E$12</f>
        <v>1.7666666666666667E-2</v>
      </c>
      <c r="P17">
        <v>82</v>
      </c>
      <c r="Q17">
        <f>E14*(P17*L17*0.001-J17*E12)</f>
        <v>3625</v>
      </c>
    </row>
    <row r="18" spans="1:17" x14ac:dyDescent="0.25">
      <c r="B18" s="28"/>
      <c r="C18" s="133" t="s">
        <v>470</v>
      </c>
      <c r="D18" s="1"/>
      <c r="E18" s="1"/>
      <c r="F18" s="28"/>
      <c r="J18">
        <v>12</v>
      </c>
      <c r="K18">
        <v>5</v>
      </c>
      <c r="L18">
        <f>0.5</f>
        <v>0.5</v>
      </c>
      <c r="M18" s="136">
        <f>1/(0.001*L18)*(K18*1000/$E$14+J18*$E$12)</f>
        <v>104.00000000000001</v>
      </c>
      <c r="N18" s="135">
        <f>K18*1000/$E$14/J18+$E$12*0.001</f>
        <v>3.3343333333333337E-3</v>
      </c>
    </row>
    <row r="19" spans="1:17" x14ac:dyDescent="0.25">
      <c r="B19" s="28" t="s">
        <v>275</v>
      </c>
      <c r="E19" s="1"/>
      <c r="F19" s="28"/>
      <c r="I19" s="28" t="s">
        <v>277</v>
      </c>
      <c r="M19" s="136"/>
      <c r="N19" s="135"/>
    </row>
    <row r="20" spans="1:17" x14ac:dyDescent="0.25">
      <c r="C20" s="1"/>
      <c r="D20" s="1"/>
      <c r="E20" s="1"/>
    </row>
    <row r="21" spans="1:17" ht="13" x14ac:dyDescent="0.3">
      <c r="A21" s="23" t="s">
        <v>161</v>
      </c>
      <c r="C21" s="1"/>
      <c r="D21" s="1"/>
      <c r="E21" s="1"/>
    </row>
    <row r="22" spans="1:17" x14ac:dyDescent="0.25">
      <c r="B22" s="29" t="s">
        <v>162</v>
      </c>
      <c r="C22" s="1">
        <v>3.76</v>
      </c>
      <c r="D22" s="1">
        <v>4</v>
      </c>
      <c r="E22" s="1">
        <v>4.16</v>
      </c>
      <c r="F22" s="28" t="s">
        <v>86</v>
      </c>
    </row>
    <row r="23" spans="1:17" x14ac:dyDescent="0.25">
      <c r="B23" s="29" t="s">
        <v>163</v>
      </c>
      <c r="C23" s="1">
        <v>-8</v>
      </c>
      <c r="D23" s="1">
        <v>-5.5</v>
      </c>
      <c r="E23" s="1">
        <v>-3</v>
      </c>
      <c r="F23" s="28" t="s">
        <v>159</v>
      </c>
    </row>
    <row r="24" spans="1:17" x14ac:dyDescent="0.25">
      <c r="B24" s="29" t="s">
        <v>363</v>
      </c>
      <c r="C24" s="1"/>
      <c r="D24" s="1"/>
      <c r="E24" s="1"/>
      <c r="F24" s="28"/>
    </row>
    <row r="25" spans="1:17" x14ac:dyDescent="0.25">
      <c r="B25" s="29" t="s">
        <v>164</v>
      </c>
      <c r="C25" s="1">
        <v>120</v>
      </c>
      <c r="D25" s="1">
        <v>85</v>
      </c>
      <c r="E25" s="1">
        <v>51</v>
      </c>
      <c r="F25" s="28" t="s">
        <v>159</v>
      </c>
    </row>
    <row r="26" spans="1:17" x14ac:dyDescent="0.25">
      <c r="B26" s="29" t="s">
        <v>300</v>
      </c>
      <c r="C26" s="1"/>
      <c r="D26" s="1">
        <f>SQRT(0.66^2+ ((120-90)/90)^2+ 0.1^2)</f>
        <v>0.74613076006227697</v>
      </c>
      <c r="E26" s="1"/>
      <c r="F26" s="28"/>
      <c r="G26" s="28" t="s">
        <v>299</v>
      </c>
    </row>
    <row r="27" spans="1:17" x14ac:dyDescent="0.25">
      <c r="B27" s="29" t="s">
        <v>297</v>
      </c>
      <c r="C27" s="1"/>
      <c r="D27" s="1">
        <v>0.5</v>
      </c>
      <c r="E27" s="1"/>
      <c r="F27" s="28"/>
      <c r="G27" s="28" t="s">
        <v>298</v>
      </c>
    </row>
    <row r="28" spans="1:17" x14ac:dyDescent="0.25">
      <c r="B28" s="2"/>
      <c r="C28" s="1"/>
      <c r="D28" s="1"/>
      <c r="E28" s="1"/>
    </row>
    <row r="29" spans="1:17" ht="13" x14ac:dyDescent="0.3">
      <c r="A29" s="23" t="s">
        <v>196</v>
      </c>
      <c r="B29" s="2"/>
      <c r="C29" s="1"/>
      <c r="D29" s="1"/>
      <c r="E29" s="1"/>
    </row>
    <row r="30" spans="1:17" x14ac:dyDescent="0.25">
      <c r="B30" s="29" t="s">
        <v>200</v>
      </c>
      <c r="C30" s="1">
        <v>10</v>
      </c>
      <c r="D30" s="1">
        <v>16</v>
      </c>
      <c r="E30" s="1">
        <v>22</v>
      </c>
    </row>
    <row r="31" spans="1:17" x14ac:dyDescent="0.25">
      <c r="B31" s="2"/>
      <c r="C31" s="1"/>
      <c r="D31" s="1"/>
      <c r="E31" s="1"/>
    </row>
    <row r="32" spans="1:17" ht="13" x14ac:dyDescent="0.3">
      <c r="A32" s="23" t="s">
        <v>160</v>
      </c>
      <c r="B32" s="2"/>
      <c r="C32" s="287"/>
      <c r="D32" s="287"/>
      <c r="E32" s="287"/>
      <c r="F32" s="287"/>
      <c r="G32" s="287"/>
      <c r="H32" s="287"/>
    </row>
    <row r="33" spans="1:8" x14ac:dyDescent="0.25">
      <c r="B33" s="29"/>
      <c r="C33" s="1"/>
      <c r="D33" s="1"/>
      <c r="E33" s="1"/>
      <c r="F33" s="1"/>
      <c r="G33" s="1"/>
      <c r="H33" s="1"/>
    </row>
    <row r="34" spans="1:8" x14ac:dyDescent="0.25">
      <c r="B34" s="29"/>
      <c r="C34" s="1"/>
      <c r="D34" s="1"/>
      <c r="E34" s="1"/>
      <c r="F34" s="1"/>
      <c r="G34" s="1"/>
      <c r="H34" s="1"/>
    </row>
    <row r="35" spans="1:8" x14ac:dyDescent="0.25">
      <c r="B35" s="29"/>
      <c r="C35" s="1"/>
      <c r="D35" s="1"/>
      <c r="E35" s="1"/>
      <c r="F35" s="1"/>
      <c r="G35" s="1"/>
      <c r="H35" s="1"/>
    </row>
    <row r="36" spans="1:8" x14ac:dyDescent="0.25">
      <c r="B36" s="29"/>
      <c r="C36" s="1"/>
      <c r="D36" s="1"/>
      <c r="E36" s="1"/>
      <c r="F36" s="1"/>
      <c r="G36" s="1"/>
      <c r="H36" s="1"/>
    </row>
    <row r="37" spans="1:8" x14ac:dyDescent="0.25">
      <c r="B37" s="2"/>
      <c r="C37" s="1"/>
      <c r="D37" s="1"/>
      <c r="E37" s="1"/>
    </row>
    <row r="38" spans="1:8" ht="13" x14ac:dyDescent="0.3">
      <c r="A38" s="23" t="s">
        <v>232</v>
      </c>
      <c r="B38" s="2"/>
    </row>
    <row r="39" spans="1:8" x14ac:dyDescent="0.25">
      <c r="B39" s="29" t="s">
        <v>162</v>
      </c>
      <c r="C39">
        <v>3.76</v>
      </c>
      <c r="D39">
        <v>4</v>
      </c>
      <c r="E39">
        <v>4.16</v>
      </c>
    </row>
    <row r="40" spans="1:8" x14ac:dyDescent="0.25">
      <c r="B40" s="29" t="s">
        <v>233</v>
      </c>
      <c r="C40">
        <v>1.1870000000000001</v>
      </c>
      <c r="D40">
        <v>1.25</v>
      </c>
      <c r="E40">
        <v>1.3129999999999999</v>
      </c>
    </row>
    <row r="41" spans="1:8" x14ac:dyDescent="0.25">
      <c r="B41" s="29" t="s">
        <v>234</v>
      </c>
      <c r="D41">
        <v>0.3</v>
      </c>
    </row>
    <row r="42" spans="1:8" x14ac:dyDescent="0.25">
      <c r="B42" s="29" t="s">
        <v>235</v>
      </c>
      <c r="D42">
        <v>0.3</v>
      </c>
    </row>
    <row r="43" spans="1:8" x14ac:dyDescent="0.25">
      <c r="B43" s="29" t="s">
        <v>236</v>
      </c>
      <c r="C43">
        <v>3</v>
      </c>
      <c r="D43">
        <v>5.5</v>
      </c>
      <c r="E43">
        <v>8</v>
      </c>
    </row>
    <row r="44" spans="1:8" x14ac:dyDescent="0.25">
      <c r="B44" s="29" t="s">
        <v>237</v>
      </c>
      <c r="C44">
        <v>1</v>
      </c>
      <c r="D44">
        <v>1.5</v>
      </c>
      <c r="E44">
        <v>2</v>
      </c>
    </row>
    <row r="45" spans="1:8" x14ac:dyDescent="0.25">
      <c r="B45" s="29" t="s">
        <v>164</v>
      </c>
      <c r="C45">
        <v>51</v>
      </c>
      <c r="D45">
        <v>85</v>
      </c>
      <c r="E45">
        <v>120</v>
      </c>
    </row>
    <row r="46" spans="1:8" x14ac:dyDescent="0.25">
      <c r="B46" s="29" t="s">
        <v>238</v>
      </c>
      <c r="C46">
        <v>1.25</v>
      </c>
      <c r="D46">
        <v>2.5</v>
      </c>
      <c r="E46">
        <v>3.75</v>
      </c>
    </row>
    <row r="48" spans="1:8" ht="13" x14ac:dyDescent="0.3">
      <c r="A48" s="23" t="s">
        <v>242</v>
      </c>
    </row>
    <row r="49" spans="1:8" x14ac:dyDescent="0.25">
      <c r="B49" s="29" t="s">
        <v>243</v>
      </c>
      <c r="D49">
        <v>60</v>
      </c>
      <c r="E49">
        <v>150</v>
      </c>
      <c r="F49" s="28" t="s">
        <v>169</v>
      </c>
      <c r="G49">
        <v>2</v>
      </c>
      <c r="H49" s="28" t="s">
        <v>244</v>
      </c>
    </row>
    <row r="50" spans="1:8" ht="13" x14ac:dyDescent="0.3">
      <c r="A50" s="23" t="s">
        <v>245</v>
      </c>
    </row>
    <row r="51" spans="1:8" x14ac:dyDescent="0.25">
      <c r="B51" s="28" t="s">
        <v>246</v>
      </c>
      <c r="C51">
        <v>2.41</v>
      </c>
      <c r="D51">
        <v>2.46</v>
      </c>
      <c r="E51">
        <v>2.52</v>
      </c>
      <c r="F51" s="28" t="s">
        <v>86</v>
      </c>
    </row>
    <row r="52" spans="1:8" x14ac:dyDescent="0.25">
      <c r="B52" s="28" t="s">
        <v>247</v>
      </c>
      <c r="C52">
        <v>15</v>
      </c>
      <c r="D52">
        <v>20</v>
      </c>
      <c r="E52">
        <v>25</v>
      </c>
      <c r="F52" s="28" t="s">
        <v>159</v>
      </c>
    </row>
  </sheetData>
  <mergeCells count="2">
    <mergeCell ref="C32:E32"/>
    <mergeCell ref="F32:H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3:Y282"/>
  <sheetViews>
    <sheetView topLeftCell="A227" zoomScale="70" zoomScaleNormal="70" workbookViewId="0">
      <selection activeCell="R19" sqref="R19"/>
    </sheetView>
  </sheetViews>
  <sheetFormatPr defaultRowHeight="12.5" x14ac:dyDescent="0.25"/>
  <cols>
    <col min="6" max="6" width="12.36328125" bestFit="1" customWidth="1"/>
    <col min="8" max="8" width="14" customWidth="1"/>
    <col min="9" max="9" width="12.7265625" customWidth="1"/>
    <col min="10" max="10" width="11.7265625" customWidth="1"/>
  </cols>
  <sheetData>
    <row r="13" spans="1:6" ht="13" x14ac:dyDescent="0.3">
      <c r="A13" s="23" t="s">
        <v>132</v>
      </c>
    </row>
    <row r="14" spans="1:6" x14ac:dyDescent="0.25">
      <c r="E14" s="2"/>
    </row>
    <row r="15" spans="1:6" x14ac:dyDescent="0.25">
      <c r="D15" t="s">
        <v>207</v>
      </c>
      <c r="E15">
        <f>IF('Design Calculator'!$F$36="26 mV",'Device Parameters'!C7,'Device Parameters'!C8)</f>
        <v>48.5</v>
      </c>
      <c r="F15" s="85" t="s">
        <v>169</v>
      </c>
    </row>
    <row r="16" spans="1:6" x14ac:dyDescent="0.25">
      <c r="D16" t="s">
        <v>206</v>
      </c>
      <c r="E16">
        <f>IF('Design Calculator'!$F$36="26 mV",'Device Parameters'!D7,'Device Parameters'!D8)</f>
        <v>55</v>
      </c>
      <c r="F16" s="85" t="s">
        <v>169</v>
      </c>
    </row>
    <row r="17" spans="1:8" x14ac:dyDescent="0.25">
      <c r="D17" t="s">
        <v>205</v>
      </c>
      <c r="E17">
        <f>IF('Design Calculator'!$F$36="26 mV",'Device Parameters'!E7,'Device Parameters'!E8)</f>
        <v>61.5</v>
      </c>
      <c r="F17" s="85" t="s">
        <v>169</v>
      </c>
    </row>
    <row r="18" spans="1:8" x14ac:dyDescent="0.25">
      <c r="E18" s="2"/>
    </row>
    <row r="19" spans="1:8" ht="13" x14ac:dyDescent="0.3">
      <c r="A19" s="23"/>
      <c r="E19" s="2"/>
    </row>
    <row r="20" spans="1:8" x14ac:dyDescent="0.25">
      <c r="E20" s="2" t="s">
        <v>0</v>
      </c>
      <c r="F20">
        <f>CLMIN_Threshold/('Design Calculator'!F30*1.01)</f>
        <v>1.6558552406964835</v>
      </c>
    </row>
    <row r="21" spans="1:8" x14ac:dyDescent="0.25">
      <c r="E21" s="29" t="s">
        <v>208</v>
      </c>
      <c r="F21" s="28" t="str">
        <f>IF(Rs&gt;RsMAX,10,"NA")</f>
        <v>NA</v>
      </c>
    </row>
    <row r="22" spans="1:8" x14ac:dyDescent="0.25">
      <c r="E22" s="29" t="s">
        <v>209</v>
      </c>
      <c r="F22" t="str">
        <f>IF(Rs&gt;RsMAX,(((IOUTMAX*Rs)/CLMIN_Threshold)-1)*F21,"NA")</f>
        <v>NA</v>
      </c>
    </row>
    <row r="23" spans="1:8" x14ac:dyDescent="0.25">
      <c r="E23" s="29" t="s">
        <v>210</v>
      </c>
      <c r="F23">
        <f>IF(RsMAX&gt;Rs,Rs,IF('Design Calculator'!F38="Yes",IF(Rs&gt;RsMAX,Rs/(1+RDIV2/RDIV1),Rs),Rs))</f>
        <v>1.5</v>
      </c>
      <c r="H23" s="119"/>
    </row>
    <row r="24" spans="1:8" x14ac:dyDescent="0.25">
      <c r="E24" s="2" t="s">
        <v>1</v>
      </c>
      <c r="F24" s="3">
        <f>CLMIN_Threshold/RsEFF</f>
        <v>32.333333333333336</v>
      </c>
      <c r="G24" s="3"/>
    </row>
    <row r="25" spans="1:8" x14ac:dyDescent="0.25">
      <c r="E25" s="2" t="s">
        <v>2</v>
      </c>
      <c r="F25">
        <f>CLNOM_Threshold/RsEFF</f>
        <v>36.666666666666664</v>
      </c>
    </row>
    <row r="26" spans="1:8" x14ac:dyDescent="0.25">
      <c r="E26" s="2" t="s">
        <v>3</v>
      </c>
      <c r="F26">
        <f>CLMAX_Threshold/RsEFF</f>
        <v>41</v>
      </c>
    </row>
    <row r="27" spans="1:8" x14ac:dyDescent="0.25">
      <c r="E27" s="2" t="s">
        <v>4</v>
      </c>
      <c r="F27">
        <f>F26^2*'Design Calculator'!F39</f>
        <v>2521.5</v>
      </c>
    </row>
    <row r="30" spans="1:8" x14ac:dyDescent="0.25">
      <c r="E30" s="2"/>
    </row>
    <row r="31" spans="1:8" ht="13" x14ac:dyDescent="0.3">
      <c r="A31" s="23" t="s">
        <v>152</v>
      </c>
    </row>
    <row r="32" spans="1:8" x14ac:dyDescent="0.25">
      <c r="A32" s="28"/>
      <c r="F32" s="28" t="s">
        <v>153</v>
      </c>
      <c r="H32" s="28" t="s">
        <v>154</v>
      </c>
    </row>
    <row r="33" spans="1:8" x14ac:dyDescent="0.25">
      <c r="A33" s="28"/>
      <c r="E33" s="32" t="s">
        <v>128</v>
      </c>
      <c r="F33" s="59">
        <f>VINMAX*'Design Calculator'!F56</f>
        <v>504</v>
      </c>
      <c r="G33" s="28" t="s">
        <v>87</v>
      </c>
      <c r="H33">
        <f>F33*(TJMAX-TJ)/(TJMAX-25)</f>
        <v>283.50252</v>
      </c>
    </row>
    <row r="34" spans="1:8" x14ac:dyDescent="0.25">
      <c r="A34" s="28"/>
      <c r="E34" s="32" t="s">
        <v>129</v>
      </c>
      <c r="F34" s="59">
        <f>VINMAX*'Design Calculator'!F57</f>
        <v>428.4</v>
      </c>
      <c r="G34" s="28" t="s">
        <v>87</v>
      </c>
      <c r="H34">
        <f>F34*(TJMAX-TJ)/(TJMAX-25)</f>
        <v>240.97714200000001</v>
      </c>
    </row>
    <row r="35" spans="1:8" x14ac:dyDescent="0.25">
      <c r="A35" s="28"/>
      <c r="E35" s="32" t="s">
        <v>130</v>
      </c>
      <c r="F35" s="59">
        <f>VINMAX*'Design Calculator'!F58</f>
        <v>15.12</v>
      </c>
      <c r="G35" s="28" t="s">
        <v>87</v>
      </c>
      <c r="H35">
        <f>F35*(TJMAX-TJ)/(TJMAX-25)</f>
        <v>8.5050755999999996</v>
      </c>
    </row>
    <row r="36" spans="1:8" x14ac:dyDescent="0.25">
      <c r="A36" s="28"/>
      <c r="E36" s="32" t="s">
        <v>131</v>
      </c>
      <c r="F36" s="59" t="e">
        <f>VINMAX*'Design Calculator'!F59</f>
        <v>#VALUE!</v>
      </c>
      <c r="G36" s="28" t="s">
        <v>87</v>
      </c>
      <c r="H36" t="e">
        <f>F36*(TJMAX-TJ)/(TJMAX-25)</f>
        <v>#VALUE!</v>
      </c>
    </row>
    <row r="37" spans="1:8" x14ac:dyDescent="0.25">
      <c r="A37" s="28"/>
      <c r="E37" s="29"/>
      <c r="F37" s="66"/>
      <c r="G37" s="28"/>
    </row>
    <row r="38" spans="1:8" x14ac:dyDescent="0.25">
      <c r="A38" s="28"/>
      <c r="E38" s="29" t="s">
        <v>170</v>
      </c>
      <c r="F38" s="66">
        <f>VINMAX*'Device Parameters'!E13/RsEFF/0.001</f>
        <v>84</v>
      </c>
      <c r="G38" s="28" t="s">
        <v>87</v>
      </c>
    </row>
    <row r="39" spans="1:8" x14ac:dyDescent="0.25">
      <c r="A39" s="28"/>
      <c r="E39" s="29" t="s">
        <v>280</v>
      </c>
      <c r="F39" s="66">
        <f>'Design Calculator'!F64</f>
        <v>126</v>
      </c>
      <c r="G39" s="28" t="s">
        <v>87</v>
      </c>
    </row>
    <row r="40" spans="1:8" x14ac:dyDescent="0.25">
      <c r="A40" s="28"/>
      <c r="E40" s="29" t="s">
        <v>270</v>
      </c>
      <c r="F40" s="210">
        <f>'Device Parameters'!E14*RsEFF*0.001*F39/1000</f>
        <v>23.625</v>
      </c>
      <c r="G40" s="28" t="s">
        <v>281</v>
      </c>
    </row>
    <row r="41" spans="1:8" x14ac:dyDescent="0.25">
      <c r="A41" s="28"/>
      <c r="E41" s="29" t="s">
        <v>283</v>
      </c>
      <c r="F41" s="66">
        <f>RPWR</f>
        <v>16.2</v>
      </c>
      <c r="G41" s="28" t="s">
        <v>281</v>
      </c>
    </row>
    <row r="42" spans="1:8" x14ac:dyDescent="0.25">
      <c r="A42" s="28"/>
      <c r="E42" s="29" t="s">
        <v>284</v>
      </c>
      <c r="F42" s="179">
        <f>(1/RsEFF)*1000*(Equations!F41*1000/'Device Parameters'!E14)</f>
        <v>86.399999999999991</v>
      </c>
      <c r="G42" s="28" t="s">
        <v>87</v>
      </c>
    </row>
    <row r="43" spans="1:8" x14ac:dyDescent="0.25">
      <c r="A43" s="28"/>
      <c r="E43" s="29"/>
      <c r="G43" s="28"/>
    </row>
    <row r="44" spans="1:8" x14ac:dyDescent="0.25">
      <c r="A44" s="28"/>
      <c r="E44" s="29"/>
      <c r="G44" s="28"/>
    </row>
    <row r="45" spans="1:8" x14ac:dyDescent="0.25">
      <c r="A45" s="28"/>
      <c r="E45" s="29"/>
      <c r="G45" s="28"/>
    </row>
    <row r="46" spans="1:8" x14ac:dyDescent="0.25">
      <c r="E46" s="2" t="s">
        <v>5</v>
      </c>
      <c r="F46" s="3">
        <f>F47*(1-0.24)</f>
        <v>65.663999999999987</v>
      </c>
      <c r="G46" t="s">
        <v>15</v>
      </c>
    </row>
    <row r="47" spans="1:8" x14ac:dyDescent="0.25">
      <c r="E47" s="2" t="s">
        <v>6</v>
      </c>
      <c r="F47" s="3">
        <f>F42</f>
        <v>86.399999999999991</v>
      </c>
    </row>
    <row r="48" spans="1:8" x14ac:dyDescent="0.25">
      <c r="E48" s="2" t="s">
        <v>7</v>
      </c>
      <c r="F48" s="3">
        <f>F47*(1+0.24)</f>
        <v>107.136</v>
      </c>
    </row>
    <row r="49" spans="1:12" x14ac:dyDescent="0.25">
      <c r="E49" s="2"/>
      <c r="F49" s="1"/>
      <c r="H49" s="2"/>
      <c r="I49" s="1"/>
      <c r="K49" s="2"/>
      <c r="L49" s="1"/>
    </row>
    <row r="50" spans="1:12" x14ac:dyDescent="0.25">
      <c r="E50" s="2"/>
      <c r="F50" s="1"/>
      <c r="H50" s="2"/>
      <c r="I50" s="1"/>
      <c r="K50" s="2"/>
      <c r="L50" s="1"/>
    </row>
    <row r="51" spans="1:12" ht="13" x14ac:dyDescent="0.3">
      <c r="A51" s="23" t="s">
        <v>151</v>
      </c>
    </row>
    <row r="52" spans="1:12" ht="13" x14ac:dyDescent="0.3">
      <c r="A52" s="23"/>
      <c r="D52" s="288" t="s">
        <v>323</v>
      </c>
      <c r="E52" s="289"/>
      <c r="F52" s="289"/>
      <c r="G52" s="289"/>
    </row>
    <row r="53" spans="1:12" ht="13" x14ac:dyDescent="0.3">
      <c r="A53" s="23"/>
      <c r="E53" s="29" t="s">
        <v>303</v>
      </c>
      <c r="F53" s="3">
        <f>Start_up!M2</f>
        <v>157.50000000000014</v>
      </c>
      <c r="G53" s="28" t="s">
        <v>8</v>
      </c>
    </row>
    <row r="54" spans="1:12" ht="13" x14ac:dyDescent="0.3">
      <c r="A54" s="23"/>
      <c r="E54" s="29" t="s">
        <v>304</v>
      </c>
      <c r="F54" s="3">
        <f>'Device Parameters'!D27</f>
        <v>0.5</v>
      </c>
    </row>
    <row r="55" spans="1:12" ht="13" x14ac:dyDescent="0.3">
      <c r="A55" s="23"/>
      <c r="E55" s="29" t="s">
        <v>305</v>
      </c>
      <c r="F55">
        <f>F53*(1+F54)</f>
        <v>236.25000000000023</v>
      </c>
      <c r="G55" s="28" t="s">
        <v>8</v>
      </c>
    </row>
    <row r="56" spans="1:12" ht="13" x14ac:dyDescent="0.3">
      <c r="A56" s="23"/>
      <c r="E56" s="29" t="s">
        <v>306</v>
      </c>
      <c r="F56">
        <f>'Device Parameters'!D25/'Device Parameters'!D22*F55</f>
        <v>5020.3125000000045</v>
      </c>
      <c r="G56" s="28" t="s">
        <v>118</v>
      </c>
    </row>
    <row r="57" spans="1:12" ht="13" x14ac:dyDescent="0.3">
      <c r="A57" s="23"/>
      <c r="E57" s="29" t="s">
        <v>307</v>
      </c>
      <c r="F57" s="3">
        <f>'Design Calculator'!F76</f>
        <v>220</v>
      </c>
      <c r="G57" s="28" t="s">
        <v>118</v>
      </c>
    </row>
    <row r="58" spans="1:12" ht="13" x14ac:dyDescent="0.3">
      <c r="A58" s="23"/>
      <c r="E58" s="29" t="s">
        <v>310</v>
      </c>
      <c r="F58">
        <f>'Device Parameters'!D22/'Device Parameters'!D25*F57</f>
        <v>10.352941176470589</v>
      </c>
      <c r="G58" s="28" t="s">
        <v>8</v>
      </c>
    </row>
    <row r="59" spans="1:12" ht="13" x14ac:dyDescent="0.3">
      <c r="A59" s="23"/>
      <c r="E59" s="29" t="s">
        <v>318</v>
      </c>
      <c r="F59">
        <f>SOA!C26/F47</f>
        <v>1.4717977598352809</v>
      </c>
      <c r="G59" s="28"/>
    </row>
    <row r="60" spans="1:12" ht="13" x14ac:dyDescent="0.3">
      <c r="A60" s="23"/>
      <c r="D60" s="288" t="s">
        <v>327</v>
      </c>
      <c r="E60" s="289"/>
      <c r="F60" s="289"/>
      <c r="G60" s="289"/>
    </row>
    <row r="61" spans="1:12" ht="13" x14ac:dyDescent="0.3">
      <c r="A61" s="23"/>
      <c r="C61" s="28"/>
      <c r="D61" s="180"/>
      <c r="E61" s="29" t="s">
        <v>324</v>
      </c>
      <c r="F61" s="68">
        <f>'Design Calculator'!F82</f>
        <v>0.15</v>
      </c>
      <c r="G61" s="68" t="s">
        <v>325</v>
      </c>
    </row>
    <row r="62" spans="1:12" ht="13" x14ac:dyDescent="0.3">
      <c r="A62" s="23"/>
      <c r="C62" s="28"/>
      <c r="D62" s="180"/>
      <c r="E62" s="29" t="s">
        <v>348</v>
      </c>
      <c r="F62" s="1">
        <f>'Device Parameters'!D30/ss_rate</f>
        <v>106.66666666666667</v>
      </c>
      <c r="G62" s="28" t="s">
        <v>118</v>
      </c>
    </row>
    <row r="63" spans="1:12" ht="13" x14ac:dyDescent="0.3">
      <c r="A63" s="23"/>
      <c r="C63" s="28"/>
      <c r="D63" s="180"/>
      <c r="E63" s="29" t="s">
        <v>349</v>
      </c>
      <c r="F63" s="68">
        <f>'Design Calculator'!F84</f>
        <v>100</v>
      </c>
      <c r="G63" s="28" t="s">
        <v>118</v>
      </c>
    </row>
    <row r="64" spans="1:12" ht="13" x14ac:dyDescent="0.3">
      <c r="A64" s="23"/>
      <c r="C64" s="28"/>
      <c r="D64" s="180"/>
      <c r="E64" s="29" t="s">
        <v>350</v>
      </c>
      <c r="F64" s="1">
        <f>ss_rate*F62/F63</f>
        <v>0.16</v>
      </c>
      <c r="G64" s="28" t="s">
        <v>325</v>
      </c>
    </row>
    <row r="65" spans="1:8" ht="13" x14ac:dyDescent="0.3">
      <c r="A65" s="23"/>
      <c r="C65" s="28"/>
      <c r="D65" s="180"/>
      <c r="E65" s="29" t="s">
        <v>326</v>
      </c>
      <c r="F65" s="68">
        <f>COUTMAX*F64/1000</f>
        <v>0.128</v>
      </c>
      <c r="G65" s="68" t="s">
        <v>25</v>
      </c>
    </row>
    <row r="66" spans="1:8" ht="13" x14ac:dyDescent="0.3">
      <c r="A66" s="23"/>
      <c r="C66" s="28"/>
      <c r="D66" s="180"/>
      <c r="E66" s="29" t="s">
        <v>341</v>
      </c>
      <c r="F66" s="68">
        <f>VINMAX/F64</f>
        <v>157.5</v>
      </c>
      <c r="G66" s="68" t="s">
        <v>8</v>
      </c>
    </row>
    <row r="67" spans="1:8" ht="13" x14ac:dyDescent="0.3">
      <c r="A67" s="23"/>
      <c r="C67" s="28"/>
      <c r="D67" s="180"/>
      <c r="E67" s="29" t="s">
        <v>342</v>
      </c>
      <c r="F67" s="68">
        <f>Start_up!N5</f>
        <v>0.25157353846153846</v>
      </c>
      <c r="G67" s="68" t="s">
        <v>331</v>
      </c>
    </row>
    <row r="68" spans="1:8" ht="13" x14ac:dyDescent="0.3">
      <c r="A68" s="23"/>
      <c r="C68" s="28"/>
      <c r="D68" s="180"/>
      <c r="E68" s="29" t="s">
        <v>343</v>
      </c>
      <c r="F68" s="68">
        <f>Start_up!Q4</f>
        <v>3.2256</v>
      </c>
      <c r="G68" s="68" t="s">
        <v>87</v>
      </c>
    </row>
    <row r="69" spans="1:8" ht="13" x14ac:dyDescent="0.3">
      <c r="A69" s="23"/>
      <c r="D69" s="181"/>
      <c r="E69" s="29" t="s">
        <v>344</v>
      </c>
      <c r="F69" s="68">
        <f>F67/F68*1000</f>
        <v>77.992788461538453</v>
      </c>
      <c r="G69" s="68" t="s">
        <v>8</v>
      </c>
    </row>
    <row r="70" spans="1:8" ht="13" x14ac:dyDescent="0.3">
      <c r="A70" s="23"/>
      <c r="E70" s="29" t="s">
        <v>345</v>
      </c>
      <c r="F70" s="28">
        <f>SOA!H28</f>
        <v>5.5516071357473997</v>
      </c>
      <c r="G70" s="68" t="s">
        <v>87</v>
      </c>
    </row>
    <row r="71" spans="1:8" ht="13" x14ac:dyDescent="0.3">
      <c r="A71" s="23"/>
      <c r="E71" s="29" t="s">
        <v>346</v>
      </c>
      <c r="F71" s="28">
        <f>F70/F68</f>
        <v>1.721108363016927</v>
      </c>
      <c r="G71" s="28"/>
    </row>
    <row r="72" spans="1:8" ht="13" x14ac:dyDescent="0.3">
      <c r="A72" s="23"/>
      <c r="E72" s="29"/>
      <c r="F72" s="28"/>
      <c r="G72" s="28"/>
    </row>
    <row r="73" spans="1:8" ht="13" x14ac:dyDescent="0.3">
      <c r="A73" s="23"/>
      <c r="E73" s="29"/>
      <c r="F73" s="28">
        <v>1</v>
      </c>
      <c r="G73" s="68" t="s">
        <v>8</v>
      </c>
    </row>
    <row r="74" spans="1:8" ht="13" x14ac:dyDescent="0.3">
      <c r="A74" s="23"/>
      <c r="D74" s="290" t="s">
        <v>355</v>
      </c>
      <c r="E74" s="290"/>
      <c r="F74" s="290"/>
      <c r="G74" s="290"/>
      <c r="H74" s="290"/>
    </row>
    <row r="75" spans="1:8" ht="13" x14ac:dyDescent="0.3">
      <c r="A75" s="23"/>
      <c r="E75" s="29" t="s">
        <v>351</v>
      </c>
      <c r="F75" s="182">
        <f>'Design Calculator'!F87</f>
        <v>0.52</v>
      </c>
      <c r="G75" s="28"/>
    </row>
    <row r="76" spans="1:8" ht="13" x14ac:dyDescent="0.3">
      <c r="A76" s="23"/>
      <c r="E76" s="29" t="s">
        <v>352</v>
      </c>
      <c r="F76" s="28">
        <f>'Device Parameters'!D25/'Device Parameters'!D22*F75</f>
        <v>11.05</v>
      </c>
      <c r="G76" s="28" t="s">
        <v>118</v>
      </c>
    </row>
    <row r="77" spans="1:8" ht="13" x14ac:dyDescent="0.3">
      <c r="A77" s="23"/>
      <c r="E77" s="29" t="s">
        <v>353</v>
      </c>
      <c r="F77" s="182">
        <f>'Design Calculator'!F89</f>
        <v>33</v>
      </c>
      <c r="G77" s="28" t="s">
        <v>118</v>
      </c>
    </row>
    <row r="78" spans="1:8" ht="13" x14ac:dyDescent="0.3">
      <c r="A78" s="23"/>
      <c r="E78" s="29" t="s">
        <v>358</v>
      </c>
      <c r="F78" s="28">
        <f>'Device Parameters'!D22/'Device Parameters'!D25*F77</f>
        <v>1.5529411764705883</v>
      </c>
      <c r="G78" s="28" t="s">
        <v>8</v>
      </c>
    </row>
    <row r="79" spans="1:8" ht="13" x14ac:dyDescent="0.3">
      <c r="A79" s="23"/>
      <c r="E79" s="29" t="s">
        <v>357</v>
      </c>
      <c r="F79" s="28">
        <f>SOA!C26</f>
        <v>127.16332644976826</v>
      </c>
      <c r="G79" s="28" t="s">
        <v>87</v>
      </c>
    </row>
    <row r="80" spans="1:8" ht="13" x14ac:dyDescent="0.3">
      <c r="A80" s="23"/>
      <c r="E80" s="29" t="s">
        <v>346</v>
      </c>
      <c r="F80" s="28">
        <f>F79/F42</f>
        <v>1.4717977598352809</v>
      </c>
      <c r="G80" s="28"/>
    </row>
    <row r="81" spans="1:13" ht="13" x14ac:dyDescent="0.3">
      <c r="A81" s="23"/>
      <c r="E81" s="29"/>
      <c r="F81" s="28"/>
      <c r="G81" s="28"/>
    </row>
    <row r="82" spans="1:13" ht="13" x14ac:dyDescent="0.3">
      <c r="A82" s="23"/>
      <c r="E82" s="29"/>
      <c r="F82" s="28"/>
      <c r="G82" s="28"/>
    </row>
    <row r="83" spans="1:13" ht="13" x14ac:dyDescent="0.3">
      <c r="A83" s="23"/>
      <c r="E83" s="29"/>
      <c r="F83" s="28"/>
      <c r="G83" s="28"/>
    </row>
    <row r="84" spans="1:13" ht="13" x14ac:dyDescent="0.3">
      <c r="A84" s="23"/>
      <c r="E84" s="29"/>
      <c r="F84" s="28"/>
      <c r="G84" s="28"/>
    </row>
    <row r="85" spans="1:13" ht="13" x14ac:dyDescent="0.3">
      <c r="A85" s="23"/>
      <c r="E85" s="29"/>
      <c r="F85" s="28"/>
      <c r="G85" s="28"/>
    </row>
    <row r="86" spans="1:13" ht="13" x14ac:dyDescent="0.3">
      <c r="A86" s="23"/>
      <c r="E86" s="29"/>
      <c r="F86" s="28"/>
      <c r="G86" s="28"/>
    </row>
    <row r="87" spans="1:13" ht="13" x14ac:dyDescent="0.3">
      <c r="A87" s="23"/>
      <c r="E87" s="29"/>
      <c r="F87" s="28"/>
      <c r="G87" s="28"/>
    </row>
    <row r="88" spans="1:13" ht="13" x14ac:dyDescent="0.3">
      <c r="A88" s="23"/>
      <c r="E88" s="29"/>
      <c r="F88" s="28"/>
      <c r="G88" s="28"/>
    </row>
    <row r="89" spans="1:13" ht="13" x14ac:dyDescent="0.3">
      <c r="A89" s="23"/>
      <c r="F89" s="28"/>
    </row>
    <row r="90" spans="1:13" x14ac:dyDescent="0.25">
      <c r="A90" s="28"/>
      <c r="E90" s="29"/>
      <c r="F90" s="28"/>
    </row>
    <row r="91" spans="1:13" x14ac:dyDescent="0.25">
      <c r="A91" s="28"/>
      <c r="E91" s="29"/>
      <c r="F91" s="28"/>
    </row>
    <row r="92" spans="1:13" x14ac:dyDescent="0.25">
      <c r="D92" s="28"/>
      <c r="E92" s="29"/>
      <c r="F92" s="28"/>
    </row>
    <row r="93" spans="1:13" x14ac:dyDescent="0.25">
      <c r="D93" s="28"/>
      <c r="E93" s="29"/>
      <c r="F93" s="28"/>
    </row>
    <row r="94" spans="1:13" x14ac:dyDescent="0.25">
      <c r="D94" s="28"/>
      <c r="E94" s="29"/>
      <c r="F94" s="28"/>
    </row>
    <row r="95" spans="1:13" x14ac:dyDescent="0.25">
      <c r="E95" s="29"/>
      <c r="F95" s="28"/>
      <c r="J95" s="5"/>
      <c r="M95" s="5"/>
    </row>
    <row r="96" spans="1:13" x14ac:dyDescent="0.25">
      <c r="E96" s="29"/>
      <c r="F96" s="28"/>
      <c r="J96" s="5"/>
      <c r="M96" s="5"/>
    </row>
    <row r="97" spans="5:13" x14ac:dyDescent="0.25">
      <c r="E97" s="2"/>
      <c r="F97" s="28"/>
      <c r="G97" t="s">
        <v>16</v>
      </c>
      <c r="J97" s="6"/>
      <c r="M97" s="6"/>
    </row>
    <row r="98" spans="5:13" x14ac:dyDescent="0.25">
      <c r="E98" s="29"/>
      <c r="F98" s="28"/>
      <c r="J98" s="6"/>
      <c r="M98" s="6"/>
    </row>
    <row r="99" spans="5:13" x14ac:dyDescent="0.25">
      <c r="E99" s="2"/>
      <c r="F99" s="28"/>
    </row>
    <row r="100" spans="5:13" x14ac:dyDescent="0.25">
      <c r="E100" s="2"/>
      <c r="F100" s="28"/>
      <c r="I100" t="s">
        <v>27</v>
      </c>
      <c r="L100" t="s">
        <v>50</v>
      </c>
    </row>
    <row r="101" spans="5:13" x14ac:dyDescent="0.25">
      <c r="E101" s="29"/>
      <c r="F101" s="28"/>
      <c r="G101" s="28" t="s">
        <v>25</v>
      </c>
    </row>
    <row r="102" spans="5:13" x14ac:dyDescent="0.25">
      <c r="E102" s="29"/>
      <c r="F102" s="28"/>
      <c r="G102" s="28" t="s">
        <v>199</v>
      </c>
    </row>
    <row r="103" spans="5:13" x14ac:dyDescent="0.25">
      <c r="E103" s="29"/>
      <c r="F103" s="28"/>
      <c r="G103" s="28" t="s">
        <v>118</v>
      </c>
    </row>
    <row r="104" spans="5:13" x14ac:dyDescent="0.25">
      <c r="E104" s="29"/>
      <c r="G104" s="28"/>
    </row>
    <row r="105" spans="5:13" x14ac:dyDescent="0.25">
      <c r="E105" s="29"/>
      <c r="G105" s="28"/>
    </row>
    <row r="106" spans="5:13" x14ac:dyDescent="0.25">
      <c r="E106" s="29" t="s">
        <v>229</v>
      </c>
      <c r="F106" s="3">
        <f>IF('Design Calculator'!F71="YES", Equations!F77, Equations!F57)*'Device Parameters'!C39*1000/'Device Parameters'!E43*0.001</f>
        <v>15.51</v>
      </c>
      <c r="G106" s="28" t="s">
        <v>8</v>
      </c>
    </row>
    <row r="107" spans="5:13" x14ac:dyDescent="0.25">
      <c r="E107" s="29" t="s">
        <v>9</v>
      </c>
      <c r="F107" s="3">
        <f>IF('Design Calculator'!F71="YES", Equations!F77, Equations!F57)*0.001*'Device Parameters'!D39*1000/'Device Parameters'!D43</f>
        <v>24</v>
      </c>
      <c r="G107" s="28" t="s">
        <v>8</v>
      </c>
    </row>
    <row r="108" spans="5:13" x14ac:dyDescent="0.25">
      <c r="E108" s="29" t="s">
        <v>230</v>
      </c>
      <c r="F108" s="3">
        <f>IF('Design Calculator'!F71="YES", Equations!F77, Equations!F57)*0.001*'Device Parameters'!E39*1000/'Device Parameters'!C43</f>
        <v>45.76</v>
      </c>
      <c r="G108" s="28" t="s">
        <v>8</v>
      </c>
    </row>
    <row r="109" spans="5:13" x14ac:dyDescent="0.25">
      <c r="E109" s="29" t="s">
        <v>231</v>
      </c>
      <c r="F109">
        <f>IF('Design Calculator'!F71="YES", Equations!F77, Equations!F57)*(H109+I109+J109)</f>
        <v>288.12767499999995</v>
      </c>
      <c r="G109" s="28" t="s">
        <v>8</v>
      </c>
      <c r="H109">
        <f>(('Device Parameters'!C39-'Device Parameters'!E40)/'Device Parameters'!E45)*7</f>
        <v>0.14274166666666666</v>
      </c>
      <c r="I109">
        <f>(('Device Parameters'!C39-'Device Parameters'!C40)/'Device Parameters'!D46)*8</f>
        <v>8.2335999999999991</v>
      </c>
      <c r="J109">
        <f>(('Device Parameters'!C40-'Device Parameters'!D41)/'Device Parameters'!D46)</f>
        <v>0.3548</v>
      </c>
    </row>
    <row r="110" spans="5:13" x14ac:dyDescent="0.25">
      <c r="E110" s="29" t="s">
        <v>10</v>
      </c>
      <c r="F110">
        <f>IF('Design Calculator'!F71="YES", Equations!F77, Equations!F57)*(H110+I110+J110)</f>
        <v>310.41352941176478</v>
      </c>
      <c r="G110" s="28" t="s">
        <v>8</v>
      </c>
      <c r="H110">
        <f>(('Device Parameters'!D39-'Device Parameters'!D40)/'Device Parameters'!D45)*7</f>
        <v>0.22647058823529415</v>
      </c>
      <c r="I110">
        <f>(('Device Parameters'!D39-'Device Parameters'!D40)/'Device Parameters'!D46)*8</f>
        <v>8.8000000000000007</v>
      </c>
      <c r="J110">
        <f>(('Device Parameters'!D40-'Device Parameters'!D41)/'Device Parameters'!D46)</f>
        <v>0.38</v>
      </c>
    </row>
    <row r="111" spans="5:13" x14ac:dyDescent="0.25">
      <c r="E111" s="29" t="s">
        <v>251</v>
      </c>
      <c r="F111">
        <f>IF('Design Calculator'!F71="YES", Equations!F77, Equations!F57)*(H111+I111+J111)</f>
        <v>327.4807411764707</v>
      </c>
      <c r="G111" s="28" t="s">
        <v>8</v>
      </c>
      <c r="H111">
        <f>(('Device Parameters'!E39-'Device Parameters'!C40)/'Device Parameters'!C45)*7</f>
        <v>0.40805882352941175</v>
      </c>
      <c r="I111">
        <f>(('Device Parameters'!E39-'Device Parameters'!E40)/'Device Parameters'!D46)*8</f>
        <v>9.1104000000000021</v>
      </c>
      <c r="J111">
        <f>(('Device Parameters'!E40-'Device Parameters'!D41)/'Device Parameters'!D46)</f>
        <v>0.40519999999999995</v>
      </c>
    </row>
    <row r="112" spans="5:13" x14ac:dyDescent="0.25">
      <c r="E112" s="29" t="s">
        <v>250</v>
      </c>
      <c r="F112" t="e">
        <f>(1+'Design Calculator'!#REF!/'Design Calculator'!#REF!)*'Device Parameters'!C51</f>
        <v>#REF!</v>
      </c>
      <c r="G112" s="28"/>
    </row>
    <row r="113" spans="4:12" x14ac:dyDescent="0.25">
      <c r="E113" s="29" t="s">
        <v>249</v>
      </c>
      <c r="F113" t="e">
        <f>(1+'Design Calculator'!#REF!/'Design Calculator'!#REF!)*'Device Parameters'!D51</f>
        <v>#REF!</v>
      </c>
      <c r="G113" s="28"/>
    </row>
    <row r="114" spans="4:12" x14ac:dyDescent="0.25">
      <c r="E114" s="29" t="s">
        <v>248</v>
      </c>
      <c r="F114" t="e">
        <f>(1+'Design Calculator'!#REF!/'Design Calculator'!#REF!)*'Device Parameters'!E51</f>
        <v>#REF!</v>
      </c>
    </row>
    <row r="115" spans="4:12" x14ac:dyDescent="0.25">
      <c r="E115" s="29" t="s">
        <v>252</v>
      </c>
      <c r="F115" t="e">
        <f>('Design Calculator'!#REF!*'Device Parameters'!C52)</f>
        <v>#REF!</v>
      </c>
    </row>
    <row r="116" spans="4:12" x14ac:dyDescent="0.25">
      <c r="E116" s="29" t="s">
        <v>253</v>
      </c>
      <c r="F116" t="e">
        <f>('Design Calculator'!#REF!*'Device Parameters'!$D$52)</f>
        <v>#REF!</v>
      </c>
    </row>
    <row r="117" spans="4:12" x14ac:dyDescent="0.25">
      <c r="E117" s="29" t="s">
        <v>254</v>
      </c>
      <c r="F117" t="e">
        <f>('Design Calculator'!#REF!*'Device Parameters'!$E$52)</f>
        <v>#REF!</v>
      </c>
    </row>
    <row r="118" spans="4:12" x14ac:dyDescent="0.25">
      <c r="E118" s="29"/>
    </row>
    <row r="119" spans="4:12" x14ac:dyDescent="0.25">
      <c r="E119" s="29"/>
    </row>
    <row r="120" spans="4:12" ht="13" x14ac:dyDescent="0.3">
      <c r="D120" s="23"/>
      <c r="I120" t="s">
        <v>28</v>
      </c>
      <c r="L120" t="s">
        <v>51</v>
      </c>
    </row>
    <row r="121" spans="4:12" ht="13" x14ac:dyDescent="0.3">
      <c r="D121" s="23"/>
      <c r="I121" t="s">
        <v>29</v>
      </c>
      <c r="L121" t="s">
        <v>52</v>
      </c>
    </row>
    <row r="122" spans="4:12" ht="13" x14ac:dyDescent="0.3">
      <c r="D122" s="23"/>
      <c r="I122" t="s">
        <v>30</v>
      </c>
      <c r="L122" t="s">
        <v>53</v>
      </c>
    </row>
    <row r="125" spans="4:12" x14ac:dyDescent="0.25">
      <c r="E125" s="2" t="s">
        <v>19</v>
      </c>
    </row>
    <row r="126" spans="4:12" x14ac:dyDescent="0.25">
      <c r="E126" s="2" t="s">
        <v>20</v>
      </c>
    </row>
    <row r="127" spans="4:12" x14ac:dyDescent="0.25">
      <c r="E127" s="2"/>
      <c r="F127" s="1" t="s">
        <v>25</v>
      </c>
      <c r="G127" s="1" t="s">
        <v>26</v>
      </c>
      <c r="H127" s="1" t="s">
        <v>427</v>
      </c>
      <c r="I127" s="1" t="s">
        <v>428</v>
      </c>
    </row>
    <row r="128" spans="4:12" x14ac:dyDescent="0.25">
      <c r="E128" s="2" t="s">
        <v>33</v>
      </c>
      <c r="F128" s="16">
        <f>('Design Calculator'!F95-'Design Calculator'!F96)*1000/21</f>
        <v>47.61904761904762</v>
      </c>
      <c r="G128" s="16">
        <f>('Design Calculator'!F95-'Design Calculator'!F96)*1000/21</f>
        <v>47.61904761904762</v>
      </c>
    </row>
    <row r="129" spans="2:7" x14ac:dyDescent="0.25">
      <c r="E129" s="2" t="s">
        <v>32</v>
      </c>
      <c r="F129" s="16">
        <f>2.5*F128/('Design Calculator'!F96-2.5)-F130</f>
        <v>4.7619047619047619</v>
      </c>
      <c r="G129" s="16">
        <f>2.5*G128/('Design Calculator'!F96-2.5)</f>
        <v>9.5238095238095237</v>
      </c>
    </row>
    <row r="130" spans="2:7" x14ac:dyDescent="0.25">
      <c r="E130" s="2" t="s">
        <v>31</v>
      </c>
      <c r="F130" s="16">
        <f>(F128*'Design Calculator'!F96*2.5)/('Design Calculator'!F97*('Design Calculator'!F96-2.5))</f>
        <v>4.7619047619047619</v>
      </c>
      <c r="G130" s="16">
        <f>('Design Calculator'!F97-'Design Calculator'!F98)*1000/21</f>
        <v>95.238095238095241</v>
      </c>
    </row>
    <row r="131" spans="2:7" x14ac:dyDescent="0.25">
      <c r="E131" s="2" t="s">
        <v>34</v>
      </c>
      <c r="F131" s="1"/>
      <c r="G131" s="16">
        <f>2.5*G130/('Design Calculator'!F97-2.5)</f>
        <v>8.6580086580086579</v>
      </c>
    </row>
    <row r="132" spans="2:7" x14ac:dyDescent="0.25">
      <c r="B132" s="8"/>
      <c r="C132" s="9"/>
      <c r="D132" s="9"/>
      <c r="E132" s="10" t="s">
        <v>38</v>
      </c>
      <c r="F132" s="16">
        <f>2.45+('Design Calculator'!F$103*((2.45/('Design Calculator'!F$104+'Design Calculator'!F$105))+(12/1000)))</f>
        <v>4.1301306877802162</v>
      </c>
      <c r="G132" s="16">
        <f>2.45+('Design Calculator'!F$103*((2.45/'Design Calculator'!F$104)+(12/1000)))</f>
        <v>15.231437565582375</v>
      </c>
    </row>
    <row r="133" spans="2:7" x14ac:dyDescent="0.25">
      <c r="B133" s="11"/>
      <c r="E133" s="12" t="s">
        <v>39</v>
      </c>
      <c r="F133" s="16">
        <f>2.5+('Design Calculator'!F$103*((2.5/('Design Calculator'!F$104+'Design Calculator'!F$105))+(21/1000)))</f>
        <v>4.630286416102261</v>
      </c>
      <c r="G133" s="16">
        <f>2.5+('Design Calculator'!F$103*((2.5/'Design Calculator'!F$104)+(21/1000)))</f>
        <v>15.95815057712487</v>
      </c>
    </row>
    <row r="134" spans="2:7" x14ac:dyDescent="0.25">
      <c r="B134" s="13"/>
      <c r="C134" s="14"/>
      <c r="D134" s="14"/>
      <c r="E134" s="15" t="s">
        <v>40</v>
      </c>
      <c r="F134" s="16">
        <f>2.55+('Design Calculator'!F$103*((2.55/('Design Calculator'!F$104+'Design Calculator'!F$105))+(30/1000)))</f>
        <v>5.1304421444243058</v>
      </c>
      <c r="G134" s="16">
        <f>2.55+('Design Calculator'!F$103*((2.55/'Design Calculator'!F$104)+(30/1000)))</f>
        <v>16.684863588667366</v>
      </c>
    </row>
    <row r="135" spans="2:7" x14ac:dyDescent="0.25">
      <c r="E135" s="2" t="s">
        <v>41</v>
      </c>
      <c r="F135" s="16">
        <f>2.45*('Design Calculator'!F$103+'Design Calculator'!F$104+'Design Calculator'!F$105)/('Design Calculator'!F$104+'Design Calculator'!F$105)</f>
        <v>3.5601306877802159</v>
      </c>
      <c r="G135" s="16">
        <f>2.45*('Design Calculator'!F$103+'Design Calculator'!F$104)/'Design Calculator'!F$104</f>
        <v>14.661437565582373</v>
      </c>
    </row>
    <row r="136" spans="2:7" x14ac:dyDescent="0.25">
      <c r="E136" s="2" t="s">
        <v>42</v>
      </c>
      <c r="F136" s="16">
        <f>2.5*('Design Calculator'!F$103+'Design Calculator'!F$104+'Design Calculator'!F$105)/('Design Calculator'!F$104+'Design Calculator'!F$105)</f>
        <v>3.6327864161022601</v>
      </c>
      <c r="G136" s="16">
        <f>2.5*('Design Calculator'!F$103+'Design Calculator'!F$104)/'Design Calculator'!F$104</f>
        <v>14.960650577124868</v>
      </c>
    </row>
    <row r="137" spans="2:7" x14ac:dyDescent="0.25">
      <c r="E137" s="2" t="s">
        <v>43</v>
      </c>
      <c r="F137" s="16">
        <f>2.55*('Design Calculator'!F$103+'Design Calculator'!F$104+'Design Calculator'!F$105)/('Design Calculator'!F$104+'Design Calculator'!F$105)</f>
        <v>3.7054421444243051</v>
      </c>
      <c r="G137" s="16">
        <f>2.55*('Design Calculator'!F$103+'Design Calculator'!F$104)/'Design Calculator'!F$104</f>
        <v>15.259863588667368</v>
      </c>
    </row>
    <row r="138" spans="2:7" x14ac:dyDescent="0.25">
      <c r="B138" s="8"/>
      <c r="C138" s="9"/>
      <c r="D138" s="9"/>
      <c r="E138" s="10" t="s">
        <v>44</v>
      </c>
      <c r="F138" s="16">
        <f>2.45*('Design Calculator'!F$103+'Design Calculator'!F$104+'Design Calculator'!F$105)/'Design Calculator'!F$105</f>
        <v>3.9161437565582373</v>
      </c>
      <c r="G138" s="16">
        <f>2.45*('Design Calculator'!F$105+'Design Calculator'!F$106)/'Design Calculator'!F$106</f>
        <v>29.411316397228635</v>
      </c>
    </row>
    <row r="139" spans="2:7" x14ac:dyDescent="0.25">
      <c r="B139" s="11"/>
      <c r="E139" s="12" t="s">
        <v>45</v>
      </c>
      <c r="F139" s="16">
        <f>2.5*('Design Calculator'!F$103+'Design Calculator'!F$104+'Design Calculator'!F$105)/'Design Calculator'!F$105</f>
        <v>3.9960650577124861</v>
      </c>
      <c r="G139" s="16">
        <f>2.5*('Design Calculator'!F$105+'Design Calculator'!F$106)/'Design Calculator'!F$106</f>
        <v>30.011547344110852</v>
      </c>
    </row>
    <row r="140" spans="2:7" x14ac:dyDescent="0.25">
      <c r="B140" s="13"/>
      <c r="C140" s="14"/>
      <c r="D140" s="14"/>
      <c r="E140" s="15" t="s">
        <v>46</v>
      </c>
      <c r="F140" s="16">
        <f>2.55*('Design Calculator'!F$103+'Design Calculator'!F$104+'Design Calculator'!F$105)/'Design Calculator'!F$105</f>
        <v>4.0759863588667358</v>
      </c>
      <c r="G140" s="16">
        <f>2.55*('Design Calculator'!F$105+'Design Calculator'!F$106)/'Design Calculator'!F$106</f>
        <v>30.611778290993065</v>
      </c>
    </row>
    <row r="141" spans="2:7" x14ac:dyDescent="0.25">
      <c r="E141" s="2" t="s">
        <v>47</v>
      </c>
      <c r="F141" s="16">
        <f>2.45+(('Design Calculator'!F$103+'Design Calculator'!F$104)*((2.45/'Design Calculator'!F$105)-(30/1000)))</f>
        <v>2.2052437565582377</v>
      </c>
      <c r="G141" s="16">
        <f>2.45+('Design Calculator'!F$105*((2.45/'Design Calculator'!F$106)-(30/1000)))</f>
        <v>26.55231639722864</v>
      </c>
    </row>
    <row r="142" spans="2:7" x14ac:dyDescent="0.25">
      <c r="E142" s="2" t="s">
        <v>48</v>
      </c>
      <c r="F142" s="16">
        <f>2.5+(('Design Calculator'!F$103+'Design Calculator'!F$104)*((2.5/'Design Calculator'!F$105)-(21/1000)))</f>
        <v>2.7984350577124868</v>
      </c>
      <c r="G142" s="16">
        <f>2.5+('Design Calculator'!F$105*((2.5/'Design Calculator'!F$106)-(21/1000)))</f>
        <v>28.010247344110851</v>
      </c>
    </row>
    <row r="143" spans="2:7" x14ac:dyDescent="0.25">
      <c r="E143" s="2" t="s">
        <v>49</v>
      </c>
      <c r="F143" s="16">
        <f>2.55+(('Design Calculator'!F$103+'Design Calculator'!F$104)*((2.55/'Design Calculator'!F$105)-(12/1000)))</f>
        <v>3.3916263588667364</v>
      </c>
      <c r="G143" s="16">
        <f>2.55+('Design Calculator'!F$105*((2.55/'Design Calculator'!F$106)-(12/1000)))</f>
        <v>29.468178290993066</v>
      </c>
    </row>
    <row r="151" spans="5:7" x14ac:dyDescent="0.25">
      <c r="E151" s="29" t="s">
        <v>115</v>
      </c>
      <c r="F151" s="28" t="e">
        <f>'Design Calculator'!#REF!</f>
        <v>#REF!</v>
      </c>
      <c r="G151" s="28" t="s">
        <v>8</v>
      </c>
    </row>
    <row r="152" spans="5:7" x14ac:dyDescent="0.25">
      <c r="E152" s="29" t="s">
        <v>116</v>
      </c>
      <c r="F152" s="28">
        <f>'Design Calculator'!F28</f>
        <v>22.2</v>
      </c>
      <c r="G152" s="28" t="s">
        <v>86</v>
      </c>
    </row>
    <row r="153" spans="5:7" x14ac:dyDescent="0.25">
      <c r="E153" s="29" t="s">
        <v>117</v>
      </c>
      <c r="F153" t="e">
        <f>22/F152*F151</f>
        <v>#REF!</v>
      </c>
      <c r="G153" s="28" t="s">
        <v>118</v>
      </c>
    </row>
    <row r="174" spans="3:6" ht="13" x14ac:dyDescent="0.3">
      <c r="C174" s="23" t="s">
        <v>56</v>
      </c>
    </row>
    <row r="175" spans="3:6" x14ac:dyDescent="0.25">
      <c r="E175" s="2" t="s">
        <v>57</v>
      </c>
      <c r="F175" s="1">
        <f>'Design Calculator'!F39</f>
        <v>1.5</v>
      </c>
    </row>
    <row r="176" spans="3:6" ht="15.5" x14ac:dyDescent="0.4">
      <c r="E176" s="2" t="s">
        <v>58</v>
      </c>
      <c r="F176" s="1">
        <f>'Design Calculator'!F66</f>
        <v>16.2</v>
      </c>
    </row>
    <row r="177" spans="2:25" x14ac:dyDescent="0.25">
      <c r="E177" s="2" t="s">
        <v>59</v>
      </c>
      <c r="F177" s="1">
        <f>'Design Calculator'!F29</f>
        <v>25.2</v>
      </c>
    </row>
    <row r="179" spans="2:25" x14ac:dyDescent="0.25">
      <c r="E179" s="2" t="s">
        <v>60</v>
      </c>
      <c r="F179" s="16">
        <f>F24</f>
        <v>32.333333333333336</v>
      </c>
    </row>
    <row r="180" spans="2:25" x14ac:dyDescent="0.25">
      <c r="E180" s="2" t="s">
        <v>61</v>
      </c>
      <c r="F180" s="16">
        <f>F25</f>
        <v>36.666666666666664</v>
      </c>
    </row>
    <row r="181" spans="2:25" x14ac:dyDescent="0.25">
      <c r="E181" s="2" t="s">
        <v>62</v>
      </c>
      <c r="F181" s="16">
        <f>F26</f>
        <v>41</v>
      </c>
    </row>
    <row r="183" spans="2:25" x14ac:dyDescent="0.25">
      <c r="E183" s="2" t="s">
        <v>63</v>
      </c>
      <c r="F183" s="5">
        <f>F46</f>
        <v>65.663999999999987</v>
      </c>
    </row>
    <row r="184" spans="2:25" x14ac:dyDescent="0.25">
      <c r="E184" s="2" t="s">
        <v>64</v>
      </c>
      <c r="F184" s="5">
        <f>F47</f>
        <v>86.399999999999991</v>
      </c>
      <c r="Y184" s="28" t="s">
        <v>87</v>
      </c>
    </row>
    <row r="185" spans="2:25" x14ac:dyDescent="0.25">
      <c r="E185" s="2" t="s">
        <v>65</v>
      </c>
      <c r="F185" s="5">
        <f>F48</f>
        <v>107.136</v>
      </c>
    </row>
    <row r="190" spans="2:25" x14ac:dyDescent="0.25">
      <c r="D190" t="s">
        <v>66</v>
      </c>
      <c r="E190" s="2"/>
      <c r="I190" t="s">
        <v>67</v>
      </c>
      <c r="N190" t="s">
        <v>82</v>
      </c>
      <c r="R190" s="28" t="s">
        <v>88</v>
      </c>
    </row>
    <row r="191" spans="2:25" x14ac:dyDescent="0.25">
      <c r="D191" t="s">
        <v>68</v>
      </c>
      <c r="I191" t="s">
        <v>69</v>
      </c>
      <c r="N191" t="s">
        <v>74</v>
      </c>
      <c r="R191" s="28" t="s">
        <v>89</v>
      </c>
    </row>
    <row r="192" spans="2:25" x14ac:dyDescent="0.25">
      <c r="B192" s="28" t="s">
        <v>144</v>
      </c>
      <c r="D192" s="4" t="s">
        <v>70</v>
      </c>
      <c r="E192" s="4" t="s">
        <v>71</v>
      </c>
      <c r="F192" s="132" t="s">
        <v>72</v>
      </c>
      <c r="G192" s="4" t="s">
        <v>73</v>
      </c>
      <c r="I192" s="4" t="s">
        <v>70</v>
      </c>
      <c r="J192" s="4" t="s">
        <v>71</v>
      </c>
      <c r="K192" s="4" t="s">
        <v>72</v>
      </c>
      <c r="L192" s="4" t="s">
        <v>73</v>
      </c>
      <c r="N192" t="s">
        <v>75</v>
      </c>
      <c r="R192" s="4" t="s">
        <v>70</v>
      </c>
      <c r="S192" s="4" t="s">
        <v>71</v>
      </c>
      <c r="T192" s="4" t="s">
        <v>72</v>
      </c>
      <c r="U192" s="4" t="s">
        <v>73</v>
      </c>
      <c r="V192" s="132" t="s">
        <v>81</v>
      </c>
      <c r="X192" s="142" t="s">
        <v>316</v>
      </c>
    </row>
    <row r="193" spans="2:24" x14ac:dyDescent="0.25">
      <c r="B193">
        <f>D193*F193</f>
        <v>70.266666666666652</v>
      </c>
      <c r="D193" s="4">
        <v>1</v>
      </c>
      <c r="E193" s="24">
        <f t="shared" ref="E193:E209" si="0">(1-$F$280)*F193</f>
        <v>52.699999999999989</v>
      </c>
      <c r="F193" s="24">
        <f t="shared" ref="F193:F224" si="1">($F$184+(D193-VINMAX)*$E$277/$E$278)/D193</f>
        <v>70.266666666666652</v>
      </c>
      <c r="G193" s="24">
        <f t="shared" ref="G193:G209" si="2">F193*(1+$F$280)</f>
        <v>87.833333333333314</v>
      </c>
      <c r="I193" s="4">
        <v>1</v>
      </c>
      <c r="J193" s="24">
        <f t="shared" ref="J193:J209" si="3">IF(E193&gt;$F$179,$F$179,E193)</f>
        <v>32.333333333333336</v>
      </c>
      <c r="K193" s="24">
        <f t="shared" ref="K193:K209" si="4">IF(F193&gt;$F$180,$F$180,F193)</f>
        <v>36.666666666666664</v>
      </c>
      <c r="L193" s="24">
        <f t="shared" ref="L193:L209" si="5">IF(G193&gt;$F$181,$F$181,G193)</f>
        <v>41</v>
      </c>
      <c r="N193" t="s">
        <v>76</v>
      </c>
      <c r="R193" s="4">
        <v>1</v>
      </c>
      <c r="S193" s="24">
        <f>IF($R193&gt;$F$177,0.0000000005,J193)</f>
        <v>32.333333333333336</v>
      </c>
      <c r="T193" s="24">
        <f>IF($R193&gt;$F$177,0.0000000005,K193)</f>
        <v>36.666666666666664</v>
      </c>
      <c r="U193" s="24">
        <f t="shared" ref="U193:U209" si="6">IF($R193&gt;$F$177,0.0000000005,L193)</f>
        <v>41</v>
      </c>
      <c r="V193" s="24">
        <f t="shared" ref="V193:V209" si="7">$X$193/R193</f>
        <v>127.16332644976826</v>
      </c>
      <c r="X193">
        <f>SOA!C26</f>
        <v>127.16332644976826</v>
      </c>
    </row>
    <row r="194" spans="2:24" x14ac:dyDescent="0.25">
      <c r="B194">
        <f t="shared" ref="B194:B257" si="8">D194*F194</f>
        <v>70.933333333333323</v>
      </c>
      <c r="D194" s="4">
        <v>2</v>
      </c>
      <c r="E194" s="24">
        <f t="shared" si="0"/>
        <v>26.599999999999994</v>
      </c>
      <c r="F194" s="24">
        <f t="shared" si="1"/>
        <v>35.466666666666661</v>
      </c>
      <c r="G194" s="24">
        <f t="shared" si="2"/>
        <v>44.333333333333329</v>
      </c>
      <c r="I194" s="4">
        <v>2</v>
      </c>
      <c r="J194" s="24">
        <f t="shared" si="3"/>
        <v>26.599999999999994</v>
      </c>
      <c r="K194" s="24">
        <f t="shared" si="4"/>
        <v>35.466666666666661</v>
      </c>
      <c r="L194" s="24">
        <f t="shared" si="5"/>
        <v>41</v>
      </c>
      <c r="R194" s="4">
        <v>2</v>
      </c>
      <c r="S194" s="24">
        <f t="shared" ref="S194:S209" si="9">IF($R194&gt;$F$177,0.0000000005,J194)</f>
        <v>26.599999999999994</v>
      </c>
      <c r="T194" s="24">
        <f t="shared" ref="T194:T209" si="10">IF($R194&gt;$F$177,0.0000000005,K194)</f>
        <v>35.466666666666661</v>
      </c>
      <c r="U194" s="24">
        <f t="shared" si="6"/>
        <v>41</v>
      </c>
      <c r="V194" s="24">
        <f t="shared" si="7"/>
        <v>63.581663224884132</v>
      </c>
    </row>
    <row r="195" spans="2:24" x14ac:dyDescent="0.25">
      <c r="B195">
        <f t="shared" si="8"/>
        <v>71.599999999999994</v>
      </c>
      <c r="D195" s="4">
        <v>3</v>
      </c>
      <c r="E195" s="24">
        <f t="shared" si="0"/>
        <v>17.899999999999999</v>
      </c>
      <c r="F195" s="24">
        <f t="shared" si="1"/>
        <v>23.866666666666664</v>
      </c>
      <c r="G195" s="24">
        <f t="shared" si="2"/>
        <v>29.833333333333329</v>
      </c>
      <c r="I195" s="4">
        <v>3</v>
      </c>
      <c r="J195" s="24">
        <f t="shared" si="3"/>
        <v>17.899999999999999</v>
      </c>
      <c r="K195" s="24">
        <f t="shared" si="4"/>
        <v>23.866666666666664</v>
      </c>
      <c r="L195" s="24">
        <f t="shared" si="5"/>
        <v>29.833333333333329</v>
      </c>
      <c r="O195" s="25" t="s">
        <v>77</v>
      </c>
      <c r="R195" s="4">
        <v>3</v>
      </c>
      <c r="S195" s="24">
        <f t="shared" si="9"/>
        <v>17.899999999999999</v>
      </c>
      <c r="T195" s="24">
        <f t="shared" si="10"/>
        <v>23.866666666666664</v>
      </c>
      <c r="U195" s="24">
        <f t="shared" si="6"/>
        <v>29.833333333333329</v>
      </c>
      <c r="V195" s="24">
        <f t="shared" si="7"/>
        <v>42.387775483256085</v>
      </c>
    </row>
    <row r="196" spans="2:24" x14ac:dyDescent="0.25">
      <c r="B196">
        <f t="shared" si="8"/>
        <v>72.266666666666652</v>
      </c>
      <c r="D196" s="4">
        <v>4</v>
      </c>
      <c r="E196" s="24">
        <f t="shared" si="0"/>
        <v>13.549999999999997</v>
      </c>
      <c r="F196" s="24">
        <f t="shared" si="1"/>
        <v>18.066666666666663</v>
      </c>
      <c r="G196" s="24">
        <f t="shared" si="2"/>
        <v>22.583333333333329</v>
      </c>
      <c r="I196" s="4">
        <v>4</v>
      </c>
      <c r="J196" s="24">
        <f t="shared" si="3"/>
        <v>13.549999999999997</v>
      </c>
      <c r="K196" s="24">
        <f t="shared" si="4"/>
        <v>18.066666666666663</v>
      </c>
      <c r="L196" s="24">
        <f t="shared" si="5"/>
        <v>22.583333333333329</v>
      </c>
      <c r="N196" s="7" t="s">
        <v>70</v>
      </c>
      <c r="O196" s="26" t="s">
        <v>78</v>
      </c>
      <c r="R196" s="4">
        <v>4</v>
      </c>
      <c r="S196" s="24">
        <f t="shared" si="9"/>
        <v>13.549999999999997</v>
      </c>
      <c r="T196" s="24">
        <f t="shared" si="10"/>
        <v>18.066666666666663</v>
      </c>
      <c r="U196" s="24">
        <f t="shared" si="6"/>
        <v>22.583333333333329</v>
      </c>
      <c r="V196" s="24">
        <f t="shared" si="7"/>
        <v>31.790831612442066</v>
      </c>
    </row>
    <row r="197" spans="2:24" x14ac:dyDescent="0.25">
      <c r="B197">
        <f t="shared" si="8"/>
        <v>72.933333333333323</v>
      </c>
      <c r="D197" s="4">
        <v>5</v>
      </c>
      <c r="E197" s="24">
        <f t="shared" si="0"/>
        <v>10.939999999999998</v>
      </c>
      <c r="F197" s="24">
        <f t="shared" si="1"/>
        <v>14.586666666666664</v>
      </c>
      <c r="G197" s="24">
        <f t="shared" si="2"/>
        <v>18.233333333333331</v>
      </c>
      <c r="I197" s="4">
        <v>5</v>
      </c>
      <c r="J197" s="24">
        <f t="shared" si="3"/>
        <v>10.939999999999998</v>
      </c>
      <c r="K197" s="24">
        <f t="shared" si="4"/>
        <v>14.586666666666664</v>
      </c>
      <c r="L197" s="24">
        <f t="shared" si="5"/>
        <v>18.233333333333331</v>
      </c>
      <c r="N197" s="4">
        <v>1</v>
      </c>
      <c r="O197" s="4" t="e">
        <f>#REF!</f>
        <v>#REF!</v>
      </c>
      <c r="P197" t="s">
        <v>79</v>
      </c>
      <c r="R197" s="4">
        <v>5</v>
      </c>
      <c r="S197" s="24">
        <f t="shared" si="9"/>
        <v>10.939999999999998</v>
      </c>
      <c r="T197" s="24">
        <f t="shared" si="10"/>
        <v>14.586666666666664</v>
      </c>
      <c r="U197" s="24">
        <f t="shared" si="6"/>
        <v>18.233333333333331</v>
      </c>
      <c r="V197" s="24">
        <f t="shared" si="7"/>
        <v>25.432665289953654</v>
      </c>
    </row>
    <row r="198" spans="2:24" x14ac:dyDescent="0.25">
      <c r="B198">
        <f t="shared" si="8"/>
        <v>73.599999999999994</v>
      </c>
      <c r="D198" s="4">
        <v>6</v>
      </c>
      <c r="E198" s="24">
        <f t="shared" si="0"/>
        <v>9.1999999999999993</v>
      </c>
      <c r="F198" s="24">
        <f t="shared" si="1"/>
        <v>12.266666666666666</v>
      </c>
      <c r="G198" s="24">
        <f t="shared" si="2"/>
        <v>15.333333333333332</v>
      </c>
      <c r="I198" s="4">
        <v>6</v>
      </c>
      <c r="J198" s="24">
        <f t="shared" si="3"/>
        <v>9.1999999999999993</v>
      </c>
      <c r="K198" s="24">
        <f t="shared" si="4"/>
        <v>12.266666666666666</v>
      </c>
      <c r="L198" s="24">
        <f t="shared" si="5"/>
        <v>15.333333333333332</v>
      </c>
      <c r="N198" s="4">
        <v>2</v>
      </c>
      <c r="O198" s="24" t="e">
        <f>O201+((O197-O201)*3/7)</f>
        <v>#REF!</v>
      </c>
      <c r="R198" s="4">
        <v>6</v>
      </c>
      <c r="S198" s="24">
        <f t="shared" si="9"/>
        <v>9.1999999999999993</v>
      </c>
      <c r="T198" s="24">
        <f t="shared" si="10"/>
        <v>12.266666666666666</v>
      </c>
      <c r="U198" s="24">
        <f t="shared" si="6"/>
        <v>15.333333333333332</v>
      </c>
      <c r="V198" s="24">
        <f t="shared" si="7"/>
        <v>21.193887741628043</v>
      </c>
    </row>
    <row r="199" spans="2:24" x14ac:dyDescent="0.25">
      <c r="B199">
        <f t="shared" si="8"/>
        <v>74.266666666666652</v>
      </c>
      <c r="D199" s="4">
        <v>7</v>
      </c>
      <c r="E199" s="24">
        <f t="shared" si="0"/>
        <v>7.9571428571428555</v>
      </c>
      <c r="F199" s="24">
        <f t="shared" si="1"/>
        <v>10.609523809523807</v>
      </c>
      <c r="G199" s="24">
        <f t="shared" si="2"/>
        <v>13.261904761904759</v>
      </c>
      <c r="I199" s="4">
        <v>7</v>
      </c>
      <c r="J199" s="24">
        <f t="shared" si="3"/>
        <v>7.9571428571428555</v>
      </c>
      <c r="K199" s="24">
        <f t="shared" si="4"/>
        <v>10.609523809523807</v>
      </c>
      <c r="L199" s="24">
        <f t="shared" si="5"/>
        <v>13.261904761904759</v>
      </c>
      <c r="N199" s="4">
        <v>3</v>
      </c>
      <c r="O199" s="24" t="e">
        <f>O201+((O197-O201)*2/8)</f>
        <v>#REF!</v>
      </c>
      <c r="R199" s="4">
        <v>7</v>
      </c>
      <c r="S199" s="24">
        <f t="shared" si="9"/>
        <v>7.9571428571428555</v>
      </c>
      <c r="T199" s="24">
        <f t="shared" si="10"/>
        <v>10.609523809523807</v>
      </c>
      <c r="U199" s="24">
        <f t="shared" si="6"/>
        <v>13.261904761904759</v>
      </c>
      <c r="V199" s="24">
        <f t="shared" si="7"/>
        <v>18.166189492824039</v>
      </c>
    </row>
    <row r="200" spans="2:24" x14ac:dyDescent="0.25">
      <c r="B200">
        <f t="shared" si="8"/>
        <v>74.933333333333323</v>
      </c>
      <c r="D200" s="4">
        <v>8</v>
      </c>
      <c r="E200" s="24">
        <f t="shared" si="0"/>
        <v>7.0249999999999986</v>
      </c>
      <c r="F200" s="24">
        <f t="shared" si="1"/>
        <v>9.3666666666666654</v>
      </c>
      <c r="G200" s="24">
        <f t="shared" si="2"/>
        <v>11.708333333333332</v>
      </c>
      <c r="I200" s="4">
        <v>8</v>
      </c>
      <c r="J200" s="24">
        <f t="shared" si="3"/>
        <v>7.0249999999999986</v>
      </c>
      <c r="K200" s="24">
        <f t="shared" si="4"/>
        <v>9.3666666666666654</v>
      </c>
      <c r="L200" s="24">
        <f t="shared" si="5"/>
        <v>11.708333333333332</v>
      </c>
      <c r="N200" s="4">
        <v>4</v>
      </c>
      <c r="O200" s="24" t="e">
        <f>O201+((O197-O201)*1/9)</f>
        <v>#REF!</v>
      </c>
      <c r="R200" s="4">
        <v>8</v>
      </c>
      <c r="S200" s="24">
        <f t="shared" si="9"/>
        <v>7.0249999999999986</v>
      </c>
      <c r="T200" s="24">
        <f t="shared" si="10"/>
        <v>9.3666666666666654</v>
      </c>
      <c r="U200" s="24">
        <f t="shared" si="6"/>
        <v>11.708333333333332</v>
      </c>
      <c r="V200" s="24">
        <f t="shared" si="7"/>
        <v>15.895415806221033</v>
      </c>
    </row>
    <row r="201" spans="2:24" x14ac:dyDescent="0.25">
      <c r="B201">
        <f t="shared" si="8"/>
        <v>75.599999999999994</v>
      </c>
      <c r="D201" s="4">
        <v>9</v>
      </c>
      <c r="E201" s="24">
        <f t="shared" si="0"/>
        <v>6.2999999999999989</v>
      </c>
      <c r="F201" s="24">
        <f t="shared" si="1"/>
        <v>8.3999999999999986</v>
      </c>
      <c r="G201" s="24">
        <f t="shared" si="2"/>
        <v>10.499999999999998</v>
      </c>
      <c r="I201" s="4">
        <v>9</v>
      </c>
      <c r="J201" s="24">
        <f t="shared" si="3"/>
        <v>6.2999999999999989</v>
      </c>
      <c r="K201" s="24">
        <f t="shared" si="4"/>
        <v>8.3999999999999986</v>
      </c>
      <c r="L201" s="24">
        <f t="shared" si="5"/>
        <v>10.499999999999998</v>
      </c>
      <c r="N201" s="4">
        <v>5</v>
      </c>
      <c r="O201" s="24" t="e">
        <f>#REF!</f>
        <v>#REF!</v>
      </c>
      <c r="P201" t="s">
        <v>80</v>
      </c>
      <c r="R201" s="4">
        <v>9</v>
      </c>
      <c r="S201" s="24">
        <f t="shared" si="9"/>
        <v>6.2999999999999989</v>
      </c>
      <c r="T201" s="24">
        <f t="shared" si="10"/>
        <v>8.3999999999999986</v>
      </c>
      <c r="U201" s="24">
        <f t="shared" si="6"/>
        <v>10.499999999999998</v>
      </c>
      <c r="V201" s="24">
        <f t="shared" si="7"/>
        <v>14.129258494418696</v>
      </c>
    </row>
    <row r="202" spans="2:24" x14ac:dyDescent="0.25">
      <c r="B202">
        <f t="shared" si="8"/>
        <v>76.266666666666652</v>
      </c>
      <c r="D202" s="4">
        <v>10</v>
      </c>
      <c r="E202" s="24">
        <f t="shared" si="0"/>
        <v>5.7199999999999989</v>
      </c>
      <c r="F202" s="24">
        <f t="shared" si="1"/>
        <v>7.6266666666666652</v>
      </c>
      <c r="G202" s="24">
        <f t="shared" si="2"/>
        <v>9.5333333333333314</v>
      </c>
      <c r="I202" s="4">
        <v>10</v>
      </c>
      <c r="J202" s="24">
        <f t="shared" si="3"/>
        <v>5.7199999999999989</v>
      </c>
      <c r="K202" s="24">
        <f t="shared" si="4"/>
        <v>7.6266666666666652</v>
      </c>
      <c r="L202" s="24">
        <f t="shared" si="5"/>
        <v>9.5333333333333314</v>
      </c>
      <c r="N202" s="4">
        <v>6</v>
      </c>
      <c r="O202" s="24" t="e">
        <f>O$206+((O$201-O$206)*4/6)</f>
        <v>#REF!</v>
      </c>
      <c r="R202" s="4">
        <v>10</v>
      </c>
      <c r="S202" s="24">
        <f t="shared" si="9"/>
        <v>5.7199999999999989</v>
      </c>
      <c r="T202" s="24">
        <f t="shared" si="10"/>
        <v>7.6266666666666652</v>
      </c>
      <c r="U202" s="24">
        <f t="shared" si="6"/>
        <v>9.5333333333333314</v>
      </c>
      <c r="V202" s="24">
        <f t="shared" si="7"/>
        <v>12.716332644976827</v>
      </c>
    </row>
    <row r="203" spans="2:24" x14ac:dyDescent="0.25">
      <c r="B203">
        <f t="shared" si="8"/>
        <v>76.933333333333323</v>
      </c>
      <c r="D203" s="4">
        <v>11</v>
      </c>
      <c r="E203" s="24">
        <f t="shared" si="0"/>
        <v>5.2454545454545451</v>
      </c>
      <c r="F203" s="24">
        <f t="shared" si="1"/>
        <v>6.9939393939393932</v>
      </c>
      <c r="G203" s="24">
        <f t="shared" si="2"/>
        <v>8.7424242424242422</v>
      </c>
      <c r="I203" s="4">
        <v>11</v>
      </c>
      <c r="J203" s="24">
        <f t="shared" si="3"/>
        <v>5.2454545454545451</v>
      </c>
      <c r="K203" s="24">
        <f t="shared" si="4"/>
        <v>6.9939393939393932</v>
      </c>
      <c r="L203" s="24">
        <f t="shared" si="5"/>
        <v>8.7424242424242422</v>
      </c>
      <c r="N203" s="4">
        <v>7</v>
      </c>
      <c r="O203" s="24" t="e">
        <f>O$206+((O$201-O$206)*3/7)</f>
        <v>#REF!</v>
      </c>
      <c r="R203" s="4">
        <v>11</v>
      </c>
      <c r="S203" s="24">
        <f t="shared" si="9"/>
        <v>5.2454545454545451</v>
      </c>
      <c r="T203" s="24">
        <f t="shared" si="10"/>
        <v>6.9939393939393932</v>
      </c>
      <c r="U203" s="24">
        <f t="shared" si="6"/>
        <v>8.7424242424242422</v>
      </c>
      <c r="V203" s="24">
        <f t="shared" si="7"/>
        <v>11.560302404524387</v>
      </c>
    </row>
    <row r="204" spans="2:24" x14ac:dyDescent="0.25">
      <c r="B204">
        <f t="shared" si="8"/>
        <v>77.599999999999994</v>
      </c>
      <c r="D204" s="4">
        <v>12</v>
      </c>
      <c r="E204" s="24">
        <f t="shared" si="0"/>
        <v>4.8499999999999996</v>
      </c>
      <c r="F204" s="24">
        <f t="shared" si="1"/>
        <v>6.4666666666666659</v>
      </c>
      <c r="G204" s="24">
        <f t="shared" si="2"/>
        <v>8.0833333333333321</v>
      </c>
      <c r="I204" s="4">
        <v>12</v>
      </c>
      <c r="J204" s="24">
        <f t="shared" si="3"/>
        <v>4.8499999999999996</v>
      </c>
      <c r="K204" s="24">
        <f t="shared" si="4"/>
        <v>6.4666666666666659</v>
      </c>
      <c r="L204" s="24">
        <f t="shared" si="5"/>
        <v>8.0833333333333321</v>
      </c>
      <c r="N204" s="4">
        <v>8</v>
      </c>
      <c r="O204" s="24" t="e">
        <f>O$206+((O$201-O$206)*2/8)</f>
        <v>#REF!</v>
      </c>
      <c r="R204" s="4">
        <v>12</v>
      </c>
      <c r="S204" s="24">
        <f t="shared" si="9"/>
        <v>4.8499999999999996</v>
      </c>
      <c r="T204" s="24">
        <f t="shared" si="10"/>
        <v>6.4666666666666659</v>
      </c>
      <c r="U204" s="24">
        <f t="shared" si="6"/>
        <v>8.0833333333333321</v>
      </c>
      <c r="V204" s="24">
        <f t="shared" si="7"/>
        <v>10.596943870814021</v>
      </c>
    </row>
    <row r="205" spans="2:24" x14ac:dyDescent="0.25">
      <c r="B205">
        <f t="shared" si="8"/>
        <v>78.266666666666652</v>
      </c>
      <c r="D205" s="4">
        <v>13</v>
      </c>
      <c r="E205" s="24">
        <f t="shared" si="0"/>
        <v>4.5153846153846144</v>
      </c>
      <c r="F205" s="24">
        <f t="shared" si="1"/>
        <v>6.0205128205128196</v>
      </c>
      <c r="G205" s="24">
        <f t="shared" si="2"/>
        <v>7.5256410256410247</v>
      </c>
      <c r="I205" s="4">
        <v>13</v>
      </c>
      <c r="J205" s="24">
        <f t="shared" si="3"/>
        <v>4.5153846153846144</v>
      </c>
      <c r="K205" s="24">
        <f t="shared" si="4"/>
        <v>6.0205128205128196</v>
      </c>
      <c r="L205" s="24">
        <f t="shared" si="5"/>
        <v>7.5256410256410247</v>
      </c>
      <c r="N205" s="4">
        <v>9</v>
      </c>
      <c r="O205" s="24" t="e">
        <f>O$206+((O$201-O$206)*1/9)</f>
        <v>#REF!</v>
      </c>
      <c r="R205" s="4">
        <v>13</v>
      </c>
      <c r="S205" s="24">
        <f t="shared" si="9"/>
        <v>4.5153846153846144</v>
      </c>
      <c r="T205" s="24">
        <f t="shared" si="10"/>
        <v>6.0205128205128196</v>
      </c>
      <c r="U205" s="24">
        <f t="shared" si="6"/>
        <v>7.5256410256410247</v>
      </c>
      <c r="V205" s="24">
        <f t="shared" si="7"/>
        <v>9.7817943422898672</v>
      </c>
    </row>
    <row r="206" spans="2:24" x14ac:dyDescent="0.25">
      <c r="B206">
        <f t="shared" si="8"/>
        <v>78.933333333333323</v>
      </c>
      <c r="D206" s="4">
        <v>14</v>
      </c>
      <c r="E206" s="24">
        <f t="shared" si="0"/>
        <v>4.2285714285714278</v>
      </c>
      <c r="F206" s="24">
        <f t="shared" si="1"/>
        <v>5.6380952380952376</v>
      </c>
      <c r="G206" s="24">
        <f t="shared" si="2"/>
        <v>7.0476190476190474</v>
      </c>
      <c r="I206" s="4">
        <v>14</v>
      </c>
      <c r="J206" s="24">
        <f t="shared" si="3"/>
        <v>4.2285714285714278</v>
      </c>
      <c r="K206" s="24">
        <f t="shared" si="4"/>
        <v>5.6380952380952376</v>
      </c>
      <c r="L206" s="24">
        <f t="shared" si="5"/>
        <v>7.0476190476190474</v>
      </c>
      <c r="N206" s="4">
        <v>10</v>
      </c>
      <c r="O206" s="24" t="e">
        <f>#REF!</f>
        <v>#REF!</v>
      </c>
      <c r="P206" t="s">
        <v>80</v>
      </c>
      <c r="R206" s="4">
        <v>14</v>
      </c>
      <c r="S206" s="24">
        <f t="shared" si="9"/>
        <v>4.2285714285714278</v>
      </c>
      <c r="T206" s="24">
        <f t="shared" si="10"/>
        <v>5.6380952380952376</v>
      </c>
      <c r="U206" s="24">
        <f t="shared" si="6"/>
        <v>7.0476190476190474</v>
      </c>
      <c r="V206" s="24">
        <f t="shared" si="7"/>
        <v>9.0830947464120193</v>
      </c>
    </row>
    <row r="207" spans="2:24" x14ac:dyDescent="0.25">
      <c r="B207">
        <f t="shared" si="8"/>
        <v>79.599999999999994</v>
      </c>
      <c r="D207" s="4">
        <v>15</v>
      </c>
      <c r="E207" s="24">
        <f t="shared" si="0"/>
        <v>3.98</v>
      </c>
      <c r="F207" s="24">
        <f t="shared" si="1"/>
        <v>5.3066666666666666</v>
      </c>
      <c r="G207" s="24">
        <f t="shared" si="2"/>
        <v>6.6333333333333329</v>
      </c>
      <c r="I207" s="4">
        <v>15</v>
      </c>
      <c r="J207" s="24">
        <f t="shared" si="3"/>
        <v>3.98</v>
      </c>
      <c r="K207" s="24">
        <f t="shared" si="4"/>
        <v>5.3066666666666666</v>
      </c>
      <c r="L207" s="24">
        <f t="shared" si="5"/>
        <v>6.6333333333333329</v>
      </c>
      <c r="N207" s="4">
        <v>11</v>
      </c>
      <c r="O207" s="24" t="e">
        <f>O$211+((O$206-O$211)*4/6)</f>
        <v>#REF!</v>
      </c>
      <c r="R207" s="4">
        <v>15</v>
      </c>
      <c r="S207" s="24">
        <f t="shared" si="9"/>
        <v>3.98</v>
      </c>
      <c r="T207" s="24">
        <f t="shared" si="10"/>
        <v>5.3066666666666666</v>
      </c>
      <c r="U207" s="24">
        <f t="shared" si="6"/>
        <v>6.6333333333333329</v>
      </c>
      <c r="V207" s="24">
        <f t="shared" si="7"/>
        <v>8.4775550966512174</v>
      </c>
    </row>
    <row r="208" spans="2:24" x14ac:dyDescent="0.25">
      <c r="B208">
        <f t="shared" si="8"/>
        <v>80.266666666666652</v>
      </c>
      <c r="D208" s="4">
        <v>16</v>
      </c>
      <c r="E208" s="24">
        <f t="shared" si="0"/>
        <v>3.7624999999999993</v>
      </c>
      <c r="F208" s="24">
        <f t="shared" si="1"/>
        <v>5.0166666666666657</v>
      </c>
      <c r="G208" s="24">
        <f t="shared" si="2"/>
        <v>6.2708333333333321</v>
      </c>
      <c r="I208" s="4">
        <v>16</v>
      </c>
      <c r="J208" s="24">
        <f t="shared" si="3"/>
        <v>3.7624999999999993</v>
      </c>
      <c r="K208" s="24">
        <f t="shared" si="4"/>
        <v>5.0166666666666657</v>
      </c>
      <c r="L208" s="24">
        <f t="shared" si="5"/>
        <v>6.2708333333333321</v>
      </c>
      <c r="N208" s="4">
        <v>12</v>
      </c>
      <c r="O208" s="24" t="e">
        <f>O$211+((O$206-O$211)*3/7)</f>
        <v>#REF!</v>
      </c>
      <c r="R208" s="4">
        <v>16</v>
      </c>
      <c r="S208" s="24">
        <f t="shared" si="9"/>
        <v>3.7624999999999993</v>
      </c>
      <c r="T208" s="24">
        <f t="shared" si="10"/>
        <v>5.0166666666666657</v>
      </c>
      <c r="U208" s="24">
        <f t="shared" si="6"/>
        <v>6.2708333333333321</v>
      </c>
      <c r="V208" s="24">
        <f t="shared" si="7"/>
        <v>7.9477079031105164</v>
      </c>
    </row>
    <row r="209" spans="2:22" x14ac:dyDescent="0.25">
      <c r="B209">
        <f t="shared" si="8"/>
        <v>80.933333333333323</v>
      </c>
      <c r="D209" s="4">
        <v>17</v>
      </c>
      <c r="E209" s="24">
        <f t="shared" si="0"/>
        <v>3.570588235294117</v>
      </c>
      <c r="F209" s="24">
        <f t="shared" si="1"/>
        <v>4.7607843137254893</v>
      </c>
      <c r="G209" s="24">
        <f t="shared" si="2"/>
        <v>5.9509803921568611</v>
      </c>
      <c r="I209" s="4">
        <v>17</v>
      </c>
      <c r="J209" s="24">
        <f t="shared" si="3"/>
        <v>3.570588235294117</v>
      </c>
      <c r="K209" s="24">
        <f t="shared" si="4"/>
        <v>4.7607843137254893</v>
      </c>
      <c r="L209" s="24">
        <f t="shared" si="5"/>
        <v>5.9509803921568611</v>
      </c>
      <c r="N209" s="4">
        <v>13</v>
      </c>
      <c r="O209" s="24" t="e">
        <f>O$211+((O$206-O$211)*2/8)</f>
        <v>#REF!</v>
      </c>
      <c r="R209" s="4">
        <v>17</v>
      </c>
      <c r="S209" s="24">
        <f t="shared" si="9"/>
        <v>3.570588235294117</v>
      </c>
      <c r="T209" s="24">
        <f t="shared" si="10"/>
        <v>4.7607843137254893</v>
      </c>
      <c r="U209" s="24">
        <f t="shared" si="6"/>
        <v>5.9509803921568611</v>
      </c>
      <c r="V209" s="24">
        <f t="shared" si="7"/>
        <v>7.4801956735157802</v>
      </c>
    </row>
    <row r="210" spans="2:22" x14ac:dyDescent="0.25">
      <c r="B210">
        <f t="shared" si="8"/>
        <v>81.599999999999994</v>
      </c>
      <c r="D210" s="4">
        <v>18</v>
      </c>
      <c r="E210" s="24">
        <f t="shared" ref="E210:E272" si="11">(1-$F$280)*F210</f>
        <v>3.4</v>
      </c>
      <c r="F210" s="24">
        <f t="shared" si="1"/>
        <v>4.5333333333333332</v>
      </c>
      <c r="G210" s="24">
        <f t="shared" ref="G210:G272" si="12">F210*(1+$F$280)</f>
        <v>5.6666666666666661</v>
      </c>
      <c r="I210" s="4">
        <v>18</v>
      </c>
      <c r="J210" s="24">
        <f t="shared" ref="J210:J272" si="13">IF(E210&gt;$F$179,$F$179,E210)</f>
        <v>3.4</v>
      </c>
      <c r="K210" s="24">
        <f t="shared" ref="K210:K272" si="14">IF(F210&gt;$F$180,$F$180,F210)</f>
        <v>4.5333333333333332</v>
      </c>
      <c r="L210" s="24">
        <f t="shared" ref="L210:L272" si="15">IF(G210&gt;$F$181,$F$181,G210)</f>
        <v>5.6666666666666661</v>
      </c>
      <c r="N210" s="4">
        <v>14</v>
      </c>
      <c r="O210" s="24" t="e">
        <f>O$211+((O$206-O$211)*1/9)</f>
        <v>#REF!</v>
      </c>
      <c r="R210" s="4">
        <v>18</v>
      </c>
      <c r="S210" s="24">
        <f t="shared" ref="S210:S212" si="16">IF($R210&gt;$F$177,0.0000000005,J210)</f>
        <v>3.4</v>
      </c>
      <c r="T210" s="24">
        <f t="shared" ref="T210:T212" si="17">IF($R210&gt;$F$177,0.0000000005,K210)</f>
        <v>4.5333333333333332</v>
      </c>
      <c r="U210" s="24">
        <f t="shared" ref="U210:U212" si="18">IF($R210&gt;$F$177,0.0000000005,L210)</f>
        <v>5.6666666666666661</v>
      </c>
      <c r="V210" s="24">
        <f t="shared" ref="V210:V212" si="19">$X$193/R210</f>
        <v>7.0646292472093482</v>
      </c>
    </row>
    <row r="211" spans="2:22" x14ac:dyDescent="0.25">
      <c r="B211">
        <f t="shared" si="8"/>
        <v>82.266666666666652</v>
      </c>
      <c r="D211" s="4">
        <v>19</v>
      </c>
      <c r="E211" s="24">
        <f t="shared" si="11"/>
        <v>3.2473684210526308</v>
      </c>
      <c r="F211" s="24">
        <f t="shared" si="1"/>
        <v>4.329824561403508</v>
      </c>
      <c r="G211" s="24">
        <f t="shared" si="12"/>
        <v>5.4122807017543852</v>
      </c>
      <c r="I211" s="4">
        <v>19</v>
      </c>
      <c r="J211" s="24">
        <f t="shared" si="13"/>
        <v>3.2473684210526308</v>
      </c>
      <c r="K211" s="24">
        <f t="shared" si="14"/>
        <v>4.329824561403508</v>
      </c>
      <c r="L211" s="24">
        <f t="shared" si="15"/>
        <v>5.4122807017543852</v>
      </c>
      <c r="N211" s="4">
        <v>15</v>
      </c>
      <c r="O211" s="24" t="e">
        <f>#REF!</f>
        <v>#REF!</v>
      </c>
      <c r="P211" t="s">
        <v>80</v>
      </c>
      <c r="R211" s="4">
        <v>19</v>
      </c>
      <c r="S211" s="24">
        <f t="shared" si="16"/>
        <v>3.2473684210526308</v>
      </c>
      <c r="T211" s="24">
        <f t="shared" si="17"/>
        <v>4.329824561403508</v>
      </c>
      <c r="U211" s="24">
        <f t="shared" si="18"/>
        <v>5.4122807017543852</v>
      </c>
      <c r="V211" s="24">
        <f t="shared" si="19"/>
        <v>6.6928066552509611</v>
      </c>
    </row>
    <row r="212" spans="2:22" x14ac:dyDescent="0.25">
      <c r="B212">
        <f t="shared" si="8"/>
        <v>82.933333333333337</v>
      </c>
      <c r="D212" s="4">
        <v>20</v>
      </c>
      <c r="E212" s="24">
        <f t="shared" si="11"/>
        <v>3.11</v>
      </c>
      <c r="F212" s="24">
        <f t="shared" si="1"/>
        <v>4.1466666666666665</v>
      </c>
      <c r="G212" s="24">
        <f t="shared" si="12"/>
        <v>5.1833333333333336</v>
      </c>
      <c r="I212" s="4">
        <v>20</v>
      </c>
      <c r="J212" s="24">
        <f t="shared" si="13"/>
        <v>3.11</v>
      </c>
      <c r="K212" s="24">
        <f t="shared" si="14"/>
        <v>4.1466666666666665</v>
      </c>
      <c r="L212" s="24">
        <f t="shared" si="15"/>
        <v>5.1833333333333336</v>
      </c>
      <c r="N212" s="4">
        <v>16</v>
      </c>
      <c r="O212" s="24" t="e">
        <f>O$216+((O$211-O$216)*4/6)</f>
        <v>#REF!</v>
      </c>
      <c r="R212" s="4">
        <v>20</v>
      </c>
      <c r="S212" s="24">
        <f t="shared" si="16"/>
        <v>3.11</v>
      </c>
      <c r="T212" s="24">
        <f t="shared" si="17"/>
        <v>4.1466666666666665</v>
      </c>
      <c r="U212" s="24">
        <f t="shared" si="18"/>
        <v>5.1833333333333336</v>
      </c>
      <c r="V212" s="24">
        <f t="shared" si="19"/>
        <v>6.3581663224884135</v>
      </c>
    </row>
    <row r="213" spans="2:22" x14ac:dyDescent="0.25">
      <c r="B213">
        <f t="shared" si="8"/>
        <v>83.6</v>
      </c>
      <c r="D213" s="4">
        <v>21</v>
      </c>
      <c r="E213" s="24">
        <f t="shared" si="11"/>
        <v>2.9857142857142853</v>
      </c>
      <c r="F213" s="24">
        <f t="shared" si="1"/>
        <v>3.9809523809523806</v>
      </c>
      <c r="G213" s="24">
        <f t="shared" si="12"/>
        <v>4.9761904761904754</v>
      </c>
      <c r="I213" s="4">
        <v>21</v>
      </c>
      <c r="J213" s="24">
        <f t="shared" si="13"/>
        <v>2.9857142857142853</v>
      </c>
      <c r="K213" s="24">
        <f t="shared" si="14"/>
        <v>3.9809523809523806</v>
      </c>
      <c r="L213" s="24">
        <f t="shared" si="15"/>
        <v>4.9761904761904754</v>
      </c>
      <c r="N213" s="4">
        <v>17</v>
      </c>
      <c r="O213" s="24" t="e">
        <f>O$216+((O$211-O$216)*3/7)</f>
        <v>#REF!</v>
      </c>
      <c r="R213" s="4">
        <v>21</v>
      </c>
      <c r="S213" s="24">
        <f t="shared" ref="S213:S228" si="20">IF($R213&gt;$F$177,0.0000000005,J213)</f>
        <v>2.9857142857142853</v>
      </c>
      <c r="T213" s="24">
        <f t="shared" ref="T213:T228" si="21">IF($R213&gt;$F$177,0.0000000005,K213)</f>
        <v>3.9809523809523806</v>
      </c>
      <c r="U213" s="24">
        <f t="shared" ref="U213:U228" si="22">IF($R213&gt;$F$177,0.0000000005,L213)</f>
        <v>4.9761904761904754</v>
      </c>
      <c r="V213" s="24">
        <f t="shared" ref="V213:V249" si="23">$X$193/R213</f>
        <v>6.0553964976080126</v>
      </c>
    </row>
    <row r="214" spans="2:22" x14ac:dyDescent="0.25">
      <c r="B214">
        <f t="shared" si="8"/>
        <v>84.266666666666652</v>
      </c>
      <c r="D214" s="4">
        <v>22</v>
      </c>
      <c r="E214" s="24">
        <f t="shared" si="11"/>
        <v>2.8727272727272721</v>
      </c>
      <c r="F214" s="24">
        <f t="shared" si="1"/>
        <v>3.8303030303030297</v>
      </c>
      <c r="G214" s="24">
        <f t="shared" si="12"/>
        <v>4.7878787878787872</v>
      </c>
      <c r="I214" s="4">
        <v>22</v>
      </c>
      <c r="J214" s="24">
        <f t="shared" si="13"/>
        <v>2.8727272727272721</v>
      </c>
      <c r="K214" s="24">
        <f t="shared" si="14"/>
        <v>3.8303030303030297</v>
      </c>
      <c r="L214" s="24">
        <f t="shared" si="15"/>
        <v>4.7878787878787872</v>
      </c>
      <c r="N214" s="4">
        <v>18</v>
      </c>
      <c r="O214" s="24" t="e">
        <f>O$216+((O$211-O$216)*2/8)</f>
        <v>#REF!</v>
      </c>
      <c r="R214" s="4">
        <v>22</v>
      </c>
      <c r="S214" s="24">
        <f t="shared" si="20"/>
        <v>2.8727272727272721</v>
      </c>
      <c r="T214" s="24">
        <f t="shared" si="21"/>
        <v>3.8303030303030297</v>
      </c>
      <c r="U214" s="24">
        <f t="shared" si="22"/>
        <v>4.7878787878787872</v>
      </c>
      <c r="V214" s="24">
        <f t="shared" si="23"/>
        <v>5.7801512022621937</v>
      </c>
    </row>
    <row r="215" spans="2:22" x14ac:dyDescent="0.25">
      <c r="B215">
        <f t="shared" si="8"/>
        <v>84.933333333333323</v>
      </c>
      <c r="D215" s="4">
        <v>23</v>
      </c>
      <c r="E215" s="24">
        <f t="shared" si="11"/>
        <v>2.7695652173913041</v>
      </c>
      <c r="F215" s="24">
        <f t="shared" si="1"/>
        <v>3.6927536231884055</v>
      </c>
      <c r="G215" s="24">
        <f t="shared" si="12"/>
        <v>4.6159420289855069</v>
      </c>
      <c r="I215" s="4">
        <v>23</v>
      </c>
      <c r="J215" s="24">
        <f t="shared" si="13"/>
        <v>2.7695652173913041</v>
      </c>
      <c r="K215" s="24">
        <f t="shared" si="14"/>
        <v>3.6927536231884055</v>
      </c>
      <c r="L215" s="24">
        <f t="shared" si="15"/>
        <v>4.6159420289855069</v>
      </c>
      <c r="N215" s="4">
        <v>19</v>
      </c>
      <c r="O215" s="24" t="e">
        <f>O$216+((O$211-O$216)*1/9)</f>
        <v>#REF!</v>
      </c>
      <c r="R215" s="4">
        <v>23</v>
      </c>
      <c r="S215" s="24">
        <f t="shared" si="20"/>
        <v>2.7695652173913041</v>
      </c>
      <c r="T215" s="24">
        <f t="shared" si="21"/>
        <v>3.6927536231884055</v>
      </c>
      <c r="U215" s="24">
        <f t="shared" si="22"/>
        <v>4.6159420289855069</v>
      </c>
      <c r="V215" s="24">
        <f t="shared" si="23"/>
        <v>5.5288402804247072</v>
      </c>
    </row>
    <row r="216" spans="2:22" x14ac:dyDescent="0.25">
      <c r="B216">
        <f t="shared" si="8"/>
        <v>85.6</v>
      </c>
      <c r="D216" s="4">
        <v>24</v>
      </c>
      <c r="E216" s="24">
        <f t="shared" si="11"/>
        <v>2.6749999999999998</v>
      </c>
      <c r="F216" s="24">
        <f t="shared" si="1"/>
        <v>3.5666666666666664</v>
      </c>
      <c r="G216" s="24">
        <f t="shared" si="12"/>
        <v>4.458333333333333</v>
      </c>
      <c r="I216" s="4">
        <v>24</v>
      </c>
      <c r="J216" s="24">
        <f t="shared" si="13"/>
        <v>2.6749999999999998</v>
      </c>
      <c r="K216" s="24">
        <f t="shared" si="14"/>
        <v>3.5666666666666664</v>
      </c>
      <c r="L216" s="24">
        <f t="shared" si="15"/>
        <v>4.458333333333333</v>
      </c>
      <c r="N216" s="4">
        <v>20</v>
      </c>
      <c r="O216" s="24" t="e">
        <f>#REF!</f>
        <v>#REF!</v>
      </c>
      <c r="P216" t="s">
        <v>80</v>
      </c>
      <c r="R216" s="4">
        <v>24</v>
      </c>
      <c r="S216" s="24">
        <f t="shared" si="20"/>
        <v>2.6749999999999998</v>
      </c>
      <c r="T216" s="24">
        <f t="shared" si="21"/>
        <v>3.5666666666666664</v>
      </c>
      <c r="U216" s="24">
        <f t="shared" si="22"/>
        <v>4.458333333333333</v>
      </c>
      <c r="V216" s="24">
        <f t="shared" si="23"/>
        <v>5.2984719354070107</v>
      </c>
    </row>
    <row r="217" spans="2:22" x14ac:dyDescent="0.25">
      <c r="B217">
        <f t="shared" si="8"/>
        <v>86.266666666666652</v>
      </c>
      <c r="D217" s="4">
        <v>25</v>
      </c>
      <c r="E217" s="24">
        <f t="shared" si="11"/>
        <v>2.5879999999999992</v>
      </c>
      <c r="F217" s="24">
        <f t="shared" si="1"/>
        <v>3.4506666666666659</v>
      </c>
      <c r="G217" s="24">
        <f t="shared" si="12"/>
        <v>4.3133333333333326</v>
      </c>
      <c r="I217" s="4">
        <v>25</v>
      </c>
      <c r="J217" s="24">
        <f t="shared" si="13"/>
        <v>2.5879999999999992</v>
      </c>
      <c r="K217" s="24">
        <f t="shared" si="14"/>
        <v>3.4506666666666659</v>
      </c>
      <c r="L217" s="24">
        <f t="shared" si="15"/>
        <v>4.3133333333333326</v>
      </c>
      <c r="R217" s="4">
        <v>25</v>
      </c>
      <c r="S217" s="24">
        <f t="shared" si="20"/>
        <v>2.5879999999999992</v>
      </c>
      <c r="T217" s="24">
        <f t="shared" si="21"/>
        <v>3.4506666666666659</v>
      </c>
      <c r="U217" s="24">
        <f t="shared" si="22"/>
        <v>4.3133333333333326</v>
      </c>
      <c r="V217" s="24">
        <f t="shared" si="23"/>
        <v>5.0865330579907306</v>
      </c>
    </row>
    <row r="218" spans="2:22" x14ac:dyDescent="0.25">
      <c r="B218">
        <f t="shared" si="8"/>
        <v>86.933333333333323</v>
      </c>
      <c r="D218" s="4">
        <v>26</v>
      </c>
      <c r="E218" s="24">
        <f t="shared" si="11"/>
        <v>2.5076923076923077</v>
      </c>
      <c r="F218" s="24">
        <f t="shared" si="1"/>
        <v>3.3435897435897433</v>
      </c>
      <c r="G218" s="24">
        <f t="shared" si="12"/>
        <v>4.1794871794871788</v>
      </c>
      <c r="I218" s="4">
        <v>26</v>
      </c>
      <c r="J218" s="24">
        <f t="shared" si="13"/>
        <v>2.5076923076923077</v>
      </c>
      <c r="K218" s="24">
        <f t="shared" si="14"/>
        <v>3.3435897435897433</v>
      </c>
      <c r="L218" s="24">
        <f t="shared" si="15"/>
        <v>4.1794871794871788</v>
      </c>
      <c r="R218" s="4">
        <v>26</v>
      </c>
      <c r="S218" s="24">
        <f t="shared" si="20"/>
        <v>5.0000000000000003E-10</v>
      </c>
      <c r="T218" s="24">
        <f t="shared" si="21"/>
        <v>5.0000000000000003E-10</v>
      </c>
      <c r="U218" s="24">
        <f t="shared" si="22"/>
        <v>5.0000000000000003E-10</v>
      </c>
      <c r="V218" s="24">
        <f t="shared" si="23"/>
        <v>4.8908971711449336</v>
      </c>
    </row>
    <row r="219" spans="2:22" x14ac:dyDescent="0.25">
      <c r="B219">
        <f t="shared" si="8"/>
        <v>87.6</v>
      </c>
      <c r="D219" s="4">
        <v>27</v>
      </c>
      <c r="E219" s="24">
        <f t="shared" si="11"/>
        <v>2.4333333333333331</v>
      </c>
      <c r="F219" s="24">
        <f t="shared" si="1"/>
        <v>3.244444444444444</v>
      </c>
      <c r="G219" s="24">
        <f t="shared" si="12"/>
        <v>4.0555555555555554</v>
      </c>
      <c r="I219" s="4">
        <v>27</v>
      </c>
      <c r="J219" s="24">
        <f t="shared" si="13"/>
        <v>2.4333333333333331</v>
      </c>
      <c r="K219" s="24">
        <f t="shared" si="14"/>
        <v>3.244444444444444</v>
      </c>
      <c r="L219" s="24">
        <f t="shared" si="15"/>
        <v>4.0555555555555554</v>
      </c>
      <c r="R219" s="4">
        <v>27</v>
      </c>
      <c r="S219" s="24">
        <f t="shared" si="20"/>
        <v>5.0000000000000003E-10</v>
      </c>
      <c r="T219" s="24">
        <f t="shared" si="21"/>
        <v>5.0000000000000003E-10</v>
      </c>
      <c r="U219" s="24">
        <f t="shared" si="22"/>
        <v>5.0000000000000003E-10</v>
      </c>
      <c r="V219" s="24">
        <f t="shared" si="23"/>
        <v>4.7097528314728985</v>
      </c>
    </row>
    <row r="220" spans="2:22" x14ac:dyDescent="0.25">
      <c r="B220">
        <f t="shared" si="8"/>
        <v>88.266666666666652</v>
      </c>
      <c r="D220" s="4">
        <v>28</v>
      </c>
      <c r="E220" s="24">
        <f t="shared" si="11"/>
        <v>2.3642857142857139</v>
      </c>
      <c r="F220" s="24">
        <f t="shared" si="1"/>
        <v>3.1523809523809518</v>
      </c>
      <c r="G220" s="24">
        <f t="shared" si="12"/>
        <v>3.9404761904761898</v>
      </c>
      <c r="I220" s="4">
        <v>28</v>
      </c>
      <c r="J220" s="24">
        <f t="shared" si="13"/>
        <v>2.3642857142857139</v>
      </c>
      <c r="K220" s="24">
        <f t="shared" si="14"/>
        <v>3.1523809523809518</v>
      </c>
      <c r="L220" s="24">
        <f t="shared" si="15"/>
        <v>3.9404761904761898</v>
      </c>
      <c r="R220" s="4">
        <v>28</v>
      </c>
      <c r="S220" s="24">
        <f t="shared" si="20"/>
        <v>5.0000000000000003E-10</v>
      </c>
      <c r="T220" s="24">
        <f t="shared" si="21"/>
        <v>5.0000000000000003E-10</v>
      </c>
      <c r="U220" s="24">
        <f t="shared" si="22"/>
        <v>5.0000000000000003E-10</v>
      </c>
      <c r="V220" s="24">
        <f t="shared" si="23"/>
        <v>4.5415473732060097</v>
      </c>
    </row>
    <row r="221" spans="2:22" x14ac:dyDescent="0.25">
      <c r="B221">
        <f t="shared" si="8"/>
        <v>88.933333333333323</v>
      </c>
      <c r="D221" s="4">
        <v>29</v>
      </c>
      <c r="E221" s="24">
        <f t="shared" si="11"/>
        <v>2.2999999999999998</v>
      </c>
      <c r="F221" s="24">
        <f t="shared" si="1"/>
        <v>3.0666666666666664</v>
      </c>
      <c r="G221" s="24">
        <f t="shared" si="12"/>
        <v>3.833333333333333</v>
      </c>
      <c r="I221" s="4">
        <v>29</v>
      </c>
      <c r="J221" s="24">
        <f t="shared" si="13"/>
        <v>2.2999999999999998</v>
      </c>
      <c r="K221" s="24">
        <f t="shared" si="14"/>
        <v>3.0666666666666664</v>
      </c>
      <c r="L221" s="24">
        <f t="shared" si="15"/>
        <v>3.833333333333333</v>
      </c>
      <c r="R221" s="4">
        <v>29</v>
      </c>
      <c r="S221" s="24">
        <f t="shared" si="20"/>
        <v>5.0000000000000003E-10</v>
      </c>
      <c r="T221" s="24">
        <f t="shared" si="21"/>
        <v>5.0000000000000003E-10</v>
      </c>
      <c r="U221" s="24">
        <f t="shared" si="22"/>
        <v>5.0000000000000003E-10</v>
      </c>
      <c r="V221" s="24">
        <f t="shared" si="23"/>
        <v>4.3849422913713196</v>
      </c>
    </row>
    <row r="222" spans="2:22" x14ac:dyDescent="0.25">
      <c r="B222">
        <f t="shared" si="8"/>
        <v>89.6</v>
      </c>
      <c r="D222" s="4">
        <v>30</v>
      </c>
      <c r="E222" s="24">
        <f t="shared" si="11"/>
        <v>2.2399999999999998</v>
      </c>
      <c r="F222" s="24">
        <f t="shared" si="1"/>
        <v>2.9866666666666664</v>
      </c>
      <c r="G222" s="24">
        <f t="shared" si="12"/>
        <v>3.7333333333333329</v>
      </c>
      <c r="I222" s="4">
        <v>30</v>
      </c>
      <c r="J222" s="24">
        <f t="shared" si="13"/>
        <v>2.2399999999999998</v>
      </c>
      <c r="K222" s="24">
        <f t="shared" si="14"/>
        <v>2.9866666666666664</v>
      </c>
      <c r="L222" s="24">
        <f t="shared" si="15"/>
        <v>3.7333333333333329</v>
      </c>
      <c r="R222" s="4">
        <v>30</v>
      </c>
      <c r="S222" s="24">
        <f t="shared" si="20"/>
        <v>5.0000000000000003E-10</v>
      </c>
      <c r="T222" s="24">
        <f t="shared" si="21"/>
        <v>5.0000000000000003E-10</v>
      </c>
      <c r="U222" s="24">
        <f t="shared" si="22"/>
        <v>5.0000000000000003E-10</v>
      </c>
      <c r="V222" s="24">
        <f t="shared" si="23"/>
        <v>4.2387775483256087</v>
      </c>
    </row>
    <row r="223" spans="2:22" x14ac:dyDescent="0.25">
      <c r="B223">
        <f t="shared" si="8"/>
        <v>90.266666666666652</v>
      </c>
      <c r="D223" s="4">
        <v>31</v>
      </c>
      <c r="E223" s="24">
        <f t="shared" si="11"/>
        <v>2.1838709677419352</v>
      </c>
      <c r="F223" s="24">
        <f t="shared" si="1"/>
        <v>2.9118279569892467</v>
      </c>
      <c r="G223" s="24">
        <f t="shared" si="12"/>
        <v>3.6397849462365581</v>
      </c>
      <c r="I223" s="4">
        <v>31</v>
      </c>
      <c r="J223" s="24">
        <f t="shared" si="13"/>
        <v>2.1838709677419352</v>
      </c>
      <c r="K223" s="24">
        <f t="shared" si="14"/>
        <v>2.9118279569892467</v>
      </c>
      <c r="L223" s="24">
        <f t="shared" si="15"/>
        <v>3.6397849462365581</v>
      </c>
      <c r="R223" s="4">
        <v>31</v>
      </c>
      <c r="S223" s="24">
        <f t="shared" si="20"/>
        <v>5.0000000000000003E-10</v>
      </c>
      <c r="T223" s="24">
        <f t="shared" si="21"/>
        <v>5.0000000000000003E-10</v>
      </c>
      <c r="U223" s="24">
        <f t="shared" si="22"/>
        <v>5.0000000000000003E-10</v>
      </c>
      <c r="V223" s="24">
        <f t="shared" si="23"/>
        <v>4.1020427887022022</v>
      </c>
    </row>
    <row r="224" spans="2:22" x14ac:dyDescent="0.25">
      <c r="B224">
        <f t="shared" si="8"/>
        <v>90.933333333333323</v>
      </c>
      <c r="D224" s="4">
        <v>32</v>
      </c>
      <c r="E224" s="24">
        <f t="shared" si="11"/>
        <v>2.1312499999999996</v>
      </c>
      <c r="F224" s="24">
        <f t="shared" si="1"/>
        <v>2.8416666666666663</v>
      </c>
      <c r="G224" s="24">
        <f t="shared" si="12"/>
        <v>3.552083333333333</v>
      </c>
      <c r="I224" s="4">
        <v>32</v>
      </c>
      <c r="J224" s="24">
        <f t="shared" si="13"/>
        <v>2.1312499999999996</v>
      </c>
      <c r="K224" s="24">
        <f t="shared" si="14"/>
        <v>2.8416666666666663</v>
      </c>
      <c r="L224" s="24">
        <f t="shared" si="15"/>
        <v>3.552083333333333</v>
      </c>
      <c r="R224" s="4">
        <v>32</v>
      </c>
      <c r="S224" s="24">
        <f t="shared" si="20"/>
        <v>5.0000000000000003E-10</v>
      </c>
      <c r="T224" s="24">
        <f t="shared" si="21"/>
        <v>5.0000000000000003E-10</v>
      </c>
      <c r="U224" s="24">
        <f t="shared" si="22"/>
        <v>5.0000000000000003E-10</v>
      </c>
      <c r="V224" s="24">
        <f t="shared" si="23"/>
        <v>3.9738539515552582</v>
      </c>
    </row>
    <row r="225" spans="2:22" x14ac:dyDescent="0.25">
      <c r="B225">
        <f t="shared" si="8"/>
        <v>91.6</v>
      </c>
      <c r="D225" s="4">
        <v>33</v>
      </c>
      <c r="E225" s="24">
        <f t="shared" si="11"/>
        <v>2.0818181818181816</v>
      </c>
      <c r="F225" s="24">
        <f t="shared" ref="F225:F256" si="24">($F$184+(D225-VINMAX)*$E$277/$E$278)/D225</f>
        <v>2.7757575757575754</v>
      </c>
      <c r="G225" s="24">
        <f t="shared" si="12"/>
        <v>3.4696969696969693</v>
      </c>
      <c r="I225" s="4">
        <v>33</v>
      </c>
      <c r="J225" s="24">
        <f t="shared" si="13"/>
        <v>2.0818181818181816</v>
      </c>
      <c r="K225" s="24">
        <f t="shared" si="14"/>
        <v>2.7757575757575754</v>
      </c>
      <c r="L225" s="24">
        <f t="shared" si="15"/>
        <v>3.4696969696969693</v>
      </c>
      <c r="R225" s="4">
        <v>33</v>
      </c>
      <c r="S225" s="24">
        <f t="shared" si="20"/>
        <v>5.0000000000000003E-10</v>
      </c>
      <c r="T225" s="24">
        <f t="shared" si="21"/>
        <v>5.0000000000000003E-10</v>
      </c>
      <c r="U225" s="24">
        <f t="shared" si="22"/>
        <v>5.0000000000000003E-10</v>
      </c>
      <c r="V225" s="24">
        <f t="shared" si="23"/>
        <v>3.8534341348414625</v>
      </c>
    </row>
    <row r="226" spans="2:22" x14ac:dyDescent="0.25">
      <c r="B226">
        <f t="shared" si="8"/>
        <v>92.266666666666652</v>
      </c>
      <c r="D226" s="4">
        <v>34</v>
      </c>
      <c r="E226" s="24">
        <f t="shared" si="11"/>
        <v>2.0352941176470587</v>
      </c>
      <c r="F226" s="24">
        <f t="shared" si="24"/>
        <v>2.7137254901960781</v>
      </c>
      <c r="G226" s="24">
        <f t="shared" si="12"/>
        <v>3.3921568627450975</v>
      </c>
      <c r="I226" s="4">
        <v>34</v>
      </c>
      <c r="J226" s="24">
        <f t="shared" si="13"/>
        <v>2.0352941176470587</v>
      </c>
      <c r="K226" s="24">
        <f t="shared" si="14"/>
        <v>2.7137254901960781</v>
      </c>
      <c r="L226" s="24">
        <f t="shared" si="15"/>
        <v>3.3921568627450975</v>
      </c>
      <c r="R226" s="4">
        <v>34</v>
      </c>
      <c r="S226" s="24">
        <f t="shared" si="20"/>
        <v>5.0000000000000003E-10</v>
      </c>
      <c r="T226" s="24">
        <f t="shared" si="21"/>
        <v>5.0000000000000003E-10</v>
      </c>
      <c r="U226" s="24">
        <f t="shared" si="22"/>
        <v>5.0000000000000003E-10</v>
      </c>
      <c r="V226" s="24">
        <f t="shared" si="23"/>
        <v>3.7400978367578901</v>
      </c>
    </row>
    <row r="227" spans="2:22" x14ac:dyDescent="0.25">
      <c r="B227">
        <f t="shared" si="8"/>
        <v>92.933333333333323</v>
      </c>
      <c r="D227" s="4">
        <v>35</v>
      </c>
      <c r="E227" s="24">
        <f t="shared" si="11"/>
        <v>1.9914285714285711</v>
      </c>
      <c r="F227" s="24">
        <f t="shared" si="24"/>
        <v>2.655238095238095</v>
      </c>
      <c r="G227" s="24">
        <f t="shared" si="12"/>
        <v>3.3190476190476188</v>
      </c>
      <c r="I227" s="4">
        <v>35</v>
      </c>
      <c r="J227" s="24">
        <f t="shared" si="13"/>
        <v>1.9914285714285711</v>
      </c>
      <c r="K227" s="24">
        <f t="shared" si="14"/>
        <v>2.655238095238095</v>
      </c>
      <c r="L227" s="24">
        <f t="shared" si="15"/>
        <v>3.3190476190476188</v>
      </c>
      <c r="R227" s="4">
        <v>35</v>
      </c>
      <c r="S227" s="24">
        <f t="shared" si="20"/>
        <v>5.0000000000000003E-10</v>
      </c>
      <c r="T227" s="24">
        <f t="shared" si="21"/>
        <v>5.0000000000000003E-10</v>
      </c>
      <c r="U227" s="24">
        <f t="shared" si="22"/>
        <v>5.0000000000000003E-10</v>
      </c>
      <c r="V227" s="24">
        <f t="shared" si="23"/>
        <v>3.6332378985648077</v>
      </c>
    </row>
    <row r="228" spans="2:22" x14ac:dyDescent="0.25">
      <c r="B228">
        <f t="shared" si="8"/>
        <v>93.6</v>
      </c>
      <c r="D228" s="4">
        <v>36</v>
      </c>
      <c r="E228" s="24">
        <f t="shared" si="11"/>
        <v>1.9499999999999997</v>
      </c>
      <c r="F228" s="24">
        <f t="shared" si="24"/>
        <v>2.5999999999999996</v>
      </c>
      <c r="G228" s="24">
        <f t="shared" si="12"/>
        <v>3.2499999999999996</v>
      </c>
      <c r="I228" s="4">
        <v>36</v>
      </c>
      <c r="J228" s="24">
        <f t="shared" si="13"/>
        <v>1.9499999999999997</v>
      </c>
      <c r="K228" s="24">
        <f t="shared" si="14"/>
        <v>2.5999999999999996</v>
      </c>
      <c r="L228" s="24">
        <f t="shared" si="15"/>
        <v>3.2499999999999996</v>
      </c>
      <c r="R228" s="4">
        <v>36</v>
      </c>
      <c r="S228" s="24">
        <f t="shared" si="20"/>
        <v>5.0000000000000003E-10</v>
      </c>
      <c r="T228" s="24">
        <f t="shared" si="21"/>
        <v>5.0000000000000003E-10</v>
      </c>
      <c r="U228" s="24">
        <f t="shared" si="22"/>
        <v>5.0000000000000003E-10</v>
      </c>
      <c r="V228" s="24">
        <f t="shared" si="23"/>
        <v>3.5323146236046741</v>
      </c>
    </row>
    <row r="229" spans="2:22" x14ac:dyDescent="0.25">
      <c r="B229">
        <f t="shared" si="8"/>
        <v>94.266666666666652</v>
      </c>
      <c r="D229" s="4">
        <v>37</v>
      </c>
      <c r="E229" s="24">
        <f t="shared" si="11"/>
        <v>1.9108108108108106</v>
      </c>
      <c r="F229" s="24">
        <f t="shared" si="24"/>
        <v>2.5477477477477475</v>
      </c>
      <c r="G229" s="24">
        <f t="shared" si="12"/>
        <v>3.1846846846846844</v>
      </c>
      <c r="I229" s="4">
        <v>37</v>
      </c>
      <c r="J229" s="24">
        <f t="shared" si="13"/>
        <v>1.9108108108108106</v>
      </c>
      <c r="K229" s="24">
        <f t="shared" si="14"/>
        <v>2.5477477477477475</v>
      </c>
      <c r="L229" s="24">
        <f t="shared" si="15"/>
        <v>3.1846846846846844</v>
      </c>
      <c r="R229" s="4">
        <v>37</v>
      </c>
      <c r="S229" s="24">
        <f t="shared" ref="S229:S233" si="25">IF($R229&gt;$F$177,0.0000000005,J229)</f>
        <v>5.0000000000000003E-10</v>
      </c>
      <c r="T229" s="24">
        <f t="shared" ref="T229:T233" si="26">IF($R229&gt;$F$177,0.0000000005,K229)</f>
        <v>5.0000000000000003E-10</v>
      </c>
      <c r="U229" s="24">
        <f t="shared" ref="U229:U233" si="27">IF($R229&gt;$F$177,0.0000000005,L229)</f>
        <v>5.0000000000000003E-10</v>
      </c>
      <c r="V229" s="24">
        <f t="shared" ref="V229:V233" si="28">$X$193/R229</f>
        <v>3.4368466608045476</v>
      </c>
    </row>
    <row r="230" spans="2:22" x14ac:dyDescent="0.25">
      <c r="B230">
        <f t="shared" si="8"/>
        <v>94.933333333333323</v>
      </c>
      <c r="D230" s="4">
        <v>38</v>
      </c>
      <c r="E230" s="24">
        <f t="shared" si="11"/>
        <v>1.8736842105263156</v>
      </c>
      <c r="F230" s="24">
        <f t="shared" si="24"/>
        <v>2.4982456140350875</v>
      </c>
      <c r="G230" s="24">
        <f t="shared" si="12"/>
        <v>3.1228070175438596</v>
      </c>
      <c r="I230" s="4">
        <v>38</v>
      </c>
      <c r="J230" s="24">
        <f t="shared" si="13"/>
        <v>1.8736842105263156</v>
      </c>
      <c r="K230" s="24">
        <f t="shared" si="14"/>
        <v>2.4982456140350875</v>
      </c>
      <c r="L230" s="24">
        <f t="shared" si="15"/>
        <v>3.1228070175438596</v>
      </c>
      <c r="R230" s="4">
        <v>38</v>
      </c>
      <c r="S230" s="24">
        <f t="shared" si="25"/>
        <v>5.0000000000000003E-10</v>
      </c>
      <c r="T230" s="24">
        <f t="shared" si="26"/>
        <v>5.0000000000000003E-10</v>
      </c>
      <c r="U230" s="24">
        <f t="shared" si="27"/>
        <v>5.0000000000000003E-10</v>
      </c>
      <c r="V230" s="24">
        <f t="shared" si="28"/>
        <v>3.3464033276254805</v>
      </c>
    </row>
    <row r="231" spans="2:22" x14ac:dyDescent="0.25">
      <c r="B231">
        <f t="shared" si="8"/>
        <v>95.6</v>
      </c>
      <c r="D231" s="4">
        <v>39</v>
      </c>
      <c r="E231" s="24">
        <f t="shared" si="11"/>
        <v>1.8384615384615381</v>
      </c>
      <c r="F231" s="24">
        <f t="shared" si="24"/>
        <v>2.451282051282051</v>
      </c>
      <c r="G231" s="24">
        <f t="shared" si="12"/>
        <v>3.0641025641025639</v>
      </c>
      <c r="I231" s="4">
        <v>39</v>
      </c>
      <c r="J231" s="24">
        <f t="shared" si="13"/>
        <v>1.8384615384615381</v>
      </c>
      <c r="K231" s="24">
        <f t="shared" si="14"/>
        <v>2.451282051282051</v>
      </c>
      <c r="L231" s="24">
        <f t="shared" si="15"/>
        <v>3.0641025641025639</v>
      </c>
      <c r="R231" s="4">
        <v>39</v>
      </c>
      <c r="S231" s="24">
        <f t="shared" si="25"/>
        <v>5.0000000000000003E-10</v>
      </c>
      <c r="T231" s="24">
        <f t="shared" si="26"/>
        <v>5.0000000000000003E-10</v>
      </c>
      <c r="U231" s="24">
        <f t="shared" si="27"/>
        <v>5.0000000000000003E-10</v>
      </c>
      <c r="V231" s="24">
        <f t="shared" si="28"/>
        <v>3.2605981140966223</v>
      </c>
    </row>
    <row r="232" spans="2:22" x14ac:dyDescent="0.25">
      <c r="B232">
        <f t="shared" si="8"/>
        <v>96.266666666666652</v>
      </c>
      <c r="D232" s="4">
        <v>40</v>
      </c>
      <c r="E232" s="24">
        <f t="shared" si="11"/>
        <v>1.8049999999999997</v>
      </c>
      <c r="F232" s="24">
        <f t="shared" si="24"/>
        <v>2.4066666666666663</v>
      </c>
      <c r="G232" s="24">
        <f t="shared" si="12"/>
        <v>3.0083333333333329</v>
      </c>
      <c r="I232" s="4">
        <v>40</v>
      </c>
      <c r="J232" s="24">
        <f t="shared" si="13"/>
        <v>1.8049999999999997</v>
      </c>
      <c r="K232" s="24">
        <f t="shared" si="14"/>
        <v>2.4066666666666663</v>
      </c>
      <c r="L232" s="24">
        <f t="shared" si="15"/>
        <v>3.0083333333333329</v>
      </c>
      <c r="R232" s="4">
        <v>40</v>
      </c>
      <c r="S232" s="24">
        <f t="shared" si="25"/>
        <v>5.0000000000000003E-10</v>
      </c>
      <c r="T232" s="24">
        <f t="shared" si="26"/>
        <v>5.0000000000000003E-10</v>
      </c>
      <c r="U232" s="24">
        <f t="shared" si="27"/>
        <v>5.0000000000000003E-10</v>
      </c>
      <c r="V232" s="24">
        <f t="shared" si="28"/>
        <v>3.1790831612442068</v>
      </c>
    </row>
    <row r="233" spans="2:22" x14ac:dyDescent="0.25">
      <c r="B233">
        <f t="shared" si="8"/>
        <v>96.933333333333323</v>
      </c>
      <c r="D233" s="4">
        <v>41</v>
      </c>
      <c r="E233" s="24">
        <f t="shared" si="11"/>
        <v>1.7731707317073169</v>
      </c>
      <c r="F233" s="24">
        <f t="shared" si="24"/>
        <v>2.3642276422764223</v>
      </c>
      <c r="G233" s="24">
        <f t="shared" si="12"/>
        <v>2.9552845528455278</v>
      </c>
      <c r="I233" s="4">
        <v>41</v>
      </c>
      <c r="J233" s="24">
        <f t="shared" si="13"/>
        <v>1.7731707317073169</v>
      </c>
      <c r="K233" s="24">
        <f t="shared" si="14"/>
        <v>2.3642276422764223</v>
      </c>
      <c r="L233" s="24">
        <f t="shared" si="15"/>
        <v>2.9552845528455278</v>
      </c>
      <c r="R233" s="4">
        <v>41</v>
      </c>
      <c r="S233" s="24">
        <f t="shared" si="25"/>
        <v>5.0000000000000003E-10</v>
      </c>
      <c r="T233" s="24">
        <f t="shared" si="26"/>
        <v>5.0000000000000003E-10</v>
      </c>
      <c r="U233" s="24">
        <f t="shared" si="27"/>
        <v>5.0000000000000003E-10</v>
      </c>
      <c r="V233" s="24">
        <f t="shared" si="28"/>
        <v>3.1015445475553234</v>
      </c>
    </row>
    <row r="234" spans="2:22" x14ac:dyDescent="0.25">
      <c r="B234">
        <f t="shared" si="8"/>
        <v>97.6</v>
      </c>
      <c r="D234" s="4">
        <v>42</v>
      </c>
      <c r="E234" s="24">
        <f t="shared" si="11"/>
        <v>1.7428571428571427</v>
      </c>
      <c r="F234" s="24">
        <f t="shared" si="24"/>
        <v>2.3238095238095235</v>
      </c>
      <c r="G234" s="24">
        <f t="shared" si="12"/>
        <v>2.9047619047619042</v>
      </c>
      <c r="I234" s="4">
        <v>42</v>
      </c>
      <c r="J234" s="24">
        <f t="shared" si="13"/>
        <v>1.7428571428571427</v>
      </c>
      <c r="K234" s="24">
        <f t="shared" si="14"/>
        <v>2.3238095238095235</v>
      </c>
      <c r="L234" s="24">
        <f t="shared" si="15"/>
        <v>2.9047619047619042</v>
      </c>
      <c r="R234" s="4">
        <v>42</v>
      </c>
      <c r="S234" s="24">
        <f t="shared" ref="S234:S249" si="29">IF($R234&gt;$F$177,0.0000000005,J234)</f>
        <v>5.0000000000000003E-10</v>
      </c>
      <c r="T234" s="24">
        <f t="shared" ref="T234:T249" si="30">IF($R234&gt;$F$177,0.0000000005,K234)</f>
        <v>5.0000000000000003E-10</v>
      </c>
      <c r="U234" s="24">
        <f t="shared" ref="U234:U249" si="31">IF($R234&gt;$F$177,0.0000000005,L234)</f>
        <v>5.0000000000000003E-10</v>
      </c>
      <c r="V234" s="24">
        <f t="shared" si="23"/>
        <v>3.0276982488040063</v>
      </c>
    </row>
    <row r="235" spans="2:22" x14ac:dyDescent="0.25">
      <c r="B235">
        <f t="shared" si="8"/>
        <v>98.266666666666637</v>
      </c>
      <c r="D235" s="4">
        <v>43</v>
      </c>
      <c r="E235" s="24">
        <f t="shared" si="11"/>
        <v>1.7139534883720926</v>
      </c>
      <c r="F235" s="24">
        <f t="shared" si="24"/>
        <v>2.2852713178294568</v>
      </c>
      <c r="G235" s="24">
        <f t="shared" si="12"/>
        <v>2.856589147286821</v>
      </c>
      <c r="I235" s="4">
        <v>43</v>
      </c>
      <c r="J235" s="24">
        <f t="shared" si="13"/>
        <v>1.7139534883720926</v>
      </c>
      <c r="K235" s="24">
        <f t="shared" si="14"/>
        <v>2.2852713178294568</v>
      </c>
      <c r="L235" s="24">
        <f t="shared" si="15"/>
        <v>2.856589147286821</v>
      </c>
      <c r="R235" s="4">
        <v>43</v>
      </c>
      <c r="S235" s="24">
        <f t="shared" si="29"/>
        <v>5.0000000000000003E-10</v>
      </c>
      <c r="T235" s="24">
        <f t="shared" si="30"/>
        <v>5.0000000000000003E-10</v>
      </c>
      <c r="U235" s="24">
        <f t="shared" si="31"/>
        <v>5.0000000000000003E-10</v>
      </c>
      <c r="V235" s="24">
        <f t="shared" si="23"/>
        <v>2.957286661622518</v>
      </c>
    </row>
    <row r="236" spans="2:22" x14ac:dyDescent="0.25">
      <c r="B236">
        <f t="shared" si="8"/>
        <v>98.933333333333309</v>
      </c>
      <c r="D236" s="4">
        <v>44</v>
      </c>
      <c r="E236" s="24">
        <f t="shared" si="11"/>
        <v>1.6863636363636361</v>
      </c>
      <c r="F236" s="24">
        <f t="shared" si="24"/>
        <v>2.2484848484848481</v>
      </c>
      <c r="G236" s="24">
        <f t="shared" si="12"/>
        <v>2.8106060606060601</v>
      </c>
      <c r="I236" s="4">
        <v>44</v>
      </c>
      <c r="J236" s="24">
        <f t="shared" si="13"/>
        <v>1.6863636363636361</v>
      </c>
      <c r="K236" s="24">
        <f t="shared" si="14"/>
        <v>2.2484848484848481</v>
      </c>
      <c r="L236" s="24">
        <f t="shared" si="15"/>
        <v>2.8106060606060601</v>
      </c>
      <c r="R236" s="4">
        <v>44</v>
      </c>
      <c r="S236" s="24">
        <f t="shared" si="29"/>
        <v>5.0000000000000003E-10</v>
      </c>
      <c r="T236" s="24">
        <f t="shared" si="30"/>
        <v>5.0000000000000003E-10</v>
      </c>
      <c r="U236" s="24">
        <f t="shared" si="31"/>
        <v>5.0000000000000003E-10</v>
      </c>
      <c r="V236" s="24">
        <f t="shared" si="23"/>
        <v>2.8900756011310968</v>
      </c>
    </row>
    <row r="237" spans="2:22" x14ac:dyDescent="0.25">
      <c r="B237">
        <f t="shared" si="8"/>
        <v>99.600000000000009</v>
      </c>
      <c r="D237" s="4">
        <v>45</v>
      </c>
      <c r="E237" s="24">
        <f t="shared" si="11"/>
        <v>1.6600000000000001</v>
      </c>
      <c r="F237" s="24">
        <f t="shared" si="24"/>
        <v>2.2133333333333334</v>
      </c>
      <c r="G237" s="24">
        <f t="shared" si="12"/>
        <v>2.7666666666666666</v>
      </c>
      <c r="I237" s="4">
        <v>45</v>
      </c>
      <c r="J237" s="24">
        <f t="shared" si="13"/>
        <v>1.6600000000000001</v>
      </c>
      <c r="K237" s="24">
        <f t="shared" si="14"/>
        <v>2.2133333333333334</v>
      </c>
      <c r="L237" s="24">
        <f t="shared" si="15"/>
        <v>2.7666666666666666</v>
      </c>
      <c r="R237" s="4">
        <v>45</v>
      </c>
      <c r="S237" s="24">
        <f t="shared" si="29"/>
        <v>5.0000000000000003E-10</v>
      </c>
      <c r="T237" s="24">
        <f t="shared" si="30"/>
        <v>5.0000000000000003E-10</v>
      </c>
      <c r="U237" s="24">
        <f t="shared" si="31"/>
        <v>5.0000000000000003E-10</v>
      </c>
      <c r="V237" s="24">
        <f t="shared" si="23"/>
        <v>2.825851698883739</v>
      </c>
    </row>
    <row r="238" spans="2:22" x14ac:dyDescent="0.25">
      <c r="B238">
        <f t="shared" si="8"/>
        <v>100.26666666666667</v>
      </c>
      <c r="D238" s="4">
        <v>46</v>
      </c>
      <c r="E238" s="24">
        <f t="shared" si="11"/>
        <v>1.6347826086956521</v>
      </c>
      <c r="F238" s="24">
        <f t="shared" si="24"/>
        <v>2.1797101449275362</v>
      </c>
      <c r="G238" s="24">
        <f t="shared" si="12"/>
        <v>2.7246376811594204</v>
      </c>
      <c r="I238" s="4">
        <v>46</v>
      </c>
      <c r="J238" s="24">
        <f t="shared" si="13"/>
        <v>1.6347826086956521</v>
      </c>
      <c r="K238" s="24">
        <f t="shared" si="14"/>
        <v>2.1797101449275362</v>
      </c>
      <c r="L238" s="24">
        <f t="shared" si="15"/>
        <v>2.7246376811594204</v>
      </c>
      <c r="R238" s="4">
        <v>46</v>
      </c>
      <c r="S238" s="24">
        <f t="shared" si="29"/>
        <v>5.0000000000000003E-10</v>
      </c>
      <c r="T238" s="24">
        <f t="shared" si="30"/>
        <v>5.0000000000000003E-10</v>
      </c>
      <c r="U238" s="24">
        <f t="shared" si="31"/>
        <v>5.0000000000000003E-10</v>
      </c>
      <c r="V238" s="24">
        <f t="shared" si="23"/>
        <v>2.7644201402123536</v>
      </c>
    </row>
    <row r="239" spans="2:22" x14ac:dyDescent="0.25">
      <c r="B239">
        <f t="shared" si="8"/>
        <v>100.93333333333332</v>
      </c>
      <c r="D239" s="4">
        <v>47</v>
      </c>
      <c r="E239" s="24">
        <f t="shared" si="11"/>
        <v>1.6106382978723404</v>
      </c>
      <c r="F239" s="24">
        <f t="shared" si="24"/>
        <v>2.1475177304964537</v>
      </c>
      <c r="G239" s="24">
        <f t="shared" si="12"/>
        <v>2.684397163120567</v>
      </c>
      <c r="I239" s="4">
        <v>47</v>
      </c>
      <c r="J239" s="24">
        <f t="shared" si="13"/>
        <v>1.6106382978723404</v>
      </c>
      <c r="K239" s="24">
        <f t="shared" si="14"/>
        <v>2.1475177304964537</v>
      </c>
      <c r="L239" s="24">
        <f t="shared" si="15"/>
        <v>2.684397163120567</v>
      </c>
      <c r="R239" s="4">
        <v>47</v>
      </c>
      <c r="S239" s="24">
        <f t="shared" si="29"/>
        <v>5.0000000000000003E-10</v>
      </c>
      <c r="T239" s="24">
        <f t="shared" si="30"/>
        <v>5.0000000000000003E-10</v>
      </c>
      <c r="U239" s="24">
        <f t="shared" si="31"/>
        <v>5.0000000000000003E-10</v>
      </c>
      <c r="V239" s="24">
        <f t="shared" si="23"/>
        <v>2.7056026904206014</v>
      </c>
    </row>
    <row r="240" spans="2:22" x14ac:dyDescent="0.25">
      <c r="B240">
        <f t="shared" si="8"/>
        <v>101.6</v>
      </c>
      <c r="D240" s="4">
        <v>48</v>
      </c>
      <c r="E240" s="24">
        <f t="shared" si="11"/>
        <v>1.5874999999999999</v>
      </c>
      <c r="F240" s="24">
        <f t="shared" si="24"/>
        <v>2.1166666666666667</v>
      </c>
      <c r="G240" s="24">
        <f t="shared" si="12"/>
        <v>2.6458333333333335</v>
      </c>
      <c r="I240" s="4">
        <v>48</v>
      </c>
      <c r="J240" s="24">
        <f t="shared" si="13"/>
        <v>1.5874999999999999</v>
      </c>
      <c r="K240" s="24">
        <f t="shared" si="14"/>
        <v>2.1166666666666667</v>
      </c>
      <c r="L240" s="24">
        <f t="shared" si="15"/>
        <v>2.6458333333333335</v>
      </c>
      <c r="R240" s="4">
        <v>48</v>
      </c>
      <c r="S240" s="24">
        <f t="shared" si="29"/>
        <v>5.0000000000000003E-10</v>
      </c>
      <c r="T240" s="24">
        <f t="shared" si="30"/>
        <v>5.0000000000000003E-10</v>
      </c>
      <c r="U240" s="24">
        <f t="shared" si="31"/>
        <v>5.0000000000000003E-10</v>
      </c>
      <c r="V240" s="24">
        <f t="shared" si="23"/>
        <v>2.6492359677035053</v>
      </c>
    </row>
    <row r="241" spans="2:22" x14ac:dyDescent="0.25">
      <c r="B241">
        <f t="shared" si="8"/>
        <v>102.26666666666665</v>
      </c>
      <c r="D241" s="4">
        <v>49</v>
      </c>
      <c r="E241" s="24">
        <f t="shared" si="11"/>
        <v>1.5653061224489793</v>
      </c>
      <c r="F241" s="24">
        <f t="shared" si="24"/>
        <v>2.0870748299319724</v>
      </c>
      <c r="G241" s="24">
        <f t="shared" si="12"/>
        <v>2.6088435374149652</v>
      </c>
      <c r="I241" s="4">
        <v>49</v>
      </c>
      <c r="J241" s="24">
        <f t="shared" si="13"/>
        <v>1.5653061224489793</v>
      </c>
      <c r="K241" s="24">
        <f t="shared" si="14"/>
        <v>2.0870748299319724</v>
      </c>
      <c r="L241" s="24">
        <f t="shared" si="15"/>
        <v>2.6088435374149652</v>
      </c>
      <c r="R241" s="4">
        <v>49</v>
      </c>
      <c r="S241" s="24">
        <f t="shared" si="29"/>
        <v>5.0000000000000003E-10</v>
      </c>
      <c r="T241" s="24">
        <f t="shared" si="30"/>
        <v>5.0000000000000003E-10</v>
      </c>
      <c r="U241" s="24">
        <f t="shared" si="31"/>
        <v>5.0000000000000003E-10</v>
      </c>
      <c r="V241" s="24">
        <f t="shared" si="23"/>
        <v>2.5951699275462912</v>
      </c>
    </row>
    <row r="242" spans="2:22" x14ac:dyDescent="0.25">
      <c r="B242">
        <f t="shared" si="8"/>
        <v>102.93333333333332</v>
      </c>
      <c r="D242" s="4">
        <v>50</v>
      </c>
      <c r="E242" s="24">
        <f t="shared" si="11"/>
        <v>1.5439999999999998</v>
      </c>
      <c r="F242" s="24">
        <f t="shared" si="24"/>
        <v>2.0586666666666664</v>
      </c>
      <c r="G242" s="24">
        <f t="shared" si="12"/>
        <v>2.5733333333333333</v>
      </c>
      <c r="I242" s="4">
        <v>50</v>
      </c>
      <c r="J242" s="24">
        <f t="shared" si="13"/>
        <v>1.5439999999999998</v>
      </c>
      <c r="K242" s="24">
        <f t="shared" si="14"/>
        <v>2.0586666666666664</v>
      </c>
      <c r="L242" s="24">
        <f t="shared" si="15"/>
        <v>2.5733333333333333</v>
      </c>
      <c r="R242" s="4">
        <v>50</v>
      </c>
      <c r="S242" s="24">
        <f t="shared" si="29"/>
        <v>5.0000000000000003E-10</v>
      </c>
      <c r="T242" s="24">
        <f t="shared" si="30"/>
        <v>5.0000000000000003E-10</v>
      </c>
      <c r="U242" s="24">
        <f t="shared" si="31"/>
        <v>5.0000000000000003E-10</v>
      </c>
      <c r="V242" s="24">
        <f t="shared" si="23"/>
        <v>2.5432665289953653</v>
      </c>
    </row>
    <row r="243" spans="2:22" x14ac:dyDescent="0.25">
      <c r="B243">
        <f t="shared" si="8"/>
        <v>103.6</v>
      </c>
      <c r="D243" s="4">
        <v>51</v>
      </c>
      <c r="E243" s="24">
        <f t="shared" si="11"/>
        <v>1.5235294117647058</v>
      </c>
      <c r="F243" s="24">
        <f t="shared" si="24"/>
        <v>2.0313725490196077</v>
      </c>
      <c r="G243" s="24">
        <f t="shared" si="12"/>
        <v>2.5392156862745097</v>
      </c>
      <c r="I243" s="4">
        <v>51</v>
      </c>
      <c r="J243" s="24">
        <f t="shared" si="13"/>
        <v>1.5235294117647058</v>
      </c>
      <c r="K243" s="24">
        <f t="shared" si="14"/>
        <v>2.0313725490196077</v>
      </c>
      <c r="L243" s="24">
        <f t="shared" si="15"/>
        <v>2.5392156862745097</v>
      </c>
      <c r="R243" s="4">
        <v>51</v>
      </c>
      <c r="S243" s="24">
        <f t="shared" si="29"/>
        <v>5.0000000000000003E-10</v>
      </c>
      <c r="T243" s="24">
        <f t="shared" si="30"/>
        <v>5.0000000000000003E-10</v>
      </c>
      <c r="U243" s="24">
        <f t="shared" si="31"/>
        <v>5.0000000000000003E-10</v>
      </c>
      <c r="V243" s="24">
        <f t="shared" si="23"/>
        <v>2.4933985578385935</v>
      </c>
    </row>
    <row r="244" spans="2:22" x14ac:dyDescent="0.25">
      <c r="B244">
        <f t="shared" si="8"/>
        <v>104.26666666666664</v>
      </c>
      <c r="D244" s="4">
        <v>52</v>
      </c>
      <c r="E244" s="24">
        <f t="shared" si="11"/>
        <v>1.5038461538461534</v>
      </c>
      <c r="F244" s="24">
        <f t="shared" si="24"/>
        <v>2.0051282051282047</v>
      </c>
      <c r="G244" s="24">
        <f t="shared" si="12"/>
        <v>2.5064102564102559</v>
      </c>
      <c r="I244" s="4">
        <v>52</v>
      </c>
      <c r="J244" s="24">
        <f t="shared" si="13"/>
        <v>1.5038461538461534</v>
      </c>
      <c r="K244" s="24">
        <f t="shared" si="14"/>
        <v>2.0051282051282047</v>
      </c>
      <c r="L244" s="24">
        <f t="shared" si="15"/>
        <v>2.5064102564102559</v>
      </c>
      <c r="R244" s="4">
        <v>52</v>
      </c>
      <c r="S244" s="24">
        <f t="shared" si="29"/>
        <v>5.0000000000000003E-10</v>
      </c>
      <c r="T244" s="24">
        <f t="shared" si="30"/>
        <v>5.0000000000000003E-10</v>
      </c>
      <c r="U244" s="24">
        <f t="shared" si="31"/>
        <v>5.0000000000000003E-10</v>
      </c>
      <c r="V244" s="24">
        <f t="shared" si="23"/>
        <v>2.4454485855724668</v>
      </c>
    </row>
    <row r="245" spans="2:22" x14ac:dyDescent="0.25">
      <c r="B245">
        <f t="shared" si="8"/>
        <v>104.93333333333332</v>
      </c>
      <c r="D245" s="4">
        <v>53</v>
      </c>
      <c r="E245" s="24">
        <f t="shared" si="11"/>
        <v>1.4849056603773583</v>
      </c>
      <c r="F245" s="24">
        <f t="shared" si="24"/>
        <v>1.9798742138364778</v>
      </c>
      <c r="G245" s="24">
        <f t="shared" si="12"/>
        <v>2.474842767295597</v>
      </c>
      <c r="I245" s="4">
        <v>53</v>
      </c>
      <c r="J245" s="24">
        <f t="shared" si="13"/>
        <v>1.4849056603773583</v>
      </c>
      <c r="K245" s="24">
        <f t="shared" si="14"/>
        <v>1.9798742138364778</v>
      </c>
      <c r="L245" s="24">
        <f t="shared" si="15"/>
        <v>2.474842767295597</v>
      </c>
      <c r="R245" s="4">
        <v>53</v>
      </c>
      <c r="S245" s="24">
        <f t="shared" si="29"/>
        <v>5.0000000000000003E-10</v>
      </c>
      <c r="T245" s="24">
        <f t="shared" si="30"/>
        <v>5.0000000000000003E-10</v>
      </c>
      <c r="U245" s="24">
        <f t="shared" si="31"/>
        <v>5.0000000000000003E-10</v>
      </c>
      <c r="V245" s="24">
        <f t="shared" si="23"/>
        <v>2.3993080462220426</v>
      </c>
    </row>
    <row r="246" spans="2:22" x14ac:dyDescent="0.25">
      <c r="B246">
        <f t="shared" si="8"/>
        <v>105.6</v>
      </c>
      <c r="D246" s="4">
        <v>54</v>
      </c>
      <c r="E246" s="24">
        <f t="shared" si="11"/>
        <v>1.4666666666666666</v>
      </c>
      <c r="F246" s="24">
        <f t="shared" si="24"/>
        <v>1.9555555555555555</v>
      </c>
      <c r="G246" s="24">
        <f t="shared" si="12"/>
        <v>2.4444444444444442</v>
      </c>
      <c r="I246" s="4">
        <v>54</v>
      </c>
      <c r="J246" s="24">
        <f t="shared" si="13"/>
        <v>1.4666666666666666</v>
      </c>
      <c r="K246" s="24">
        <f t="shared" si="14"/>
        <v>1.9555555555555555</v>
      </c>
      <c r="L246" s="24">
        <f t="shared" si="15"/>
        <v>2.4444444444444442</v>
      </c>
      <c r="R246" s="4">
        <v>54</v>
      </c>
      <c r="S246" s="24">
        <f t="shared" si="29"/>
        <v>5.0000000000000003E-10</v>
      </c>
      <c r="T246" s="24">
        <f t="shared" si="30"/>
        <v>5.0000000000000003E-10</v>
      </c>
      <c r="U246" s="24">
        <f t="shared" si="31"/>
        <v>5.0000000000000003E-10</v>
      </c>
      <c r="V246" s="24">
        <f t="shared" si="23"/>
        <v>2.3548764157364492</v>
      </c>
    </row>
    <row r="247" spans="2:22" x14ac:dyDescent="0.25">
      <c r="B247">
        <f t="shared" si="8"/>
        <v>106.26666666666665</v>
      </c>
      <c r="D247" s="4">
        <v>55</v>
      </c>
      <c r="E247" s="24">
        <f t="shared" si="11"/>
        <v>1.449090909090909</v>
      </c>
      <c r="F247" s="24">
        <f t="shared" si="24"/>
        <v>1.9321212121212119</v>
      </c>
      <c r="G247" s="24">
        <f t="shared" si="12"/>
        <v>2.415151515151515</v>
      </c>
      <c r="I247" s="4">
        <v>55</v>
      </c>
      <c r="J247" s="24">
        <f t="shared" si="13"/>
        <v>1.449090909090909</v>
      </c>
      <c r="K247" s="24">
        <f t="shared" si="14"/>
        <v>1.9321212121212119</v>
      </c>
      <c r="L247" s="24">
        <f t="shared" si="15"/>
        <v>2.415151515151515</v>
      </c>
      <c r="R247" s="4">
        <v>55</v>
      </c>
      <c r="S247" s="24">
        <f t="shared" si="29"/>
        <v>5.0000000000000003E-10</v>
      </c>
      <c r="T247" s="24">
        <f t="shared" si="30"/>
        <v>5.0000000000000003E-10</v>
      </c>
      <c r="U247" s="24">
        <f t="shared" si="31"/>
        <v>5.0000000000000003E-10</v>
      </c>
      <c r="V247" s="24">
        <f t="shared" si="23"/>
        <v>2.3120604809048775</v>
      </c>
    </row>
    <row r="248" spans="2:22" x14ac:dyDescent="0.25">
      <c r="B248">
        <f t="shared" si="8"/>
        <v>106.93333333333332</v>
      </c>
      <c r="D248" s="4">
        <v>56</v>
      </c>
      <c r="E248" s="24">
        <f t="shared" si="11"/>
        <v>1.4321428571428569</v>
      </c>
      <c r="F248" s="24">
        <f t="shared" si="24"/>
        <v>1.9095238095238094</v>
      </c>
      <c r="G248" s="24">
        <f t="shared" si="12"/>
        <v>2.3869047619047619</v>
      </c>
      <c r="I248" s="4">
        <v>56</v>
      </c>
      <c r="J248" s="24">
        <f t="shared" si="13"/>
        <v>1.4321428571428569</v>
      </c>
      <c r="K248" s="24">
        <f t="shared" si="14"/>
        <v>1.9095238095238094</v>
      </c>
      <c r="L248" s="24">
        <f t="shared" si="15"/>
        <v>2.3869047619047619</v>
      </c>
      <c r="R248" s="4">
        <v>56</v>
      </c>
      <c r="S248" s="24">
        <f t="shared" si="29"/>
        <v>5.0000000000000003E-10</v>
      </c>
      <c r="T248" s="24">
        <f t="shared" si="30"/>
        <v>5.0000000000000003E-10</v>
      </c>
      <c r="U248" s="24">
        <f t="shared" si="31"/>
        <v>5.0000000000000003E-10</v>
      </c>
      <c r="V248" s="24">
        <f t="shared" si="23"/>
        <v>2.2707736866030048</v>
      </c>
    </row>
    <row r="249" spans="2:22" x14ac:dyDescent="0.25">
      <c r="B249">
        <f t="shared" si="8"/>
        <v>107.6</v>
      </c>
      <c r="D249" s="4">
        <v>57</v>
      </c>
      <c r="E249" s="24">
        <f t="shared" si="11"/>
        <v>1.4157894736842105</v>
      </c>
      <c r="F249" s="24">
        <f t="shared" si="24"/>
        <v>1.8877192982456139</v>
      </c>
      <c r="G249" s="24">
        <f t="shared" si="12"/>
        <v>2.3596491228070176</v>
      </c>
      <c r="I249" s="4">
        <v>57</v>
      </c>
      <c r="J249" s="24">
        <f t="shared" si="13"/>
        <v>1.4157894736842105</v>
      </c>
      <c r="K249" s="24">
        <f t="shared" si="14"/>
        <v>1.8877192982456139</v>
      </c>
      <c r="L249" s="24">
        <f t="shared" si="15"/>
        <v>2.3596491228070176</v>
      </c>
      <c r="R249" s="4">
        <v>57</v>
      </c>
      <c r="S249" s="24">
        <f t="shared" si="29"/>
        <v>5.0000000000000003E-10</v>
      </c>
      <c r="T249" s="24">
        <f t="shared" si="30"/>
        <v>5.0000000000000003E-10</v>
      </c>
      <c r="U249" s="24">
        <f t="shared" si="31"/>
        <v>5.0000000000000003E-10</v>
      </c>
      <c r="V249" s="24">
        <f t="shared" si="23"/>
        <v>2.2309355517503202</v>
      </c>
    </row>
    <row r="250" spans="2:22" x14ac:dyDescent="0.25">
      <c r="B250">
        <f t="shared" si="8"/>
        <v>108.26666666666665</v>
      </c>
      <c r="D250" s="4">
        <v>58</v>
      </c>
      <c r="E250" s="24">
        <f t="shared" si="11"/>
        <v>1.4</v>
      </c>
      <c r="F250" s="24">
        <f t="shared" si="24"/>
        <v>1.8666666666666665</v>
      </c>
      <c r="G250" s="24">
        <f t="shared" si="12"/>
        <v>2.333333333333333</v>
      </c>
      <c r="I250" s="4">
        <v>58</v>
      </c>
      <c r="J250" s="24">
        <f t="shared" si="13"/>
        <v>1.4</v>
      </c>
      <c r="K250" s="24">
        <f t="shared" si="14"/>
        <v>1.8666666666666665</v>
      </c>
      <c r="L250" s="24">
        <f t="shared" si="15"/>
        <v>2.333333333333333</v>
      </c>
      <c r="R250" s="4">
        <v>58</v>
      </c>
      <c r="S250" s="24">
        <f t="shared" ref="S250:S272" si="32">IF($R250&gt;$F$177,0.0000000005,J250)</f>
        <v>5.0000000000000003E-10</v>
      </c>
      <c r="T250" s="24">
        <f t="shared" ref="T250:T272" si="33">IF($R250&gt;$F$177,0.0000000005,K250)</f>
        <v>5.0000000000000003E-10</v>
      </c>
      <c r="U250" s="24">
        <f t="shared" ref="U250:U272" si="34">IF($R250&gt;$F$177,0.0000000005,L250)</f>
        <v>5.0000000000000003E-10</v>
      </c>
      <c r="V250" s="24">
        <f t="shared" ref="V250:V272" si="35">$X$193/R250</f>
        <v>2.1924711456856598</v>
      </c>
    </row>
    <row r="251" spans="2:22" x14ac:dyDescent="0.25">
      <c r="B251">
        <f t="shared" si="8"/>
        <v>108.93333333333332</v>
      </c>
      <c r="D251" s="4">
        <v>59</v>
      </c>
      <c r="E251" s="24">
        <f t="shared" si="11"/>
        <v>1.3847457627118644</v>
      </c>
      <c r="F251" s="24">
        <f t="shared" si="24"/>
        <v>1.8463276836158191</v>
      </c>
      <c r="G251" s="24">
        <f t="shared" si="12"/>
        <v>2.3079096045197738</v>
      </c>
      <c r="I251" s="4">
        <v>59</v>
      </c>
      <c r="J251" s="24">
        <f t="shared" si="13"/>
        <v>1.3847457627118644</v>
      </c>
      <c r="K251" s="24">
        <f t="shared" si="14"/>
        <v>1.8463276836158191</v>
      </c>
      <c r="L251" s="24">
        <f t="shared" si="15"/>
        <v>2.3079096045197738</v>
      </c>
      <c r="R251" s="4">
        <v>59</v>
      </c>
      <c r="S251" s="24">
        <f t="shared" si="32"/>
        <v>5.0000000000000003E-10</v>
      </c>
      <c r="T251" s="24">
        <f t="shared" si="33"/>
        <v>5.0000000000000003E-10</v>
      </c>
      <c r="U251" s="24">
        <f t="shared" si="34"/>
        <v>5.0000000000000003E-10</v>
      </c>
      <c r="V251" s="24">
        <f t="shared" si="35"/>
        <v>2.1553106177926824</v>
      </c>
    </row>
    <row r="252" spans="2:22" x14ac:dyDescent="0.25">
      <c r="B252">
        <f t="shared" si="8"/>
        <v>109.6</v>
      </c>
      <c r="D252" s="4">
        <v>60</v>
      </c>
      <c r="E252" s="24">
        <f t="shared" si="11"/>
        <v>1.37</v>
      </c>
      <c r="F252" s="24">
        <f t="shared" si="24"/>
        <v>1.8266666666666667</v>
      </c>
      <c r="G252" s="24">
        <f t="shared" si="12"/>
        <v>2.2833333333333332</v>
      </c>
      <c r="I252" s="4">
        <v>60</v>
      </c>
      <c r="J252" s="24">
        <f t="shared" si="13"/>
        <v>1.37</v>
      </c>
      <c r="K252" s="24">
        <f t="shared" si="14"/>
        <v>1.8266666666666667</v>
      </c>
      <c r="L252" s="24">
        <f t="shared" si="15"/>
        <v>2.2833333333333332</v>
      </c>
      <c r="R252" s="4">
        <v>60</v>
      </c>
      <c r="S252" s="24">
        <f t="shared" si="32"/>
        <v>5.0000000000000003E-10</v>
      </c>
      <c r="T252" s="24">
        <f t="shared" si="33"/>
        <v>5.0000000000000003E-10</v>
      </c>
      <c r="U252" s="24">
        <f t="shared" si="34"/>
        <v>5.0000000000000003E-10</v>
      </c>
      <c r="V252" s="24">
        <f t="shared" si="35"/>
        <v>2.1193887741628044</v>
      </c>
    </row>
    <row r="253" spans="2:22" x14ac:dyDescent="0.25">
      <c r="B253">
        <f t="shared" si="8"/>
        <v>110.26666666666665</v>
      </c>
      <c r="D253" s="4">
        <v>61</v>
      </c>
      <c r="E253" s="24">
        <f t="shared" si="11"/>
        <v>1.3557377049180326</v>
      </c>
      <c r="F253" s="24">
        <f t="shared" si="24"/>
        <v>1.8076502732240434</v>
      </c>
      <c r="G253" s="24">
        <f t="shared" si="12"/>
        <v>2.2595628415300544</v>
      </c>
      <c r="I253" s="4">
        <v>61</v>
      </c>
      <c r="J253" s="24">
        <f t="shared" si="13"/>
        <v>1.3557377049180326</v>
      </c>
      <c r="K253" s="24">
        <f t="shared" si="14"/>
        <v>1.8076502732240434</v>
      </c>
      <c r="L253" s="24">
        <f t="shared" si="15"/>
        <v>2.2595628415300544</v>
      </c>
      <c r="R253" s="4">
        <v>61</v>
      </c>
      <c r="S253" s="24">
        <f t="shared" si="32"/>
        <v>5.0000000000000003E-10</v>
      </c>
      <c r="T253" s="24">
        <f t="shared" si="33"/>
        <v>5.0000000000000003E-10</v>
      </c>
      <c r="U253" s="24">
        <f t="shared" si="34"/>
        <v>5.0000000000000003E-10</v>
      </c>
      <c r="V253" s="24">
        <f t="shared" si="35"/>
        <v>2.0846446958978402</v>
      </c>
    </row>
    <row r="254" spans="2:22" x14ac:dyDescent="0.25">
      <c r="B254">
        <f t="shared" si="8"/>
        <v>110.93333333333332</v>
      </c>
      <c r="D254" s="4">
        <v>62</v>
      </c>
      <c r="E254" s="24">
        <f t="shared" si="11"/>
        <v>1.3419354838709676</v>
      </c>
      <c r="F254" s="24">
        <f t="shared" si="24"/>
        <v>1.7892473118279568</v>
      </c>
      <c r="G254" s="24">
        <f t="shared" si="12"/>
        <v>2.236559139784946</v>
      </c>
      <c r="I254" s="4">
        <v>62</v>
      </c>
      <c r="J254" s="24">
        <f t="shared" si="13"/>
        <v>1.3419354838709676</v>
      </c>
      <c r="K254" s="24">
        <f t="shared" si="14"/>
        <v>1.7892473118279568</v>
      </c>
      <c r="L254" s="24">
        <f t="shared" si="15"/>
        <v>2.236559139784946</v>
      </c>
      <c r="R254" s="4">
        <v>62</v>
      </c>
      <c r="S254" s="24">
        <f t="shared" si="32"/>
        <v>5.0000000000000003E-10</v>
      </c>
      <c r="T254" s="24">
        <f t="shared" si="33"/>
        <v>5.0000000000000003E-10</v>
      </c>
      <c r="U254" s="24">
        <f t="shared" si="34"/>
        <v>5.0000000000000003E-10</v>
      </c>
      <c r="V254" s="24">
        <f t="shared" si="35"/>
        <v>2.0510213943511011</v>
      </c>
    </row>
    <row r="255" spans="2:22" x14ac:dyDescent="0.25">
      <c r="B255">
        <f t="shared" si="8"/>
        <v>111.6</v>
      </c>
      <c r="D255" s="4">
        <v>63</v>
      </c>
      <c r="E255" s="24">
        <f t="shared" si="11"/>
        <v>1.3285714285714285</v>
      </c>
      <c r="F255" s="24">
        <f t="shared" si="24"/>
        <v>1.7714285714285714</v>
      </c>
      <c r="G255" s="24">
        <f t="shared" si="12"/>
        <v>2.2142857142857144</v>
      </c>
      <c r="I255" s="4">
        <v>63</v>
      </c>
      <c r="J255" s="24">
        <f t="shared" si="13"/>
        <v>1.3285714285714285</v>
      </c>
      <c r="K255" s="24">
        <f t="shared" si="14"/>
        <v>1.7714285714285714</v>
      </c>
      <c r="L255" s="24">
        <f t="shared" si="15"/>
        <v>2.2142857142857144</v>
      </c>
      <c r="R255" s="4">
        <v>63</v>
      </c>
      <c r="S255" s="24">
        <f t="shared" si="32"/>
        <v>5.0000000000000003E-10</v>
      </c>
      <c r="T255" s="24">
        <f t="shared" si="33"/>
        <v>5.0000000000000003E-10</v>
      </c>
      <c r="U255" s="24">
        <f t="shared" si="34"/>
        <v>5.0000000000000003E-10</v>
      </c>
      <c r="V255" s="24">
        <f t="shared" si="35"/>
        <v>2.0184654992026707</v>
      </c>
    </row>
    <row r="256" spans="2:22" x14ac:dyDescent="0.25">
      <c r="B256">
        <f t="shared" si="8"/>
        <v>112.26666666666665</v>
      </c>
      <c r="D256" s="4">
        <v>64</v>
      </c>
      <c r="E256" s="24">
        <f t="shared" si="11"/>
        <v>1.3156249999999998</v>
      </c>
      <c r="F256" s="24">
        <f t="shared" si="24"/>
        <v>1.7541666666666664</v>
      </c>
      <c r="G256" s="24">
        <f t="shared" si="12"/>
        <v>2.192708333333333</v>
      </c>
      <c r="I256" s="4">
        <v>64</v>
      </c>
      <c r="J256" s="24">
        <f t="shared" si="13"/>
        <v>1.3156249999999998</v>
      </c>
      <c r="K256" s="24">
        <f t="shared" si="14"/>
        <v>1.7541666666666664</v>
      </c>
      <c r="L256" s="24">
        <f t="shared" si="15"/>
        <v>2.192708333333333</v>
      </c>
      <c r="R256" s="4">
        <v>64</v>
      </c>
      <c r="S256" s="24">
        <f t="shared" si="32"/>
        <v>5.0000000000000003E-10</v>
      </c>
      <c r="T256" s="24">
        <f t="shared" si="33"/>
        <v>5.0000000000000003E-10</v>
      </c>
      <c r="U256" s="24">
        <f t="shared" si="34"/>
        <v>5.0000000000000003E-10</v>
      </c>
      <c r="V256" s="24">
        <f t="shared" si="35"/>
        <v>1.9869269757776291</v>
      </c>
    </row>
    <row r="257" spans="2:22" x14ac:dyDescent="0.25">
      <c r="B257">
        <f t="shared" si="8"/>
        <v>112.93333333333332</v>
      </c>
      <c r="D257" s="4">
        <v>65</v>
      </c>
      <c r="E257" s="24">
        <f t="shared" si="11"/>
        <v>1.3030769230769228</v>
      </c>
      <c r="F257" s="24">
        <f t="shared" ref="F257:F272" si="36">($F$184+(D257-VINMAX)*$E$277/$E$278)/D257</f>
        <v>1.7374358974358972</v>
      </c>
      <c r="G257" s="24">
        <f t="shared" si="12"/>
        <v>2.1717948717948716</v>
      </c>
      <c r="I257" s="4">
        <v>65</v>
      </c>
      <c r="J257" s="24">
        <f t="shared" si="13"/>
        <v>1.3030769230769228</v>
      </c>
      <c r="K257" s="24">
        <f t="shared" si="14"/>
        <v>1.7374358974358972</v>
      </c>
      <c r="L257" s="24">
        <f t="shared" si="15"/>
        <v>2.1717948717948716</v>
      </c>
      <c r="R257" s="4">
        <v>65</v>
      </c>
      <c r="S257" s="24">
        <f t="shared" si="32"/>
        <v>5.0000000000000003E-10</v>
      </c>
      <c r="T257" s="24">
        <f t="shared" si="33"/>
        <v>5.0000000000000003E-10</v>
      </c>
      <c r="U257" s="24">
        <f t="shared" si="34"/>
        <v>5.0000000000000003E-10</v>
      </c>
      <c r="V257" s="24">
        <f t="shared" si="35"/>
        <v>1.9563588684579734</v>
      </c>
    </row>
    <row r="258" spans="2:22" x14ac:dyDescent="0.25">
      <c r="B258">
        <f t="shared" ref="B258:B272" si="37">D258*F258</f>
        <v>113.6</v>
      </c>
      <c r="D258" s="4">
        <v>66</v>
      </c>
      <c r="E258" s="24">
        <f t="shared" si="11"/>
        <v>1.290909090909091</v>
      </c>
      <c r="F258" s="24">
        <f t="shared" si="36"/>
        <v>1.7212121212121212</v>
      </c>
      <c r="G258" s="24">
        <f t="shared" si="12"/>
        <v>2.1515151515151514</v>
      </c>
      <c r="I258" s="4">
        <v>66</v>
      </c>
      <c r="J258" s="24">
        <f t="shared" si="13"/>
        <v>1.290909090909091</v>
      </c>
      <c r="K258" s="24">
        <f t="shared" si="14"/>
        <v>1.7212121212121212</v>
      </c>
      <c r="L258" s="24">
        <f t="shared" si="15"/>
        <v>2.1515151515151514</v>
      </c>
      <c r="R258" s="4">
        <v>66</v>
      </c>
      <c r="S258" s="24">
        <f t="shared" si="32"/>
        <v>5.0000000000000003E-10</v>
      </c>
      <c r="T258" s="24">
        <f t="shared" si="33"/>
        <v>5.0000000000000003E-10</v>
      </c>
      <c r="U258" s="24">
        <f t="shared" si="34"/>
        <v>5.0000000000000003E-10</v>
      </c>
      <c r="V258" s="24">
        <f t="shared" si="35"/>
        <v>1.9267170674207312</v>
      </c>
    </row>
    <row r="259" spans="2:22" x14ac:dyDescent="0.25">
      <c r="B259">
        <f t="shared" si="37"/>
        <v>114.26666666666665</v>
      </c>
      <c r="D259" s="4">
        <v>67</v>
      </c>
      <c r="E259" s="24">
        <f t="shared" si="11"/>
        <v>1.27910447761194</v>
      </c>
      <c r="F259" s="24">
        <f t="shared" si="36"/>
        <v>1.7054726368159201</v>
      </c>
      <c r="G259" s="24">
        <f t="shared" si="12"/>
        <v>2.1318407960199002</v>
      </c>
      <c r="I259" s="4">
        <v>67</v>
      </c>
      <c r="J259" s="24">
        <f t="shared" si="13"/>
        <v>1.27910447761194</v>
      </c>
      <c r="K259" s="24">
        <f t="shared" si="14"/>
        <v>1.7054726368159201</v>
      </c>
      <c r="L259" s="24">
        <f t="shared" si="15"/>
        <v>2.1318407960199002</v>
      </c>
      <c r="R259" s="4">
        <v>67</v>
      </c>
      <c r="S259" s="24">
        <f t="shared" si="32"/>
        <v>5.0000000000000003E-10</v>
      </c>
      <c r="T259" s="24">
        <f t="shared" si="33"/>
        <v>5.0000000000000003E-10</v>
      </c>
      <c r="U259" s="24">
        <f t="shared" si="34"/>
        <v>5.0000000000000003E-10</v>
      </c>
      <c r="V259" s="24">
        <f t="shared" si="35"/>
        <v>1.8979600962651979</v>
      </c>
    </row>
    <row r="260" spans="2:22" x14ac:dyDescent="0.25">
      <c r="B260">
        <f t="shared" si="37"/>
        <v>114.93333333333332</v>
      </c>
      <c r="D260" s="4">
        <v>68</v>
      </c>
      <c r="E260" s="24">
        <f t="shared" si="11"/>
        <v>1.2676470588235293</v>
      </c>
      <c r="F260" s="24">
        <f t="shared" si="36"/>
        <v>1.6901960784313723</v>
      </c>
      <c r="G260" s="24">
        <f t="shared" si="12"/>
        <v>2.1127450980392153</v>
      </c>
      <c r="I260" s="4">
        <v>68</v>
      </c>
      <c r="J260" s="24">
        <f t="shared" si="13"/>
        <v>1.2676470588235293</v>
      </c>
      <c r="K260" s="24">
        <f t="shared" si="14"/>
        <v>1.6901960784313723</v>
      </c>
      <c r="L260" s="24">
        <f t="shared" si="15"/>
        <v>2.1127450980392153</v>
      </c>
      <c r="R260" s="4">
        <v>68</v>
      </c>
      <c r="S260" s="24">
        <f t="shared" si="32"/>
        <v>5.0000000000000003E-10</v>
      </c>
      <c r="T260" s="24">
        <f t="shared" si="33"/>
        <v>5.0000000000000003E-10</v>
      </c>
      <c r="U260" s="24">
        <f t="shared" si="34"/>
        <v>5.0000000000000003E-10</v>
      </c>
      <c r="V260" s="24">
        <f t="shared" si="35"/>
        <v>1.870048918378945</v>
      </c>
    </row>
    <row r="261" spans="2:22" x14ac:dyDescent="0.25">
      <c r="B261">
        <f t="shared" si="37"/>
        <v>115.60000000000001</v>
      </c>
      <c r="D261" s="4">
        <v>69</v>
      </c>
      <c r="E261" s="24">
        <f t="shared" si="11"/>
        <v>1.2565217391304349</v>
      </c>
      <c r="F261" s="24">
        <f t="shared" si="36"/>
        <v>1.6753623188405797</v>
      </c>
      <c r="G261" s="24">
        <f t="shared" si="12"/>
        <v>2.0942028985507246</v>
      </c>
      <c r="I261" s="4">
        <v>69</v>
      </c>
      <c r="J261" s="24">
        <f t="shared" si="13"/>
        <v>1.2565217391304349</v>
      </c>
      <c r="K261" s="24">
        <f t="shared" si="14"/>
        <v>1.6753623188405797</v>
      </c>
      <c r="L261" s="24">
        <f t="shared" si="15"/>
        <v>2.0942028985507246</v>
      </c>
      <c r="R261" s="4">
        <v>69</v>
      </c>
      <c r="S261" s="24">
        <f t="shared" si="32"/>
        <v>5.0000000000000003E-10</v>
      </c>
      <c r="T261" s="24">
        <f t="shared" si="33"/>
        <v>5.0000000000000003E-10</v>
      </c>
      <c r="U261" s="24">
        <f t="shared" si="34"/>
        <v>5.0000000000000003E-10</v>
      </c>
      <c r="V261" s="24">
        <f t="shared" si="35"/>
        <v>1.842946760141569</v>
      </c>
    </row>
    <row r="262" spans="2:22" x14ac:dyDescent="0.25">
      <c r="B262">
        <f t="shared" si="37"/>
        <v>116.26666666666665</v>
      </c>
      <c r="D262" s="4">
        <v>70</v>
      </c>
      <c r="E262" s="24">
        <f t="shared" si="11"/>
        <v>1.2457142857142856</v>
      </c>
      <c r="F262" s="24">
        <f t="shared" si="36"/>
        <v>1.6609523809523807</v>
      </c>
      <c r="G262" s="24">
        <f t="shared" si="12"/>
        <v>2.0761904761904759</v>
      </c>
      <c r="I262" s="4">
        <v>70</v>
      </c>
      <c r="J262" s="24">
        <f t="shared" si="13"/>
        <v>1.2457142857142856</v>
      </c>
      <c r="K262" s="24">
        <f t="shared" si="14"/>
        <v>1.6609523809523807</v>
      </c>
      <c r="L262" s="24">
        <f t="shared" si="15"/>
        <v>2.0761904761904759</v>
      </c>
      <c r="R262" s="4">
        <v>70</v>
      </c>
      <c r="S262" s="24">
        <f t="shared" si="32"/>
        <v>5.0000000000000003E-10</v>
      </c>
      <c r="T262" s="24">
        <f t="shared" si="33"/>
        <v>5.0000000000000003E-10</v>
      </c>
      <c r="U262" s="24">
        <f t="shared" si="34"/>
        <v>5.0000000000000003E-10</v>
      </c>
      <c r="V262" s="24">
        <f t="shared" si="35"/>
        <v>1.8166189492824039</v>
      </c>
    </row>
    <row r="263" spans="2:22" x14ac:dyDescent="0.25">
      <c r="B263">
        <f t="shared" si="37"/>
        <v>116.93333333333332</v>
      </c>
      <c r="D263" s="4">
        <v>71</v>
      </c>
      <c r="E263" s="24">
        <f t="shared" si="11"/>
        <v>1.2352112676056337</v>
      </c>
      <c r="F263" s="24">
        <f t="shared" si="36"/>
        <v>1.6469483568075116</v>
      </c>
      <c r="G263" s="24">
        <f t="shared" si="12"/>
        <v>2.0586854460093895</v>
      </c>
      <c r="I263" s="4">
        <v>71</v>
      </c>
      <c r="J263" s="24">
        <f t="shared" si="13"/>
        <v>1.2352112676056337</v>
      </c>
      <c r="K263" s="24">
        <f t="shared" si="14"/>
        <v>1.6469483568075116</v>
      </c>
      <c r="L263" s="24">
        <f t="shared" si="15"/>
        <v>2.0586854460093895</v>
      </c>
      <c r="R263" s="4">
        <v>71</v>
      </c>
      <c r="S263" s="24">
        <f t="shared" si="32"/>
        <v>5.0000000000000003E-10</v>
      </c>
      <c r="T263" s="24">
        <f t="shared" si="33"/>
        <v>5.0000000000000003E-10</v>
      </c>
      <c r="U263" s="24">
        <f t="shared" si="34"/>
        <v>5.0000000000000003E-10</v>
      </c>
      <c r="V263" s="24">
        <f t="shared" si="35"/>
        <v>1.7910327668981445</v>
      </c>
    </row>
    <row r="264" spans="2:22" x14ac:dyDescent="0.25">
      <c r="B264">
        <f t="shared" si="37"/>
        <v>117.6</v>
      </c>
      <c r="D264" s="4">
        <v>72</v>
      </c>
      <c r="E264" s="24">
        <f t="shared" si="11"/>
        <v>1.2250000000000001</v>
      </c>
      <c r="F264" s="24">
        <f t="shared" si="36"/>
        <v>1.6333333333333333</v>
      </c>
      <c r="G264" s="24">
        <f t="shared" si="12"/>
        <v>2.0416666666666665</v>
      </c>
      <c r="I264" s="4">
        <v>72</v>
      </c>
      <c r="J264" s="24">
        <f t="shared" si="13"/>
        <v>1.2250000000000001</v>
      </c>
      <c r="K264" s="24">
        <f t="shared" si="14"/>
        <v>1.6333333333333333</v>
      </c>
      <c r="L264" s="24">
        <f t="shared" si="15"/>
        <v>2.0416666666666665</v>
      </c>
      <c r="R264" s="4">
        <v>72</v>
      </c>
      <c r="S264" s="24">
        <f t="shared" si="32"/>
        <v>5.0000000000000003E-10</v>
      </c>
      <c r="T264" s="24">
        <f t="shared" si="33"/>
        <v>5.0000000000000003E-10</v>
      </c>
      <c r="U264" s="24">
        <f t="shared" si="34"/>
        <v>5.0000000000000003E-10</v>
      </c>
      <c r="V264" s="24">
        <f t="shared" si="35"/>
        <v>1.766157311802337</v>
      </c>
    </row>
    <row r="265" spans="2:22" x14ac:dyDescent="0.25">
      <c r="B265">
        <f t="shared" si="37"/>
        <v>118.26666666666665</v>
      </c>
      <c r="D265" s="4">
        <v>73</v>
      </c>
      <c r="E265" s="24">
        <f t="shared" si="11"/>
        <v>1.2150684931506848</v>
      </c>
      <c r="F265" s="24">
        <f t="shared" si="36"/>
        <v>1.620091324200913</v>
      </c>
      <c r="G265" s="24">
        <f t="shared" si="12"/>
        <v>2.0251141552511411</v>
      </c>
      <c r="I265" s="4">
        <v>73</v>
      </c>
      <c r="J265" s="24">
        <f t="shared" si="13"/>
        <v>1.2150684931506848</v>
      </c>
      <c r="K265" s="24">
        <f t="shared" si="14"/>
        <v>1.620091324200913</v>
      </c>
      <c r="L265" s="24">
        <f t="shared" si="15"/>
        <v>2.0251141552511411</v>
      </c>
      <c r="R265" s="4">
        <v>73</v>
      </c>
      <c r="S265" s="24">
        <f t="shared" si="32"/>
        <v>5.0000000000000003E-10</v>
      </c>
      <c r="T265" s="24">
        <f t="shared" si="33"/>
        <v>5.0000000000000003E-10</v>
      </c>
      <c r="U265" s="24">
        <f t="shared" si="34"/>
        <v>5.0000000000000003E-10</v>
      </c>
      <c r="V265" s="24">
        <f t="shared" si="35"/>
        <v>1.7419633760242228</v>
      </c>
    </row>
    <row r="266" spans="2:22" x14ac:dyDescent="0.25">
      <c r="B266">
        <f t="shared" si="37"/>
        <v>118.93333333333332</v>
      </c>
      <c r="D266" s="4">
        <v>74</v>
      </c>
      <c r="E266" s="24">
        <f t="shared" si="11"/>
        <v>1.2054054054054053</v>
      </c>
      <c r="F266" s="24">
        <f t="shared" si="36"/>
        <v>1.607207207207207</v>
      </c>
      <c r="G266" s="24">
        <f t="shared" si="12"/>
        <v>2.0090090090090089</v>
      </c>
      <c r="I266" s="4">
        <v>74</v>
      </c>
      <c r="J266" s="24">
        <f t="shared" si="13"/>
        <v>1.2054054054054053</v>
      </c>
      <c r="K266" s="24">
        <f t="shared" si="14"/>
        <v>1.607207207207207</v>
      </c>
      <c r="L266" s="24">
        <f t="shared" si="15"/>
        <v>2.0090090090090089</v>
      </c>
      <c r="R266" s="4">
        <v>74</v>
      </c>
      <c r="S266" s="24">
        <f t="shared" si="32"/>
        <v>5.0000000000000003E-10</v>
      </c>
      <c r="T266" s="24">
        <f t="shared" si="33"/>
        <v>5.0000000000000003E-10</v>
      </c>
      <c r="U266" s="24">
        <f t="shared" si="34"/>
        <v>5.0000000000000003E-10</v>
      </c>
      <c r="V266" s="24">
        <f t="shared" si="35"/>
        <v>1.7184233304022738</v>
      </c>
    </row>
    <row r="267" spans="2:22" x14ac:dyDescent="0.25">
      <c r="B267">
        <f t="shared" si="37"/>
        <v>119.6</v>
      </c>
      <c r="D267" s="4">
        <v>75</v>
      </c>
      <c r="E267" s="24">
        <f t="shared" si="11"/>
        <v>1.196</v>
      </c>
      <c r="F267" s="24">
        <f t="shared" si="36"/>
        <v>1.5946666666666667</v>
      </c>
      <c r="G267" s="24">
        <f t="shared" si="12"/>
        <v>1.9933333333333334</v>
      </c>
      <c r="I267" s="4">
        <v>75</v>
      </c>
      <c r="J267" s="24">
        <f t="shared" si="13"/>
        <v>1.196</v>
      </c>
      <c r="K267" s="24">
        <f t="shared" si="14"/>
        <v>1.5946666666666667</v>
      </c>
      <c r="L267" s="24">
        <f t="shared" si="15"/>
        <v>1.9933333333333334</v>
      </c>
      <c r="R267" s="4">
        <v>75</v>
      </c>
      <c r="S267" s="24">
        <f t="shared" si="32"/>
        <v>5.0000000000000003E-10</v>
      </c>
      <c r="T267" s="24">
        <f t="shared" si="33"/>
        <v>5.0000000000000003E-10</v>
      </c>
      <c r="U267" s="24">
        <f t="shared" si="34"/>
        <v>5.0000000000000003E-10</v>
      </c>
      <c r="V267" s="24">
        <f t="shared" si="35"/>
        <v>1.6955110193302436</v>
      </c>
    </row>
    <row r="268" spans="2:22" x14ac:dyDescent="0.25">
      <c r="B268">
        <f t="shared" si="37"/>
        <v>120.26666666666665</v>
      </c>
      <c r="D268" s="4">
        <v>76</v>
      </c>
      <c r="E268" s="24">
        <f t="shared" si="11"/>
        <v>1.1868421052631577</v>
      </c>
      <c r="F268" s="24">
        <f t="shared" si="36"/>
        <v>1.582456140350877</v>
      </c>
      <c r="G268" s="24">
        <f t="shared" si="12"/>
        <v>1.9780701754385963</v>
      </c>
      <c r="I268" s="4">
        <v>76</v>
      </c>
      <c r="J268" s="24">
        <f t="shared" si="13"/>
        <v>1.1868421052631577</v>
      </c>
      <c r="K268" s="24">
        <f t="shared" si="14"/>
        <v>1.582456140350877</v>
      </c>
      <c r="L268" s="24">
        <f t="shared" si="15"/>
        <v>1.9780701754385963</v>
      </c>
      <c r="R268" s="4">
        <v>76</v>
      </c>
      <c r="S268" s="24">
        <f t="shared" si="32"/>
        <v>5.0000000000000003E-10</v>
      </c>
      <c r="T268" s="24">
        <f t="shared" si="33"/>
        <v>5.0000000000000003E-10</v>
      </c>
      <c r="U268" s="24">
        <f t="shared" si="34"/>
        <v>5.0000000000000003E-10</v>
      </c>
      <c r="V268" s="24">
        <f t="shared" si="35"/>
        <v>1.6732016638127403</v>
      </c>
    </row>
    <row r="269" spans="2:22" x14ac:dyDescent="0.25">
      <c r="B269">
        <f t="shared" si="37"/>
        <v>120.93333333333332</v>
      </c>
      <c r="D269" s="4">
        <v>77</v>
      </c>
      <c r="E269" s="24">
        <f t="shared" si="11"/>
        <v>1.1779220779220778</v>
      </c>
      <c r="F269" s="24">
        <f t="shared" si="36"/>
        <v>1.5705627705627705</v>
      </c>
      <c r="G269" s="24">
        <f t="shared" si="12"/>
        <v>1.9632034632034632</v>
      </c>
      <c r="I269" s="4">
        <v>77</v>
      </c>
      <c r="J269" s="24">
        <f t="shared" si="13"/>
        <v>1.1779220779220778</v>
      </c>
      <c r="K269" s="24">
        <f t="shared" si="14"/>
        <v>1.5705627705627705</v>
      </c>
      <c r="L269" s="24">
        <f t="shared" si="15"/>
        <v>1.9632034632034632</v>
      </c>
      <c r="R269" s="4">
        <v>77</v>
      </c>
      <c r="S269" s="24">
        <f t="shared" si="32"/>
        <v>5.0000000000000003E-10</v>
      </c>
      <c r="T269" s="24">
        <f t="shared" si="33"/>
        <v>5.0000000000000003E-10</v>
      </c>
      <c r="U269" s="24">
        <f t="shared" si="34"/>
        <v>5.0000000000000003E-10</v>
      </c>
      <c r="V269" s="24">
        <f t="shared" si="35"/>
        <v>1.6514717720749126</v>
      </c>
    </row>
    <row r="270" spans="2:22" x14ac:dyDescent="0.25">
      <c r="B270">
        <f t="shared" si="37"/>
        <v>121.6</v>
      </c>
      <c r="D270" s="4">
        <v>78</v>
      </c>
      <c r="E270" s="24">
        <f t="shared" si="11"/>
        <v>1.1692307692307693</v>
      </c>
      <c r="F270" s="24">
        <f t="shared" si="36"/>
        <v>1.558974358974359</v>
      </c>
      <c r="G270" s="24">
        <f t="shared" si="12"/>
        <v>1.9487179487179487</v>
      </c>
      <c r="I270" s="4">
        <v>78</v>
      </c>
      <c r="J270" s="24">
        <f t="shared" si="13"/>
        <v>1.1692307692307693</v>
      </c>
      <c r="K270" s="24">
        <f t="shared" si="14"/>
        <v>1.558974358974359</v>
      </c>
      <c r="L270" s="24">
        <f t="shared" si="15"/>
        <v>1.9487179487179487</v>
      </c>
      <c r="R270" s="4">
        <v>78</v>
      </c>
      <c r="S270" s="24">
        <f t="shared" si="32"/>
        <v>5.0000000000000003E-10</v>
      </c>
      <c r="T270" s="24">
        <f t="shared" si="33"/>
        <v>5.0000000000000003E-10</v>
      </c>
      <c r="U270" s="24">
        <f t="shared" si="34"/>
        <v>5.0000000000000003E-10</v>
      </c>
      <c r="V270" s="24">
        <f t="shared" si="35"/>
        <v>1.6302990570483111</v>
      </c>
    </row>
    <row r="271" spans="2:22" x14ac:dyDescent="0.25">
      <c r="B271">
        <f t="shared" si="37"/>
        <v>122.26666666666665</v>
      </c>
      <c r="D271" s="4">
        <v>79</v>
      </c>
      <c r="E271" s="24">
        <f t="shared" si="11"/>
        <v>1.160759493670886</v>
      </c>
      <c r="F271" s="24">
        <f t="shared" si="36"/>
        <v>1.5476793248945147</v>
      </c>
      <c r="G271" s="24">
        <f t="shared" si="12"/>
        <v>1.9345991561181433</v>
      </c>
      <c r="I271" s="4">
        <v>79</v>
      </c>
      <c r="J271" s="24">
        <f t="shared" si="13"/>
        <v>1.160759493670886</v>
      </c>
      <c r="K271" s="24">
        <f t="shared" si="14"/>
        <v>1.5476793248945147</v>
      </c>
      <c r="L271" s="24">
        <f t="shared" si="15"/>
        <v>1.9345991561181433</v>
      </c>
      <c r="R271" s="4">
        <v>79</v>
      </c>
      <c r="S271" s="24">
        <f t="shared" si="32"/>
        <v>5.0000000000000003E-10</v>
      </c>
      <c r="T271" s="24">
        <f t="shared" si="33"/>
        <v>5.0000000000000003E-10</v>
      </c>
      <c r="U271" s="24">
        <f t="shared" si="34"/>
        <v>5.0000000000000003E-10</v>
      </c>
      <c r="V271" s="24">
        <f t="shared" si="35"/>
        <v>1.6096623601236488</v>
      </c>
    </row>
    <row r="272" spans="2:22" x14ac:dyDescent="0.25">
      <c r="B272">
        <f t="shared" si="37"/>
        <v>122.93333333333334</v>
      </c>
      <c r="D272" s="4">
        <v>80</v>
      </c>
      <c r="E272" s="24">
        <f t="shared" si="11"/>
        <v>1.1524999999999999</v>
      </c>
      <c r="F272" s="24">
        <f t="shared" si="36"/>
        <v>1.5366666666666666</v>
      </c>
      <c r="G272" s="24">
        <f t="shared" si="12"/>
        <v>1.9208333333333334</v>
      </c>
      <c r="I272" s="4">
        <v>80</v>
      </c>
      <c r="J272" s="24">
        <f t="shared" si="13"/>
        <v>1.1524999999999999</v>
      </c>
      <c r="K272" s="24">
        <f t="shared" si="14"/>
        <v>1.5366666666666666</v>
      </c>
      <c r="L272" s="24">
        <f t="shared" si="15"/>
        <v>1.9208333333333334</v>
      </c>
      <c r="R272" s="4">
        <v>80</v>
      </c>
      <c r="S272" s="24">
        <f t="shared" si="32"/>
        <v>5.0000000000000003E-10</v>
      </c>
      <c r="T272" s="24">
        <f t="shared" si="33"/>
        <v>5.0000000000000003E-10</v>
      </c>
      <c r="U272" s="24">
        <f t="shared" si="34"/>
        <v>5.0000000000000003E-10</v>
      </c>
      <c r="V272" s="24">
        <f t="shared" si="35"/>
        <v>1.5895415806221034</v>
      </c>
    </row>
    <row r="273" spans="4:12" x14ac:dyDescent="0.25">
      <c r="D273" s="1"/>
      <c r="E273" s="16"/>
      <c r="F273" s="16"/>
      <c r="G273" s="16"/>
      <c r="I273" s="1"/>
      <c r="J273" s="16"/>
      <c r="K273" s="16"/>
      <c r="L273" s="16"/>
    </row>
    <row r="275" spans="4:12" x14ac:dyDescent="0.25">
      <c r="D275" s="28" t="s">
        <v>311</v>
      </c>
    </row>
    <row r="277" spans="4:12" x14ac:dyDescent="0.25">
      <c r="D277" s="28" t="s">
        <v>312</v>
      </c>
      <c r="E277">
        <f>'Device Parameters'!E12</f>
        <v>1E-3</v>
      </c>
    </row>
    <row r="278" spans="4:12" x14ac:dyDescent="0.25">
      <c r="D278" s="28" t="s">
        <v>313</v>
      </c>
      <c r="E278">
        <f>RsEFF*0.001</f>
        <v>1.5E-3</v>
      </c>
    </row>
    <row r="279" spans="4:12" x14ac:dyDescent="0.25">
      <c r="D279" s="28" t="s">
        <v>314</v>
      </c>
      <c r="E279">
        <f>VINMAX</f>
        <v>25.2</v>
      </c>
    </row>
    <row r="280" spans="4:12" x14ac:dyDescent="0.25">
      <c r="D280" s="28" t="s">
        <v>315</v>
      </c>
      <c r="E280" s="1"/>
      <c r="F280">
        <v>0.25</v>
      </c>
    </row>
    <row r="282" spans="4:12" x14ac:dyDescent="0.25">
      <c r="D282" s="133" t="s">
        <v>276</v>
      </c>
    </row>
  </sheetData>
  <mergeCells count="3">
    <mergeCell ref="D52:G52"/>
    <mergeCell ref="D60:G60"/>
    <mergeCell ref="D74:H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15"/>
  <sheetViews>
    <sheetView zoomScale="85" zoomScaleNormal="85" workbookViewId="0">
      <selection activeCell="R19" sqref="R19"/>
    </sheetView>
  </sheetViews>
  <sheetFormatPr defaultColWidth="9.08984375" defaultRowHeight="12.5" x14ac:dyDescent="0.25"/>
  <cols>
    <col min="1" max="1" width="11" style="61" customWidth="1"/>
    <col min="2" max="3" width="9.08984375" style="61"/>
    <col min="4" max="5" width="15" style="61" customWidth="1"/>
    <col min="6" max="6" width="15.36328125" style="61" customWidth="1"/>
    <col min="7" max="7" width="14.81640625" style="61" customWidth="1"/>
    <col min="8" max="8" width="10.7265625" style="61" customWidth="1"/>
    <col min="9" max="9" width="12.36328125" style="61" bestFit="1" customWidth="1"/>
    <col min="10" max="10" width="14.81640625" style="61" customWidth="1"/>
    <col min="11" max="11" width="12.81640625" style="61" customWidth="1"/>
    <col min="12" max="12" width="14.26953125" style="61" customWidth="1"/>
    <col min="13" max="13" width="20.81640625" style="61" customWidth="1"/>
    <col min="14" max="14" width="12.7265625" style="61" customWidth="1"/>
    <col min="15" max="15" width="10.08984375" style="61" bestFit="1" customWidth="1"/>
    <col min="16" max="16" width="18.81640625" style="61" customWidth="1"/>
    <col min="17" max="17" width="10.81640625" style="61" customWidth="1"/>
    <col min="18" max="16384" width="9.08984375" style="61"/>
  </cols>
  <sheetData>
    <row r="1" spans="1:25" x14ac:dyDescent="0.25">
      <c r="B1" s="61" t="s">
        <v>144</v>
      </c>
      <c r="C1" s="61" t="s">
        <v>286</v>
      </c>
      <c r="D1" s="61" t="s">
        <v>287</v>
      </c>
      <c r="F1" s="143" t="s">
        <v>321</v>
      </c>
      <c r="G1" s="143" t="s">
        <v>288</v>
      </c>
      <c r="H1" s="143" t="s">
        <v>289</v>
      </c>
      <c r="I1" s="143" t="s">
        <v>290</v>
      </c>
      <c r="J1" s="143" t="s">
        <v>291</v>
      </c>
      <c r="K1" s="143"/>
      <c r="L1" s="143"/>
      <c r="M1" s="143" t="s">
        <v>295</v>
      </c>
      <c r="N1" s="143"/>
      <c r="O1" s="143" t="s">
        <v>296</v>
      </c>
      <c r="Q1" s="61" t="s">
        <v>336</v>
      </c>
      <c r="R1" s="61" t="s">
        <v>337</v>
      </c>
    </row>
    <row r="2" spans="1:25" x14ac:dyDescent="0.25">
      <c r="B2" s="137">
        <f>'Design Calculator'!F67</f>
        <v>86.399999999999991</v>
      </c>
      <c r="C2" s="61">
        <f>'Design Calculator'!F46</f>
        <v>36.666666666666664</v>
      </c>
      <c r="D2" s="61" t="str">
        <f>IF( 'Design Calculator'!F69 = "Constant Current", "CC", "R")</f>
        <v>CC</v>
      </c>
      <c r="F2" s="61" t="str">
        <f>'Design Calculator'!F71</f>
        <v>Yes</v>
      </c>
      <c r="G2" s="61">
        <f>'Design Calculator'!F70</f>
        <v>0</v>
      </c>
      <c r="H2" s="61">
        <f>'Design Calculator'!F68</f>
        <v>0</v>
      </c>
      <c r="I2" s="61">
        <f>RsEFF</f>
        <v>1.5</v>
      </c>
      <c r="J2" s="61">
        <f>'Device Parameters'!E12</f>
        <v>1E-3</v>
      </c>
      <c r="M2" s="137">
        <f>J114*1000</f>
        <v>157.50000000000014</v>
      </c>
      <c r="N2" s="61" t="s">
        <v>8</v>
      </c>
      <c r="O2" s="140">
        <f>MIN(L10:L111)</f>
        <v>1</v>
      </c>
      <c r="Q2" s="61">
        <f>'Device Parameters'!E30/'Device Parameters'!D30</f>
        <v>1.375</v>
      </c>
      <c r="R2" s="61">
        <f>'Device Parameters'!C30/'Device Parameters'!D30</f>
        <v>0.625</v>
      </c>
    </row>
    <row r="3" spans="1:25" x14ac:dyDescent="0.25">
      <c r="B3" s="137"/>
      <c r="M3" s="137"/>
      <c r="O3" s="140"/>
    </row>
    <row r="4" spans="1:25" x14ac:dyDescent="0.25">
      <c r="B4" s="137"/>
      <c r="D4" s="61" t="s">
        <v>328</v>
      </c>
      <c r="M4" s="137" t="s">
        <v>329</v>
      </c>
      <c r="N4" s="61">
        <f>MIN(M10:M114)</f>
        <v>2.1428571428571428</v>
      </c>
      <c r="O4" s="140" t="s">
        <v>325</v>
      </c>
      <c r="P4" s="61" t="s">
        <v>338</v>
      </c>
      <c r="Q4" s="61">
        <f>MAX(O10:O114)</f>
        <v>3.2256</v>
      </c>
      <c r="R4" s="61" t="s">
        <v>87</v>
      </c>
    </row>
    <row r="5" spans="1:25" x14ac:dyDescent="0.25">
      <c r="B5" s="137"/>
      <c r="M5" s="61" t="s">
        <v>330</v>
      </c>
      <c r="N5" s="61">
        <f>SUM(N10:N114)</f>
        <v>0.25157353846153846</v>
      </c>
      <c r="O5" s="140" t="s">
        <v>331</v>
      </c>
      <c r="P5" s="61" t="s">
        <v>340</v>
      </c>
      <c r="Q5" s="61">
        <f>MAX(P10:P114)</f>
        <v>4.4352</v>
      </c>
      <c r="R5" s="61" t="s">
        <v>87</v>
      </c>
    </row>
    <row r="6" spans="1:25" x14ac:dyDescent="0.25">
      <c r="P6" s="61" t="s">
        <v>339</v>
      </c>
      <c r="Q6" s="61">
        <f>MAX(Q10:Q114)</f>
        <v>2.016</v>
      </c>
      <c r="R6" s="61" t="s">
        <v>87</v>
      </c>
    </row>
    <row r="7" spans="1:25" ht="13" x14ac:dyDescent="0.3">
      <c r="A7" s="138" t="s">
        <v>167</v>
      </c>
      <c r="B7" s="139" t="s">
        <v>138</v>
      </c>
      <c r="C7" s="139" t="s">
        <v>139</v>
      </c>
      <c r="D7" s="139" t="s">
        <v>144</v>
      </c>
      <c r="E7" s="139" t="s">
        <v>319</v>
      </c>
      <c r="F7" s="139" t="s">
        <v>320</v>
      </c>
      <c r="G7" s="139" t="s">
        <v>293</v>
      </c>
      <c r="H7" s="139" t="s">
        <v>165</v>
      </c>
      <c r="I7" s="139" t="s">
        <v>292</v>
      </c>
      <c r="J7" s="139" t="s">
        <v>150</v>
      </c>
      <c r="K7" s="139" t="s">
        <v>370</v>
      </c>
      <c r="L7" s="138" t="s">
        <v>294</v>
      </c>
      <c r="M7" s="138" t="s">
        <v>332</v>
      </c>
      <c r="N7" s="138" t="s">
        <v>369</v>
      </c>
      <c r="O7" s="138" t="s">
        <v>333</v>
      </c>
      <c r="P7" s="61" t="s">
        <v>334</v>
      </c>
      <c r="Q7" s="61" t="s">
        <v>335</v>
      </c>
    </row>
    <row r="8" spans="1:25" ht="13" x14ac:dyDescent="0.3">
      <c r="A8" s="138"/>
      <c r="B8" s="139"/>
      <c r="C8" s="139"/>
      <c r="D8" s="139"/>
      <c r="E8" s="139"/>
      <c r="F8" s="139"/>
      <c r="G8" s="139"/>
      <c r="H8" s="139"/>
      <c r="I8" s="139"/>
      <c r="J8" s="139"/>
      <c r="K8" s="173">
        <v>-1</v>
      </c>
      <c r="L8" s="138"/>
      <c r="M8" s="138"/>
      <c r="N8" s="138"/>
      <c r="O8" s="61">
        <v>0</v>
      </c>
    </row>
    <row r="9" spans="1:25" ht="13" x14ac:dyDescent="0.3">
      <c r="A9" s="138"/>
      <c r="B9" s="139"/>
      <c r="C9" s="139"/>
      <c r="D9" s="139"/>
      <c r="E9" s="139"/>
      <c r="F9" s="139"/>
      <c r="G9" s="139"/>
      <c r="H9" s="139"/>
      <c r="I9" s="139"/>
      <c r="J9" s="139"/>
      <c r="K9" s="67">
        <v>-0.01</v>
      </c>
      <c r="L9" s="138"/>
      <c r="M9" s="138"/>
      <c r="N9" s="138"/>
      <c r="O9" s="61">
        <v>0</v>
      </c>
    </row>
    <row r="10" spans="1:25" x14ac:dyDescent="0.25">
      <c r="A10" s="61">
        <f t="shared" ref="A10:A41" si="0">VINMAX</f>
        <v>25.2</v>
      </c>
      <c r="B10" s="64">
        <f t="shared" ref="B10:B41" si="1">VINMAX*((ROW()-10)/104)</f>
        <v>0</v>
      </c>
      <c r="C10" s="62">
        <f t="shared" ref="C10:C41" si="2">IF(B10&gt;=$H$2,IF($D$2="CC", $G$2, B10/$G$2), 0)</f>
        <v>0</v>
      </c>
      <c r="D10" s="67">
        <f>B2</f>
        <v>86.399999999999991</v>
      </c>
      <c r="E10" s="60">
        <f>MIN(D10/(A10-B10),$C$2)</f>
        <v>3.4285714285714284</v>
      </c>
      <c r="F10" s="62">
        <f>I_Cout_ss+C10</f>
        <v>0.128</v>
      </c>
      <c r="G10" s="60">
        <f>IF($F$2="YES", F10, E10)</f>
        <v>0.128</v>
      </c>
      <c r="H10" s="62">
        <f t="shared" ref="H10:H41" si="3">G10-C10</f>
        <v>0.128</v>
      </c>
      <c r="I10" s="63">
        <f>(COUTMAX/1000000)*(B10)/H10</f>
        <v>0</v>
      </c>
      <c r="J10" s="63">
        <f>I10</f>
        <v>0</v>
      </c>
      <c r="K10" s="173">
        <f>J10*1000</f>
        <v>0</v>
      </c>
      <c r="L10" s="140">
        <f>H10/G10</f>
        <v>1</v>
      </c>
      <c r="M10" s="61">
        <f t="shared" ref="M10:M41" si="4">1/COUTMAX*(E10/2-C10)*1000</f>
        <v>2.1428571428571428</v>
      </c>
      <c r="N10" s="61">
        <f>I10*G10*(A10-B10)</f>
        <v>0</v>
      </c>
      <c r="O10" s="61">
        <f>G10*(A10-B10)</f>
        <v>3.2256</v>
      </c>
      <c r="P10" s="61">
        <f t="shared" ref="P10:P41" si="5">(A10-B10)*(I_Cout_ss*$Q$2+C10)</f>
        <v>4.4352</v>
      </c>
      <c r="Q10" s="61">
        <f t="shared" ref="Q10:Q41" si="6">(A10-B10)*(I_Cout_ss*$R$2+C10)</f>
        <v>2.016</v>
      </c>
    </row>
    <row r="11" spans="1:25" x14ac:dyDescent="0.25">
      <c r="A11" s="61">
        <f t="shared" si="0"/>
        <v>25.2</v>
      </c>
      <c r="B11" s="64">
        <f t="shared" si="1"/>
        <v>0.24230769230769231</v>
      </c>
      <c r="C11" s="62">
        <f t="shared" si="2"/>
        <v>0</v>
      </c>
      <c r="D11" s="67">
        <f>B2</f>
        <v>86.399999999999991</v>
      </c>
      <c r="E11" s="60">
        <f t="shared" ref="E11:E74" si="7">MIN(D11/(A11-B11),$C$2)</f>
        <v>3.4618585298196942</v>
      </c>
      <c r="F11" s="62">
        <f t="shared" ref="F11:F41" si="8">I_Cout_ss+C11</f>
        <v>0.128</v>
      </c>
      <c r="G11" s="60">
        <f t="shared" ref="G11:G74" si="9">IF($F$2="YES", F11, E11)</f>
        <v>0.128</v>
      </c>
      <c r="H11" s="62">
        <f t="shared" si="3"/>
        <v>0.128</v>
      </c>
      <c r="I11" s="63">
        <f t="shared" ref="I11:I42" si="10">(COUTMAX/1000000)*(B11-B10)/H11</f>
        <v>1.5144230769230768E-3</v>
      </c>
      <c r="J11" s="63">
        <f>J10+I11</f>
        <v>1.5144230769230768E-3</v>
      </c>
      <c r="K11" s="173">
        <f t="shared" ref="K11:K74" si="11">J11*1000</f>
        <v>1.5144230769230769</v>
      </c>
      <c r="L11" s="140">
        <f t="shared" ref="L11:L74" si="12">H11/G11</f>
        <v>1</v>
      </c>
      <c r="M11" s="61">
        <f t="shared" si="4"/>
        <v>2.1636615811373088</v>
      </c>
      <c r="N11" s="61">
        <f t="shared" ref="N11:N13" si="13">I11*G11*(A11-B11)</f>
        <v>4.8379526627218934E-3</v>
      </c>
      <c r="O11" s="61">
        <f t="shared" ref="O11:O74" si="14">G11*(A11-B11)</f>
        <v>3.1945846153846156</v>
      </c>
      <c r="P11" s="61">
        <f t="shared" si="5"/>
        <v>4.392553846153846</v>
      </c>
      <c r="Q11" s="61">
        <f t="shared" si="6"/>
        <v>1.9966153846153847</v>
      </c>
    </row>
    <row r="12" spans="1:25" ht="13" x14ac:dyDescent="0.3">
      <c r="A12" s="61">
        <f t="shared" si="0"/>
        <v>25.2</v>
      </c>
      <c r="B12" s="64">
        <f t="shared" si="1"/>
        <v>0.48461538461538461</v>
      </c>
      <c r="C12" s="62">
        <f t="shared" si="2"/>
        <v>0</v>
      </c>
      <c r="D12" s="67">
        <f>B2</f>
        <v>86.399999999999991</v>
      </c>
      <c r="E12" s="60">
        <f t="shared" si="7"/>
        <v>3.4957983193277307</v>
      </c>
      <c r="F12" s="62">
        <f t="shared" si="8"/>
        <v>0.128</v>
      </c>
      <c r="G12" s="60">
        <f t="shared" si="9"/>
        <v>0.128</v>
      </c>
      <c r="H12" s="62">
        <f t="shared" si="3"/>
        <v>0.128</v>
      </c>
      <c r="I12" s="63">
        <f t="shared" si="10"/>
        <v>1.5144230769230768E-3</v>
      </c>
      <c r="J12" s="63">
        <f t="shared" ref="J12:J75" si="15">J11+I12</f>
        <v>3.0288461538461537E-3</v>
      </c>
      <c r="K12" s="173">
        <f t="shared" si="11"/>
        <v>3.0288461538461537</v>
      </c>
      <c r="L12" s="140">
        <f t="shared" si="12"/>
        <v>1</v>
      </c>
      <c r="M12" s="61">
        <f t="shared" si="4"/>
        <v>2.1848739495798317</v>
      </c>
      <c r="N12" s="61">
        <f>I12*G12*(A12-B12)</f>
        <v>4.7909822485207101E-3</v>
      </c>
      <c r="O12" s="61">
        <f t="shared" si="14"/>
        <v>3.1635692307692307</v>
      </c>
      <c r="P12" s="61">
        <f t="shared" si="5"/>
        <v>4.349907692307692</v>
      </c>
      <c r="Q12" s="61">
        <f t="shared" si="6"/>
        <v>1.9772307692307691</v>
      </c>
      <c r="X12" s="291" t="s">
        <v>140</v>
      </c>
      <c r="Y12" s="291"/>
    </row>
    <row r="13" spans="1:25" x14ac:dyDescent="0.25">
      <c r="A13" s="61">
        <f t="shared" si="0"/>
        <v>25.2</v>
      </c>
      <c r="B13" s="64">
        <f t="shared" si="1"/>
        <v>0.72692307692307689</v>
      </c>
      <c r="C13" s="62">
        <f t="shared" si="2"/>
        <v>0</v>
      </c>
      <c r="D13" s="67">
        <f>B2</f>
        <v>86.399999999999991</v>
      </c>
      <c r="E13" s="60">
        <f t="shared" si="7"/>
        <v>3.5304101838755297</v>
      </c>
      <c r="F13" s="62">
        <f t="shared" si="8"/>
        <v>0.128</v>
      </c>
      <c r="G13" s="60">
        <f t="shared" si="9"/>
        <v>0.128</v>
      </c>
      <c r="H13" s="62">
        <f t="shared" si="3"/>
        <v>0.128</v>
      </c>
      <c r="I13" s="63">
        <f t="shared" si="10"/>
        <v>1.5144230769230766E-3</v>
      </c>
      <c r="J13" s="63">
        <f t="shared" si="15"/>
        <v>4.5432692307692301E-3</v>
      </c>
      <c r="K13" s="173">
        <f t="shared" si="11"/>
        <v>4.5432692307692299</v>
      </c>
      <c r="L13" s="140">
        <f t="shared" si="12"/>
        <v>1</v>
      </c>
      <c r="M13" s="61">
        <f t="shared" si="4"/>
        <v>2.2065063649222063</v>
      </c>
      <c r="N13" s="61">
        <f t="shared" si="13"/>
        <v>4.744011834319526E-3</v>
      </c>
      <c r="O13" s="61">
        <f t="shared" si="14"/>
        <v>3.1325538461538462</v>
      </c>
      <c r="P13" s="61">
        <f t="shared" si="5"/>
        <v>4.307261538461538</v>
      </c>
      <c r="Q13" s="61">
        <f t="shared" si="6"/>
        <v>1.957846153846154</v>
      </c>
      <c r="X13" s="65" t="s">
        <v>141</v>
      </c>
      <c r="Y13" s="65">
        <v>0.3</v>
      </c>
    </row>
    <row r="14" spans="1:25" x14ac:dyDescent="0.25">
      <c r="A14" s="61">
        <f t="shared" si="0"/>
        <v>25.2</v>
      </c>
      <c r="B14" s="64">
        <f t="shared" si="1"/>
        <v>0.96923076923076923</v>
      </c>
      <c r="C14" s="62">
        <f t="shared" si="2"/>
        <v>0</v>
      </c>
      <c r="D14" s="67">
        <f>B2</f>
        <v>86.399999999999991</v>
      </c>
      <c r="E14" s="60">
        <f t="shared" si="7"/>
        <v>3.5657142857142854</v>
      </c>
      <c r="F14" s="62">
        <f t="shared" si="8"/>
        <v>0.128</v>
      </c>
      <c r="G14" s="60">
        <f t="shared" si="9"/>
        <v>0.128</v>
      </c>
      <c r="H14" s="62">
        <f t="shared" si="3"/>
        <v>0.128</v>
      </c>
      <c r="I14" s="63">
        <f t="shared" si="10"/>
        <v>1.5144230769230771E-3</v>
      </c>
      <c r="J14" s="63">
        <f t="shared" si="15"/>
        <v>6.0576923076923073E-3</v>
      </c>
      <c r="K14" s="173">
        <f t="shared" si="11"/>
        <v>6.0576923076923075</v>
      </c>
      <c r="L14" s="140">
        <f t="shared" si="12"/>
        <v>1</v>
      </c>
      <c r="M14" s="61">
        <f t="shared" si="4"/>
        <v>2.2285714285714282</v>
      </c>
      <c r="N14" s="61">
        <f t="shared" ref="N14:N74" si="16">I14*G14*(A14-B14)</f>
        <v>4.6970414201183436E-3</v>
      </c>
      <c r="O14" s="61">
        <f t="shared" si="14"/>
        <v>3.1015384615384614</v>
      </c>
      <c r="P14" s="61">
        <f t="shared" si="5"/>
        <v>4.264615384615384</v>
      </c>
      <c r="Q14" s="61">
        <f t="shared" si="6"/>
        <v>1.9384615384615385</v>
      </c>
      <c r="X14" s="65" t="s">
        <v>142</v>
      </c>
      <c r="Y14" s="65">
        <v>0.3</v>
      </c>
    </row>
    <row r="15" spans="1:25" x14ac:dyDescent="0.25">
      <c r="A15" s="61">
        <f t="shared" si="0"/>
        <v>25.2</v>
      </c>
      <c r="B15" s="64">
        <f t="shared" si="1"/>
        <v>1.2115384615384617</v>
      </c>
      <c r="C15" s="62">
        <f t="shared" si="2"/>
        <v>0</v>
      </c>
      <c r="D15" s="67">
        <f>B2</f>
        <v>86.399999999999991</v>
      </c>
      <c r="E15" s="60">
        <f t="shared" si="7"/>
        <v>3.6017316017316019</v>
      </c>
      <c r="F15" s="62">
        <f t="shared" si="8"/>
        <v>0.128</v>
      </c>
      <c r="G15" s="60">
        <f t="shared" si="9"/>
        <v>0.128</v>
      </c>
      <c r="H15" s="62">
        <f t="shared" si="3"/>
        <v>0.128</v>
      </c>
      <c r="I15" s="63">
        <f t="shared" si="10"/>
        <v>1.5144230769230777E-3</v>
      </c>
      <c r="J15" s="63">
        <f t="shared" si="15"/>
        <v>7.5721153846153855E-3</v>
      </c>
      <c r="K15" s="173">
        <f t="shared" si="11"/>
        <v>7.572115384615385</v>
      </c>
      <c r="L15" s="140">
        <f t="shared" si="12"/>
        <v>1</v>
      </c>
      <c r="M15" s="61">
        <f t="shared" si="4"/>
        <v>2.2510822510822512</v>
      </c>
      <c r="N15" s="61">
        <f t="shared" si="16"/>
        <v>4.6500710059171621E-3</v>
      </c>
      <c r="O15" s="61">
        <f t="shared" si="14"/>
        <v>3.0705230769230765</v>
      </c>
      <c r="P15" s="61">
        <f t="shared" si="5"/>
        <v>4.22196923076923</v>
      </c>
      <c r="Q15" s="61">
        <f t="shared" si="6"/>
        <v>1.9190769230769229</v>
      </c>
      <c r="X15" s="65" t="s">
        <v>143</v>
      </c>
      <c r="Y15" s="65">
        <f>SQRT(Y14^2+Y13^2)</f>
        <v>0.42426406871192851</v>
      </c>
    </row>
    <row r="16" spans="1:25" x14ac:dyDescent="0.25">
      <c r="A16" s="61">
        <f t="shared" si="0"/>
        <v>25.2</v>
      </c>
      <c r="B16" s="64">
        <f t="shared" si="1"/>
        <v>1.4538461538461538</v>
      </c>
      <c r="C16" s="62">
        <f t="shared" si="2"/>
        <v>0</v>
      </c>
      <c r="D16" s="67">
        <f>B2</f>
        <v>86.399999999999991</v>
      </c>
      <c r="E16" s="60">
        <f t="shared" si="7"/>
        <v>3.638483965014577</v>
      </c>
      <c r="F16" s="62">
        <f t="shared" si="8"/>
        <v>0.128</v>
      </c>
      <c r="G16" s="60">
        <f t="shared" si="9"/>
        <v>0.128</v>
      </c>
      <c r="H16" s="62">
        <f t="shared" si="3"/>
        <v>0.128</v>
      </c>
      <c r="I16" s="63">
        <f t="shared" si="10"/>
        <v>1.5144230769230757E-3</v>
      </c>
      <c r="J16" s="63">
        <f t="shared" si="15"/>
        <v>9.0865384615384619E-3</v>
      </c>
      <c r="K16" s="173">
        <f t="shared" si="11"/>
        <v>9.0865384615384617</v>
      </c>
      <c r="L16" s="140">
        <f t="shared" si="12"/>
        <v>1</v>
      </c>
      <c r="M16" s="61">
        <f t="shared" si="4"/>
        <v>2.2740524781341107</v>
      </c>
      <c r="N16" s="61">
        <f t="shared" si="16"/>
        <v>4.6031005917159728E-3</v>
      </c>
      <c r="O16" s="61">
        <f t="shared" si="14"/>
        <v>3.0395076923076925</v>
      </c>
      <c r="P16" s="61">
        <f t="shared" si="5"/>
        <v>4.1793230769230769</v>
      </c>
      <c r="Q16" s="61">
        <f t="shared" si="6"/>
        <v>1.8996923076923076</v>
      </c>
      <c r="X16" s="65"/>
      <c r="Y16" s="65"/>
    </row>
    <row r="17" spans="1:25" x14ac:dyDescent="0.25">
      <c r="A17" s="61">
        <f t="shared" si="0"/>
        <v>25.2</v>
      </c>
      <c r="B17" s="64">
        <f t="shared" si="1"/>
        <v>1.6961538461538461</v>
      </c>
      <c r="C17" s="62">
        <f t="shared" si="2"/>
        <v>0</v>
      </c>
      <c r="D17" s="67">
        <f>B2</f>
        <v>86.399999999999991</v>
      </c>
      <c r="E17" s="60">
        <f t="shared" si="7"/>
        <v>3.6759941089837991</v>
      </c>
      <c r="F17" s="62">
        <f t="shared" si="8"/>
        <v>0.128</v>
      </c>
      <c r="G17" s="60">
        <f t="shared" si="9"/>
        <v>0.128</v>
      </c>
      <c r="H17" s="62">
        <f t="shared" si="3"/>
        <v>0.128</v>
      </c>
      <c r="I17" s="63">
        <f t="shared" si="10"/>
        <v>1.5144230769230771E-3</v>
      </c>
      <c r="J17" s="63">
        <f t="shared" si="15"/>
        <v>1.0600961538461538E-2</v>
      </c>
      <c r="K17" s="173">
        <f t="shared" si="11"/>
        <v>10.600961538461538</v>
      </c>
      <c r="L17" s="140">
        <f t="shared" si="12"/>
        <v>1</v>
      </c>
      <c r="M17" s="61">
        <f t="shared" si="4"/>
        <v>2.2974963181148742</v>
      </c>
      <c r="N17" s="61">
        <f t="shared" si="16"/>
        <v>4.5561301775147939E-3</v>
      </c>
      <c r="O17" s="61">
        <f t="shared" si="14"/>
        <v>3.008492307692308</v>
      </c>
      <c r="P17" s="61">
        <f t="shared" si="5"/>
        <v>4.1366769230769229</v>
      </c>
      <c r="Q17" s="61">
        <f t="shared" si="6"/>
        <v>1.8803076923076925</v>
      </c>
      <c r="X17" s="65" t="s">
        <v>144</v>
      </c>
      <c r="Y17" s="65">
        <v>0.3</v>
      </c>
    </row>
    <row r="18" spans="1:25" x14ac:dyDescent="0.25">
      <c r="A18" s="61">
        <f t="shared" si="0"/>
        <v>25.2</v>
      </c>
      <c r="B18" s="64">
        <f t="shared" si="1"/>
        <v>1.9384615384615385</v>
      </c>
      <c r="C18" s="62">
        <f t="shared" si="2"/>
        <v>0</v>
      </c>
      <c r="D18" s="67">
        <f>B2</f>
        <v>86.399999999999991</v>
      </c>
      <c r="E18" s="60">
        <f t="shared" si="7"/>
        <v>3.714285714285714</v>
      </c>
      <c r="F18" s="62">
        <f t="shared" si="8"/>
        <v>0.128</v>
      </c>
      <c r="G18" s="60">
        <f t="shared" si="9"/>
        <v>0.128</v>
      </c>
      <c r="H18" s="62">
        <f t="shared" si="3"/>
        <v>0.128</v>
      </c>
      <c r="I18" s="63">
        <f t="shared" si="10"/>
        <v>1.5144230769230771E-3</v>
      </c>
      <c r="J18" s="63">
        <f t="shared" si="15"/>
        <v>1.2115384615384615E-2</v>
      </c>
      <c r="K18" s="173">
        <f t="shared" si="11"/>
        <v>12.115384615384615</v>
      </c>
      <c r="L18" s="140">
        <f t="shared" si="12"/>
        <v>1</v>
      </c>
      <c r="M18" s="61">
        <f t="shared" si="4"/>
        <v>2.3214285714285712</v>
      </c>
      <c r="N18" s="61">
        <f t="shared" si="16"/>
        <v>4.5091597633136098E-3</v>
      </c>
      <c r="O18" s="61">
        <f t="shared" si="14"/>
        <v>2.9774769230769231</v>
      </c>
      <c r="P18" s="61">
        <f t="shared" si="5"/>
        <v>4.0940307692307689</v>
      </c>
      <c r="Q18" s="61">
        <f t="shared" si="6"/>
        <v>1.8609230769230769</v>
      </c>
      <c r="X18" s="65" t="s">
        <v>145</v>
      </c>
      <c r="Y18" s="65">
        <f>MAX(Y15:Y17)</f>
        <v>0.42426406871192851</v>
      </c>
    </row>
    <row r="19" spans="1:25" x14ac:dyDescent="0.25">
      <c r="A19" s="61">
        <f t="shared" si="0"/>
        <v>25.2</v>
      </c>
      <c r="B19" s="64">
        <f t="shared" si="1"/>
        <v>2.1807692307692306</v>
      </c>
      <c r="C19" s="62">
        <f t="shared" si="2"/>
        <v>0</v>
      </c>
      <c r="D19" s="67">
        <f>B2</f>
        <v>86.399999999999991</v>
      </c>
      <c r="E19" s="60">
        <f t="shared" si="7"/>
        <v>3.7533834586466162</v>
      </c>
      <c r="F19" s="62">
        <f t="shared" si="8"/>
        <v>0.128</v>
      </c>
      <c r="G19" s="60">
        <f t="shared" si="9"/>
        <v>0.128</v>
      </c>
      <c r="H19" s="62">
        <f t="shared" si="3"/>
        <v>0.128</v>
      </c>
      <c r="I19" s="63">
        <f t="shared" si="10"/>
        <v>1.5144230769230757E-3</v>
      </c>
      <c r="J19" s="63">
        <f t="shared" si="15"/>
        <v>1.3629807692307691E-2</v>
      </c>
      <c r="K19" s="173">
        <f t="shared" si="11"/>
        <v>13.629807692307692</v>
      </c>
      <c r="L19" s="140">
        <f t="shared" si="12"/>
        <v>1</v>
      </c>
      <c r="M19" s="61">
        <f t="shared" si="4"/>
        <v>2.3458646616541352</v>
      </c>
      <c r="N19" s="61">
        <f t="shared" si="16"/>
        <v>4.4621893491124231E-3</v>
      </c>
      <c r="O19" s="61">
        <f t="shared" si="14"/>
        <v>2.9464615384615387</v>
      </c>
      <c r="P19" s="61">
        <f t="shared" si="5"/>
        <v>4.0513846153846149</v>
      </c>
      <c r="Q19" s="61">
        <f t="shared" si="6"/>
        <v>1.8415384615384616</v>
      </c>
      <c r="X19" s="65"/>
      <c r="Y19" s="65"/>
    </row>
    <row r="20" spans="1:25" x14ac:dyDescent="0.25">
      <c r="A20" s="61">
        <f t="shared" si="0"/>
        <v>25.2</v>
      </c>
      <c r="B20" s="64">
        <f t="shared" si="1"/>
        <v>2.4230769230769234</v>
      </c>
      <c r="C20" s="62">
        <f t="shared" si="2"/>
        <v>0</v>
      </c>
      <c r="D20" s="67">
        <f>B2</f>
        <v>86.399999999999991</v>
      </c>
      <c r="E20" s="60">
        <f t="shared" si="7"/>
        <v>3.7933130699088142</v>
      </c>
      <c r="F20" s="62">
        <f t="shared" si="8"/>
        <v>0.128</v>
      </c>
      <c r="G20" s="60">
        <f t="shared" si="9"/>
        <v>0.128</v>
      </c>
      <c r="H20" s="62">
        <f t="shared" si="3"/>
        <v>0.128</v>
      </c>
      <c r="I20" s="63">
        <f t="shared" si="10"/>
        <v>1.5144230769230799E-3</v>
      </c>
      <c r="J20" s="63">
        <f t="shared" si="15"/>
        <v>1.5144230769230771E-2</v>
      </c>
      <c r="K20" s="173">
        <f t="shared" si="11"/>
        <v>15.14423076923077</v>
      </c>
      <c r="L20" s="140">
        <f t="shared" si="12"/>
        <v>1</v>
      </c>
      <c r="M20" s="61">
        <f t="shared" si="4"/>
        <v>2.3708206686930091</v>
      </c>
      <c r="N20" s="61">
        <f t="shared" si="16"/>
        <v>4.4152189349112511E-3</v>
      </c>
      <c r="O20" s="61">
        <f t="shared" si="14"/>
        <v>2.9154461538461538</v>
      </c>
      <c r="P20" s="61">
        <f t="shared" si="5"/>
        <v>4.0087384615384609</v>
      </c>
      <c r="Q20" s="61">
        <f t="shared" si="6"/>
        <v>1.822153846153846</v>
      </c>
      <c r="X20" s="65" t="s">
        <v>146</v>
      </c>
      <c r="Y20" s="65">
        <v>0.2</v>
      </c>
    </row>
    <row r="21" spans="1:25" x14ac:dyDescent="0.25">
      <c r="A21" s="61">
        <f t="shared" si="0"/>
        <v>25.2</v>
      </c>
      <c r="B21" s="64">
        <f t="shared" si="1"/>
        <v>2.6653846153846152</v>
      </c>
      <c r="C21" s="62">
        <f t="shared" si="2"/>
        <v>0</v>
      </c>
      <c r="D21" s="67">
        <f>B2</f>
        <v>86.399999999999991</v>
      </c>
      <c r="E21" s="60">
        <f t="shared" si="7"/>
        <v>3.8341013824884786</v>
      </c>
      <c r="F21" s="62">
        <f t="shared" si="8"/>
        <v>0.128</v>
      </c>
      <c r="G21" s="60">
        <f t="shared" si="9"/>
        <v>0.128</v>
      </c>
      <c r="H21" s="62">
        <f t="shared" si="3"/>
        <v>0.128</v>
      </c>
      <c r="I21" s="63">
        <f t="shared" si="10"/>
        <v>1.5144230769230744E-3</v>
      </c>
      <c r="J21" s="63">
        <f t="shared" si="15"/>
        <v>1.6658653846153844E-2</v>
      </c>
      <c r="K21" s="173">
        <f t="shared" si="11"/>
        <v>16.658653846153843</v>
      </c>
      <c r="L21" s="140">
        <f t="shared" si="12"/>
        <v>1</v>
      </c>
      <c r="M21" s="61">
        <f t="shared" si="4"/>
        <v>2.3963133640552989</v>
      </c>
      <c r="N21" s="61">
        <f t="shared" si="16"/>
        <v>4.3682485207100523E-3</v>
      </c>
      <c r="O21" s="61">
        <f t="shared" si="14"/>
        <v>2.8844307692307694</v>
      </c>
      <c r="P21" s="61">
        <f t="shared" si="5"/>
        <v>3.9660923076923078</v>
      </c>
      <c r="Q21" s="61">
        <f t="shared" si="6"/>
        <v>1.8027692307692309</v>
      </c>
      <c r="X21" s="65" t="s">
        <v>147</v>
      </c>
      <c r="Y21" s="65">
        <v>0.2</v>
      </c>
    </row>
    <row r="22" spans="1:25" x14ac:dyDescent="0.25">
      <c r="A22" s="61">
        <f t="shared" si="0"/>
        <v>25.2</v>
      </c>
      <c r="B22" s="64">
        <f t="shared" si="1"/>
        <v>2.9076923076923076</v>
      </c>
      <c r="C22" s="62">
        <f t="shared" si="2"/>
        <v>0</v>
      </c>
      <c r="D22" s="67">
        <f>B2</f>
        <v>86.399999999999991</v>
      </c>
      <c r="E22" s="60">
        <f t="shared" si="7"/>
        <v>3.8757763975155277</v>
      </c>
      <c r="F22" s="62">
        <f t="shared" si="8"/>
        <v>0.128</v>
      </c>
      <c r="G22" s="60">
        <f t="shared" si="9"/>
        <v>0.128</v>
      </c>
      <c r="H22" s="62">
        <f t="shared" si="3"/>
        <v>0.128</v>
      </c>
      <c r="I22" s="63">
        <f t="shared" si="10"/>
        <v>1.5144230769230771E-3</v>
      </c>
      <c r="J22" s="63">
        <f t="shared" si="15"/>
        <v>1.817307692307692E-2</v>
      </c>
      <c r="K22" s="173">
        <f t="shared" si="11"/>
        <v>18.17307692307692</v>
      </c>
      <c r="L22" s="140">
        <f t="shared" si="12"/>
        <v>1</v>
      </c>
      <c r="M22" s="61">
        <f t="shared" si="4"/>
        <v>2.4223602484472049</v>
      </c>
      <c r="N22" s="61">
        <f t="shared" si="16"/>
        <v>4.3212781065088759E-3</v>
      </c>
      <c r="O22" s="61">
        <f t="shared" si="14"/>
        <v>2.8534153846153845</v>
      </c>
      <c r="P22" s="61">
        <f t="shared" si="5"/>
        <v>3.9234461538461534</v>
      </c>
      <c r="Q22" s="61">
        <f t="shared" si="6"/>
        <v>1.7833846153846153</v>
      </c>
      <c r="X22" s="65" t="s">
        <v>143</v>
      </c>
      <c r="Y22" s="65">
        <f>SQRT(Y21^2+Y20^2)</f>
        <v>0.28284271247461906</v>
      </c>
    </row>
    <row r="23" spans="1:25" x14ac:dyDescent="0.25">
      <c r="A23" s="61">
        <f t="shared" si="0"/>
        <v>25.2</v>
      </c>
      <c r="B23" s="64">
        <f t="shared" si="1"/>
        <v>3.15</v>
      </c>
      <c r="C23" s="62">
        <f t="shared" si="2"/>
        <v>0</v>
      </c>
      <c r="D23" s="67">
        <f>B2</f>
        <v>86.399999999999991</v>
      </c>
      <c r="E23" s="60">
        <f t="shared" si="7"/>
        <v>3.918367346938775</v>
      </c>
      <c r="F23" s="62">
        <f t="shared" si="8"/>
        <v>0.128</v>
      </c>
      <c r="G23" s="60">
        <f t="shared" si="9"/>
        <v>0.128</v>
      </c>
      <c r="H23" s="62">
        <f t="shared" si="3"/>
        <v>0.128</v>
      </c>
      <c r="I23" s="63">
        <f t="shared" si="10"/>
        <v>1.5144230769230771E-3</v>
      </c>
      <c r="J23" s="63">
        <f t="shared" si="15"/>
        <v>1.9687499999999997E-2</v>
      </c>
      <c r="K23" s="173">
        <f t="shared" si="11"/>
        <v>19.687499999999996</v>
      </c>
      <c r="L23" s="140">
        <f t="shared" si="12"/>
        <v>1</v>
      </c>
      <c r="M23" s="61">
        <f t="shared" si="4"/>
        <v>2.4489795918367347</v>
      </c>
      <c r="N23" s="61">
        <f t="shared" si="16"/>
        <v>4.2743076923076927E-3</v>
      </c>
      <c r="O23" s="61">
        <f t="shared" si="14"/>
        <v>2.8224</v>
      </c>
      <c r="P23" s="61">
        <f t="shared" si="5"/>
        <v>3.8807999999999998</v>
      </c>
      <c r="Q23" s="61">
        <f t="shared" si="6"/>
        <v>1.764</v>
      </c>
      <c r="X23" s="65"/>
      <c r="Y23" s="65"/>
    </row>
    <row r="24" spans="1:25" x14ac:dyDescent="0.25">
      <c r="A24" s="61">
        <f t="shared" si="0"/>
        <v>25.2</v>
      </c>
      <c r="B24" s="64">
        <f t="shared" si="1"/>
        <v>3.3923076923076922</v>
      </c>
      <c r="C24" s="62">
        <f t="shared" si="2"/>
        <v>0</v>
      </c>
      <c r="D24" s="67">
        <f>B2</f>
        <v>86.399999999999991</v>
      </c>
      <c r="E24" s="60">
        <f t="shared" si="7"/>
        <v>3.9619047619047616</v>
      </c>
      <c r="F24" s="62">
        <f t="shared" si="8"/>
        <v>0.128</v>
      </c>
      <c r="G24" s="60">
        <f t="shared" si="9"/>
        <v>0.128</v>
      </c>
      <c r="H24" s="62">
        <f t="shared" si="3"/>
        <v>0.128</v>
      </c>
      <c r="I24" s="63">
        <f t="shared" si="10"/>
        <v>1.5144230769230771E-3</v>
      </c>
      <c r="J24" s="63">
        <f t="shared" si="15"/>
        <v>2.1201923076923073E-2</v>
      </c>
      <c r="K24" s="173">
        <f t="shared" si="11"/>
        <v>21.201923076923073</v>
      </c>
      <c r="L24" s="140">
        <f t="shared" si="12"/>
        <v>1</v>
      </c>
      <c r="M24" s="61">
        <f t="shared" si="4"/>
        <v>2.4761904761904758</v>
      </c>
      <c r="N24" s="61">
        <f t="shared" si="16"/>
        <v>4.2273372781065095E-3</v>
      </c>
      <c r="O24" s="61">
        <f t="shared" si="14"/>
        <v>2.7913846153846151</v>
      </c>
      <c r="P24" s="61">
        <f t="shared" si="5"/>
        <v>3.8381538461538458</v>
      </c>
      <c r="Q24" s="61">
        <f t="shared" si="6"/>
        <v>1.7446153846153845</v>
      </c>
      <c r="X24" s="65" t="s">
        <v>148</v>
      </c>
      <c r="Y24" s="65">
        <f>SQRT(Y18^2+Y22^2)</f>
        <v>0.50990195135927852</v>
      </c>
    </row>
    <row r="25" spans="1:25" x14ac:dyDescent="0.25">
      <c r="A25" s="61">
        <f t="shared" si="0"/>
        <v>25.2</v>
      </c>
      <c r="B25" s="64">
        <f t="shared" si="1"/>
        <v>3.6346153846153841</v>
      </c>
      <c r="C25" s="62">
        <f t="shared" si="2"/>
        <v>0</v>
      </c>
      <c r="D25" s="67">
        <f>B2</f>
        <v>86.399999999999991</v>
      </c>
      <c r="E25" s="60">
        <f t="shared" si="7"/>
        <v>4.006420545746388</v>
      </c>
      <c r="F25" s="62">
        <f t="shared" si="8"/>
        <v>0.128</v>
      </c>
      <c r="G25" s="60">
        <f t="shared" si="9"/>
        <v>0.128</v>
      </c>
      <c r="H25" s="62">
        <f t="shared" si="3"/>
        <v>0.128</v>
      </c>
      <c r="I25" s="63">
        <f t="shared" si="10"/>
        <v>1.5144230769230744E-3</v>
      </c>
      <c r="J25" s="63">
        <f t="shared" si="15"/>
        <v>2.2716346153846146E-2</v>
      </c>
      <c r="K25" s="173">
        <f t="shared" si="11"/>
        <v>22.716346153846146</v>
      </c>
      <c r="L25" s="140">
        <f t="shared" si="12"/>
        <v>1</v>
      </c>
      <c r="M25" s="61">
        <f t="shared" si="4"/>
        <v>2.5040128410914924</v>
      </c>
      <c r="N25" s="61">
        <f t="shared" si="16"/>
        <v>4.1803668639053184E-3</v>
      </c>
      <c r="O25" s="61">
        <f t="shared" si="14"/>
        <v>2.7603692307692311</v>
      </c>
      <c r="P25" s="61">
        <f t="shared" si="5"/>
        <v>3.7955076923076922</v>
      </c>
      <c r="Q25" s="61">
        <f t="shared" si="6"/>
        <v>1.7252307692307693</v>
      </c>
    </row>
    <row r="26" spans="1:25" x14ac:dyDescent="0.25">
      <c r="A26" s="61">
        <f t="shared" si="0"/>
        <v>25.2</v>
      </c>
      <c r="B26" s="64">
        <f t="shared" si="1"/>
        <v>3.8769230769230769</v>
      </c>
      <c r="C26" s="62">
        <f t="shared" si="2"/>
        <v>0</v>
      </c>
      <c r="D26" s="67">
        <f>B2</f>
        <v>86.399999999999991</v>
      </c>
      <c r="E26" s="60">
        <f t="shared" si="7"/>
        <v>4.0519480519480515</v>
      </c>
      <c r="F26" s="62">
        <f t="shared" si="8"/>
        <v>0.128</v>
      </c>
      <c r="G26" s="60">
        <f t="shared" si="9"/>
        <v>0.128</v>
      </c>
      <c r="H26" s="62">
        <f t="shared" si="3"/>
        <v>0.128</v>
      </c>
      <c r="I26" s="63">
        <f t="shared" si="10"/>
        <v>1.5144230769230799E-3</v>
      </c>
      <c r="J26" s="63">
        <f t="shared" si="15"/>
        <v>2.4230769230769226E-2</v>
      </c>
      <c r="K26" s="173">
        <f t="shared" si="11"/>
        <v>24.230769230769226</v>
      </c>
      <c r="L26" s="140">
        <f t="shared" si="12"/>
        <v>1</v>
      </c>
      <c r="M26" s="61">
        <f t="shared" si="4"/>
        <v>2.5324675324675323</v>
      </c>
      <c r="N26" s="61">
        <f t="shared" si="16"/>
        <v>4.1333964497041499E-3</v>
      </c>
      <c r="O26" s="61">
        <f t="shared" si="14"/>
        <v>2.7293538461538462</v>
      </c>
      <c r="P26" s="61">
        <f t="shared" si="5"/>
        <v>3.7528615384615382</v>
      </c>
      <c r="Q26" s="61">
        <f t="shared" si="6"/>
        <v>1.7058461538461538</v>
      </c>
    </row>
    <row r="27" spans="1:25" x14ac:dyDescent="0.25">
      <c r="A27" s="61">
        <f t="shared" si="0"/>
        <v>25.2</v>
      </c>
      <c r="B27" s="64">
        <f t="shared" si="1"/>
        <v>4.1192307692307688</v>
      </c>
      <c r="C27" s="62">
        <f t="shared" si="2"/>
        <v>0</v>
      </c>
      <c r="D27" s="67">
        <f>B2</f>
        <v>86.399999999999991</v>
      </c>
      <c r="E27" s="60">
        <f t="shared" si="7"/>
        <v>4.0985221674876842</v>
      </c>
      <c r="F27" s="62">
        <f t="shared" si="8"/>
        <v>0.128</v>
      </c>
      <c r="G27" s="60">
        <f t="shared" si="9"/>
        <v>0.128</v>
      </c>
      <c r="H27" s="62">
        <f t="shared" si="3"/>
        <v>0.128</v>
      </c>
      <c r="I27" s="63">
        <f t="shared" si="10"/>
        <v>1.5144230769230744E-3</v>
      </c>
      <c r="J27" s="63">
        <f t="shared" si="15"/>
        <v>2.5745192307692299E-2</v>
      </c>
      <c r="K27" s="173">
        <f t="shared" si="11"/>
        <v>25.745192307692299</v>
      </c>
      <c r="L27" s="140">
        <f t="shared" si="12"/>
        <v>1</v>
      </c>
      <c r="M27" s="61">
        <f t="shared" si="4"/>
        <v>2.5615763546798029</v>
      </c>
      <c r="N27" s="61">
        <f t="shared" si="16"/>
        <v>4.0864260355029519E-3</v>
      </c>
      <c r="O27" s="61">
        <f t="shared" si="14"/>
        <v>2.6983384615384618</v>
      </c>
      <c r="P27" s="61">
        <f t="shared" si="5"/>
        <v>3.7102153846153847</v>
      </c>
      <c r="Q27" s="61">
        <f t="shared" si="6"/>
        <v>1.6864615384615385</v>
      </c>
    </row>
    <row r="28" spans="1:25" x14ac:dyDescent="0.25">
      <c r="A28" s="61">
        <f t="shared" si="0"/>
        <v>25.2</v>
      </c>
      <c r="B28" s="64">
        <f t="shared" si="1"/>
        <v>4.3615384615384611</v>
      </c>
      <c r="C28" s="62">
        <f t="shared" si="2"/>
        <v>0</v>
      </c>
      <c r="D28" s="67">
        <f>B2</f>
        <v>86.399999999999991</v>
      </c>
      <c r="E28" s="60">
        <f t="shared" si="7"/>
        <v>4.1461794019933551</v>
      </c>
      <c r="F28" s="62">
        <f t="shared" si="8"/>
        <v>0.128</v>
      </c>
      <c r="G28" s="60">
        <f t="shared" si="9"/>
        <v>0.128</v>
      </c>
      <c r="H28" s="62">
        <f t="shared" si="3"/>
        <v>0.128</v>
      </c>
      <c r="I28" s="63">
        <f t="shared" si="10"/>
        <v>1.5144230769230771E-3</v>
      </c>
      <c r="J28" s="63">
        <f t="shared" si="15"/>
        <v>2.7259615384615375E-2</v>
      </c>
      <c r="K28" s="173">
        <f t="shared" si="11"/>
        <v>27.259615384615376</v>
      </c>
      <c r="L28" s="140">
        <f t="shared" si="12"/>
        <v>1</v>
      </c>
      <c r="M28" s="61">
        <f t="shared" si="4"/>
        <v>2.5913621262458468</v>
      </c>
      <c r="N28" s="61">
        <f t="shared" si="16"/>
        <v>4.0394556213017756E-3</v>
      </c>
      <c r="O28" s="61">
        <f t="shared" si="14"/>
        <v>2.6673230769230769</v>
      </c>
      <c r="P28" s="61">
        <f t="shared" si="5"/>
        <v>3.6675692307692302</v>
      </c>
      <c r="Q28" s="61">
        <f t="shared" si="6"/>
        <v>1.6670769230769231</v>
      </c>
    </row>
    <row r="29" spans="1:25" x14ac:dyDescent="0.25">
      <c r="A29" s="61">
        <f t="shared" si="0"/>
        <v>25.2</v>
      </c>
      <c r="B29" s="64">
        <f t="shared" si="1"/>
        <v>4.6038461538461535</v>
      </c>
      <c r="C29" s="62">
        <f t="shared" si="2"/>
        <v>0</v>
      </c>
      <c r="D29" s="67">
        <f>B2</f>
        <v>86.399999999999991</v>
      </c>
      <c r="E29" s="60">
        <f t="shared" si="7"/>
        <v>4.1949579831932766</v>
      </c>
      <c r="F29" s="62">
        <f t="shared" si="8"/>
        <v>0.128</v>
      </c>
      <c r="G29" s="60">
        <f t="shared" si="9"/>
        <v>0.128</v>
      </c>
      <c r="H29" s="62">
        <f t="shared" si="3"/>
        <v>0.128</v>
      </c>
      <c r="I29" s="63">
        <f t="shared" si="10"/>
        <v>1.5144230769230771E-3</v>
      </c>
      <c r="J29" s="63">
        <f t="shared" si="15"/>
        <v>2.8774038461538452E-2</v>
      </c>
      <c r="K29" s="173">
        <f t="shared" si="11"/>
        <v>28.774038461538453</v>
      </c>
      <c r="L29" s="140">
        <f t="shared" si="12"/>
        <v>1</v>
      </c>
      <c r="M29" s="61">
        <f t="shared" si="4"/>
        <v>2.6218487394957979</v>
      </c>
      <c r="N29" s="61">
        <f t="shared" si="16"/>
        <v>3.9924852071005924E-3</v>
      </c>
      <c r="O29" s="61">
        <f t="shared" si="14"/>
        <v>2.6363076923076925</v>
      </c>
      <c r="P29" s="61">
        <f t="shared" si="5"/>
        <v>3.6249230769230767</v>
      </c>
      <c r="Q29" s="61">
        <f t="shared" si="6"/>
        <v>1.6476923076923078</v>
      </c>
    </row>
    <row r="30" spans="1:25" x14ac:dyDescent="0.25">
      <c r="A30" s="61">
        <f t="shared" si="0"/>
        <v>25.2</v>
      </c>
      <c r="B30" s="64">
        <f t="shared" si="1"/>
        <v>4.8461538461538467</v>
      </c>
      <c r="C30" s="62">
        <f t="shared" si="2"/>
        <v>0</v>
      </c>
      <c r="D30" s="67">
        <f>B2</f>
        <v>86.399999999999991</v>
      </c>
      <c r="E30" s="60">
        <f t="shared" si="7"/>
        <v>4.2448979591836737</v>
      </c>
      <c r="F30" s="62">
        <f t="shared" si="8"/>
        <v>0.128</v>
      </c>
      <c r="G30" s="60">
        <f t="shared" si="9"/>
        <v>0.128</v>
      </c>
      <c r="H30" s="62">
        <f t="shared" si="3"/>
        <v>0.128</v>
      </c>
      <c r="I30" s="63">
        <f t="shared" si="10"/>
        <v>1.5144230769230827E-3</v>
      </c>
      <c r="J30" s="63">
        <f t="shared" si="15"/>
        <v>3.0288461538461535E-2</v>
      </c>
      <c r="K30" s="173">
        <f t="shared" si="11"/>
        <v>30.288461538461537</v>
      </c>
      <c r="L30" s="140">
        <f t="shared" si="12"/>
        <v>1</v>
      </c>
      <c r="M30" s="61">
        <f t="shared" si="4"/>
        <v>2.6530612244897962</v>
      </c>
      <c r="N30" s="61">
        <f t="shared" si="16"/>
        <v>3.945514792899423E-3</v>
      </c>
      <c r="O30" s="61">
        <f t="shared" si="14"/>
        <v>2.6052923076923076</v>
      </c>
      <c r="P30" s="61">
        <f t="shared" si="5"/>
        <v>3.5822769230769227</v>
      </c>
      <c r="Q30" s="61">
        <f t="shared" si="6"/>
        <v>1.6283076923076922</v>
      </c>
    </row>
    <row r="31" spans="1:25" x14ac:dyDescent="0.25">
      <c r="A31" s="61">
        <f t="shared" si="0"/>
        <v>25.2</v>
      </c>
      <c r="B31" s="64">
        <f t="shared" si="1"/>
        <v>5.0884615384615381</v>
      </c>
      <c r="C31" s="62">
        <f t="shared" si="2"/>
        <v>0</v>
      </c>
      <c r="D31" s="67">
        <f>B2</f>
        <v>86.399999999999991</v>
      </c>
      <c r="E31" s="60">
        <f t="shared" si="7"/>
        <v>4.2960413080895004</v>
      </c>
      <c r="F31" s="62">
        <f t="shared" si="8"/>
        <v>0.128</v>
      </c>
      <c r="G31" s="60">
        <f t="shared" si="9"/>
        <v>0.128</v>
      </c>
      <c r="H31" s="62">
        <f t="shared" si="3"/>
        <v>0.128</v>
      </c>
      <c r="I31" s="63">
        <f t="shared" si="10"/>
        <v>1.5144230769230716E-3</v>
      </c>
      <c r="J31" s="63">
        <f t="shared" si="15"/>
        <v>3.1802884615384608E-2</v>
      </c>
      <c r="K31" s="173">
        <f t="shared" si="11"/>
        <v>31.802884615384606</v>
      </c>
      <c r="L31" s="140">
        <f t="shared" si="12"/>
        <v>1</v>
      </c>
      <c r="M31" s="61">
        <f t="shared" si="4"/>
        <v>2.6850258175559376</v>
      </c>
      <c r="N31" s="61">
        <f t="shared" si="16"/>
        <v>3.8985443786982116E-3</v>
      </c>
      <c r="O31" s="61">
        <f t="shared" si="14"/>
        <v>2.5742769230769231</v>
      </c>
      <c r="P31" s="61">
        <f t="shared" si="5"/>
        <v>3.5396307692307691</v>
      </c>
      <c r="Q31" s="61">
        <f t="shared" si="6"/>
        <v>1.6089230769230769</v>
      </c>
    </row>
    <row r="32" spans="1:25" x14ac:dyDescent="0.25">
      <c r="A32" s="61">
        <f t="shared" si="0"/>
        <v>25.2</v>
      </c>
      <c r="B32" s="64">
        <f t="shared" si="1"/>
        <v>5.3307692307692305</v>
      </c>
      <c r="C32" s="62">
        <f t="shared" si="2"/>
        <v>0</v>
      </c>
      <c r="D32" s="67">
        <f>B2</f>
        <v>86.399999999999991</v>
      </c>
      <c r="E32" s="60">
        <f t="shared" si="7"/>
        <v>4.3484320557491287</v>
      </c>
      <c r="F32" s="62">
        <f t="shared" si="8"/>
        <v>0.128</v>
      </c>
      <c r="G32" s="60">
        <f t="shared" si="9"/>
        <v>0.128</v>
      </c>
      <c r="H32" s="62">
        <f t="shared" si="3"/>
        <v>0.128</v>
      </c>
      <c r="I32" s="63">
        <f t="shared" si="10"/>
        <v>1.5144230769230771E-3</v>
      </c>
      <c r="J32" s="63">
        <f t="shared" si="15"/>
        <v>3.3317307692307688E-2</v>
      </c>
      <c r="K32" s="173">
        <f t="shared" si="11"/>
        <v>33.317307692307686</v>
      </c>
      <c r="L32" s="140">
        <f t="shared" si="12"/>
        <v>1</v>
      </c>
      <c r="M32" s="61">
        <f t="shared" si="4"/>
        <v>2.7177700348432055</v>
      </c>
      <c r="N32" s="61">
        <f t="shared" si="16"/>
        <v>3.8515739644970418E-3</v>
      </c>
      <c r="O32" s="61">
        <f t="shared" si="14"/>
        <v>2.5432615384615382</v>
      </c>
      <c r="P32" s="61">
        <f t="shared" si="5"/>
        <v>3.4969846153846151</v>
      </c>
      <c r="Q32" s="61">
        <f t="shared" si="6"/>
        <v>1.5895384615384616</v>
      </c>
    </row>
    <row r="33" spans="1:17" x14ac:dyDescent="0.25">
      <c r="A33" s="61">
        <f t="shared" si="0"/>
        <v>25.2</v>
      </c>
      <c r="B33" s="64">
        <f t="shared" si="1"/>
        <v>5.5730769230769228</v>
      </c>
      <c r="C33" s="62">
        <f t="shared" si="2"/>
        <v>0</v>
      </c>
      <c r="D33" s="67">
        <f>B2</f>
        <v>86.399999999999991</v>
      </c>
      <c r="E33" s="60">
        <f t="shared" si="7"/>
        <v>4.4021164021164019</v>
      </c>
      <c r="F33" s="62">
        <f t="shared" si="8"/>
        <v>0.128</v>
      </c>
      <c r="G33" s="60">
        <f t="shared" si="9"/>
        <v>0.128</v>
      </c>
      <c r="H33" s="62">
        <f t="shared" si="3"/>
        <v>0.128</v>
      </c>
      <c r="I33" s="63">
        <f t="shared" si="10"/>
        <v>1.5144230769230771E-3</v>
      </c>
      <c r="J33" s="63">
        <f t="shared" si="15"/>
        <v>3.4831730769230768E-2</v>
      </c>
      <c r="K33" s="173">
        <f t="shared" si="11"/>
        <v>34.831730769230766</v>
      </c>
      <c r="L33" s="140">
        <f t="shared" si="12"/>
        <v>1</v>
      </c>
      <c r="M33" s="61">
        <f t="shared" si="4"/>
        <v>2.7513227513227512</v>
      </c>
      <c r="N33" s="61">
        <f t="shared" si="16"/>
        <v>3.8046035502958585E-3</v>
      </c>
      <c r="O33" s="61">
        <f t="shared" si="14"/>
        <v>2.5122461538461538</v>
      </c>
      <c r="P33" s="61">
        <f t="shared" si="5"/>
        <v>3.4543384615384616</v>
      </c>
      <c r="Q33" s="61">
        <f t="shared" si="6"/>
        <v>1.5701538461538462</v>
      </c>
    </row>
    <row r="34" spans="1:17" x14ac:dyDescent="0.25">
      <c r="A34" s="61">
        <f t="shared" si="0"/>
        <v>25.2</v>
      </c>
      <c r="B34" s="64">
        <f t="shared" si="1"/>
        <v>5.8153846153846152</v>
      </c>
      <c r="C34" s="62">
        <f t="shared" si="2"/>
        <v>0</v>
      </c>
      <c r="D34" s="67">
        <f>B2</f>
        <v>86.399999999999991</v>
      </c>
      <c r="E34" s="60">
        <f t="shared" si="7"/>
        <v>4.4571428571428573</v>
      </c>
      <c r="F34" s="62">
        <f t="shared" si="8"/>
        <v>0.128</v>
      </c>
      <c r="G34" s="60">
        <f t="shared" si="9"/>
        <v>0.128</v>
      </c>
      <c r="H34" s="62">
        <f t="shared" si="3"/>
        <v>0.128</v>
      </c>
      <c r="I34" s="63">
        <f t="shared" si="10"/>
        <v>1.5144230769230771E-3</v>
      </c>
      <c r="J34" s="63">
        <f t="shared" si="15"/>
        <v>3.6346153846153847E-2</v>
      </c>
      <c r="K34" s="173">
        <f t="shared" si="11"/>
        <v>36.346153846153847</v>
      </c>
      <c r="L34" s="140">
        <f t="shared" si="12"/>
        <v>1</v>
      </c>
      <c r="M34" s="61">
        <f t="shared" si="4"/>
        <v>2.785714285714286</v>
      </c>
      <c r="N34" s="61">
        <f t="shared" si="16"/>
        <v>3.7576331360946748E-3</v>
      </c>
      <c r="O34" s="61">
        <f t="shared" si="14"/>
        <v>2.4812307692307689</v>
      </c>
      <c r="P34" s="61">
        <f t="shared" si="5"/>
        <v>3.4116923076923071</v>
      </c>
      <c r="Q34" s="61">
        <f t="shared" si="6"/>
        <v>1.5507692307692307</v>
      </c>
    </row>
    <row r="35" spans="1:17" x14ac:dyDescent="0.25">
      <c r="A35" s="61">
        <f t="shared" si="0"/>
        <v>25.2</v>
      </c>
      <c r="B35" s="64">
        <f t="shared" si="1"/>
        <v>6.0576923076923075</v>
      </c>
      <c r="C35" s="62">
        <f t="shared" si="2"/>
        <v>0</v>
      </c>
      <c r="D35" s="67">
        <f>B2</f>
        <v>86.399999999999991</v>
      </c>
      <c r="E35" s="60">
        <f t="shared" si="7"/>
        <v>4.5135623869801078</v>
      </c>
      <c r="F35" s="62">
        <f t="shared" si="8"/>
        <v>0.128</v>
      </c>
      <c r="G35" s="60">
        <f t="shared" si="9"/>
        <v>0.128</v>
      </c>
      <c r="H35" s="62">
        <f t="shared" si="3"/>
        <v>0.128</v>
      </c>
      <c r="I35" s="63">
        <f t="shared" si="10"/>
        <v>1.5144230769230771E-3</v>
      </c>
      <c r="J35" s="63">
        <f t="shared" si="15"/>
        <v>3.7860576923076927E-2</v>
      </c>
      <c r="K35" s="173">
        <f t="shared" si="11"/>
        <v>37.860576923076927</v>
      </c>
      <c r="L35" s="140">
        <f t="shared" si="12"/>
        <v>1</v>
      </c>
      <c r="M35" s="61">
        <f t="shared" si="4"/>
        <v>2.8209764918625675</v>
      </c>
      <c r="N35" s="61">
        <f t="shared" si="16"/>
        <v>3.7106627218934916E-3</v>
      </c>
      <c r="O35" s="61">
        <f t="shared" si="14"/>
        <v>2.4502153846153849</v>
      </c>
      <c r="P35" s="61">
        <f t="shared" si="5"/>
        <v>3.3690461538461536</v>
      </c>
      <c r="Q35" s="61">
        <f t="shared" si="6"/>
        <v>1.5313846153846153</v>
      </c>
    </row>
    <row r="36" spans="1:17" x14ac:dyDescent="0.25">
      <c r="A36" s="61">
        <f t="shared" si="0"/>
        <v>25.2</v>
      </c>
      <c r="B36" s="64">
        <f t="shared" si="1"/>
        <v>6.3</v>
      </c>
      <c r="C36" s="62">
        <f t="shared" si="2"/>
        <v>0</v>
      </c>
      <c r="D36" s="67">
        <f>B2</f>
        <v>86.399999999999991</v>
      </c>
      <c r="E36" s="60">
        <f t="shared" si="7"/>
        <v>4.5714285714285712</v>
      </c>
      <c r="F36" s="62">
        <f t="shared" si="8"/>
        <v>0.128</v>
      </c>
      <c r="G36" s="60">
        <f t="shared" si="9"/>
        <v>0.128</v>
      </c>
      <c r="H36" s="62">
        <f t="shared" si="3"/>
        <v>0.128</v>
      </c>
      <c r="I36" s="63">
        <f t="shared" si="10"/>
        <v>1.5144230769230771E-3</v>
      </c>
      <c r="J36" s="63">
        <f t="shared" si="15"/>
        <v>3.9375000000000007E-2</v>
      </c>
      <c r="K36" s="173">
        <f t="shared" si="11"/>
        <v>39.375000000000007</v>
      </c>
      <c r="L36" s="140">
        <f t="shared" si="12"/>
        <v>1</v>
      </c>
      <c r="M36" s="61">
        <f t="shared" si="4"/>
        <v>2.8571428571428572</v>
      </c>
      <c r="N36" s="61">
        <f t="shared" si="16"/>
        <v>3.6636923076923079E-3</v>
      </c>
      <c r="O36" s="61">
        <f t="shared" si="14"/>
        <v>2.4192</v>
      </c>
      <c r="P36" s="61">
        <f t="shared" si="5"/>
        <v>3.3263999999999996</v>
      </c>
      <c r="Q36" s="61">
        <f t="shared" si="6"/>
        <v>1.512</v>
      </c>
    </row>
    <row r="37" spans="1:17" x14ac:dyDescent="0.25">
      <c r="A37" s="61">
        <f t="shared" si="0"/>
        <v>25.2</v>
      </c>
      <c r="B37" s="64">
        <f t="shared" si="1"/>
        <v>6.542307692307693</v>
      </c>
      <c r="C37" s="62">
        <f t="shared" si="2"/>
        <v>0</v>
      </c>
      <c r="D37" s="67">
        <f>B2</f>
        <v>86.399999999999991</v>
      </c>
      <c r="E37" s="60">
        <f t="shared" si="7"/>
        <v>4.6307977736549164</v>
      </c>
      <c r="F37" s="62">
        <f t="shared" si="8"/>
        <v>0.128</v>
      </c>
      <c r="G37" s="60">
        <f t="shared" si="9"/>
        <v>0.128</v>
      </c>
      <c r="H37" s="62">
        <f t="shared" si="3"/>
        <v>0.128</v>
      </c>
      <c r="I37" s="63">
        <f t="shared" si="10"/>
        <v>1.5144230769230827E-3</v>
      </c>
      <c r="J37" s="63">
        <f t="shared" si="15"/>
        <v>4.0889423076923087E-2</v>
      </c>
      <c r="K37" s="173">
        <f t="shared" si="11"/>
        <v>40.889423076923087</v>
      </c>
      <c r="L37" s="140">
        <f t="shared" si="12"/>
        <v>1</v>
      </c>
      <c r="M37" s="61">
        <f t="shared" si="4"/>
        <v>2.8942486085343226</v>
      </c>
      <c r="N37" s="61">
        <f t="shared" si="16"/>
        <v>3.6167218934911381E-3</v>
      </c>
      <c r="O37" s="61">
        <f t="shared" si="14"/>
        <v>2.3881846153846156</v>
      </c>
      <c r="P37" s="61">
        <f t="shared" si="5"/>
        <v>3.283753846153846</v>
      </c>
      <c r="Q37" s="61">
        <f t="shared" si="6"/>
        <v>1.4926153846153847</v>
      </c>
    </row>
    <row r="38" spans="1:17" x14ac:dyDescent="0.25">
      <c r="A38" s="61">
        <f t="shared" si="0"/>
        <v>25.2</v>
      </c>
      <c r="B38" s="64">
        <f t="shared" si="1"/>
        <v>6.7846153846153845</v>
      </c>
      <c r="C38" s="62">
        <f t="shared" si="2"/>
        <v>0</v>
      </c>
      <c r="D38" s="67">
        <f>B2</f>
        <v>86.399999999999991</v>
      </c>
      <c r="E38" s="60">
        <f t="shared" si="7"/>
        <v>4.6917293233082704</v>
      </c>
      <c r="F38" s="62">
        <f t="shared" si="8"/>
        <v>0.128</v>
      </c>
      <c r="G38" s="60">
        <f t="shared" si="9"/>
        <v>0.128</v>
      </c>
      <c r="H38" s="62">
        <f t="shared" si="3"/>
        <v>0.128</v>
      </c>
      <c r="I38" s="63">
        <f t="shared" si="10"/>
        <v>1.5144230769230716E-3</v>
      </c>
      <c r="J38" s="63">
        <f t="shared" si="15"/>
        <v>4.240384615384616E-2</v>
      </c>
      <c r="K38" s="173">
        <f t="shared" si="11"/>
        <v>42.40384615384616</v>
      </c>
      <c r="L38" s="140">
        <f t="shared" si="12"/>
        <v>1</v>
      </c>
      <c r="M38" s="61">
        <f t="shared" si="4"/>
        <v>2.9323308270676689</v>
      </c>
      <c r="N38" s="61">
        <f t="shared" si="16"/>
        <v>3.569751479289928E-3</v>
      </c>
      <c r="O38" s="61">
        <f t="shared" si="14"/>
        <v>2.3571692307692307</v>
      </c>
      <c r="P38" s="61">
        <f t="shared" si="5"/>
        <v>3.241107692307692</v>
      </c>
      <c r="Q38" s="61">
        <f t="shared" si="6"/>
        <v>1.4732307692307691</v>
      </c>
    </row>
    <row r="39" spans="1:17" x14ac:dyDescent="0.25">
      <c r="A39" s="61">
        <f t="shared" si="0"/>
        <v>25.2</v>
      </c>
      <c r="B39" s="64">
        <f t="shared" si="1"/>
        <v>7.0269230769230768</v>
      </c>
      <c r="C39" s="62">
        <f t="shared" si="2"/>
        <v>0</v>
      </c>
      <c r="D39" s="67">
        <f>B2</f>
        <v>86.399999999999991</v>
      </c>
      <c r="E39" s="60">
        <f t="shared" si="7"/>
        <v>4.7542857142857136</v>
      </c>
      <c r="F39" s="62">
        <f t="shared" si="8"/>
        <v>0.128</v>
      </c>
      <c r="G39" s="60">
        <f t="shared" si="9"/>
        <v>0.128</v>
      </c>
      <c r="H39" s="62">
        <f t="shared" si="3"/>
        <v>0.128</v>
      </c>
      <c r="I39" s="63">
        <f t="shared" si="10"/>
        <v>1.5144230769230771E-3</v>
      </c>
      <c r="J39" s="63">
        <f t="shared" si="15"/>
        <v>4.391826923076924E-2</v>
      </c>
      <c r="K39" s="173">
        <f t="shared" si="11"/>
        <v>43.918269230769241</v>
      </c>
      <c r="L39" s="140">
        <f t="shared" si="12"/>
        <v>1</v>
      </c>
      <c r="M39" s="61">
        <f t="shared" si="4"/>
        <v>2.9714285714285711</v>
      </c>
      <c r="N39" s="61">
        <f t="shared" si="16"/>
        <v>3.5227810650887582E-3</v>
      </c>
      <c r="O39" s="61">
        <f t="shared" si="14"/>
        <v>2.3261538461538462</v>
      </c>
      <c r="P39" s="61">
        <f t="shared" si="5"/>
        <v>3.1984615384615385</v>
      </c>
      <c r="Q39" s="61">
        <f t="shared" si="6"/>
        <v>1.4538461538461538</v>
      </c>
    </row>
    <row r="40" spans="1:17" x14ac:dyDescent="0.25">
      <c r="A40" s="61">
        <f t="shared" si="0"/>
        <v>25.2</v>
      </c>
      <c r="B40" s="64">
        <f t="shared" si="1"/>
        <v>7.2692307692307683</v>
      </c>
      <c r="C40" s="62">
        <f t="shared" si="2"/>
        <v>0</v>
      </c>
      <c r="D40" s="67">
        <f>B2</f>
        <v>86.399999999999991</v>
      </c>
      <c r="E40" s="60">
        <f t="shared" si="7"/>
        <v>4.8185328185328187</v>
      </c>
      <c r="F40" s="62">
        <f t="shared" si="8"/>
        <v>0.128</v>
      </c>
      <c r="G40" s="60">
        <f t="shared" si="9"/>
        <v>0.128</v>
      </c>
      <c r="H40" s="62">
        <f t="shared" si="3"/>
        <v>0.128</v>
      </c>
      <c r="I40" s="63">
        <f t="shared" si="10"/>
        <v>1.5144230769230716E-3</v>
      </c>
      <c r="J40" s="63">
        <f t="shared" si="15"/>
        <v>4.5432692307692313E-2</v>
      </c>
      <c r="K40" s="173">
        <f t="shared" si="11"/>
        <v>45.432692307692314</v>
      </c>
      <c r="L40" s="140">
        <f t="shared" si="12"/>
        <v>1</v>
      </c>
      <c r="M40" s="61">
        <f t="shared" si="4"/>
        <v>3.0115830115830118</v>
      </c>
      <c r="N40" s="61">
        <f t="shared" si="16"/>
        <v>3.4758106508875615E-3</v>
      </c>
      <c r="O40" s="61">
        <f t="shared" si="14"/>
        <v>2.2951384615384613</v>
      </c>
      <c r="P40" s="61">
        <f t="shared" si="5"/>
        <v>3.155815384615384</v>
      </c>
      <c r="Q40" s="61">
        <f t="shared" si="6"/>
        <v>1.4344615384615385</v>
      </c>
    </row>
    <row r="41" spans="1:17" x14ac:dyDescent="0.25">
      <c r="A41" s="61">
        <f t="shared" si="0"/>
        <v>25.2</v>
      </c>
      <c r="B41" s="64">
        <f t="shared" si="1"/>
        <v>7.5115384615384615</v>
      </c>
      <c r="C41" s="62">
        <f t="shared" si="2"/>
        <v>0</v>
      </c>
      <c r="D41" s="67">
        <f>B2</f>
        <v>86.399999999999991</v>
      </c>
      <c r="E41" s="60">
        <f t="shared" si="7"/>
        <v>4.8845401174168295</v>
      </c>
      <c r="F41" s="62">
        <f t="shared" si="8"/>
        <v>0.128</v>
      </c>
      <c r="G41" s="60">
        <f t="shared" si="9"/>
        <v>0.128</v>
      </c>
      <c r="H41" s="62">
        <f t="shared" si="3"/>
        <v>0.128</v>
      </c>
      <c r="I41" s="63">
        <f t="shared" si="10"/>
        <v>1.5144230769230827E-3</v>
      </c>
      <c r="J41" s="63">
        <f t="shared" si="15"/>
        <v>4.6947115384615393E-2</v>
      </c>
      <c r="K41" s="173">
        <f t="shared" si="11"/>
        <v>46.947115384615394</v>
      </c>
      <c r="L41" s="140">
        <f t="shared" si="12"/>
        <v>1</v>
      </c>
      <c r="M41" s="61">
        <f t="shared" si="4"/>
        <v>3.0528375733855184</v>
      </c>
      <c r="N41" s="61">
        <f t="shared" si="16"/>
        <v>3.4288402366864034E-3</v>
      </c>
      <c r="O41" s="61">
        <f t="shared" si="14"/>
        <v>2.2641230769230769</v>
      </c>
      <c r="P41" s="61">
        <f t="shared" si="5"/>
        <v>3.1131692307692305</v>
      </c>
      <c r="Q41" s="61">
        <f t="shared" si="6"/>
        <v>1.4150769230769231</v>
      </c>
    </row>
    <row r="42" spans="1:17" x14ac:dyDescent="0.25">
      <c r="A42" s="61">
        <f t="shared" ref="A42:A73" si="17">VINMAX</f>
        <v>25.2</v>
      </c>
      <c r="B42" s="64">
        <f t="shared" ref="B42:B73" si="18">VINMAX*((ROW()-10)/104)</f>
        <v>7.7538461538461538</v>
      </c>
      <c r="C42" s="62">
        <f t="shared" ref="C42:C73" si="19">IF(B42&gt;=$H$2,IF($D$2="CC", $G$2, B42/$G$2), 0)</f>
        <v>0</v>
      </c>
      <c r="D42" s="67">
        <f>B2</f>
        <v>86.399999999999991</v>
      </c>
      <c r="E42" s="60">
        <f t="shared" si="7"/>
        <v>4.9523809523809526</v>
      </c>
      <c r="F42" s="62">
        <f t="shared" ref="F42:F73" si="20">I_Cout_ss+C42</f>
        <v>0.128</v>
      </c>
      <c r="G42" s="60">
        <f t="shared" si="9"/>
        <v>0.128</v>
      </c>
      <c r="H42" s="62">
        <f t="shared" ref="H42:H73" si="21">G42-C42</f>
        <v>0.128</v>
      </c>
      <c r="I42" s="63">
        <f t="shared" si="10"/>
        <v>1.5144230769230771E-3</v>
      </c>
      <c r="J42" s="63">
        <f t="shared" si="15"/>
        <v>4.8461538461538473E-2</v>
      </c>
      <c r="K42" s="173">
        <f t="shared" si="11"/>
        <v>48.461538461538474</v>
      </c>
      <c r="L42" s="140">
        <f t="shared" si="12"/>
        <v>1</v>
      </c>
      <c r="M42" s="61">
        <f t="shared" ref="M42:M73" si="22">1/COUTMAX*(E42/2-C42)*1000</f>
        <v>3.0952380952380953</v>
      </c>
      <c r="N42" s="61">
        <f t="shared" si="16"/>
        <v>3.3818698224852071E-3</v>
      </c>
      <c r="O42" s="61">
        <f t="shared" si="14"/>
        <v>2.233107692307692</v>
      </c>
      <c r="P42" s="61">
        <f t="shared" ref="P42:P73" si="23">(A42-B42)*(I_Cout_ss*$Q$2+C42)</f>
        <v>3.0705230769230765</v>
      </c>
      <c r="Q42" s="61">
        <f t="shared" ref="Q42:Q73" si="24">(A42-B42)*(I_Cout_ss*$R$2+C42)</f>
        <v>1.3956923076923076</v>
      </c>
    </row>
    <row r="43" spans="1:17" x14ac:dyDescent="0.25">
      <c r="A43" s="61">
        <f t="shared" si="17"/>
        <v>25.2</v>
      </c>
      <c r="B43" s="64">
        <f t="shared" si="18"/>
        <v>7.9961538461538453</v>
      </c>
      <c r="C43" s="62">
        <f t="shared" si="19"/>
        <v>0</v>
      </c>
      <c r="D43" s="67">
        <f>B2</f>
        <v>86.399999999999991</v>
      </c>
      <c r="E43" s="60">
        <f t="shared" si="7"/>
        <v>5.0221327967806833</v>
      </c>
      <c r="F43" s="62">
        <f t="shared" si="20"/>
        <v>0.128</v>
      </c>
      <c r="G43" s="60">
        <f t="shared" si="9"/>
        <v>0.128</v>
      </c>
      <c r="H43" s="62">
        <f t="shared" si="21"/>
        <v>0.128</v>
      </c>
      <c r="I43" s="63">
        <f t="shared" ref="I43:I74" si="25">(COUTMAX/1000000)*(B43-B42)/H43</f>
        <v>1.5144230769230716E-3</v>
      </c>
      <c r="J43" s="63">
        <f t="shared" si="15"/>
        <v>4.9975961538461545E-2</v>
      </c>
      <c r="K43" s="173">
        <f t="shared" si="11"/>
        <v>49.975961538461547</v>
      </c>
      <c r="L43" s="140">
        <f t="shared" si="12"/>
        <v>1</v>
      </c>
      <c r="M43" s="61">
        <f t="shared" si="22"/>
        <v>3.1388329979879268</v>
      </c>
      <c r="N43" s="61">
        <f t="shared" si="16"/>
        <v>3.3348994082840122E-3</v>
      </c>
      <c r="O43" s="61">
        <f t="shared" si="14"/>
        <v>2.2020923076923076</v>
      </c>
      <c r="P43" s="61">
        <f t="shared" si="23"/>
        <v>3.0278769230769229</v>
      </c>
      <c r="Q43" s="61">
        <f t="shared" si="24"/>
        <v>1.3763076923076925</v>
      </c>
    </row>
    <row r="44" spans="1:17" x14ac:dyDescent="0.25">
      <c r="A44" s="61">
        <f t="shared" si="17"/>
        <v>25.2</v>
      </c>
      <c r="B44" s="64">
        <f t="shared" si="18"/>
        <v>8.2384615384615376</v>
      </c>
      <c r="C44" s="62">
        <f t="shared" si="19"/>
        <v>0</v>
      </c>
      <c r="D44" s="67">
        <f>B2</f>
        <v>86.399999999999991</v>
      </c>
      <c r="E44" s="60">
        <f t="shared" si="7"/>
        <v>5.093877551020408</v>
      </c>
      <c r="F44" s="62">
        <f t="shared" si="20"/>
        <v>0.128</v>
      </c>
      <c r="G44" s="60">
        <f t="shared" si="9"/>
        <v>0.128</v>
      </c>
      <c r="H44" s="62">
        <f t="shared" si="21"/>
        <v>0.128</v>
      </c>
      <c r="I44" s="63">
        <f t="shared" si="25"/>
        <v>1.5144230769230771E-3</v>
      </c>
      <c r="J44" s="63">
        <f t="shared" si="15"/>
        <v>5.1490384615384625E-2</v>
      </c>
      <c r="K44" s="173">
        <f t="shared" si="11"/>
        <v>51.490384615384627</v>
      </c>
      <c r="L44" s="140">
        <f t="shared" si="12"/>
        <v>1</v>
      </c>
      <c r="M44" s="61">
        <f t="shared" si="22"/>
        <v>3.1836734693877551</v>
      </c>
      <c r="N44" s="61">
        <f t="shared" si="16"/>
        <v>3.2879289940828402E-3</v>
      </c>
      <c r="O44" s="61">
        <f t="shared" si="14"/>
        <v>2.1710769230769231</v>
      </c>
      <c r="P44" s="61">
        <f t="shared" si="23"/>
        <v>2.9852307692307689</v>
      </c>
      <c r="Q44" s="61">
        <f t="shared" si="24"/>
        <v>1.3569230769230769</v>
      </c>
    </row>
    <row r="45" spans="1:17" x14ac:dyDescent="0.25">
      <c r="A45" s="61">
        <f t="shared" si="17"/>
        <v>25.2</v>
      </c>
      <c r="B45" s="64">
        <f t="shared" si="18"/>
        <v>8.4807692307692317</v>
      </c>
      <c r="C45" s="62">
        <f t="shared" si="19"/>
        <v>0</v>
      </c>
      <c r="D45" s="67">
        <f>B2</f>
        <v>86.399999999999991</v>
      </c>
      <c r="E45" s="60">
        <f t="shared" si="7"/>
        <v>5.1677018633540364</v>
      </c>
      <c r="F45" s="62">
        <f t="shared" si="20"/>
        <v>0.128</v>
      </c>
      <c r="G45" s="60">
        <f t="shared" si="9"/>
        <v>0.128</v>
      </c>
      <c r="H45" s="62">
        <f t="shared" si="21"/>
        <v>0.128</v>
      </c>
      <c r="I45" s="63">
        <f t="shared" si="25"/>
        <v>1.5144230769230883E-3</v>
      </c>
      <c r="J45" s="63">
        <f t="shared" si="15"/>
        <v>5.3004807692307712E-2</v>
      </c>
      <c r="K45" s="173">
        <f t="shared" si="11"/>
        <v>53.004807692307715</v>
      </c>
      <c r="L45" s="140">
        <f t="shared" si="12"/>
        <v>1</v>
      </c>
      <c r="M45" s="61">
        <f t="shared" si="22"/>
        <v>3.2298136645962727</v>
      </c>
      <c r="N45" s="61">
        <f t="shared" si="16"/>
        <v>3.2409585798816812E-3</v>
      </c>
      <c r="O45" s="61">
        <f t="shared" si="14"/>
        <v>2.1400615384615387</v>
      </c>
      <c r="P45" s="61">
        <f t="shared" si="23"/>
        <v>2.9425846153846154</v>
      </c>
      <c r="Q45" s="61">
        <f t="shared" si="24"/>
        <v>1.3375384615384616</v>
      </c>
    </row>
    <row r="46" spans="1:17" x14ac:dyDescent="0.25">
      <c r="A46" s="61">
        <f t="shared" si="17"/>
        <v>25.2</v>
      </c>
      <c r="B46" s="64">
        <f t="shared" si="18"/>
        <v>8.7230769230769223</v>
      </c>
      <c r="C46" s="62">
        <f t="shared" si="19"/>
        <v>0</v>
      </c>
      <c r="D46" s="67">
        <f>B2</f>
        <v>86.399999999999991</v>
      </c>
      <c r="E46" s="60">
        <f t="shared" si="7"/>
        <v>5.2436974789915958</v>
      </c>
      <c r="F46" s="62">
        <f t="shared" si="20"/>
        <v>0.128</v>
      </c>
      <c r="G46" s="60">
        <f t="shared" si="9"/>
        <v>0.128</v>
      </c>
      <c r="H46" s="62">
        <f t="shared" si="21"/>
        <v>0.128</v>
      </c>
      <c r="I46" s="63">
        <f t="shared" si="25"/>
        <v>1.5144230769230662E-3</v>
      </c>
      <c r="J46" s="63">
        <f t="shared" si="15"/>
        <v>5.4519230769230778E-2</v>
      </c>
      <c r="K46" s="173">
        <f t="shared" si="11"/>
        <v>54.519230769230781</v>
      </c>
      <c r="L46" s="140">
        <f t="shared" si="12"/>
        <v>1</v>
      </c>
      <c r="M46" s="61">
        <f t="shared" si="22"/>
        <v>3.2773109243697474</v>
      </c>
      <c r="N46" s="61">
        <f t="shared" si="16"/>
        <v>3.1939881656804512E-3</v>
      </c>
      <c r="O46" s="61">
        <f t="shared" si="14"/>
        <v>2.1090461538461542</v>
      </c>
      <c r="P46" s="61">
        <f t="shared" si="23"/>
        <v>2.8999384615384618</v>
      </c>
      <c r="Q46" s="61">
        <f t="shared" si="24"/>
        <v>1.3181538461538462</v>
      </c>
    </row>
    <row r="47" spans="1:17" x14ac:dyDescent="0.25">
      <c r="A47" s="61">
        <f t="shared" si="17"/>
        <v>25.2</v>
      </c>
      <c r="B47" s="64">
        <f t="shared" si="18"/>
        <v>8.9653846153846146</v>
      </c>
      <c r="C47" s="62">
        <f t="shared" si="19"/>
        <v>0</v>
      </c>
      <c r="D47" s="67">
        <f>B2</f>
        <v>86.399999999999991</v>
      </c>
      <c r="E47" s="60">
        <f t="shared" si="7"/>
        <v>5.3219616204690823</v>
      </c>
      <c r="F47" s="62">
        <f t="shared" si="20"/>
        <v>0.128</v>
      </c>
      <c r="G47" s="60">
        <f t="shared" si="9"/>
        <v>0.128</v>
      </c>
      <c r="H47" s="62">
        <f t="shared" si="21"/>
        <v>0.128</v>
      </c>
      <c r="I47" s="63">
        <f t="shared" si="25"/>
        <v>1.5144230769230771E-3</v>
      </c>
      <c r="J47" s="63">
        <f t="shared" si="15"/>
        <v>5.6033653846153858E-2</v>
      </c>
      <c r="K47" s="173">
        <f t="shared" si="11"/>
        <v>56.033653846153861</v>
      </c>
      <c r="L47" s="140">
        <f t="shared" si="12"/>
        <v>1</v>
      </c>
      <c r="M47" s="61">
        <f t="shared" si="22"/>
        <v>3.3262260127931764</v>
      </c>
      <c r="N47" s="61">
        <f t="shared" si="16"/>
        <v>3.1470177514792905E-3</v>
      </c>
      <c r="O47" s="61">
        <f t="shared" si="14"/>
        <v>2.0780307692307693</v>
      </c>
      <c r="P47" s="61">
        <f t="shared" si="23"/>
        <v>2.8572923076923074</v>
      </c>
      <c r="Q47" s="61">
        <f t="shared" si="24"/>
        <v>1.2987692307692309</v>
      </c>
    </row>
    <row r="48" spans="1:17" x14ac:dyDescent="0.25">
      <c r="A48" s="61">
        <f t="shared" si="17"/>
        <v>25.2</v>
      </c>
      <c r="B48" s="64">
        <f t="shared" si="18"/>
        <v>9.207692307692307</v>
      </c>
      <c r="C48" s="62">
        <f t="shared" si="19"/>
        <v>0</v>
      </c>
      <c r="D48" s="67">
        <f>B2</f>
        <v>86.399999999999991</v>
      </c>
      <c r="E48" s="60">
        <f t="shared" si="7"/>
        <v>5.4025974025974017</v>
      </c>
      <c r="F48" s="62">
        <f t="shared" si="20"/>
        <v>0.128</v>
      </c>
      <c r="G48" s="60">
        <f t="shared" si="9"/>
        <v>0.128</v>
      </c>
      <c r="H48" s="62">
        <f t="shared" si="21"/>
        <v>0.128</v>
      </c>
      <c r="I48" s="63">
        <f t="shared" si="25"/>
        <v>1.5144230769230771E-3</v>
      </c>
      <c r="J48" s="63">
        <f t="shared" si="15"/>
        <v>5.7548076923076938E-2</v>
      </c>
      <c r="K48" s="173">
        <f t="shared" si="11"/>
        <v>57.548076923076941</v>
      </c>
      <c r="L48" s="140">
        <f t="shared" si="12"/>
        <v>1</v>
      </c>
      <c r="M48" s="61">
        <f t="shared" si="22"/>
        <v>3.376623376623376</v>
      </c>
      <c r="N48" s="61">
        <f t="shared" si="16"/>
        <v>3.1000473372781068E-3</v>
      </c>
      <c r="O48" s="61">
        <f t="shared" si="14"/>
        <v>2.0470153846153845</v>
      </c>
      <c r="P48" s="61">
        <f t="shared" si="23"/>
        <v>2.8146461538461538</v>
      </c>
      <c r="Q48" s="61">
        <f t="shared" si="24"/>
        <v>1.2793846153846153</v>
      </c>
    </row>
    <row r="49" spans="1:17" x14ac:dyDescent="0.25">
      <c r="A49" s="61">
        <f t="shared" si="17"/>
        <v>25.2</v>
      </c>
      <c r="B49" s="64">
        <f t="shared" si="18"/>
        <v>9.4499999999999993</v>
      </c>
      <c r="C49" s="62">
        <f t="shared" si="19"/>
        <v>0</v>
      </c>
      <c r="D49" s="67">
        <f>B2</f>
        <v>86.399999999999991</v>
      </c>
      <c r="E49" s="60">
        <f t="shared" si="7"/>
        <v>5.4857142857142849</v>
      </c>
      <c r="F49" s="62">
        <f t="shared" si="20"/>
        <v>0.128</v>
      </c>
      <c r="G49" s="60">
        <f t="shared" si="9"/>
        <v>0.128</v>
      </c>
      <c r="H49" s="62">
        <f t="shared" si="21"/>
        <v>0.128</v>
      </c>
      <c r="I49" s="63">
        <f t="shared" si="25"/>
        <v>1.5144230769230771E-3</v>
      </c>
      <c r="J49" s="63">
        <f t="shared" si="15"/>
        <v>5.9062500000000018E-2</v>
      </c>
      <c r="K49" s="173">
        <f t="shared" si="11"/>
        <v>59.062500000000014</v>
      </c>
      <c r="L49" s="140">
        <f t="shared" si="12"/>
        <v>1</v>
      </c>
      <c r="M49" s="61">
        <f t="shared" si="22"/>
        <v>3.4285714285714279</v>
      </c>
      <c r="N49" s="61">
        <f t="shared" si="16"/>
        <v>3.0530769230769235E-3</v>
      </c>
      <c r="O49" s="61">
        <f t="shared" si="14"/>
        <v>2.016</v>
      </c>
      <c r="P49" s="61">
        <f t="shared" si="23"/>
        <v>2.7719999999999998</v>
      </c>
      <c r="Q49" s="61">
        <f t="shared" si="24"/>
        <v>1.26</v>
      </c>
    </row>
    <row r="50" spans="1:17" x14ac:dyDescent="0.25">
      <c r="A50" s="61">
        <f t="shared" si="17"/>
        <v>25.2</v>
      </c>
      <c r="B50" s="64">
        <f t="shared" si="18"/>
        <v>9.6923076923076934</v>
      </c>
      <c r="C50" s="62">
        <f t="shared" si="19"/>
        <v>0</v>
      </c>
      <c r="D50" s="67">
        <f>B2</f>
        <v>86.399999999999991</v>
      </c>
      <c r="E50" s="60">
        <f t="shared" si="7"/>
        <v>5.5714285714285712</v>
      </c>
      <c r="F50" s="62">
        <f t="shared" si="20"/>
        <v>0.128</v>
      </c>
      <c r="G50" s="60">
        <f t="shared" si="9"/>
        <v>0.128</v>
      </c>
      <c r="H50" s="62">
        <f t="shared" si="21"/>
        <v>0.128</v>
      </c>
      <c r="I50" s="63">
        <f t="shared" si="25"/>
        <v>1.5144230769230883E-3</v>
      </c>
      <c r="J50" s="63">
        <f t="shared" si="15"/>
        <v>6.0576923076923105E-2</v>
      </c>
      <c r="K50" s="173">
        <f t="shared" si="11"/>
        <v>60.576923076923102</v>
      </c>
      <c r="L50" s="140">
        <f t="shared" si="12"/>
        <v>1</v>
      </c>
      <c r="M50" s="61">
        <f t="shared" si="22"/>
        <v>3.4821428571428572</v>
      </c>
      <c r="N50" s="61">
        <f t="shared" si="16"/>
        <v>3.006106508875762E-3</v>
      </c>
      <c r="O50" s="61">
        <f t="shared" si="14"/>
        <v>1.9849846153846151</v>
      </c>
      <c r="P50" s="61">
        <f t="shared" si="23"/>
        <v>2.7293538461538458</v>
      </c>
      <c r="Q50" s="61">
        <f t="shared" si="24"/>
        <v>1.2406153846153845</v>
      </c>
    </row>
    <row r="51" spans="1:17" x14ac:dyDescent="0.25">
      <c r="A51" s="61">
        <f t="shared" si="17"/>
        <v>25.2</v>
      </c>
      <c r="B51" s="64">
        <f t="shared" si="18"/>
        <v>9.934615384615384</v>
      </c>
      <c r="C51" s="62">
        <f t="shared" si="19"/>
        <v>0</v>
      </c>
      <c r="D51" s="67">
        <f>B2</f>
        <v>86.399999999999991</v>
      </c>
      <c r="E51" s="60">
        <f t="shared" si="7"/>
        <v>5.6598639455782305</v>
      </c>
      <c r="F51" s="62">
        <f t="shared" si="20"/>
        <v>0.128</v>
      </c>
      <c r="G51" s="60">
        <f t="shared" si="9"/>
        <v>0.128</v>
      </c>
      <c r="H51" s="62">
        <f t="shared" si="21"/>
        <v>0.128</v>
      </c>
      <c r="I51" s="63">
        <f t="shared" si="25"/>
        <v>1.5144230769230662E-3</v>
      </c>
      <c r="J51" s="63">
        <f t="shared" si="15"/>
        <v>6.2091346153846171E-2</v>
      </c>
      <c r="K51" s="173">
        <f t="shared" si="11"/>
        <v>62.091346153846168</v>
      </c>
      <c r="L51" s="140">
        <f t="shared" si="12"/>
        <v>1</v>
      </c>
      <c r="M51" s="61">
        <f t="shared" si="22"/>
        <v>3.537414965986394</v>
      </c>
      <c r="N51" s="61">
        <f t="shared" si="16"/>
        <v>2.9591360946745349E-3</v>
      </c>
      <c r="O51" s="61">
        <f t="shared" si="14"/>
        <v>1.9539692307692309</v>
      </c>
      <c r="P51" s="61">
        <f t="shared" si="23"/>
        <v>2.6867076923076922</v>
      </c>
      <c r="Q51" s="61">
        <f t="shared" si="24"/>
        <v>1.2212307692307693</v>
      </c>
    </row>
    <row r="52" spans="1:17" x14ac:dyDescent="0.25">
      <c r="A52" s="61">
        <f t="shared" si="17"/>
        <v>25.2</v>
      </c>
      <c r="B52" s="64">
        <f t="shared" si="18"/>
        <v>10.176923076923076</v>
      </c>
      <c r="C52" s="62">
        <f t="shared" si="19"/>
        <v>0</v>
      </c>
      <c r="D52" s="67">
        <f>B2</f>
        <v>86.399999999999991</v>
      </c>
      <c r="E52" s="60">
        <f t="shared" si="7"/>
        <v>5.751152073732718</v>
      </c>
      <c r="F52" s="62">
        <f t="shared" si="20"/>
        <v>0.128</v>
      </c>
      <c r="G52" s="60">
        <f t="shared" si="9"/>
        <v>0.128</v>
      </c>
      <c r="H52" s="62">
        <f t="shared" si="21"/>
        <v>0.128</v>
      </c>
      <c r="I52" s="63">
        <f t="shared" si="25"/>
        <v>1.5144230769230771E-3</v>
      </c>
      <c r="J52" s="63">
        <f t="shared" si="15"/>
        <v>6.3605769230769243E-2</v>
      </c>
      <c r="K52" s="173">
        <f t="shared" si="11"/>
        <v>63.605769230769241</v>
      </c>
      <c r="L52" s="140">
        <f t="shared" si="12"/>
        <v>1</v>
      </c>
      <c r="M52" s="61">
        <f t="shared" si="22"/>
        <v>3.5944700460829488</v>
      </c>
      <c r="N52" s="61">
        <f t="shared" si="16"/>
        <v>2.9121656804733734E-3</v>
      </c>
      <c r="O52" s="61">
        <f t="shared" si="14"/>
        <v>1.9229538461538462</v>
      </c>
      <c r="P52" s="61">
        <f t="shared" si="23"/>
        <v>2.6440615384615382</v>
      </c>
      <c r="Q52" s="61">
        <f t="shared" si="24"/>
        <v>1.2018461538461538</v>
      </c>
    </row>
    <row r="53" spans="1:17" x14ac:dyDescent="0.25">
      <c r="A53" s="61">
        <f t="shared" si="17"/>
        <v>25.2</v>
      </c>
      <c r="B53" s="64">
        <f t="shared" si="18"/>
        <v>10.419230769230769</v>
      </c>
      <c r="C53" s="62">
        <f t="shared" si="19"/>
        <v>0</v>
      </c>
      <c r="D53" s="67">
        <f>B2</f>
        <v>86.399999999999991</v>
      </c>
      <c r="E53" s="60">
        <f t="shared" si="7"/>
        <v>5.8454332552693202</v>
      </c>
      <c r="F53" s="62">
        <f t="shared" si="20"/>
        <v>0.128</v>
      </c>
      <c r="G53" s="60">
        <f t="shared" si="9"/>
        <v>0.128</v>
      </c>
      <c r="H53" s="62">
        <f t="shared" si="21"/>
        <v>0.128</v>
      </c>
      <c r="I53" s="63">
        <f t="shared" si="25"/>
        <v>1.5144230769230771E-3</v>
      </c>
      <c r="J53" s="63">
        <f t="shared" si="15"/>
        <v>6.5120192307692323E-2</v>
      </c>
      <c r="K53" s="173">
        <f t="shared" si="11"/>
        <v>65.120192307692321</v>
      </c>
      <c r="L53" s="140">
        <f t="shared" si="12"/>
        <v>1</v>
      </c>
      <c r="M53" s="61">
        <f t="shared" si="22"/>
        <v>3.6533957845433251</v>
      </c>
      <c r="N53" s="61">
        <f t="shared" si="16"/>
        <v>2.8651952662721897E-3</v>
      </c>
      <c r="O53" s="61">
        <f t="shared" si="14"/>
        <v>1.8919384615384616</v>
      </c>
      <c r="P53" s="61">
        <f t="shared" si="23"/>
        <v>2.6014153846153842</v>
      </c>
      <c r="Q53" s="61">
        <f t="shared" si="24"/>
        <v>1.1824615384615385</v>
      </c>
    </row>
    <row r="54" spans="1:17" x14ac:dyDescent="0.25">
      <c r="A54" s="61">
        <f t="shared" si="17"/>
        <v>25.2</v>
      </c>
      <c r="B54" s="64">
        <f t="shared" si="18"/>
        <v>10.661538461538461</v>
      </c>
      <c r="C54" s="62">
        <f t="shared" si="19"/>
        <v>0</v>
      </c>
      <c r="D54" s="67">
        <f>B2</f>
        <v>86.399999999999991</v>
      </c>
      <c r="E54" s="60">
        <f t="shared" si="7"/>
        <v>5.9428571428571422</v>
      </c>
      <c r="F54" s="62">
        <f t="shared" si="20"/>
        <v>0.128</v>
      </c>
      <c r="G54" s="60">
        <f t="shared" si="9"/>
        <v>0.128</v>
      </c>
      <c r="H54" s="62">
        <f t="shared" si="21"/>
        <v>0.128</v>
      </c>
      <c r="I54" s="63">
        <f t="shared" si="25"/>
        <v>1.5144230769230771E-3</v>
      </c>
      <c r="J54" s="63">
        <f t="shared" si="15"/>
        <v>6.6634615384615403E-2</v>
      </c>
      <c r="K54" s="173">
        <f t="shared" si="11"/>
        <v>66.634615384615401</v>
      </c>
      <c r="L54" s="140">
        <f t="shared" si="12"/>
        <v>1</v>
      </c>
      <c r="M54" s="61">
        <f t="shared" si="22"/>
        <v>3.714285714285714</v>
      </c>
      <c r="N54" s="61">
        <f t="shared" si="16"/>
        <v>2.8182248520710064E-3</v>
      </c>
      <c r="O54" s="61">
        <f t="shared" si="14"/>
        <v>1.8609230769230769</v>
      </c>
      <c r="P54" s="61">
        <f t="shared" si="23"/>
        <v>2.5587692307692307</v>
      </c>
      <c r="Q54" s="61">
        <f t="shared" si="24"/>
        <v>1.1630769230769231</v>
      </c>
    </row>
    <row r="55" spans="1:17" x14ac:dyDescent="0.25">
      <c r="A55" s="61">
        <f t="shared" si="17"/>
        <v>25.2</v>
      </c>
      <c r="B55" s="64">
        <f t="shared" si="18"/>
        <v>10.903846153846153</v>
      </c>
      <c r="C55" s="62">
        <f t="shared" si="19"/>
        <v>0</v>
      </c>
      <c r="D55" s="67">
        <f>B2</f>
        <v>86.399999999999991</v>
      </c>
      <c r="E55" s="60">
        <f t="shared" si="7"/>
        <v>6.043583535108958</v>
      </c>
      <c r="F55" s="62">
        <f t="shared" si="20"/>
        <v>0.128</v>
      </c>
      <c r="G55" s="60">
        <f t="shared" si="9"/>
        <v>0.128</v>
      </c>
      <c r="H55" s="62">
        <f t="shared" si="21"/>
        <v>0.128</v>
      </c>
      <c r="I55" s="63">
        <f t="shared" si="25"/>
        <v>1.5144230769230771E-3</v>
      </c>
      <c r="J55" s="63">
        <f t="shared" si="15"/>
        <v>6.8149038461538483E-2</v>
      </c>
      <c r="K55" s="173">
        <f t="shared" si="11"/>
        <v>68.149038461538481</v>
      </c>
      <c r="L55" s="140">
        <f t="shared" si="12"/>
        <v>1</v>
      </c>
      <c r="M55" s="61">
        <f t="shared" si="22"/>
        <v>3.7772397094430987</v>
      </c>
      <c r="N55" s="61">
        <f t="shared" si="16"/>
        <v>2.7712544378698228E-3</v>
      </c>
      <c r="O55" s="61">
        <f t="shared" si="14"/>
        <v>1.8299076923076922</v>
      </c>
      <c r="P55" s="61">
        <f t="shared" si="23"/>
        <v>2.5161230769230767</v>
      </c>
      <c r="Q55" s="61">
        <f t="shared" si="24"/>
        <v>1.1436923076923078</v>
      </c>
    </row>
    <row r="56" spans="1:17" x14ac:dyDescent="0.25">
      <c r="A56" s="61">
        <f t="shared" si="17"/>
        <v>25.2</v>
      </c>
      <c r="B56" s="64">
        <f t="shared" si="18"/>
        <v>11.146153846153846</v>
      </c>
      <c r="C56" s="62">
        <f t="shared" si="19"/>
        <v>0</v>
      </c>
      <c r="D56" s="67">
        <f>B2</f>
        <v>86.399999999999991</v>
      </c>
      <c r="E56" s="60">
        <f t="shared" si="7"/>
        <v>6.1477832512315267</v>
      </c>
      <c r="F56" s="62">
        <f t="shared" si="20"/>
        <v>0.128</v>
      </c>
      <c r="G56" s="60">
        <f t="shared" si="9"/>
        <v>0.128</v>
      </c>
      <c r="H56" s="62">
        <f t="shared" si="21"/>
        <v>0.128</v>
      </c>
      <c r="I56" s="63">
        <f t="shared" si="25"/>
        <v>1.5144230769230771E-3</v>
      </c>
      <c r="J56" s="63">
        <f t="shared" si="15"/>
        <v>6.9663461538461563E-2</v>
      </c>
      <c r="K56" s="173">
        <f t="shared" si="11"/>
        <v>69.663461538461561</v>
      </c>
      <c r="L56" s="140">
        <f t="shared" si="12"/>
        <v>1</v>
      </c>
      <c r="M56" s="61">
        <f t="shared" si="22"/>
        <v>3.8423645320197042</v>
      </c>
      <c r="N56" s="61">
        <f t="shared" si="16"/>
        <v>2.7242840236686395E-3</v>
      </c>
      <c r="O56" s="61">
        <f t="shared" si="14"/>
        <v>1.7988923076923078</v>
      </c>
      <c r="P56" s="61">
        <f t="shared" si="23"/>
        <v>2.4734769230769227</v>
      </c>
      <c r="Q56" s="61">
        <f t="shared" si="24"/>
        <v>1.1243076923076922</v>
      </c>
    </row>
    <row r="57" spans="1:17" x14ac:dyDescent="0.25">
      <c r="A57" s="61">
        <f t="shared" si="17"/>
        <v>25.2</v>
      </c>
      <c r="B57" s="64">
        <f t="shared" si="18"/>
        <v>11.388461538461538</v>
      </c>
      <c r="C57" s="62">
        <f t="shared" si="19"/>
        <v>0</v>
      </c>
      <c r="D57" s="67">
        <f>B2</f>
        <v>86.399999999999991</v>
      </c>
      <c r="E57" s="60">
        <f t="shared" si="7"/>
        <v>6.2556390977443606</v>
      </c>
      <c r="F57" s="62">
        <f t="shared" si="20"/>
        <v>0.128</v>
      </c>
      <c r="G57" s="60">
        <f t="shared" si="9"/>
        <v>0.128</v>
      </c>
      <c r="H57" s="62">
        <f t="shared" si="21"/>
        <v>0.128</v>
      </c>
      <c r="I57" s="63">
        <f t="shared" si="25"/>
        <v>1.5144230769230771E-3</v>
      </c>
      <c r="J57" s="63">
        <f t="shared" si="15"/>
        <v>7.1177884615384643E-2</v>
      </c>
      <c r="K57" s="173">
        <f t="shared" si="11"/>
        <v>71.177884615384642</v>
      </c>
      <c r="L57" s="140">
        <f t="shared" si="12"/>
        <v>1</v>
      </c>
      <c r="M57" s="61">
        <f t="shared" si="22"/>
        <v>3.9097744360902249</v>
      </c>
      <c r="N57" s="61">
        <f t="shared" si="16"/>
        <v>2.6773136094674558E-3</v>
      </c>
      <c r="O57" s="61">
        <f t="shared" si="14"/>
        <v>1.7678769230769231</v>
      </c>
      <c r="P57" s="61">
        <f t="shared" si="23"/>
        <v>2.4308307692307691</v>
      </c>
      <c r="Q57" s="61">
        <f t="shared" si="24"/>
        <v>1.1049230769230769</v>
      </c>
    </row>
    <row r="58" spans="1:17" x14ac:dyDescent="0.25">
      <c r="A58" s="61">
        <f t="shared" si="17"/>
        <v>25.2</v>
      </c>
      <c r="B58" s="64">
        <f t="shared" si="18"/>
        <v>11.63076923076923</v>
      </c>
      <c r="C58" s="62">
        <f t="shared" si="19"/>
        <v>0</v>
      </c>
      <c r="D58" s="67">
        <f>B2</f>
        <v>86.399999999999991</v>
      </c>
      <c r="E58" s="60">
        <f t="shared" si="7"/>
        <v>6.3673469387755093</v>
      </c>
      <c r="F58" s="62">
        <f t="shared" si="20"/>
        <v>0.128</v>
      </c>
      <c r="G58" s="60">
        <f t="shared" si="9"/>
        <v>0.128</v>
      </c>
      <c r="H58" s="62">
        <f t="shared" si="21"/>
        <v>0.128</v>
      </c>
      <c r="I58" s="63">
        <f t="shared" si="25"/>
        <v>1.5144230769230771E-3</v>
      </c>
      <c r="J58" s="63">
        <f t="shared" si="15"/>
        <v>7.2692307692307723E-2</v>
      </c>
      <c r="K58" s="173">
        <f t="shared" si="11"/>
        <v>72.692307692307722</v>
      </c>
      <c r="L58" s="140">
        <f t="shared" si="12"/>
        <v>1</v>
      </c>
      <c r="M58" s="61">
        <f t="shared" si="22"/>
        <v>3.9795918367346932</v>
      </c>
      <c r="N58" s="61">
        <f t="shared" si="16"/>
        <v>2.6303431952662726E-3</v>
      </c>
      <c r="O58" s="61">
        <f t="shared" si="14"/>
        <v>1.7368615384615385</v>
      </c>
      <c r="P58" s="61">
        <f t="shared" si="23"/>
        <v>2.3881846153846151</v>
      </c>
      <c r="Q58" s="61">
        <f t="shared" si="24"/>
        <v>1.0855384615384616</v>
      </c>
    </row>
    <row r="59" spans="1:17" x14ac:dyDescent="0.25">
      <c r="A59" s="61">
        <f t="shared" si="17"/>
        <v>25.2</v>
      </c>
      <c r="B59" s="64">
        <f t="shared" si="18"/>
        <v>11.873076923076923</v>
      </c>
      <c r="C59" s="62">
        <f t="shared" si="19"/>
        <v>0</v>
      </c>
      <c r="D59" s="67">
        <f>B2</f>
        <v>86.399999999999991</v>
      </c>
      <c r="E59" s="60">
        <f t="shared" si="7"/>
        <v>6.4831168831168826</v>
      </c>
      <c r="F59" s="62">
        <f t="shared" si="20"/>
        <v>0.128</v>
      </c>
      <c r="G59" s="60">
        <f t="shared" si="9"/>
        <v>0.128</v>
      </c>
      <c r="H59" s="62">
        <f t="shared" si="21"/>
        <v>0.128</v>
      </c>
      <c r="I59" s="63">
        <f t="shared" si="25"/>
        <v>1.5144230769230771E-3</v>
      </c>
      <c r="J59" s="63">
        <f t="shared" si="15"/>
        <v>7.4206730769230803E-2</v>
      </c>
      <c r="K59" s="173">
        <f t="shared" si="11"/>
        <v>74.206730769230802</v>
      </c>
      <c r="L59" s="140">
        <f t="shared" si="12"/>
        <v>1</v>
      </c>
      <c r="M59" s="61">
        <f t="shared" si="22"/>
        <v>4.0519480519480515</v>
      </c>
      <c r="N59" s="61">
        <f t="shared" si="16"/>
        <v>2.5833727810650889E-3</v>
      </c>
      <c r="O59" s="61">
        <f t="shared" si="14"/>
        <v>1.7058461538461538</v>
      </c>
      <c r="P59" s="61">
        <f t="shared" si="23"/>
        <v>2.3455384615384616</v>
      </c>
      <c r="Q59" s="61">
        <f t="shared" si="24"/>
        <v>1.0661538461538462</v>
      </c>
    </row>
    <row r="60" spans="1:17" x14ac:dyDescent="0.25">
      <c r="A60" s="61">
        <f t="shared" si="17"/>
        <v>25.2</v>
      </c>
      <c r="B60" s="64">
        <f t="shared" si="18"/>
        <v>12.115384615384615</v>
      </c>
      <c r="C60" s="62">
        <f t="shared" si="19"/>
        <v>0</v>
      </c>
      <c r="D60" s="67">
        <f>B2</f>
        <v>86.399999999999991</v>
      </c>
      <c r="E60" s="60">
        <f t="shared" si="7"/>
        <v>6.6031746031746028</v>
      </c>
      <c r="F60" s="62">
        <f t="shared" si="20"/>
        <v>0.128</v>
      </c>
      <c r="G60" s="60">
        <f t="shared" si="9"/>
        <v>0.128</v>
      </c>
      <c r="H60" s="62">
        <f t="shared" si="21"/>
        <v>0.128</v>
      </c>
      <c r="I60" s="63">
        <f t="shared" si="25"/>
        <v>1.5144230769230771E-3</v>
      </c>
      <c r="J60" s="63">
        <f t="shared" si="15"/>
        <v>7.5721153846153882E-2</v>
      </c>
      <c r="K60" s="173">
        <f t="shared" si="11"/>
        <v>75.721153846153882</v>
      </c>
      <c r="L60" s="140">
        <f t="shared" si="12"/>
        <v>1</v>
      </c>
      <c r="M60" s="61">
        <f t="shared" si="22"/>
        <v>4.1269841269841265</v>
      </c>
      <c r="N60" s="61">
        <f t="shared" si="16"/>
        <v>2.5364023668639057E-3</v>
      </c>
      <c r="O60" s="61">
        <f t="shared" si="14"/>
        <v>1.6748307692307691</v>
      </c>
      <c r="P60" s="61">
        <f t="shared" si="23"/>
        <v>2.3028923076923076</v>
      </c>
      <c r="Q60" s="61">
        <f t="shared" si="24"/>
        <v>1.0467692307692307</v>
      </c>
    </row>
    <row r="61" spans="1:17" x14ac:dyDescent="0.25">
      <c r="A61" s="61">
        <f t="shared" si="17"/>
        <v>25.2</v>
      </c>
      <c r="B61" s="64">
        <f t="shared" si="18"/>
        <v>12.357692307692307</v>
      </c>
      <c r="C61" s="62">
        <f t="shared" si="19"/>
        <v>0</v>
      </c>
      <c r="D61" s="67">
        <f>B2</f>
        <v>86.399999999999991</v>
      </c>
      <c r="E61" s="60">
        <f t="shared" si="7"/>
        <v>6.7277628032345005</v>
      </c>
      <c r="F61" s="62">
        <f t="shared" si="20"/>
        <v>0.128</v>
      </c>
      <c r="G61" s="60">
        <f t="shared" si="9"/>
        <v>0.128</v>
      </c>
      <c r="H61" s="62">
        <f t="shared" si="21"/>
        <v>0.128</v>
      </c>
      <c r="I61" s="63">
        <f t="shared" si="25"/>
        <v>1.5144230769230771E-3</v>
      </c>
      <c r="J61" s="63">
        <f t="shared" si="15"/>
        <v>7.7235576923076962E-2</v>
      </c>
      <c r="K61" s="173">
        <f t="shared" si="11"/>
        <v>77.235576923076962</v>
      </c>
      <c r="L61" s="140">
        <f t="shared" si="12"/>
        <v>1</v>
      </c>
      <c r="M61" s="61">
        <f t="shared" si="22"/>
        <v>4.2048517520215629</v>
      </c>
      <c r="N61" s="61">
        <f>I61*G61*(A61-B61)</f>
        <v>2.489431952662722E-3</v>
      </c>
      <c r="O61" s="61">
        <f t="shared" si="14"/>
        <v>1.6438153846153847</v>
      </c>
      <c r="P61" s="61">
        <f t="shared" si="23"/>
        <v>2.2602461538461536</v>
      </c>
      <c r="Q61" s="61">
        <f t="shared" si="24"/>
        <v>1.0273846153846153</v>
      </c>
    </row>
    <row r="62" spans="1:17" x14ac:dyDescent="0.25">
      <c r="A62" s="61">
        <f t="shared" si="17"/>
        <v>25.2</v>
      </c>
      <c r="B62" s="64">
        <f t="shared" si="18"/>
        <v>12.6</v>
      </c>
      <c r="C62" s="62">
        <f t="shared" si="19"/>
        <v>0</v>
      </c>
      <c r="D62" s="67">
        <f>B2</f>
        <v>86.399999999999991</v>
      </c>
      <c r="E62" s="60">
        <f t="shared" si="7"/>
        <v>6.8571428571428568</v>
      </c>
      <c r="F62" s="62">
        <f t="shared" si="20"/>
        <v>0.128</v>
      </c>
      <c r="G62" s="60">
        <f t="shared" si="9"/>
        <v>0.128</v>
      </c>
      <c r="H62" s="62">
        <f t="shared" si="21"/>
        <v>0.128</v>
      </c>
      <c r="I62" s="63">
        <f t="shared" si="25"/>
        <v>1.5144230769230771E-3</v>
      </c>
      <c r="J62" s="63">
        <f t="shared" si="15"/>
        <v>7.8750000000000042E-2</v>
      </c>
      <c r="K62" s="173">
        <f t="shared" si="11"/>
        <v>78.750000000000043</v>
      </c>
      <c r="L62" s="140">
        <f t="shared" si="12"/>
        <v>1</v>
      </c>
      <c r="M62" s="61">
        <f t="shared" si="22"/>
        <v>4.2857142857142856</v>
      </c>
      <c r="N62" s="61">
        <f t="shared" si="16"/>
        <v>2.4424615384615387E-3</v>
      </c>
      <c r="O62" s="61">
        <f t="shared" si="14"/>
        <v>1.6128</v>
      </c>
      <c r="P62" s="61">
        <f t="shared" si="23"/>
        <v>2.2176</v>
      </c>
      <c r="Q62" s="61">
        <f t="shared" si="24"/>
        <v>1.008</v>
      </c>
    </row>
    <row r="63" spans="1:17" x14ac:dyDescent="0.25">
      <c r="A63" s="61">
        <f t="shared" si="17"/>
        <v>25.2</v>
      </c>
      <c r="B63" s="64">
        <f t="shared" si="18"/>
        <v>12.84230769230769</v>
      </c>
      <c r="C63" s="62">
        <f t="shared" si="19"/>
        <v>0</v>
      </c>
      <c r="D63" s="67">
        <f>B2</f>
        <v>86.399999999999991</v>
      </c>
      <c r="E63" s="60">
        <f t="shared" si="7"/>
        <v>6.9915966386554604</v>
      </c>
      <c r="F63" s="62">
        <f t="shared" si="20"/>
        <v>0.128</v>
      </c>
      <c r="G63" s="60">
        <f t="shared" si="9"/>
        <v>0.128</v>
      </c>
      <c r="H63" s="62">
        <f t="shared" si="21"/>
        <v>0.128</v>
      </c>
      <c r="I63" s="63">
        <f t="shared" si="25"/>
        <v>1.5144230769230662E-3</v>
      </c>
      <c r="J63" s="63">
        <f t="shared" si="15"/>
        <v>8.0264423076923108E-2</v>
      </c>
      <c r="K63" s="173">
        <f t="shared" si="11"/>
        <v>80.264423076923109</v>
      </c>
      <c r="L63" s="140">
        <f t="shared" si="12"/>
        <v>1</v>
      </c>
      <c r="M63" s="61">
        <f t="shared" si="22"/>
        <v>4.3697478991596626</v>
      </c>
      <c r="N63" s="61">
        <f t="shared" si="16"/>
        <v>2.3954911242603382E-3</v>
      </c>
      <c r="O63" s="61">
        <f t="shared" si="14"/>
        <v>1.5817846153846156</v>
      </c>
      <c r="P63" s="61">
        <f t="shared" si="23"/>
        <v>2.1749538461538465</v>
      </c>
      <c r="Q63" s="61">
        <f t="shared" si="24"/>
        <v>0.98861538461538478</v>
      </c>
    </row>
    <row r="64" spans="1:17" x14ac:dyDescent="0.25">
      <c r="A64" s="61">
        <f t="shared" si="17"/>
        <v>25.2</v>
      </c>
      <c r="B64" s="64">
        <f t="shared" si="18"/>
        <v>13.084615384615386</v>
      </c>
      <c r="C64" s="62">
        <f t="shared" si="19"/>
        <v>0</v>
      </c>
      <c r="D64" s="67">
        <f>B2</f>
        <v>86.399999999999991</v>
      </c>
      <c r="E64" s="60">
        <f t="shared" si="7"/>
        <v>7.1314285714285717</v>
      </c>
      <c r="F64" s="62">
        <f t="shared" si="20"/>
        <v>0.128</v>
      </c>
      <c r="G64" s="60">
        <f t="shared" si="9"/>
        <v>0.128</v>
      </c>
      <c r="H64" s="62">
        <f t="shared" si="21"/>
        <v>0.128</v>
      </c>
      <c r="I64" s="63">
        <f t="shared" si="25"/>
        <v>1.5144230769230994E-3</v>
      </c>
      <c r="J64" s="63">
        <f t="shared" si="15"/>
        <v>8.1778846153846202E-2</v>
      </c>
      <c r="K64" s="173">
        <f t="shared" si="11"/>
        <v>81.778846153846203</v>
      </c>
      <c r="L64" s="140">
        <f t="shared" si="12"/>
        <v>1</v>
      </c>
      <c r="M64" s="61">
        <f t="shared" si="22"/>
        <v>4.4571428571428573</v>
      </c>
      <c r="N64" s="61">
        <f t="shared" si="16"/>
        <v>2.3485207100592061E-3</v>
      </c>
      <c r="O64" s="61">
        <f t="shared" si="14"/>
        <v>1.5507692307692305</v>
      </c>
      <c r="P64" s="61">
        <f t="shared" si="23"/>
        <v>2.132307692307692</v>
      </c>
      <c r="Q64" s="61">
        <f t="shared" si="24"/>
        <v>0.96923076923076912</v>
      </c>
    </row>
    <row r="65" spans="1:17" x14ac:dyDescent="0.25">
      <c r="A65" s="61">
        <f t="shared" si="17"/>
        <v>25.2</v>
      </c>
      <c r="B65" s="64">
        <f t="shared" si="18"/>
        <v>13.326923076923077</v>
      </c>
      <c r="C65" s="62">
        <f t="shared" si="19"/>
        <v>0</v>
      </c>
      <c r="D65" s="67">
        <f>B2</f>
        <v>86.399999999999991</v>
      </c>
      <c r="E65" s="60">
        <f t="shared" si="7"/>
        <v>7.2769679300291541</v>
      </c>
      <c r="F65" s="62">
        <f t="shared" si="20"/>
        <v>0.128</v>
      </c>
      <c r="G65" s="60">
        <f t="shared" si="9"/>
        <v>0.128</v>
      </c>
      <c r="H65" s="62">
        <f t="shared" si="21"/>
        <v>0.128</v>
      </c>
      <c r="I65" s="63">
        <f t="shared" si="25"/>
        <v>1.5144230769230662E-3</v>
      </c>
      <c r="J65" s="63">
        <f t="shared" si="15"/>
        <v>8.3293269230769268E-2</v>
      </c>
      <c r="K65" s="173">
        <f t="shared" si="11"/>
        <v>83.293269230769269</v>
      </c>
      <c r="L65" s="140">
        <f t="shared" si="12"/>
        <v>1</v>
      </c>
      <c r="M65" s="61">
        <f t="shared" si="22"/>
        <v>4.5481049562682214</v>
      </c>
      <c r="N65" s="61">
        <f t="shared" si="16"/>
        <v>2.3015502958579717E-3</v>
      </c>
      <c r="O65" s="61">
        <f t="shared" si="14"/>
        <v>1.5197538461538462</v>
      </c>
      <c r="P65" s="61">
        <f t="shared" si="23"/>
        <v>2.0896615384615385</v>
      </c>
      <c r="Q65" s="61">
        <f t="shared" si="24"/>
        <v>0.94984615384615378</v>
      </c>
    </row>
    <row r="66" spans="1:17" x14ac:dyDescent="0.25">
      <c r="A66" s="61">
        <f t="shared" si="17"/>
        <v>25.2</v>
      </c>
      <c r="B66" s="64">
        <f t="shared" si="18"/>
        <v>13.569230769230769</v>
      </c>
      <c r="C66" s="62">
        <f t="shared" si="19"/>
        <v>0</v>
      </c>
      <c r="D66" s="67">
        <f>B2</f>
        <v>86.399999999999991</v>
      </c>
      <c r="E66" s="60">
        <f t="shared" si="7"/>
        <v>7.4285714285714279</v>
      </c>
      <c r="F66" s="62">
        <f t="shared" si="20"/>
        <v>0.128</v>
      </c>
      <c r="G66" s="60">
        <f t="shared" si="9"/>
        <v>0.128</v>
      </c>
      <c r="H66" s="62">
        <f t="shared" si="21"/>
        <v>0.128</v>
      </c>
      <c r="I66" s="63">
        <f t="shared" si="25"/>
        <v>1.5144230769230771E-3</v>
      </c>
      <c r="J66" s="63">
        <f t="shared" si="15"/>
        <v>8.4807692307692348E-2</v>
      </c>
      <c r="K66" s="173">
        <f t="shared" si="11"/>
        <v>84.807692307692349</v>
      </c>
      <c r="L66" s="140">
        <f t="shared" si="12"/>
        <v>1</v>
      </c>
      <c r="M66" s="61">
        <f t="shared" si="22"/>
        <v>4.6428571428571423</v>
      </c>
      <c r="N66" s="61">
        <f t="shared" si="16"/>
        <v>2.2545798816568049E-3</v>
      </c>
      <c r="O66" s="61">
        <f t="shared" si="14"/>
        <v>1.4887384615384616</v>
      </c>
      <c r="P66" s="61">
        <f t="shared" si="23"/>
        <v>2.0470153846153845</v>
      </c>
      <c r="Q66" s="61">
        <f t="shared" si="24"/>
        <v>0.93046153846153845</v>
      </c>
    </row>
    <row r="67" spans="1:17" x14ac:dyDescent="0.25">
      <c r="A67" s="61">
        <f t="shared" si="17"/>
        <v>25.2</v>
      </c>
      <c r="B67" s="64">
        <f t="shared" si="18"/>
        <v>13.811538461538463</v>
      </c>
      <c r="C67" s="62">
        <f t="shared" si="19"/>
        <v>0</v>
      </c>
      <c r="D67" s="67">
        <f>B2</f>
        <v>86.399999999999991</v>
      </c>
      <c r="E67" s="60">
        <f t="shared" si="7"/>
        <v>7.5866261398176302</v>
      </c>
      <c r="F67" s="62">
        <f t="shared" si="20"/>
        <v>0.128</v>
      </c>
      <c r="G67" s="60">
        <f t="shared" si="9"/>
        <v>0.128</v>
      </c>
      <c r="H67" s="62">
        <f t="shared" si="21"/>
        <v>0.128</v>
      </c>
      <c r="I67" s="63">
        <f t="shared" si="25"/>
        <v>1.5144230769230883E-3</v>
      </c>
      <c r="J67" s="63">
        <f t="shared" si="15"/>
        <v>8.6322115384615442E-2</v>
      </c>
      <c r="K67" s="173">
        <f t="shared" si="11"/>
        <v>86.322115384615444</v>
      </c>
      <c r="L67" s="140">
        <f t="shared" si="12"/>
        <v>1</v>
      </c>
      <c r="M67" s="61">
        <f t="shared" si="22"/>
        <v>4.7416413373860191</v>
      </c>
      <c r="N67" s="61">
        <f t="shared" si="16"/>
        <v>2.2076094674556377E-3</v>
      </c>
      <c r="O67" s="61">
        <f t="shared" si="14"/>
        <v>1.4577230769230767</v>
      </c>
      <c r="P67" s="61">
        <f t="shared" si="23"/>
        <v>2.0043692307692305</v>
      </c>
      <c r="Q67" s="61">
        <f t="shared" si="24"/>
        <v>0.9110769230769229</v>
      </c>
    </row>
    <row r="68" spans="1:17" x14ac:dyDescent="0.25">
      <c r="A68" s="61">
        <f t="shared" si="17"/>
        <v>25.2</v>
      </c>
      <c r="B68" s="64">
        <f t="shared" si="18"/>
        <v>14.053846153846154</v>
      </c>
      <c r="C68" s="62">
        <f t="shared" si="19"/>
        <v>0</v>
      </c>
      <c r="D68" s="67">
        <f>B2</f>
        <v>86.399999999999991</v>
      </c>
      <c r="E68" s="60">
        <f t="shared" si="7"/>
        <v>7.7515527950310554</v>
      </c>
      <c r="F68" s="62">
        <f t="shared" si="20"/>
        <v>0.128</v>
      </c>
      <c r="G68" s="60">
        <f t="shared" si="9"/>
        <v>0.128</v>
      </c>
      <c r="H68" s="62">
        <f t="shared" si="21"/>
        <v>0.128</v>
      </c>
      <c r="I68" s="63">
        <f t="shared" si="25"/>
        <v>1.5144230769230662E-3</v>
      </c>
      <c r="J68" s="63">
        <f t="shared" si="15"/>
        <v>8.7836538461538508E-2</v>
      </c>
      <c r="K68" s="173">
        <f t="shared" si="11"/>
        <v>87.83653846153851</v>
      </c>
      <c r="L68" s="140">
        <f t="shared" si="12"/>
        <v>1</v>
      </c>
      <c r="M68" s="61">
        <f t="shared" si="22"/>
        <v>4.8447204968944098</v>
      </c>
      <c r="N68" s="61">
        <f t="shared" si="16"/>
        <v>2.1606390532544224E-3</v>
      </c>
      <c r="O68" s="61">
        <f t="shared" si="14"/>
        <v>1.4267076923076922</v>
      </c>
      <c r="P68" s="61">
        <f t="shared" si="23"/>
        <v>1.9617230769230767</v>
      </c>
      <c r="Q68" s="61">
        <f t="shared" si="24"/>
        <v>0.89169230769230767</v>
      </c>
    </row>
    <row r="69" spans="1:17" x14ac:dyDescent="0.25">
      <c r="A69" s="61">
        <f t="shared" si="17"/>
        <v>25.2</v>
      </c>
      <c r="B69" s="64">
        <f t="shared" si="18"/>
        <v>14.296153846153846</v>
      </c>
      <c r="C69" s="62">
        <f t="shared" si="19"/>
        <v>0</v>
      </c>
      <c r="D69" s="67">
        <f>B2</f>
        <v>86.399999999999991</v>
      </c>
      <c r="E69" s="60">
        <f t="shared" si="7"/>
        <v>7.9238095238095232</v>
      </c>
      <c r="F69" s="62">
        <f t="shared" si="20"/>
        <v>0.128</v>
      </c>
      <c r="G69" s="60">
        <f t="shared" si="9"/>
        <v>0.128</v>
      </c>
      <c r="H69" s="62">
        <f t="shared" si="21"/>
        <v>0.128</v>
      </c>
      <c r="I69" s="63">
        <f t="shared" si="25"/>
        <v>1.5144230769230771E-3</v>
      </c>
      <c r="J69" s="63">
        <f t="shared" si="15"/>
        <v>8.9350961538461587E-2</v>
      </c>
      <c r="K69" s="173">
        <f t="shared" si="11"/>
        <v>89.35096153846159</v>
      </c>
      <c r="L69" s="140">
        <f t="shared" si="12"/>
        <v>1</v>
      </c>
      <c r="M69" s="61">
        <f t="shared" si="22"/>
        <v>4.9523809523809517</v>
      </c>
      <c r="N69" s="61">
        <f t="shared" si="16"/>
        <v>2.1136686390532547E-3</v>
      </c>
      <c r="O69" s="61">
        <f t="shared" si="14"/>
        <v>1.3956923076923076</v>
      </c>
      <c r="P69" s="61">
        <f t="shared" si="23"/>
        <v>1.9190769230769229</v>
      </c>
      <c r="Q69" s="61">
        <f t="shared" si="24"/>
        <v>0.87230769230769223</v>
      </c>
    </row>
    <row r="70" spans="1:17" x14ac:dyDescent="0.25">
      <c r="A70" s="61">
        <f t="shared" si="17"/>
        <v>25.2</v>
      </c>
      <c r="B70" s="64">
        <f t="shared" si="18"/>
        <v>14.538461538461537</v>
      </c>
      <c r="C70" s="62">
        <f t="shared" si="19"/>
        <v>0</v>
      </c>
      <c r="D70" s="67">
        <f>B2</f>
        <v>86.399999999999991</v>
      </c>
      <c r="E70" s="60">
        <f t="shared" si="7"/>
        <v>8.103896103896103</v>
      </c>
      <c r="F70" s="62">
        <f t="shared" si="20"/>
        <v>0.128</v>
      </c>
      <c r="G70" s="60">
        <f t="shared" si="9"/>
        <v>0.128</v>
      </c>
      <c r="H70" s="62">
        <f t="shared" si="21"/>
        <v>0.128</v>
      </c>
      <c r="I70" s="63">
        <f t="shared" si="25"/>
        <v>1.5144230769230662E-3</v>
      </c>
      <c r="J70" s="63">
        <f t="shared" si="15"/>
        <v>9.0865384615384653E-2</v>
      </c>
      <c r="K70" s="173">
        <f t="shared" si="11"/>
        <v>90.865384615384656</v>
      </c>
      <c r="L70" s="140">
        <f t="shared" si="12"/>
        <v>1</v>
      </c>
      <c r="M70" s="61">
        <f t="shared" si="22"/>
        <v>5.0649350649350646</v>
      </c>
      <c r="N70" s="61">
        <f t="shared" si="16"/>
        <v>2.0666982248520563E-3</v>
      </c>
      <c r="O70" s="61">
        <f t="shared" si="14"/>
        <v>1.3646769230769233</v>
      </c>
      <c r="P70" s="61">
        <f t="shared" si="23"/>
        <v>1.8764307692307693</v>
      </c>
      <c r="Q70" s="61">
        <f t="shared" si="24"/>
        <v>0.85292307692307701</v>
      </c>
    </row>
    <row r="71" spans="1:17" x14ac:dyDescent="0.25">
      <c r="A71" s="61">
        <f t="shared" si="17"/>
        <v>25.2</v>
      </c>
      <c r="B71" s="64">
        <f t="shared" si="18"/>
        <v>14.780769230769231</v>
      </c>
      <c r="C71" s="62">
        <f t="shared" si="19"/>
        <v>0</v>
      </c>
      <c r="D71" s="67">
        <f>B2</f>
        <v>86.399999999999991</v>
      </c>
      <c r="E71" s="60">
        <f t="shared" si="7"/>
        <v>8.2923588039867102</v>
      </c>
      <c r="F71" s="62">
        <f t="shared" si="20"/>
        <v>0.128</v>
      </c>
      <c r="G71" s="60">
        <f t="shared" si="9"/>
        <v>0.128</v>
      </c>
      <c r="H71" s="62">
        <f t="shared" si="21"/>
        <v>0.128</v>
      </c>
      <c r="I71" s="63">
        <f t="shared" si="25"/>
        <v>1.5144230769230883E-3</v>
      </c>
      <c r="J71" s="63">
        <f t="shared" si="15"/>
        <v>9.2379807692307747E-2</v>
      </c>
      <c r="K71" s="173">
        <f t="shared" si="11"/>
        <v>92.37980769230775</v>
      </c>
      <c r="L71" s="140">
        <f t="shared" si="12"/>
        <v>1</v>
      </c>
      <c r="M71" s="61">
        <f t="shared" si="22"/>
        <v>5.1827242524916937</v>
      </c>
      <c r="N71" s="61">
        <f t="shared" si="16"/>
        <v>2.0197278106509025E-3</v>
      </c>
      <c r="O71" s="61">
        <f t="shared" si="14"/>
        <v>1.3336615384615385</v>
      </c>
      <c r="P71" s="61">
        <f t="shared" si="23"/>
        <v>1.8337846153846151</v>
      </c>
      <c r="Q71" s="61">
        <f t="shared" si="24"/>
        <v>0.83353846153846156</v>
      </c>
    </row>
    <row r="72" spans="1:17" x14ac:dyDescent="0.25">
      <c r="A72" s="61">
        <f t="shared" si="17"/>
        <v>25.2</v>
      </c>
      <c r="B72" s="64">
        <f t="shared" si="18"/>
        <v>15.023076923076923</v>
      </c>
      <c r="C72" s="62">
        <f t="shared" si="19"/>
        <v>0</v>
      </c>
      <c r="D72" s="67">
        <f>B2</f>
        <v>86.399999999999991</v>
      </c>
      <c r="E72" s="60">
        <f t="shared" si="7"/>
        <v>8.4897959183673475</v>
      </c>
      <c r="F72" s="62">
        <f t="shared" si="20"/>
        <v>0.128</v>
      </c>
      <c r="G72" s="60">
        <f t="shared" si="9"/>
        <v>0.128</v>
      </c>
      <c r="H72" s="62">
        <f t="shared" si="21"/>
        <v>0.128</v>
      </c>
      <c r="I72" s="63">
        <f t="shared" si="25"/>
        <v>1.5144230769230771E-3</v>
      </c>
      <c r="J72" s="63">
        <f t="shared" si="15"/>
        <v>9.3894230769230827E-2</v>
      </c>
      <c r="K72" s="173">
        <f t="shared" si="11"/>
        <v>93.89423076923083</v>
      </c>
      <c r="L72" s="140">
        <f t="shared" si="12"/>
        <v>1</v>
      </c>
      <c r="M72" s="61">
        <f t="shared" si="22"/>
        <v>5.3061224489795924</v>
      </c>
      <c r="N72" s="61">
        <f t="shared" si="16"/>
        <v>1.9727573964497041E-3</v>
      </c>
      <c r="O72" s="61">
        <f t="shared" si="14"/>
        <v>1.3026461538461538</v>
      </c>
      <c r="P72" s="61">
        <f t="shared" si="23"/>
        <v>1.7911384615384613</v>
      </c>
      <c r="Q72" s="61">
        <f t="shared" si="24"/>
        <v>0.81415384615384612</v>
      </c>
    </row>
    <row r="73" spans="1:17" x14ac:dyDescent="0.25">
      <c r="A73" s="61">
        <f t="shared" si="17"/>
        <v>25.2</v>
      </c>
      <c r="B73" s="64">
        <f t="shared" si="18"/>
        <v>15.265384615384614</v>
      </c>
      <c r="C73" s="62">
        <f t="shared" si="19"/>
        <v>0</v>
      </c>
      <c r="D73" s="67">
        <f>B2</f>
        <v>86.399999999999991</v>
      </c>
      <c r="E73" s="60">
        <f t="shared" si="7"/>
        <v>8.6968641114982557</v>
      </c>
      <c r="F73" s="62">
        <f t="shared" si="20"/>
        <v>0.128</v>
      </c>
      <c r="G73" s="60">
        <f t="shared" si="9"/>
        <v>0.128</v>
      </c>
      <c r="H73" s="62">
        <f t="shared" si="21"/>
        <v>0.128</v>
      </c>
      <c r="I73" s="63">
        <f t="shared" si="25"/>
        <v>1.5144230769230662E-3</v>
      </c>
      <c r="J73" s="63">
        <f t="shared" si="15"/>
        <v>9.5408653846153893E-2</v>
      </c>
      <c r="K73" s="173">
        <f t="shared" si="11"/>
        <v>95.408653846153896</v>
      </c>
      <c r="L73" s="140">
        <f t="shared" si="12"/>
        <v>1</v>
      </c>
      <c r="M73" s="61">
        <f t="shared" si="22"/>
        <v>5.43554006968641</v>
      </c>
      <c r="N73" s="61">
        <f t="shared" si="16"/>
        <v>1.9257869822485072E-3</v>
      </c>
      <c r="O73" s="61">
        <f t="shared" si="14"/>
        <v>1.2716307692307693</v>
      </c>
      <c r="P73" s="61">
        <f t="shared" si="23"/>
        <v>1.7484923076923078</v>
      </c>
      <c r="Q73" s="61">
        <f t="shared" si="24"/>
        <v>0.79476923076923089</v>
      </c>
    </row>
    <row r="74" spans="1:17" x14ac:dyDescent="0.25">
      <c r="A74" s="61">
        <f t="shared" ref="A74:A105" si="26">VINMAX</f>
        <v>25.2</v>
      </c>
      <c r="B74" s="64">
        <f t="shared" ref="B74:B105" si="27">VINMAX*((ROW()-10)/104)</f>
        <v>15.507692307692308</v>
      </c>
      <c r="C74" s="62">
        <f t="shared" ref="C74:C105" si="28">IF(B74&gt;=$H$2,IF($D$2="CC", $G$2, B74/$G$2), 0)</f>
        <v>0</v>
      </c>
      <c r="D74" s="67">
        <f>B2</f>
        <v>86.399999999999991</v>
      </c>
      <c r="E74" s="60">
        <f t="shared" si="7"/>
        <v>8.9142857142857146</v>
      </c>
      <c r="F74" s="62">
        <f t="shared" ref="F74:F105" si="29">I_Cout_ss+C74</f>
        <v>0.128</v>
      </c>
      <c r="G74" s="60">
        <f t="shared" si="9"/>
        <v>0.128</v>
      </c>
      <c r="H74" s="62">
        <f t="shared" ref="H74:H105" si="30">G74-C74</f>
        <v>0.128</v>
      </c>
      <c r="I74" s="63">
        <f t="shared" si="25"/>
        <v>1.5144230769230883E-3</v>
      </c>
      <c r="J74" s="63">
        <f t="shared" si="15"/>
        <v>9.6923076923076987E-2</v>
      </c>
      <c r="K74" s="173">
        <f t="shared" si="11"/>
        <v>96.923076923076991</v>
      </c>
      <c r="L74" s="140">
        <f t="shared" si="12"/>
        <v>1</v>
      </c>
      <c r="M74" s="61">
        <f t="shared" ref="M74:M105" si="31">1/COUTMAX*(E74/2-C74)*1000</f>
        <v>5.5714285714285721</v>
      </c>
      <c r="N74" s="61">
        <f t="shared" si="16"/>
        <v>1.8788165680473513E-3</v>
      </c>
      <c r="O74" s="61">
        <f t="shared" si="14"/>
        <v>1.2406153846153845</v>
      </c>
      <c r="P74" s="61">
        <f t="shared" ref="P74:P105" si="32">(A74-B74)*(I_Cout_ss*$Q$2+C74)</f>
        <v>1.7058461538461536</v>
      </c>
      <c r="Q74" s="61">
        <f t="shared" ref="Q74:Q105" si="33">(A74-B74)*(I_Cout_ss*$R$2+C74)</f>
        <v>0.77538461538461534</v>
      </c>
    </row>
    <row r="75" spans="1:17" x14ac:dyDescent="0.25">
      <c r="A75" s="61">
        <f t="shared" si="26"/>
        <v>25.2</v>
      </c>
      <c r="B75" s="64">
        <f t="shared" si="27"/>
        <v>15.75</v>
      </c>
      <c r="C75" s="62">
        <f t="shared" si="28"/>
        <v>0</v>
      </c>
      <c r="D75" s="67">
        <f>B2</f>
        <v>86.399999999999991</v>
      </c>
      <c r="E75" s="60">
        <f t="shared" ref="E75:E110" si="34">MIN(D75/(A75-B75),$C$2)</f>
        <v>9.1428571428571423</v>
      </c>
      <c r="F75" s="62">
        <f t="shared" si="29"/>
        <v>0.128</v>
      </c>
      <c r="G75" s="60">
        <f t="shared" ref="G75:G110" si="35">IF($F$2="YES", F75, E75)</f>
        <v>0.128</v>
      </c>
      <c r="H75" s="62">
        <f t="shared" si="30"/>
        <v>0.128</v>
      </c>
      <c r="I75" s="63">
        <f t="shared" ref="I75:I106" si="36">(COUTMAX/1000000)*(B75-B74)/H75</f>
        <v>1.5144230769230771E-3</v>
      </c>
      <c r="J75" s="63">
        <f t="shared" si="15"/>
        <v>9.8437500000000067E-2</v>
      </c>
      <c r="K75" s="173">
        <f t="shared" ref="K75:K114" si="37">J75*1000</f>
        <v>98.437500000000071</v>
      </c>
      <c r="L75" s="140">
        <f t="shared" ref="L75:L110" si="38">H75/G75</f>
        <v>1</v>
      </c>
      <c r="M75" s="61">
        <f t="shared" si="31"/>
        <v>5.7142857142857144</v>
      </c>
      <c r="N75" s="61">
        <f t="shared" ref="N75:N110" si="39">I75*G75*(A75-B75)</f>
        <v>1.831846153846154E-3</v>
      </c>
      <c r="O75" s="61">
        <f t="shared" ref="O75:O114" si="40">G75*(A75-B75)</f>
        <v>1.2096</v>
      </c>
      <c r="P75" s="61">
        <f t="shared" si="32"/>
        <v>1.6631999999999998</v>
      </c>
      <c r="Q75" s="61">
        <f t="shared" si="33"/>
        <v>0.75600000000000001</v>
      </c>
    </row>
    <row r="76" spans="1:17" x14ac:dyDescent="0.25">
      <c r="A76" s="61">
        <f t="shared" si="26"/>
        <v>25.2</v>
      </c>
      <c r="B76" s="64">
        <f t="shared" si="27"/>
        <v>15.992307692307691</v>
      </c>
      <c r="C76" s="62">
        <f t="shared" si="28"/>
        <v>0</v>
      </c>
      <c r="D76" s="67">
        <f>B2</f>
        <v>86.399999999999991</v>
      </c>
      <c r="E76" s="60">
        <f t="shared" si="34"/>
        <v>9.3834586466165391</v>
      </c>
      <c r="F76" s="62">
        <f t="shared" si="29"/>
        <v>0.128</v>
      </c>
      <c r="G76" s="60">
        <f t="shared" si="35"/>
        <v>0.128</v>
      </c>
      <c r="H76" s="62">
        <f t="shared" si="30"/>
        <v>0.128</v>
      </c>
      <c r="I76" s="63">
        <f t="shared" si="36"/>
        <v>1.5144230769230662E-3</v>
      </c>
      <c r="J76" s="63">
        <f t="shared" ref="J76:J110" si="41">J75+I76</f>
        <v>9.9951923076923133E-2</v>
      </c>
      <c r="K76" s="173">
        <f t="shared" si="37"/>
        <v>99.951923076923137</v>
      </c>
      <c r="L76" s="140">
        <f t="shared" si="38"/>
        <v>1</v>
      </c>
      <c r="M76" s="61">
        <f t="shared" si="31"/>
        <v>5.8646616541353369</v>
      </c>
      <c r="N76" s="61">
        <f t="shared" si="39"/>
        <v>1.7848757396449579E-3</v>
      </c>
      <c r="O76" s="61">
        <f t="shared" si="40"/>
        <v>1.1785846153846156</v>
      </c>
      <c r="P76" s="61">
        <f t="shared" si="32"/>
        <v>1.6205538461538462</v>
      </c>
      <c r="Q76" s="61">
        <f t="shared" si="33"/>
        <v>0.73661538461538467</v>
      </c>
    </row>
    <row r="77" spans="1:17" x14ac:dyDescent="0.25">
      <c r="A77" s="61">
        <f t="shared" si="26"/>
        <v>25.2</v>
      </c>
      <c r="B77" s="64">
        <f t="shared" si="27"/>
        <v>16.234615384615385</v>
      </c>
      <c r="C77" s="62">
        <f t="shared" si="28"/>
        <v>0</v>
      </c>
      <c r="D77" s="67">
        <f>B2</f>
        <v>86.399999999999991</v>
      </c>
      <c r="E77" s="60">
        <f t="shared" si="34"/>
        <v>9.6370656370656373</v>
      </c>
      <c r="F77" s="62">
        <f t="shared" si="29"/>
        <v>0.128</v>
      </c>
      <c r="G77" s="60">
        <f t="shared" si="35"/>
        <v>0.128</v>
      </c>
      <c r="H77" s="62">
        <f t="shared" si="30"/>
        <v>0.128</v>
      </c>
      <c r="I77" s="63">
        <f t="shared" si="36"/>
        <v>1.5144230769230883E-3</v>
      </c>
      <c r="J77" s="63">
        <f t="shared" si="41"/>
        <v>0.10146634615384623</v>
      </c>
      <c r="K77" s="173">
        <f t="shared" si="37"/>
        <v>101.46634615384623</v>
      </c>
      <c r="L77" s="140">
        <f t="shared" si="38"/>
        <v>1</v>
      </c>
      <c r="M77" s="61">
        <f t="shared" si="31"/>
        <v>6.0231660231660236</v>
      </c>
      <c r="N77" s="61">
        <f t="shared" si="39"/>
        <v>1.7379053254438E-3</v>
      </c>
      <c r="O77" s="61">
        <f t="shared" si="40"/>
        <v>1.1475692307692307</v>
      </c>
      <c r="P77" s="61">
        <f t="shared" si="32"/>
        <v>1.577907692307692</v>
      </c>
      <c r="Q77" s="61">
        <f t="shared" si="33"/>
        <v>0.71723076923076923</v>
      </c>
    </row>
    <row r="78" spans="1:17" x14ac:dyDescent="0.25">
      <c r="A78" s="61">
        <f t="shared" si="26"/>
        <v>25.2</v>
      </c>
      <c r="B78" s="64">
        <f t="shared" si="27"/>
        <v>16.476923076923075</v>
      </c>
      <c r="C78" s="62">
        <f t="shared" si="28"/>
        <v>0</v>
      </c>
      <c r="D78" s="67">
        <f>B2</f>
        <v>86.399999999999991</v>
      </c>
      <c r="E78" s="60">
        <f t="shared" si="34"/>
        <v>9.9047619047619033</v>
      </c>
      <c r="F78" s="62">
        <f t="shared" si="29"/>
        <v>0.128</v>
      </c>
      <c r="G78" s="60">
        <f t="shared" si="35"/>
        <v>0.128</v>
      </c>
      <c r="H78" s="62">
        <f t="shared" si="30"/>
        <v>0.128</v>
      </c>
      <c r="I78" s="63">
        <f t="shared" si="36"/>
        <v>1.5144230769230662E-3</v>
      </c>
      <c r="J78" s="63">
        <f t="shared" si="41"/>
        <v>0.10298076923076929</v>
      </c>
      <c r="K78" s="173">
        <f t="shared" si="37"/>
        <v>102.9807692307693</v>
      </c>
      <c r="L78" s="140">
        <f t="shared" si="38"/>
        <v>1</v>
      </c>
      <c r="M78" s="61">
        <f t="shared" si="31"/>
        <v>6.1904761904761898</v>
      </c>
      <c r="N78" s="61">
        <f t="shared" si="39"/>
        <v>1.6909349112425916E-3</v>
      </c>
      <c r="O78" s="61">
        <f t="shared" si="40"/>
        <v>1.1165538461538462</v>
      </c>
      <c r="P78" s="61">
        <f t="shared" si="32"/>
        <v>1.5352615384615385</v>
      </c>
      <c r="Q78" s="61">
        <f t="shared" si="33"/>
        <v>0.69784615384615389</v>
      </c>
    </row>
    <row r="79" spans="1:17" x14ac:dyDescent="0.25">
      <c r="A79" s="61">
        <f t="shared" si="26"/>
        <v>25.2</v>
      </c>
      <c r="B79" s="64">
        <f t="shared" si="27"/>
        <v>16.719230769230769</v>
      </c>
      <c r="C79" s="62">
        <f t="shared" si="28"/>
        <v>0</v>
      </c>
      <c r="D79" s="67">
        <f>B2</f>
        <v>86.399999999999991</v>
      </c>
      <c r="E79" s="60">
        <f t="shared" si="34"/>
        <v>10.187755102040816</v>
      </c>
      <c r="F79" s="62">
        <f t="shared" si="29"/>
        <v>0.128</v>
      </c>
      <c r="G79" s="60">
        <f t="shared" si="35"/>
        <v>0.128</v>
      </c>
      <c r="H79" s="62">
        <f t="shared" si="30"/>
        <v>0.128</v>
      </c>
      <c r="I79" s="63">
        <f t="shared" si="36"/>
        <v>1.5144230769230883E-3</v>
      </c>
      <c r="J79" s="63">
        <f t="shared" si="41"/>
        <v>0.10449519230769239</v>
      </c>
      <c r="K79" s="173">
        <f t="shared" si="37"/>
        <v>104.49519230769239</v>
      </c>
      <c r="L79" s="140">
        <f t="shared" si="38"/>
        <v>1</v>
      </c>
      <c r="M79" s="61">
        <f t="shared" si="31"/>
        <v>6.3673469387755102</v>
      </c>
      <c r="N79" s="61">
        <f t="shared" si="39"/>
        <v>1.6439644970414325E-3</v>
      </c>
      <c r="O79" s="61">
        <f t="shared" si="40"/>
        <v>1.0855384615384616</v>
      </c>
      <c r="P79" s="61">
        <f t="shared" si="32"/>
        <v>1.4926153846153845</v>
      </c>
      <c r="Q79" s="61">
        <f t="shared" si="33"/>
        <v>0.67846153846153845</v>
      </c>
    </row>
    <row r="80" spans="1:17" x14ac:dyDescent="0.25">
      <c r="A80" s="61">
        <f t="shared" si="26"/>
        <v>25.2</v>
      </c>
      <c r="B80" s="64">
        <f t="shared" si="27"/>
        <v>16.961538461538463</v>
      </c>
      <c r="C80" s="62">
        <f t="shared" si="28"/>
        <v>0</v>
      </c>
      <c r="D80" s="67">
        <f>B2</f>
        <v>86.399999999999991</v>
      </c>
      <c r="E80" s="60">
        <f t="shared" si="34"/>
        <v>10.487394957983195</v>
      </c>
      <c r="F80" s="62">
        <f t="shared" si="29"/>
        <v>0.128</v>
      </c>
      <c r="G80" s="60">
        <f t="shared" si="35"/>
        <v>0.128</v>
      </c>
      <c r="H80" s="62">
        <f t="shared" si="30"/>
        <v>0.128</v>
      </c>
      <c r="I80" s="63">
        <f t="shared" si="36"/>
        <v>1.5144230769230883E-3</v>
      </c>
      <c r="J80" s="63">
        <f t="shared" si="41"/>
        <v>0.10600961538461548</v>
      </c>
      <c r="K80" s="173">
        <f t="shared" si="37"/>
        <v>106.00961538461549</v>
      </c>
      <c r="L80" s="140">
        <f t="shared" si="38"/>
        <v>1</v>
      </c>
      <c r="M80" s="61">
        <f t="shared" si="31"/>
        <v>6.5546218487394974</v>
      </c>
      <c r="N80" s="61">
        <f t="shared" si="39"/>
        <v>1.5969940828402484E-3</v>
      </c>
      <c r="O80" s="61">
        <f t="shared" si="40"/>
        <v>1.0545230769230767</v>
      </c>
      <c r="P80" s="61">
        <f t="shared" si="32"/>
        <v>1.4499692307692302</v>
      </c>
      <c r="Q80" s="61">
        <f t="shared" si="33"/>
        <v>0.65907692307692289</v>
      </c>
    </row>
    <row r="81" spans="1:17" x14ac:dyDescent="0.25">
      <c r="A81" s="61">
        <f t="shared" si="26"/>
        <v>25.2</v>
      </c>
      <c r="B81" s="64">
        <f t="shared" si="27"/>
        <v>17.203846153846154</v>
      </c>
      <c r="C81" s="62">
        <f t="shared" si="28"/>
        <v>0</v>
      </c>
      <c r="D81" s="67">
        <f>B2</f>
        <v>86.399999999999991</v>
      </c>
      <c r="E81" s="60">
        <f t="shared" si="34"/>
        <v>10.805194805194805</v>
      </c>
      <c r="F81" s="62">
        <f t="shared" si="29"/>
        <v>0.128</v>
      </c>
      <c r="G81" s="60">
        <f t="shared" si="35"/>
        <v>0.128</v>
      </c>
      <c r="H81" s="62">
        <f t="shared" si="30"/>
        <v>0.128</v>
      </c>
      <c r="I81" s="63">
        <f t="shared" si="36"/>
        <v>1.5144230769230662E-3</v>
      </c>
      <c r="J81" s="63">
        <f t="shared" si="41"/>
        <v>0.10752403846153855</v>
      </c>
      <c r="K81" s="173">
        <f t="shared" si="37"/>
        <v>107.52403846153855</v>
      </c>
      <c r="L81" s="140">
        <f t="shared" si="38"/>
        <v>1</v>
      </c>
      <c r="M81" s="61">
        <f t="shared" si="31"/>
        <v>6.7532467532467528</v>
      </c>
      <c r="N81" s="61">
        <f t="shared" si="39"/>
        <v>1.5500236686390421E-3</v>
      </c>
      <c r="O81" s="61">
        <f t="shared" si="40"/>
        <v>1.0235076923076922</v>
      </c>
      <c r="P81" s="61">
        <f t="shared" si="32"/>
        <v>1.4073230769230767</v>
      </c>
      <c r="Q81" s="61">
        <f t="shared" si="33"/>
        <v>0.63969230769230767</v>
      </c>
    </row>
    <row r="82" spans="1:17" x14ac:dyDescent="0.25">
      <c r="A82" s="61">
        <f t="shared" si="26"/>
        <v>25.2</v>
      </c>
      <c r="B82" s="64">
        <f t="shared" si="27"/>
        <v>17.446153846153845</v>
      </c>
      <c r="C82" s="62">
        <f t="shared" si="28"/>
        <v>0</v>
      </c>
      <c r="D82" s="67">
        <f>B2</f>
        <v>86.399999999999991</v>
      </c>
      <c r="E82" s="60">
        <f t="shared" si="34"/>
        <v>11.142857142857141</v>
      </c>
      <c r="F82" s="62">
        <f t="shared" si="29"/>
        <v>0.128</v>
      </c>
      <c r="G82" s="60">
        <f t="shared" si="35"/>
        <v>0.128</v>
      </c>
      <c r="H82" s="62">
        <f t="shared" si="30"/>
        <v>0.128</v>
      </c>
      <c r="I82" s="63">
        <f t="shared" si="36"/>
        <v>1.5144230769230662E-3</v>
      </c>
      <c r="J82" s="63">
        <f t="shared" si="41"/>
        <v>0.10903846153846161</v>
      </c>
      <c r="K82" s="173">
        <f t="shared" si="37"/>
        <v>109.03846153846162</v>
      </c>
      <c r="L82" s="140">
        <f t="shared" si="38"/>
        <v>1</v>
      </c>
      <c r="M82" s="61">
        <f t="shared" si="31"/>
        <v>6.9642857142857126</v>
      </c>
      <c r="N82" s="61">
        <f t="shared" si="39"/>
        <v>1.5030532544378593E-3</v>
      </c>
      <c r="O82" s="61">
        <f t="shared" si="40"/>
        <v>0.99249230769230778</v>
      </c>
      <c r="P82" s="61">
        <f t="shared" si="32"/>
        <v>1.3646769230769231</v>
      </c>
      <c r="Q82" s="61">
        <f t="shared" si="33"/>
        <v>0.62030769230769234</v>
      </c>
    </row>
    <row r="83" spans="1:17" x14ac:dyDescent="0.25">
      <c r="A83" s="61">
        <f t="shared" si="26"/>
        <v>25.2</v>
      </c>
      <c r="B83" s="64">
        <f t="shared" si="27"/>
        <v>17.688461538461535</v>
      </c>
      <c r="C83" s="62">
        <f t="shared" si="28"/>
        <v>0</v>
      </c>
      <c r="D83" s="67">
        <f>B2</f>
        <v>86.399999999999991</v>
      </c>
      <c r="E83" s="60">
        <f t="shared" si="34"/>
        <v>11.502304147465432</v>
      </c>
      <c r="F83" s="62">
        <f t="shared" si="29"/>
        <v>0.128</v>
      </c>
      <c r="G83" s="60">
        <f t="shared" si="35"/>
        <v>0.128</v>
      </c>
      <c r="H83" s="62">
        <f t="shared" si="30"/>
        <v>0.128</v>
      </c>
      <c r="I83" s="63">
        <f t="shared" si="36"/>
        <v>1.5144230769230662E-3</v>
      </c>
      <c r="J83" s="63">
        <f t="shared" si="41"/>
        <v>0.11055288461538468</v>
      </c>
      <c r="K83" s="173">
        <f t="shared" si="37"/>
        <v>110.55288461538468</v>
      </c>
      <c r="L83" s="140">
        <f t="shared" si="38"/>
        <v>1</v>
      </c>
      <c r="M83" s="61">
        <f t="shared" si="31"/>
        <v>7.188940092165895</v>
      </c>
      <c r="N83" s="61">
        <f t="shared" si="39"/>
        <v>1.4560828402366765E-3</v>
      </c>
      <c r="O83" s="61">
        <f t="shared" si="40"/>
        <v>0.96147692307692345</v>
      </c>
      <c r="P83" s="61">
        <f t="shared" si="32"/>
        <v>1.3220307692307696</v>
      </c>
      <c r="Q83" s="61">
        <f t="shared" si="33"/>
        <v>0.60092307692307712</v>
      </c>
    </row>
    <row r="84" spans="1:17" x14ac:dyDescent="0.25">
      <c r="A84" s="61">
        <f t="shared" si="26"/>
        <v>25.2</v>
      </c>
      <c r="B84" s="64">
        <f t="shared" si="27"/>
        <v>17.930769230769229</v>
      </c>
      <c r="C84" s="62">
        <f t="shared" si="28"/>
        <v>0</v>
      </c>
      <c r="D84" s="67">
        <f>B2</f>
        <v>86.399999999999991</v>
      </c>
      <c r="E84" s="60">
        <f t="shared" si="34"/>
        <v>11.885714285714283</v>
      </c>
      <c r="F84" s="62">
        <f t="shared" si="29"/>
        <v>0.128</v>
      </c>
      <c r="G84" s="60">
        <f t="shared" si="35"/>
        <v>0.128</v>
      </c>
      <c r="H84" s="62">
        <f t="shared" si="30"/>
        <v>0.128</v>
      </c>
      <c r="I84" s="63">
        <f t="shared" si="36"/>
        <v>1.5144230769230883E-3</v>
      </c>
      <c r="J84" s="63">
        <f t="shared" si="41"/>
        <v>0.11206730769230777</v>
      </c>
      <c r="K84" s="173">
        <f t="shared" si="37"/>
        <v>112.06730769230776</v>
      </c>
      <c r="L84" s="140">
        <f t="shared" si="38"/>
        <v>1</v>
      </c>
      <c r="M84" s="61">
        <f t="shared" si="31"/>
        <v>7.428571428571427</v>
      </c>
      <c r="N84" s="61">
        <f t="shared" si="39"/>
        <v>1.4091124260355139E-3</v>
      </c>
      <c r="O84" s="61">
        <f t="shared" si="40"/>
        <v>0.93046153846153856</v>
      </c>
      <c r="P84" s="61">
        <f t="shared" si="32"/>
        <v>1.2793846153846156</v>
      </c>
      <c r="Q84" s="61">
        <f t="shared" si="33"/>
        <v>0.58153846153846167</v>
      </c>
    </row>
    <row r="85" spans="1:17" x14ac:dyDescent="0.25">
      <c r="A85" s="61">
        <f t="shared" si="26"/>
        <v>25.2</v>
      </c>
      <c r="B85" s="64">
        <f t="shared" si="27"/>
        <v>18.173076923076923</v>
      </c>
      <c r="C85" s="62">
        <f t="shared" si="28"/>
        <v>0</v>
      </c>
      <c r="D85" s="67">
        <f>B2</f>
        <v>86.399999999999991</v>
      </c>
      <c r="E85" s="60">
        <f t="shared" si="34"/>
        <v>12.295566502463055</v>
      </c>
      <c r="F85" s="62">
        <f t="shared" si="29"/>
        <v>0.128</v>
      </c>
      <c r="G85" s="60">
        <f t="shared" si="35"/>
        <v>0.128</v>
      </c>
      <c r="H85" s="62">
        <f t="shared" si="30"/>
        <v>0.128</v>
      </c>
      <c r="I85" s="63">
        <f t="shared" si="36"/>
        <v>1.5144230769230883E-3</v>
      </c>
      <c r="J85" s="63">
        <f t="shared" si="41"/>
        <v>0.11358173076923087</v>
      </c>
      <c r="K85" s="173">
        <f t="shared" si="37"/>
        <v>113.58173076923086</v>
      </c>
      <c r="L85" s="140">
        <f t="shared" si="38"/>
        <v>1</v>
      </c>
      <c r="M85" s="61">
        <f t="shared" si="31"/>
        <v>7.6847290640394093</v>
      </c>
      <c r="N85" s="61">
        <f t="shared" si="39"/>
        <v>1.3621420118343297E-3</v>
      </c>
      <c r="O85" s="61">
        <f t="shared" si="40"/>
        <v>0.89944615384615378</v>
      </c>
      <c r="P85" s="61">
        <f t="shared" si="32"/>
        <v>1.2367384615384613</v>
      </c>
      <c r="Q85" s="61">
        <f t="shared" si="33"/>
        <v>0.56215384615384612</v>
      </c>
    </row>
    <row r="86" spans="1:17" x14ac:dyDescent="0.25">
      <c r="A86" s="61">
        <f t="shared" si="26"/>
        <v>25.2</v>
      </c>
      <c r="B86" s="64">
        <f t="shared" si="27"/>
        <v>18.415384615384614</v>
      </c>
      <c r="C86" s="62">
        <f t="shared" si="28"/>
        <v>0</v>
      </c>
      <c r="D86" s="67">
        <f>B2</f>
        <v>86.399999999999991</v>
      </c>
      <c r="E86" s="60">
        <f t="shared" si="34"/>
        <v>12.734693877551019</v>
      </c>
      <c r="F86" s="62">
        <f t="shared" si="29"/>
        <v>0.128</v>
      </c>
      <c r="G86" s="60">
        <f t="shared" si="35"/>
        <v>0.128</v>
      </c>
      <c r="H86" s="62">
        <f t="shared" si="30"/>
        <v>0.128</v>
      </c>
      <c r="I86" s="63">
        <f t="shared" si="36"/>
        <v>1.5144230769230662E-3</v>
      </c>
      <c r="J86" s="63">
        <f t="shared" si="41"/>
        <v>0.11509615384615393</v>
      </c>
      <c r="K86" s="173">
        <f t="shared" si="37"/>
        <v>115.09615384615392</v>
      </c>
      <c r="L86" s="140">
        <f t="shared" si="38"/>
        <v>1</v>
      </c>
      <c r="M86" s="61">
        <f t="shared" si="31"/>
        <v>7.9591836734693864</v>
      </c>
      <c r="N86" s="61">
        <f t="shared" si="39"/>
        <v>1.315171597633127E-3</v>
      </c>
      <c r="O86" s="61">
        <f t="shared" si="40"/>
        <v>0.86843076923076934</v>
      </c>
      <c r="P86" s="61">
        <f t="shared" si="32"/>
        <v>1.1940923076923078</v>
      </c>
      <c r="Q86" s="61">
        <f t="shared" si="33"/>
        <v>0.54276923076923089</v>
      </c>
    </row>
    <row r="87" spans="1:17" x14ac:dyDescent="0.25">
      <c r="A87" s="61">
        <f t="shared" si="26"/>
        <v>25.2</v>
      </c>
      <c r="B87" s="64">
        <f t="shared" si="27"/>
        <v>18.657692307692308</v>
      </c>
      <c r="C87" s="62">
        <f t="shared" si="28"/>
        <v>0</v>
      </c>
      <c r="D87" s="67">
        <f>B2</f>
        <v>86.399999999999991</v>
      </c>
      <c r="E87" s="60">
        <f t="shared" si="34"/>
        <v>13.206349206349207</v>
      </c>
      <c r="F87" s="62">
        <f t="shared" si="29"/>
        <v>0.128</v>
      </c>
      <c r="G87" s="60">
        <f t="shared" si="35"/>
        <v>0.128</v>
      </c>
      <c r="H87" s="62">
        <f t="shared" si="30"/>
        <v>0.128</v>
      </c>
      <c r="I87" s="63">
        <f t="shared" si="36"/>
        <v>1.5144230769230883E-3</v>
      </c>
      <c r="J87" s="63">
        <f t="shared" si="41"/>
        <v>0.11661057692307703</v>
      </c>
      <c r="K87" s="173">
        <f t="shared" si="37"/>
        <v>116.61057692307702</v>
      </c>
      <c r="L87" s="140">
        <f t="shared" si="38"/>
        <v>1</v>
      </c>
      <c r="M87" s="61">
        <f t="shared" si="31"/>
        <v>8.2539682539682548</v>
      </c>
      <c r="N87" s="61">
        <f t="shared" si="39"/>
        <v>1.2682011834319619E-3</v>
      </c>
      <c r="O87" s="61">
        <f t="shared" si="40"/>
        <v>0.83741538461538445</v>
      </c>
      <c r="P87" s="61">
        <f t="shared" si="32"/>
        <v>1.1514461538461536</v>
      </c>
      <c r="Q87" s="61">
        <f t="shared" si="33"/>
        <v>0.52338461538461534</v>
      </c>
    </row>
    <row r="88" spans="1:17" x14ac:dyDescent="0.25">
      <c r="A88" s="61">
        <f t="shared" si="26"/>
        <v>25.2</v>
      </c>
      <c r="B88" s="64">
        <f t="shared" si="27"/>
        <v>18.899999999999999</v>
      </c>
      <c r="C88" s="62">
        <f t="shared" si="28"/>
        <v>0</v>
      </c>
      <c r="D88" s="67">
        <f>B2</f>
        <v>86.399999999999991</v>
      </c>
      <c r="E88" s="60">
        <f t="shared" si="34"/>
        <v>13.714285714285712</v>
      </c>
      <c r="F88" s="62">
        <f t="shared" si="29"/>
        <v>0.128</v>
      </c>
      <c r="G88" s="60">
        <f t="shared" si="35"/>
        <v>0.128</v>
      </c>
      <c r="H88" s="62">
        <f t="shared" si="30"/>
        <v>0.128</v>
      </c>
      <c r="I88" s="63">
        <f t="shared" si="36"/>
        <v>1.5144230769230662E-3</v>
      </c>
      <c r="J88" s="63">
        <f t="shared" si="41"/>
        <v>0.11812500000000009</v>
      </c>
      <c r="K88" s="173">
        <f t="shared" si="37"/>
        <v>118.12500000000009</v>
      </c>
      <c r="L88" s="140">
        <f t="shared" si="38"/>
        <v>1</v>
      </c>
      <c r="M88" s="61">
        <f t="shared" si="31"/>
        <v>8.5714285714285694</v>
      </c>
      <c r="N88" s="61">
        <f t="shared" si="39"/>
        <v>1.2212307692307607E-3</v>
      </c>
      <c r="O88" s="61">
        <f t="shared" si="40"/>
        <v>0.80640000000000012</v>
      </c>
      <c r="P88" s="61">
        <f t="shared" si="32"/>
        <v>1.1088</v>
      </c>
      <c r="Q88" s="61">
        <f t="shared" si="33"/>
        <v>0.50400000000000011</v>
      </c>
    </row>
    <row r="89" spans="1:17" x14ac:dyDescent="0.25">
      <c r="A89" s="61">
        <f t="shared" si="26"/>
        <v>25.2</v>
      </c>
      <c r="B89" s="64">
        <f t="shared" si="27"/>
        <v>19.142307692307689</v>
      </c>
      <c r="C89" s="62">
        <f t="shared" si="28"/>
        <v>0</v>
      </c>
      <c r="D89" s="67">
        <f>B2</f>
        <v>86.399999999999991</v>
      </c>
      <c r="E89" s="60">
        <f t="shared" si="34"/>
        <v>14.262857142857136</v>
      </c>
      <c r="F89" s="62">
        <f t="shared" si="29"/>
        <v>0.128</v>
      </c>
      <c r="G89" s="60">
        <f t="shared" si="35"/>
        <v>0.128</v>
      </c>
      <c r="H89" s="62">
        <f t="shared" si="30"/>
        <v>0.128</v>
      </c>
      <c r="I89" s="63">
        <f t="shared" si="36"/>
        <v>1.5144230769230662E-3</v>
      </c>
      <c r="J89" s="63">
        <f t="shared" si="41"/>
        <v>0.11963942307692316</v>
      </c>
      <c r="K89" s="173">
        <f t="shared" si="37"/>
        <v>119.63942307692315</v>
      </c>
      <c r="L89" s="140">
        <f t="shared" si="38"/>
        <v>1</v>
      </c>
      <c r="M89" s="61">
        <f t="shared" si="31"/>
        <v>8.9142857142857093</v>
      </c>
      <c r="N89" s="61">
        <f t="shared" si="39"/>
        <v>1.1742603550295779E-3</v>
      </c>
      <c r="O89" s="61">
        <f t="shared" si="40"/>
        <v>0.77538461538461567</v>
      </c>
      <c r="P89" s="61">
        <f t="shared" si="32"/>
        <v>1.0661538461538465</v>
      </c>
      <c r="Q89" s="61">
        <f t="shared" si="33"/>
        <v>0.48461538461538484</v>
      </c>
    </row>
    <row r="90" spans="1:17" x14ac:dyDescent="0.25">
      <c r="A90" s="61">
        <f t="shared" si="26"/>
        <v>25.2</v>
      </c>
      <c r="B90" s="64">
        <f t="shared" si="27"/>
        <v>19.384615384615387</v>
      </c>
      <c r="C90" s="62">
        <f t="shared" si="28"/>
        <v>0</v>
      </c>
      <c r="D90" s="67">
        <f>B2</f>
        <v>86.399999999999991</v>
      </c>
      <c r="E90" s="60">
        <f t="shared" si="34"/>
        <v>14.857142857142863</v>
      </c>
      <c r="F90" s="62">
        <f t="shared" si="29"/>
        <v>0.128</v>
      </c>
      <c r="G90" s="60">
        <f t="shared" si="35"/>
        <v>0.128</v>
      </c>
      <c r="H90" s="62">
        <f t="shared" si="30"/>
        <v>0.128</v>
      </c>
      <c r="I90" s="63">
        <f t="shared" si="36"/>
        <v>1.5144230769231104E-3</v>
      </c>
      <c r="J90" s="63">
        <f t="shared" si="41"/>
        <v>0.12115384615384626</v>
      </c>
      <c r="K90" s="173">
        <f t="shared" si="37"/>
        <v>121.15384615384626</v>
      </c>
      <c r="L90" s="140">
        <f t="shared" si="38"/>
        <v>1</v>
      </c>
      <c r="M90" s="61">
        <f t="shared" si="31"/>
        <v>9.28571428571429</v>
      </c>
      <c r="N90" s="61">
        <f t="shared" si="39"/>
        <v>1.1272899408284267E-3</v>
      </c>
      <c r="O90" s="61">
        <f t="shared" si="40"/>
        <v>0.74436923076923045</v>
      </c>
      <c r="P90" s="61">
        <f t="shared" si="32"/>
        <v>1.0235076923076918</v>
      </c>
      <c r="Q90" s="61">
        <f t="shared" si="33"/>
        <v>0.465230769230769</v>
      </c>
    </row>
    <row r="91" spans="1:17" x14ac:dyDescent="0.25">
      <c r="A91" s="61">
        <f t="shared" si="26"/>
        <v>25.2</v>
      </c>
      <c r="B91" s="64">
        <f t="shared" si="27"/>
        <v>19.626923076923077</v>
      </c>
      <c r="C91" s="62">
        <f t="shared" si="28"/>
        <v>0</v>
      </c>
      <c r="D91" s="67">
        <f>B2</f>
        <v>86.399999999999991</v>
      </c>
      <c r="E91" s="60">
        <f t="shared" si="34"/>
        <v>15.503105590062113</v>
      </c>
      <c r="F91" s="62">
        <f t="shared" si="29"/>
        <v>0.128</v>
      </c>
      <c r="G91" s="60">
        <f t="shared" si="35"/>
        <v>0.128</v>
      </c>
      <c r="H91" s="62">
        <f t="shared" si="30"/>
        <v>0.128</v>
      </c>
      <c r="I91" s="63">
        <f t="shared" si="36"/>
        <v>1.5144230769230662E-3</v>
      </c>
      <c r="J91" s="63">
        <f t="shared" si="41"/>
        <v>0.12266826923076933</v>
      </c>
      <c r="K91" s="173">
        <f t="shared" si="37"/>
        <v>122.66826923076933</v>
      </c>
      <c r="L91" s="140">
        <f t="shared" si="38"/>
        <v>1</v>
      </c>
      <c r="M91" s="61">
        <f t="shared" si="31"/>
        <v>9.6894409937888213</v>
      </c>
      <c r="N91" s="61">
        <f t="shared" si="39"/>
        <v>1.080319526627211E-3</v>
      </c>
      <c r="O91" s="61">
        <f t="shared" si="40"/>
        <v>0.71335384615384601</v>
      </c>
      <c r="P91" s="61">
        <f t="shared" si="32"/>
        <v>0.98086153846153823</v>
      </c>
      <c r="Q91" s="61">
        <f t="shared" si="33"/>
        <v>0.44584615384615378</v>
      </c>
    </row>
    <row r="92" spans="1:17" x14ac:dyDescent="0.25">
      <c r="A92" s="61">
        <f t="shared" si="26"/>
        <v>25.2</v>
      </c>
      <c r="B92" s="64">
        <f t="shared" si="27"/>
        <v>19.869230769230768</v>
      </c>
      <c r="C92" s="62">
        <f t="shared" si="28"/>
        <v>0</v>
      </c>
      <c r="D92" s="67">
        <f>B2</f>
        <v>86.399999999999991</v>
      </c>
      <c r="E92" s="60">
        <f t="shared" si="34"/>
        <v>16.207792207792206</v>
      </c>
      <c r="F92" s="62">
        <f t="shared" si="29"/>
        <v>0.128</v>
      </c>
      <c r="G92" s="60">
        <f t="shared" si="35"/>
        <v>0.128</v>
      </c>
      <c r="H92" s="62">
        <f t="shared" si="30"/>
        <v>0.128</v>
      </c>
      <c r="I92" s="63">
        <f t="shared" si="36"/>
        <v>1.5144230769230662E-3</v>
      </c>
      <c r="J92" s="63">
        <f t="shared" si="41"/>
        <v>0.1241826923076924</v>
      </c>
      <c r="K92" s="173">
        <f t="shared" si="37"/>
        <v>124.18269230769239</v>
      </c>
      <c r="L92" s="140">
        <f t="shared" si="38"/>
        <v>1</v>
      </c>
      <c r="M92" s="61">
        <f t="shared" si="31"/>
        <v>10.129870129870129</v>
      </c>
      <c r="N92" s="61">
        <f t="shared" si="39"/>
        <v>1.0333491124260282E-3</v>
      </c>
      <c r="O92" s="61">
        <f t="shared" si="40"/>
        <v>0.68233846153846167</v>
      </c>
      <c r="P92" s="61">
        <f t="shared" si="32"/>
        <v>0.93821538461538467</v>
      </c>
      <c r="Q92" s="61">
        <f t="shared" si="33"/>
        <v>0.4264615384615385</v>
      </c>
    </row>
    <row r="93" spans="1:17" x14ac:dyDescent="0.25">
      <c r="A93" s="61">
        <f t="shared" si="26"/>
        <v>25.2</v>
      </c>
      <c r="B93" s="64">
        <f t="shared" si="27"/>
        <v>20.111538461538462</v>
      </c>
      <c r="C93" s="62">
        <f t="shared" si="28"/>
        <v>0</v>
      </c>
      <c r="D93" s="67">
        <f>B2</f>
        <v>86.399999999999991</v>
      </c>
      <c r="E93" s="60">
        <f t="shared" si="34"/>
        <v>16.979591836734695</v>
      </c>
      <c r="F93" s="62">
        <f t="shared" si="29"/>
        <v>0.128</v>
      </c>
      <c r="G93" s="60">
        <f t="shared" si="35"/>
        <v>0.128</v>
      </c>
      <c r="H93" s="62">
        <f t="shared" si="30"/>
        <v>0.128</v>
      </c>
      <c r="I93" s="63">
        <f t="shared" si="36"/>
        <v>1.5144230769230883E-3</v>
      </c>
      <c r="J93" s="63">
        <f t="shared" si="41"/>
        <v>0.12569711538461548</v>
      </c>
      <c r="K93" s="173">
        <f t="shared" si="37"/>
        <v>125.69711538461547</v>
      </c>
      <c r="L93" s="140">
        <f t="shared" si="38"/>
        <v>1</v>
      </c>
      <c r="M93" s="61">
        <f t="shared" si="31"/>
        <v>10.612244897959185</v>
      </c>
      <c r="N93" s="61">
        <f t="shared" si="39"/>
        <v>9.8637869822485922E-4</v>
      </c>
      <c r="O93" s="61">
        <f t="shared" si="40"/>
        <v>0.65132307692307678</v>
      </c>
      <c r="P93" s="61">
        <f t="shared" si="32"/>
        <v>0.89556923076923045</v>
      </c>
      <c r="Q93" s="61">
        <f t="shared" si="33"/>
        <v>0.407076923076923</v>
      </c>
    </row>
    <row r="94" spans="1:17" x14ac:dyDescent="0.25">
      <c r="A94" s="61">
        <f t="shared" si="26"/>
        <v>25.2</v>
      </c>
      <c r="B94" s="64">
        <f t="shared" si="27"/>
        <v>20.353846153846153</v>
      </c>
      <c r="C94" s="62">
        <f t="shared" si="28"/>
        <v>0</v>
      </c>
      <c r="D94" s="67">
        <f>B2</f>
        <v>86.399999999999991</v>
      </c>
      <c r="E94" s="60">
        <f t="shared" si="34"/>
        <v>17.828571428571426</v>
      </c>
      <c r="F94" s="62">
        <f t="shared" si="29"/>
        <v>0.128</v>
      </c>
      <c r="G94" s="60">
        <f t="shared" si="35"/>
        <v>0.128</v>
      </c>
      <c r="H94" s="62">
        <f t="shared" si="30"/>
        <v>0.128</v>
      </c>
      <c r="I94" s="63">
        <f t="shared" si="36"/>
        <v>1.5144230769230662E-3</v>
      </c>
      <c r="J94" s="63">
        <f t="shared" si="41"/>
        <v>0.12721153846153854</v>
      </c>
      <c r="K94" s="173">
        <f t="shared" si="37"/>
        <v>127.21153846153854</v>
      </c>
      <c r="L94" s="140">
        <f t="shared" si="38"/>
        <v>1</v>
      </c>
      <c r="M94" s="61">
        <f t="shared" si="31"/>
        <v>11.142857142857142</v>
      </c>
      <c r="N94" s="61">
        <f t="shared" si="39"/>
        <v>9.3940828402366209E-4</v>
      </c>
      <c r="O94" s="61">
        <f t="shared" si="40"/>
        <v>0.62030769230769234</v>
      </c>
      <c r="P94" s="61">
        <f t="shared" si="32"/>
        <v>0.85292307692307701</v>
      </c>
      <c r="Q94" s="61">
        <f t="shared" si="33"/>
        <v>0.38769230769230772</v>
      </c>
    </row>
    <row r="95" spans="1:17" x14ac:dyDescent="0.25">
      <c r="A95" s="61">
        <f t="shared" si="26"/>
        <v>25.2</v>
      </c>
      <c r="B95" s="64">
        <f t="shared" si="27"/>
        <v>20.596153846153847</v>
      </c>
      <c r="C95" s="62">
        <f t="shared" si="28"/>
        <v>0</v>
      </c>
      <c r="D95" s="67">
        <f>B2</f>
        <v>86.399999999999991</v>
      </c>
      <c r="E95" s="60">
        <f t="shared" si="34"/>
        <v>18.766917293233085</v>
      </c>
      <c r="F95" s="62">
        <f t="shared" si="29"/>
        <v>0.128</v>
      </c>
      <c r="G95" s="60">
        <f t="shared" si="35"/>
        <v>0.128</v>
      </c>
      <c r="H95" s="62">
        <f t="shared" si="30"/>
        <v>0.128</v>
      </c>
      <c r="I95" s="63">
        <f t="shared" si="36"/>
        <v>1.5144230769230883E-3</v>
      </c>
      <c r="J95" s="63">
        <f t="shared" si="41"/>
        <v>0.12872596153846164</v>
      </c>
      <c r="K95" s="173">
        <f t="shared" si="37"/>
        <v>128.72596153846163</v>
      </c>
      <c r="L95" s="140">
        <f t="shared" si="38"/>
        <v>1</v>
      </c>
      <c r="M95" s="61">
        <f t="shared" si="31"/>
        <v>11.729323308270677</v>
      </c>
      <c r="N95" s="61">
        <f t="shared" si="39"/>
        <v>8.9243786982249175E-4</v>
      </c>
      <c r="O95" s="61">
        <f t="shared" si="40"/>
        <v>0.58929230769230756</v>
      </c>
      <c r="P95" s="61">
        <f t="shared" si="32"/>
        <v>0.81027692307692278</v>
      </c>
      <c r="Q95" s="61">
        <f t="shared" si="33"/>
        <v>0.36830769230769222</v>
      </c>
    </row>
    <row r="96" spans="1:17" x14ac:dyDescent="0.25">
      <c r="A96" s="61">
        <f t="shared" si="26"/>
        <v>25.2</v>
      </c>
      <c r="B96" s="64">
        <f t="shared" si="27"/>
        <v>20.838461538461537</v>
      </c>
      <c r="C96" s="62">
        <f t="shared" si="28"/>
        <v>0</v>
      </c>
      <c r="D96" s="67">
        <f>B2</f>
        <v>86.399999999999991</v>
      </c>
      <c r="E96" s="60">
        <f t="shared" si="34"/>
        <v>19.809523809523807</v>
      </c>
      <c r="F96" s="62">
        <f t="shared" si="29"/>
        <v>0.128</v>
      </c>
      <c r="G96" s="60">
        <f t="shared" si="35"/>
        <v>0.128</v>
      </c>
      <c r="H96" s="62">
        <f t="shared" si="30"/>
        <v>0.128</v>
      </c>
      <c r="I96" s="63">
        <f t="shared" si="36"/>
        <v>1.5144230769230662E-3</v>
      </c>
      <c r="J96" s="63">
        <f t="shared" si="41"/>
        <v>0.1302403846153847</v>
      </c>
      <c r="K96" s="173">
        <f t="shared" si="37"/>
        <v>130.2403846153847</v>
      </c>
      <c r="L96" s="140">
        <f t="shared" si="38"/>
        <v>1</v>
      </c>
      <c r="M96" s="61">
        <f t="shared" si="31"/>
        <v>12.38095238095238</v>
      </c>
      <c r="N96" s="61">
        <f t="shared" si="39"/>
        <v>8.4546745562129582E-4</v>
      </c>
      <c r="O96" s="61">
        <f t="shared" si="40"/>
        <v>0.55827692307692312</v>
      </c>
      <c r="P96" s="61">
        <f t="shared" si="32"/>
        <v>0.76763076923076923</v>
      </c>
      <c r="Q96" s="61">
        <f t="shared" si="33"/>
        <v>0.34892307692307695</v>
      </c>
    </row>
    <row r="97" spans="1:17" x14ac:dyDescent="0.25">
      <c r="A97" s="61">
        <f t="shared" si="26"/>
        <v>25.2</v>
      </c>
      <c r="B97" s="64">
        <f t="shared" si="27"/>
        <v>21.080769230769231</v>
      </c>
      <c r="C97" s="62">
        <f t="shared" si="28"/>
        <v>0</v>
      </c>
      <c r="D97" s="67">
        <f>B2</f>
        <v>86.399999999999991</v>
      </c>
      <c r="E97" s="60">
        <f t="shared" si="34"/>
        <v>20.97478991596639</v>
      </c>
      <c r="F97" s="62">
        <f t="shared" si="29"/>
        <v>0.128</v>
      </c>
      <c r="G97" s="60">
        <f t="shared" si="35"/>
        <v>0.128</v>
      </c>
      <c r="H97" s="62">
        <f t="shared" si="30"/>
        <v>0.128</v>
      </c>
      <c r="I97" s="63">
        <f t="shared" si="36"/>
        <v>1.5144230769230883E-3</v>
      </c>
      <c r="J97" s="63">
        <f t="shared" si="41"/>
        <v>0.1317548076923078</v>
      </c>
      <c r="K97" s="173">
        <f t="shared" si="37"/>
        <v>131.75480769230779</v>
      </c>
      <c r="L97" s="140">
        <f t="shared" si="38"/>
        <v>1</v>
      </c>
      <c r="M97" s="61">
        <f t="shared" si="31"/>
        <v>13.109243697478995</v>
      </c>
      <c r="N97" s="61">
        <f t="shared" si="39"/>
        <v>7.9849704142012418E-4</v>
      </c>
      <c r="O97" s="61">
        <f t="shared" si="40"/>
        <v>0.52726153846153834</v>
      </c>
      <c r="P97" s="61">
        <f t="shared" si="32"/>
        <v>0.72498461538461512</v>
      </c>
      <c r="Q97" s="61">
        <f t="shared" si="33"/>
        <v>0.32953846153846145</v>
      </c>
    </row>
    <row r="98" spans="1:17" x14ac:dyDescent="0.25">
      <c r="A98" s="61">
        <f t="shared" si="26"/>
        <v>25.2</v>
      </c>
      <c r="B98" s="64">
        <f t="shared" si="27"/>
        <v>21.323076923076922</v>
      </c>
      <c r="C98" s="62">
        <f t="shared" si="28"/>
        <v>0</v>
      </c>
      <c r="D98" s="67">
        <f>B2</f>
        <v>86.399999999999991</v>
      </c>
      <c r="E98" s="60">
        <f t="shared" si="34"/>
        <v>22.285714285714281</v>
      </c>
      <c r="F98" s="62">
        <f t="shared" si="29"/>
        <v>0.128</v>
      </c>
      <c r="G98" s="60">
        <f t="shared" si="35"/>
        <v>0.128</v>
      </c>
      <c r="H98" s="62">
        <f t="shared" si="30"/>
        <v>0.128</v>
      </c>
      <c r="I98" s="63">
        <f t="shared" si="36"/>
        <v>1.5144230769230662E-3</v>
      </c>
      <c r="J98" s="63">
        <f t="shared" si="41"/>
        <v>0.13326923076923086</v>
      </c>
      <c r="K98" s="173">
        <f t="shared" si="37"/>
        <v>133.26923076923086</v>
      </c>
      <c r="L98" s="140">
        <f t="shared" si="38"/>
        <v>1</v>
      </c>
      <c r="M98" s="61">
        <f t="shared" si="31"/>
        <v>13.928571428571425</v>
      </c>
      <c r="N98" s="61">
        <f t="shared" si="39"/>
        <v>7.5152662721892965E-4</v>
      </c>
      <c r="O98" s="61">
        <f t="shared" si="40"/>
        <v>0.49624615384615389</v>
      </c>
      <c r="P98" s="61">
        <f t="shared" si="32"/>
        <v>0.68233846153846156</v>
      </c>
      <c r="Q98" s="61">
        <f t="shared" si="33"/>
        <v>0.31015384615384617</v>
      </c>
    </row>
    <row r="99" spans="1:17" x14ac:dyDescent="0.25">
      <c r="A99" s="61">
        <f t="shared" si="26"/>
        <v>25.2</v>
      </c>
      <c r="B99" s="64">
        <f t="shared" si="27"/>
        <v>21.565384615384612</v>
      </c>
      <c r="C99" s="62">
        <f t="shared" si="28"/>
        <v>0</v>
      </c>
      <c r="D99" s="67">
        <f>B2</f>
        <v>86.399999999999991</v>
      </c>
      <c r="E99" s="60">
        <f t="shared" si="34"/>
        <v>23.771428571428554</v>
      </c>
      <c r="F99" s="62">
        <f t="shared" si="29"/>
        <v>0.128</v>
      </c>
      <c r="G99" s="60">
        <f t="shared" si="35"/>
        <v>0.128</v>
      </c>
      <c r="H99" s="62">
        <f t="shared" si="30"/>
        <v>0.128</v>
      </c>
      <c r="I99" s="63">
        <f t="shared" si="36"/>
        <v>1.5144230769230662E-3</v>
      </c>
      <c r="J99" s="63">
        <f t="shared" si="41"/>
        <v>0.13478365384615393</v>
      </c>
      <c r="K99" s="173">
        <f t="shared" si="37"/>
        <v>134.78365384615392</v>
      </c>
      <c r="L99" s="140">
        <f t="shared" si="38"/>
        <v>1</v>
      </c>
      <c r="M99" s="61">
        <f t="shared" si="31"/>
        <v>14.857142857142847</v>
      </c>
      <c r="N99" s="61">
        <f t="shared" si="39"/>
        <v>7.0455621301774684E-4</v>
      </c>
      <c r="O99" s="61">
        <f t="shared" si="40"/>
        <v>0.4652307692307695</v>
      </c>
      <c r="P99" s="61">
        <f t="shared" si="32"/>
        <v>0.639692307692308</v>
      </c>
      <c r="Q99" s="61">
        <f t="shared" si="33"/>
        <v>0.29076923076923095</v>
      </c>
    </row>
    <row r="100" spans="1:17" x14ac:dyDescent="0.25">
      <c r="A100" s="61">
        <f t="shared" si="26"/>
        <v>25.2</v>
      </c>
      <c r="B100" s="64">
        <f t="shared" si="27"/>
        <v>21.807692307692307</v>
      </c>
      <c r="C100" s="62">
        <f t="shared" si="28"/>
        <v>0</v>
      </c>
      <c r="D100" s="67">
        <f>B2</f>
        <v>86.399999999999991</v>
      </c>
      <c r="E100" s="60">
        <f t="shared" si="34"/>
        <v>25.469387755102037</v>
      </c>
      <c r="F100" s="62">
        <f t="shared" si="29"/>
        <v>0.128</v>
      </c>
      <c r="G100" s="60">
        <f t="shared" si="35"/>
        <v>0.128</v>
      </c>
      <c r="H100" s="62">
        <f t="shared" si="30"/>
        <v>0.128</v>
      </c>
      <c r="I100" s="63">
        <f t="shared" si="36"/>
        <v>1.5144230769230883E-3</v>
      </c>
      <c r="J100" s="63">
        <f t="shared" si="41"/>
        <v>0.13629807692307702</v>
      </c>
      <c r="K100" s="173">
        <f t="shared" si="37"/>
        <v>136.29807692307702</v>
      </c>
      <c r="L100" s="140">
        <f t="shared" si="38"/>
        <v>1</v>
      </c>
      <c r="M100" s="61">
        <f t="shared" si="31"/>
        <v>15.918367346938773</v>
      </c>
      <c r="N100" s="61">
        <f t="shared" si="39"/>
        <v>6.5758579881657314E-4</v>
      </c>
      <c r="O100" s="61">
        <f t="shared" si="40"/>
        <v>0.43421538461538467</v>
      </c>
      <c r="P100" s="61">
        <f t="shared" si="32"/>
        <v>0.59704615384615389</v>
      </c>
      <c r="Q100" s="61">
        <f t="shared" si="33"/>
        <v>0.27138461538461545</v>
      </c>
    </row>
    <row r="101" spans="1:17" x14ac:dyDescent="0.25">
      <c r="A101" s="61">
        <f t="shared" si="26"/>
        <v>25.2</v>
      </c>
      <c r="B101" s="64">
        <f t="shared" si="27"/>
        <v>22.05</v>
      </c>
      <c r="C101" s="62">
        <f t="shared" si="28"/>
        <v>0</v>
      </c>
      <c r="D101" s="67">
        <f>B2</f>
        <v>86.399999999999991</v>
      </c>
      <c r="E101" s="60">
        <f t="shared" si="34"/>
        <v>27.428571428571438</v>
      </c>
      <c r="F101" s="62">
        <f t="shared" si="29"/>
        <v>0.128</v>
      </c>
      <c r="G101" s="60">
        <f t="shared" si="35"/>
        <v>0.128</v>
      </c>
      <c r="H101" s="62">
        <f t="shared" si="30"/>
        <v>0.128</v>
      </c>
      <c r="I101" s="63">
        <f t="shared" si="36"/>
        <v>1.5144230769230883E-3</v>
      </c>
      <c r="J101" s="63">
        <f t="shared" si="41"/>
        <v>0.13781250000000012</v>
      </c>
      <c r="K101" s="173">
        <f t="shared" si="37"/>
        <v>137.81250000000011</v>
      </c>
      <c r="L101" s="140">
        <f t="shared" si="38"/>
        <v>1</v>
      </c>
      <c r="M101" s="61">
        <f t="shared" si="31"/>
        <v>17.142857142857149</v>
      </c>
      <c r="N101" s="61">
        <f t="shared" si="39"/>
        <v>6.1061538461538892E-4</v>
      </c>
      <c r="O101" s="61">
        <f t="shared" si="40"/>
        <v>0.40319999999999984</v>
      </c>
      <c r="P101" s="61">
        <f t="shared" si="32"/>
        <v>0.55439999999999967</v>
      </c>
      <c r="Q101" s="61">
        <f t="shared" si="33"/>
        <v>0.25199999999999989</v>
      </c>
    </row>
    <row r="102" spans="1:17" x14ac:dyDescent="0.25">
      <c r="A102" s="61">
        <f t="shared" si="26"/>
        <v>25.2</v>
      </c>
      <c r="B102" s="64">
        <f t="shared" si="27"/>
        <v>22.292307692307691</v>
      </c>
      <c r="C102" s="62">
        <f t="shared" si="28"/>
        <v>0</v>
      </c>
      <c r="D102" s="67">
        <f>B2</f>
        <v>86.399999999999991</v>
      </c>
      <c r="E102" s="60">
        <f t="shared" si="34"/>
        <v>29.714285714285708</v>
      </c>
      <c r="F102" s="62">
        <f t="shared" si="29"/>
        <v>0.128</v>
      </c>
      <c r="G102" s="60">
        <f t="shared" si="35"/>
        <v>0.128</v>
      </c>
      <c r="H102" s="62">
        <f t="shared" si="30"/>
        <v>0.128</v>
      </c>
      <c r="I102" s="63">
        <f t="shared" si="36"/>
        <v>1.5144230769230662E-3</v>
      </c>
      <c r="J102" s="63">
        <f t="shared" si="41"/>
        <v>0.13932692307692318</v>
      </c>
      <c r="K102" s="173">
        <f t="shared" si="37"/>
        <v>139.32692307692318</v>
      </c>
      <c r="L102" s="140">
        <f t="shared" si="38"/>
        <v>1</v>
      </c>
      <c r="M102" s="61">
        <f t="shared" si="31"/>
        <v>18.571428571428569</v>
      </c>
      <c r="N102" s="61">
        <f t="shared" si="39"/>
        <v>5.6364497041419721E-4</v>
      </c>
      <c r="O102" s="61">
        <f t="shared" si="40"/>
        <v>0.37218461538461545</v>
      </c>
      <c r="P102" s="61">
        <f t="shared" si="32"/>
        <v>0.51175384615384623</v>
      </c>
      <c r="Q102" s="61">
        <f t="shared" si="33"/>
        <v>0.23261538461538464</v>
      </c>
    </row>
    <row r="103" spans="1:17" x14ac:dyDescent="0.25">
      <c r="A103" s="61">
        <f t="shared" si="26"/>
        <v>25.2</v>
      </c>
      <c r="B103" s="64">
        <f t="shared" si="27"/>
        <v>22.534615384615385</v>
      </c>
      <c r="C103" s="62">
        <f t="shared" si="28"/>
        <v>0</v>
      </c>
      <c r="D103" s="67">
        <f>B2</f>
        <v>86.399999999999991</v>
      </c>
      <c r="E103" s="60">
        <f t="shared" si="34"/>
        <v>32.415584415584433</v>
      </c>
      <c r="F103" s="62">
        <f t="shared" si="29"/>
        <v>0.128</v>
      </c>
      <c r="G103" s="60">
        <f t="shared" si="35"/>
        <v>0.128</v>
      </c>
      <c r="H103" s="62">
        <f t="shared" si="30"/>
        <v>0.128</v>
      </c>
      <c r="I103" s="63">
        <f t="shared" si="36"/>
        <v>1.5144230769230883E-3</v>
      </c>
      <c r="J103" s="63">
        <f t="shared" si="41"/>
        <v>0.14084134615384628</v>
      </c>
      <c r="K103" s="173">
        <f t="shared" si="37"/>
        <v>140.84134615384627</v>
      </c>
      <c r="L103" s="140">
        <f t="shared" si="38"/>
        <v>1</v>
      </c>
      <c r="M103" s="61">
        <f t="shared" si="31"/>
        <v>20.259740259740273</v>
      </c>
      <c r="N103" s="61">
        <f t="shared" si="39"/>
        <v>5.1667455621302134E-4</v>
      </c>
      <c r="O103" s="61">
        <f t="shared" si="40"/>
        <v>0.34116923076923061</v>
      </c>
      <c r="P103" s="61">
        <f t="shared" si="32"/>
        <v>0.469107692307692</v>
      </c>
      <c r="Q103" s="61">
        <f t="shared" si="33"/>
        <v>0.21323076923076911</v>
      </c>
    </row>
    <row r="104" spans="1:17" x14ac:dyDescent="0.25">
      <c r="A104" s="61">
        <f t="shared" si="26"/>
        <v>25.2</v>
      </c>
      <c r="B104" s="64">
        <f t="shared" si="27"/>
        <v>22.776923076923076</v>
      </c>
      <c r="C104" s="62">
        <f t="shared" si="28"/>
        <v>0</v>
      </c>
      <c r="D104" s="67">
        <f>B2</f>
        <v>86.399999999999991</v>
      </c>
      <c r="E104" s="60">
        <f t="shared" si="34"/>
        <v>35.657142857142851</v>
      </c>
      <c r="F104" s="62">
        <f t="shared" si="29"/>
        <v>0.128</v>
      </c>
      <c r="G104" s="60">
        <f t="shared" si="35"/>
        <v>0.128</v>
      </c>
      <c r="H104" s="62">
        <f t="shared" si="30"/>
        <v>0.128</v>
      </c>
      <c r="I104" s="63">
        <f t="shared" si="36"/>
        <v>1.5144230769230662E-3</v>
      </c>
      <c r="J104" s="63">
        <f t="shared" si="41"/>
        <v>0.14235576923076934</v>
      </c>
      <c r="K104" s="173">
        <f t="shared" si="37"/>
        <v>142.35576923076934</v>
      </c>
      <c r="L104" s="140">
        <f t="shared" si="38"/>
        <v>1</v>
      </c>
      <c r="M104" s="61">
        <f t="shared" si="31"/>
        <v>22.285714285714285</v>
      </c>
      <c r="N104" s="61">
        <f t="shared" si="39"/>
        <v>4.6970414201183105E-4</v>
      </c>
      <c r="O104" s="61">
        <f t="shared" si="40"/>
        <v>0.31015384615384617</v>
      </c>
      <c r="P104" s="61">
        <f t="shared" si="32"/>
        <v>0.4264615384615385</v>
      </c>
      <c r="Q104" s="61">
        <f t="shared" si="33"/>
        <v>0.19384615384615386</v>
      </c>
    </row>
    <row r="105" spans="1:17" x14ac:dyDescent="0.25">
      <c r="A105" s="61">
        <f t="shared" si="26"/>
        <v>25.2</v>
      </c>
      <c r="B105" s="64">
        <f t="shared" si="27"/>
        <v>23.019230769230766</v>
      </c>
      <c r="C105" s="62">
        <f t="shared" si="28"/>
        <v>0</v>
      </c>
      <c r="D105" s="67">
        <f>B2</f>
        <v>86.399999999999991</v>
      </c>
      <c r="E105" s="60">
        <f t="shared" si="34"/>
        <v>36.666666666666664</v>
      </c>
      <c r="F105" s="62">
        <f t="shared" si="29"/>
        <v>0.128</v>
      </c>
      <c r="G105" s="60">
        <f t="shared" si="35"/>
        <v>0.128</v>
      </c>
      <c r="H105" s="62">
        <f t="shared" si="30"/>
        <v>0.128</v>
      </c>
      <c r="I105" s="63">
        <f t="shared" si="36"/>
        <v>1.5144230769230662E-3</v>
      </c>
      <c r="J105" s="63">
        <f t="shared" si="41"/>
        <v>0.14387019230769241</v>
      </c>
      <c r="K105" s="173">
        <f t="shared" si="37"/>
        <v>143.87019230769241</v>
      </c>
      <c r="L105" s="140">
        <f t="shared" si="38"/>
        <v>1</v>
      </c>
      <c r="M105" s="61">
        <f t="shared" si="31"/>
        <v>22.916666666666664</v>
      </c>
      <c r="N105" s="61">
        <f t="shared" si="39"/>
        <v>4.2273372781064829E-4</v>
      </c>
      <c r="O105" s="61">
        <f t="shared" si="40"/>
        <v>0.27913846153846178</v>
      </c>
      <c r="P105" s="61">
        <f t="shared" si="32"/>
        <v>0.38381538461538495</v>
      </c>
      <c r="Q105" s="61">
        <f t="shared" si="33"/>
        <v>0.17446153846153864</v>
      </c>
    </row>
    <row r="106" spans="1:17" x14ac:dyDescent="0.25">
      <c r="A106" s="61">
        <f t="shared" ref="A106:A114" si="42">VINMAX</f>
        <v>25.2</v>
      </c>
      <c r="B106" s="64">
        <f t="shared" ref="B106:B114" si="43">VINMAX*((ROW()-10)/104)</f>
        <v>23.261538461538461</v>
      </c>
      <c r="C106" s="62">
        <f t="shared" ref="C106:C110" si="44">IF(B106&gt;=$H$2,IF($D$2="CC", $G$2, B106/$G$2), 0)</f>
        <v>0</v>
      </c>
      <c r="D106" s="67">
        <f>B2</f>
        <v>86.399999999999991</v>
      </c>
      <c r="E106" s="60">
        <f t="shared" si="34"/>
        <v>36.666666666666664</v>
      </c>
      <c r="F106" s="62">
        <f t="shared" ref="F106:F110" si="45">I_Cout_ss+C106</f>
        <v>0.128</v>
      </c>
      <c r="G106" s="60">
        <f t="shared" si="35"/>
        <v>0.128</v>
      </c>
      <c r="H106" s="62">
        <f t="shared" ref="H106:H110" si="46">G106-C106</f>
        <v>0.128</v>
      </c>
      <c r="I106" s="63">
        <f t="shared" si="36"/>
        <v>1.5144230769230883E-3</v>
      </c>
      <c r="J106" s="63">
        <f t="shared" si="41"/>
        <v>0.1453846153846155</v>
      </c>
      <c r="K106" s="173">
        <f t="shared" si="37"/>
        <v>145.3846153846155</v>
      </c>
      <c r="L106" s="140">
        <f t="shared" si="38"/>
        <v>1</v>
      </c>
      <c r="M106" s="61">
        <f t="shared" ref="M106:M114" si="47">1/COUTMAX*(E106/2-C106)*1000</f>
        <v>22.916666666666664</v>
      </c>
      <c r="N106" s="61">
        <f t="shared" si="39"/>
        <v>3.7576331360947036E-4</v>
      </c>
      <c r="O106" s="61">
        <f t="shared" si="40"/>
        <v>0.24812307692307695</v>
      </c>
      <c r="P106" s="61">
        <f t="shared" ref="P106:P114" si="48">(A106-B106)*(I_Cout_ss*$Q$2+C106)</f>
        <v>0.34116923076923078</v>
      </c>
      <c r="Q106" s="61">
        <f t="shared" ref="Q106:Q114" si="49">(A106-B106)*(I_Cout_ss*$R$2+C106)</f>
        <v>0.15507692307692308</v>
      </c>
    </row>
    <row r="107" spans="1:17" x14ac:dyDescent="0.25">
      <c r="A107" s="61">
        <f t="shared" si="42"/>
        <v>25.2</v>
      </c>
      <c r="B107" s="64">
        <f t="shared" si="43"/>
        <v>23.503846153846155</v>
      </c>
      <c r="C107" s="62">
        <f t="shared" si="44"/>
        <v>0</v>
      </c>
      <c r="D107" s="67">
        <f>B2</f>
        <v>86.399999999999991</v>
      </c>
      <c r="E107" s="60">
        <f t="shared" si="34"/>
        <v>36.666666666666664</v>
      </c>
      <c r="F107" s="62">
        <f t="shared" si="45"/>
        <v>0.128</v>
      </c>
      <c r="G107" s="60">
        <f t="shared" si="35"/>
        <v>0.128</v>
      </c>
      <c r="H107" s="62">
        <f t="shared" si="46"/>
        <v>0.128</v>
      </c>
      <c r="I107" s="63">
        <f t="shared" ref="I107:I110" si="50">(COUTMAX/1000000)*(B107-B106)/H107</f>
        <v>1.5144230769230883E-3</v>
      </c>
      <c r="J107" s="63">
        <f t="shared" si="41"/>
        <v>0.14689903846153859</v>
      </c>
      <c r="K107" s="173">
        <f t="shared" si="37"/>
        <v>146.89903846153859</v>
      </c>
      <c r="L107" s="140">
        <f t="shared" si="38"/>
        <v>1</v>
      </c>
      <c r="M107" s="61">
        <f t="shared" si="47"/>
        <v>22.916666666666664</v>
      </c>
      <c r="N107" s="61">
        <f t="shared" si="39"/>
        <v>3.2879289940828619E-4</v>
      </c>
      <c r="O107" s="61">
        <f t="shared" si="40"/>
        <v>0.21710769230769211</v>
      </c>
      <c r="P107" s="61">
        <f t="shared" si="48"/>
        <v>0.29852307692307661</v>
      </c>
      <c r="Q107" s="61">
        <f t="shared" si="49"/>
        <v>0.13569230769230756</v>
      </c>
    </row>
    <row r="108" spans="1:17" x14ac:dyDescent="0.25">
      <c r="A108" s="61">
        <f t="shared" si="42"/>
        <v>25.2</v>
      </c>
      <c r="B108" s="64">
        <f t="shared" si="43"/>
        <v>23.746153846153845</v>
      </c>
      <c r="C108" s="62">
        <f t="shared" si="44"/>
        <v>0</v>
      </c>
      <c r="D108" s="67">
        <f>B2</f>
        <v>86.399999999999991</v>
      </c>
      <c r="E108" s="60">
        <f t="shared" si="34"/>
        <v>36.666666666666664</v>
      </c>
      <c r="F108" s="62">
        <f t="shared" si="45"/>
        <v>0.128</v>
      </c>
      <c r="G108" s="60">
        <f t="shared" si="35"/>
        <v>0.128</v>
      </c>
      <c r="H108" s="62">
        <f t="shared" si="46"/>
        <v>0.128</v>
      </c>
      <c r="I108" s="63">
        <f t="shared" si="50"/>
        <v>1.5144230769230662E-3</v>
      </c>
      <c r="J108" s="63">
        <f t="shared" si="41"/>
        <v>0.14841346153846166</v>
      </c>
      <c r="K108" s="173">
        <f t="shared" si="37"/>
        <v>148.41346153846166</v>
      </c>
      <c r="L108" s="140">
        <f t="shared" si="38"/>
        <v>1</v>
      </c>
      <c r="M108" s="61">
        <f t="shared" si="47"/>
        <v>22.916666666666664</v>
      </c>
      <c r="N108" s="61">
        <f t="shared" si="39"/>
        <v>2.8182248520709861E-4</v>
      </c>
      <c r="O108" s="61">
        <f t="shared" si="40"/>
        <v>0.18609230769230772</v>
      </c>
      <c r="P108" s="61">
        <f t="shared" si="48"/>
        <v>0.25587692307692311</v>
      </c>
      <c r="Q108" s="61">
        <f t="shared" si="49"/>
        <v>0.11630769230769232</v>
      </c>
    </row>
    <row r="109" spans="1:17" x14ac:dyDescent="0.25">
      <c r="A109" s="61">
        <f t="shared" si="42"/>
        <v>25.2</v>
      </c>
      <c r="B109" s="64">
        <f t="shared" si="43"/>
        <v>23.988461538461536</v>
      </c>
      <c r="C109" s="62">
        <f t="shared" si="44"/>
        <v>0</v>
      </c>
      <c r="D109" s="67">
        <f>B2</f>
        <v>86.399999999999991</v>
      </c>
      <c r="E109" s="60">
        <f t="shared" si="34"/>
        <v>36.666666666666664</v>
      </c>
      <c r="F109" s="62">
        <f t="shared" si="45"/>
        <v>0.128</v>
      </c>
      <c r="G109" s="60">
        <f t="shared" si="35"/>
        <v>0.128</v>
      </c>
      <c r="H109" s="62">
        <f t="shared" si="46"/>
        <v>0.128</v>
      </c>
      <c r="I109" s="63">
        <f t="shared" si="50"/>
        <v>1.5144230769230662E-3</v>
      </c>
      <c r="J109" s="63">
        <f t="shared" si="41"/>
        <v>0.14992788461538473</v>
      </c>
      <c r="K109" s="173">
        <f t="shared" si="37"/>
        <v>149.92788461538473</v>
      </c>
      <c r="L109" s="140">
        <f t="shared" si="38"/>
        <v>1</v>
      </c>
      <c r="M109" s="61">
        <f t="shared" si="47"/>
        <v>22.916666666666664</v>
      </c>
      <c r="N109" s="61">
        <f t="shared" si="39"/>
        <v>2.3485207100591585E-4</v>
      </c>
      <c r="O109" s="61">
        <f t="shared" si="40"/>
        <v>0.15507692307692333</v>
      </c>
      <c r="P109" s="61">
        <f t="shared" si="48"/>
        <v>0.21323076923076956</v>
      </c>
      <c r="Q109" s="61">
        <f t="shared" si="49"/>
        <v>9.6923076923077084E-2</v>
      </c>
    </row>
    <row r="110" spans="1:17" x14ac:dyDescent="0.25">
      <c r="A110" s="61">
        <f t="shared" si="42"/>
        <v>25.2</v>
      </c>
      <c r="B110" s="64">
        <f t="shared" si="43"/>
        <v>24.23076923076923</v>
      </c>
      <c r="C110" s="62">
        <f t="shared" si="44"/>
        <v>0</v>
      </c>
      <c r="D110" s="67">
        <f>B2</f>
        <v>86.399999999999991</v>
      </c>
      <c r="E110" s="60">
        <f t="shared" si="34"/>
        <v>36.666666666666664</v>
      </c>
      <c r="F110" s="62">
        <f t="shared" si="45"/>
        <v>0.128</v>
      </c>
      <c r="G110" s="60">
        <f t="shared" si="35"/>
        <v>0.128</v>
      </c>
      <c r="H110" s="62">
        <f t="shared" si="46"/>
        <v>0.128</v>
      </c>
      <c r="I110" s="63">
        <f t="shared" si="50"/>
        <v>1.5144230769230883E-3</v>
      </c>
      <c r="J110" s="63">
        <f t="shared" si="41"/>
        <v>0.15144230769230782</v>
      </c>
      <c r="K110" s="173">
        <f t="shared" si="37"/>
        <v>151.44230769230782</v>
      </c>
      <c r="L110" s="140">
        <f t="shared" si="38"/>
        <v>1</v>
      </c>
      <c r="M110" s="61">
        <f t="shared" si="47"/>
        <v>22.916666666666664</v>
      </c>
      <c r="N110" s="61">
        <f t="shared" si="39"/>
        <v>1.8788165680473518E-4</v>
      </c>
      <c r="O110" s="61">
        <f t="shared" si="40"/>
        <v>0.12406153846153847</v>
      </c>
      <c r="P110" s="61">
        <f t="shared" si="48"/>
        <v>0.17058461538461539</v>
      </c>
      <c r="Q110" s="61">
        <f t="shared" si="49"/>
        <v>7.7538461538461542E-2</v>
      </c>
    </row>
    <row r="111" spans="1:17" x14ac:dyDescent="0.25">
      <c r="A111" s="61">
        <f t="shared" si="42"/>
        <v>25.2</v>
      </c>
      <c r="B111" s="64">
        <f t="shared" si="43"/>
        <v>24.473076923076921</v>
      </c>
      <c r="C111" s="62">
        <f>IF(B111&gt;=$H$2,IF($D$2="CC", $G$2, B111/$G$2), 0)</f>
        <v>0</v>
      </c>
      <c r="D111" s="67">
        <f>B2</f>
        <v>86.399999999999991</v>
      </c>
      <c r="E111" s="60">
        <f>$C$2</f>
        <v>36.666666666666664</v>
      </c>
      <c r="F111" s="62">
        <f>I_Cout_ss+C111</f>
        <v>0.128</v>
      </c>
      <c r="G111" s="60">
        <f>IF($F$2="YES", F111, E111)</f>
        <v>0.128</v>
      </c>
      <c r="H111" s="62">
        <f>G111-C111</f>
        <v>0.128</v>
      </c>
      <c r="I111" s="63">
        <f>(COUTMAX/1000000)*(B111-B110)/H111</f>
        <v>1.5144230769230662E-3</v>
      </c>
      <c r="J111" s="63">
        <f>J110+I111</f>
        <v>0.15295673076923089</v>
      </c>
      <c r="K111" s="173">
        <f t="shared" si="37"/>
        <v>152.95673076923089</v>
      </c>
      <c r="L111" s="140">
        <f>H111/G111</f>
        <v>1</v>
      </c>
      <c r="M111" s="61">
        <f t="shared" si="47"/>
        <v>22.916666666666664</v>
      </c>
      <c r="N111" s="61">
        <f>I111*G111*(A111-B111)</f>
        <v>1.4091124260354966E-4</v>
      </c>
      <c r="O111" s="61">
        <f t="shared" si="40"/>
        <v>9.3046153846154084E-2</v>
      </c>
      <c r="P111" s="61">
        <f t="shared" si="48"/>
        <v>0.12793846153846186</v>
      </c>
      <c r="Q111" s="61">
        <f t="shared" si="49"/>
        <v>5.8153846153846306E-2</v>
      </c>
    </row>
    <row r="112" spans="1:17" x14ac:dyDescent="0.25">
      <c r="A112" s="61">
        <f t="shared" si="42"/>
        <v>25.2</v>
      </c>
      <c r="B112" s="64">
        <f t="shared" si="43"/>
        <v>24.715384615384615</v>
      </c>
      <c r="C112" s="62">
        <f>IF(B112&gt;=$H$2,IF($D$2="CC", $G$2, B112/$G$2), 0)</f>
        <v>0</v>
      </c>
      <c r="D112" s="67">
        <f>B2</f>
        <v>86.399999999999991</v>
      </c>
      <c r="E112" s="60">
        <f>$C$2</f>
        <v>36.666666666666664</v>
      </c>
      <c r="F112" s="62">
        <f t="shared" ref="F112:F113" si="51">I_Cout_ss+C112</f>
        <v>0.128</v>
      </c>
      <c r="G112" s="60">
        <f t="shared" ref="G112:G113" si="52">IF($F$2="YES", F112, E112)</f>
        <v>0.128</v>
      </c>
      <c r="H112" s="62">
        <f t="shared" ref="H112:H113" si="53">G112-C112</f>
        <v>0.128</v>
      </c>
      <c r="I112" s="63">
        <f t="shared" ref="I112:I113" si="54">(COUTMAX/1000000)*(B112-B111)/H112</f>
        <v>1.5144230769230883E-3</v>
      </c>
      <c r="J112" s="63">
        <f t="shared" ref="J112:J113" si="55">J111+I112</f>
        <v>0.15447115384615398</v>
      </c>
      <c r="K112" s="173">
        <f t="shared" si="37"/>
        <v>154.47115384615398</v>
      </c>
      <c r="L112" s="140">
        <f t="shared" ref="L112:L113" si="56">H112/G112</f>
        <v>1</v>
      </c>
      <c r="M112" s="61">
        <f t="shared" si="47"/>
        <v>22.916666666666664</v>
      </c>
      <c r="N112" s="61">
        <f t="shared" ref="N112:N113" si="57">I112*G112*(A112-B112)</f>
        <v>9.3940828402367589E-5</v>
      </c>
      <c r="O112" s="61">
        <f t="shared" si="40"/>
        <v>6.2030769230769237E-2</v>
      </c>
      <c r="P112" s="61">
        <f t="shared" si="48"/>
        <v>8.5292307692307695E-2</v>
      </c>
      <c r="Q112" s="61">
        <f t="shared" si="49"/>
        <v>3.8769230769230771E-2</v>
      </c>
    </row>
    <row r="113" spans="1:17" x14ac:dyDescent="0.25">
      <c r="A113" s="61">
        <f t="shared" si="42"/>
        <v>25.2</v>
      </c>
      <c r="B113" s="64">
        <f t="shared" si="43"/>
        <v>24.957692307692309</v>
      </c>
      <c r="C113" s="62">
        <f>IF(B113&gt;=$H$2,IF($D$2="CC", $G$2, B113/$G$2), 0)</f>
        <v>0</v>
      </c>
      <c r="D113" s="67">
        <f>B2</f>
        <v>86.399999999999991</v>
      </c>
      <c r="E113" s="60">
        <f>$C$2</f>
        <v>36.666666666666664</v>
      </c>
      <c r="F113" s="62">
        <f t="shared" si="51"/>
        <v>0.128</v>
      </c>
      <c r="G113" s="60">
        <f t="shared" si="52"/>
        <v>0.128</v>
      </c>
      <c r="H113" s="62">
        <f t="shared" si="53"/>
        <v>0.128</v>
      </c>
      <c r="I113" s="63">
        <f t="shared" si="54"/>
        <v>1.5144230769230883E-3</v>
      </c>
      <c r="J113" s="63">
        <f t="shared" si="55"/>
        <v>0.15598557692307707</v>
      </c>
      <c r="K113" s="173">
        <f t="shared" si="37"/>
        <v>155.98557692307708</v>
      </c>
      <c r="L113" s="140">
        <f t="shared" si="56"/>
        <v>1</v>
      </c>
      <c r="M113" s="61">
        <f t="shared" si="47"/>
        <v>22.916666666666664</v>
      </c>
      <c r="N113" s="61">
        <f t="shared" si="57"/>
        <v>4.6970414201183449E-5</v>
      </c>
      <c r="O113" s="61">
        <f t="shared" si="40"/>
        <v>3.1015384615384393E-2</v>
      </c>
      <c r="P113" s="61">
        <f t="shared" si="48"/>
        <v>4.2646153846153535E-2</v>
      </c>
      <c r="Q113" s="61">
        <f t="shared" si="49"/>
        <v>1.9384615384615247E-2</v>
      </c>
    </row>
    <row r="114" spans="1:17" x14ac:dyDescent="0.25">
      <c r="A114" s="61">
        <f t="shared" si="42"/>
        <v>25.2</v>
      </c>
      <c r="B114" s="64">
        <f t="shared" si="43"/>
        <v>25.2</v>
      </c>
      <c r="C114" s="62">
        <f>IF(B114&gt;=$H$2,IF($D$2="CC", $G$2, B114/$G$2), 0)</f>
        <v>0</v>
      </c>
      <c r="D114" s="67">
        <f>B2</f>
        <v>86.399999999999991</v>
      </c>
      <c r="E114" s="60">
        <f>$C$2</f>
        <v>36.666666666666664</v>
      </c>
      <c r="F114" s="62">
        <f t="shared" ref="F114" si="58">I_Cout_ss+C114</f>
        <v>0.128</v>
      </c>
      <c r="G114" s="60">
        <f t="shared" ref="G114" si="59">IF($F$2="YES", F114, E114)</f>
        <v>0.128</v>
      </c>
      <c r="H114" s="62">
        <f t="shared" ref="H114" si="60">G114-C114</f>
        <v>0.128</v>
      </c>
      <c r="I114" s="63">
        <f t="shared" ref="I114" si="61">(COUTMAX/1000000)*(B114-B113)/H114</f>
        <v>1.5144230769230662E-3</v>
      </c>
      <c r="J114" s="63">
        <f t="shared" ref="J114" si="62">J113+I114</f>
        <v>0.15750000000000014</v>
      </c>
      <c r="K114" s="173">
        <f t="shared" si="37"/>
        <v>157.50000000000014</v>
      </c>
      <c r="L114" s="140">
        <f t="shared" ref="L114" si="63">H114/G114</f>
        <v>1</v>
      </c>
      <c r="M114" s="61">
        <f t="shared" si="47"/>
        <v>22.916666666666664</v>
      </c>
      <c r="N114" s="61">
        <f t="shared" ref="N114" si="64">I114*G114*(A114-B114)</f>
        <v>0</v>
      </c>
      <c r="O114" s="61">
        <f t="shared" si="40"/>
        <v>0</v>
      </c>
      <c r="P114" s="61">
        <f t="shared" si="48"/>
        <v>0</v>
      </c>
      <c r="Q114" s="61">
        <f t="shared" si="49"/>
        <v>0</v>
      </c>
    </row>
    <row r="115" spans="1:17" x14ac:dyDescent="0.25">
      <c r="K115" s="174">
        <f>K114+0.5</f>
        <v>158.00000000000014</v>
      </c>
      <c r="N115" s="61">
        <v>0</v>
      </c>
      <c r="O115" s="61">
        <v>0</v>
      </c>
    </row>
  </sheetData>
  <mergeCells count="1">
    <mergeCell ref="X12:Y1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U69"/>
  <sheetViews>
    <sheetView topLeftCell="A10" zoomScale="85" zoomScaleNormal="85" workbookViewId="0">
      <selection activeCell="R19" sqref="R19"/>
    </sheetView>
  </sheetViews>
  <sheetFormatPr defaultRowHeight="12.5" x14ac:dyDescent="0.25"/>
  <cols>
    <col min="1" max="1" width="19.7265625" customWidth="1"/>
    <col min="2" max="2" width="17.26953125" customWidth="1"/>
    <col min="3" max="3" width="13.08984375" customWidth="1"/>
    <col min="4" max="4" width="16" customWidth="1"/>
    <col min="5" max="6" width="17.7265625" customWidth="1"/>
    <col min="7" max="7" width="31.6328125" customWidth="1"/>
    <col min="8" max="8" width="20" customWidth="1"/>
    <col min="13" max="13" width="12.81640625" customWidth="1"/>
    <col min="15" max="15" width="17.26953125" customWidth="1"/>
    <col min="17" max="17" width="13.26953125" customWidth="1"/>
    <col min="18" max="18" width="16.81640625" customWidth="1"/>
    <col min="20" max="20" width="13" customWidth="1"/>
    <col min="21" max="21" width="10.08984375" customWidth="1"/>
  </cols>
  <sheetData>
    <row r="2" spans="1:21" x14ac:dyDescent="0.25">
      <c r="A2" s="69"/>
      <c r="B2" s="171"/>
      <c r="C2" s="292" t="s">
        <v>171</v>
      </c>
      <c r="D2" s="293"/>
      <c r="E2" s="293"/>
      <c r="F2" s="1"/>
      <c r="G2" s="1"/>
      <c r="H2" s="28" t="s">
        <v>192</v>
      </c>
      <c r="O2" s="1"/>
      <c r="P2" s="1"/>
      <c r="Q2" s="1"/>
      <c r="R2" s="1"/>
      <c r="S2" s="1"/>
      <c r="T2" s="1"/>
    </row>
    <row r="3" spans="1:21" x14ac:dyDescent="0.25">
      <c r="A3" s="69"/>
      <c r="B3" s="70" t="s">
        <v>225</v>
      </c>
      <c r="C3" s="70" t="s">
        <v>172</v>
      </c>
      <c r="D3" s="70" t="s">
        <v>173</v>
      </c>
      <c r="E3" s="70" t="s">
        <v>174</v>
      </c>
      <c r="F3" s="70" t="s">
        <v>365</v>
      </c>
      <c r="G3" s="28"/>
      <c r="H3" s="28" t="s">
        <v>190</v>
      </c>
      <c r="I3" s="1"/>
      <c r="J3" s="1"/>
      <c r="K3" s="1"/>
      <c r="L3" s="1"/>
      <c r="M3" s="1"/>
      <c r="O3" s="1"/>
      <c r="P3" s="1"/>
      <c r="Q3" s="16"/>
      <c r="R3" s="16"/>
      <c r="S3" s="16"/>
      <c r="T3" s="16"/>
    </row>
    <row r="4" spans="1:21" ht="21.65" customHeight="1" x14ac:dyDescent="0.25">
      <c r="A4" s="70" t="s">
        <v>175</v>
      </c>
      <c r="B4" s="69">
        <f>'Design Calculator'!AN56</f>
        <v>20</v>
      </c>
      <c r="C4" s="71">
        <f>'Design Calculator'!$AN$57</f>
        <v>17</v>
      </c>
      <c r="D4" s="71">
        <f>'Design Calculator'!$AN$58</f>
        <v>0.6</v>
      </c>
      <c r="E4" s="71">
        <f>IF('Design Calculator'!$AN$59 = "NA", F4, 'Design Calculator'!$AN$59)</f>
        <v>0.2</v>
      </c>
      <c r="F4" s="71">
        <f>'Design Calculator'!AN60</f>
        <v>0.2</v>
      </c>
      <c r="G4" s="3"/>
      <c r="H4" s="28" t="s">
        <v>191</v>
      </c>
      <c r="I4" s="1"/>
      <c r="J4" s="1"/>
      <c r="K4" s="1"/>
      <c r="L4" s="16"/>
      <c r="M4" s="16"/>
      <c r="O4" s="1"/>
      <c r="P4" s="1"/>
      <c r="Q4" s="16"/>
      <c r="R4" s="16"/>
      <c r="S4" s="16"/>
      <c r="T4" s="16"/>
    </row>
    <row r="5" spans="1:21" x14ac:dyDescent="0.25">
      <c r="C5" s="1"/>
      <c r="D5" s="16"/>
      <c r="E5" s="16"/>
      <c r="F5" s="16"/>
      <c r="G5" s="16"/>
      <c r="I5" s="1"/>
      <c r="J5" s="1"/>
      <c r="K5" s="1"/>
      <c r="L5" s="16"/>
      <c r="M5" s="16"/>
      <c r="N5" s="289"/>
      <c r="O5" s="289"/>
      <c r="P5" s="289"/>
      <c r="Q5" s="16"/>
      <c r="R5" s="294"/>
      <c r="S5" s="295"/>
      <c r="T5" s="295"/>
    </row>
    <row r="6" spans="1:21" x14ac:dyDescent="0.25">
      <c r="C6" s="1"/>
      <c r="D6" s="16"/>
      <c r="E6" s="16"/>
      <c r="F6" s="16"/>
      <c r="G6" s="16"/>
      <c r="I6" s="1"/>
      <c r="J6" s="1"/>
      <c r="K6" s="1"/>
      <c r="L6" s="16"/>
      <c r="M6" s="16"/>
      <c r="O6" s="28"/>
    </row>
    <row r="7" spans="1:21" ht="14.5" x14ac:dyDescent="0.35">
      <c r="B7" s="72" t="s">
        <v>360</v>
      </c>
      <c r="G7" s="163" t="s">
        <v>347</v>
      </c>
      <c r="J7" s="145"/>
      <c r="K7" s="16"/>
      <c r="N7" s="28"/>
      <c r="O7" s="28"/>
      <c r="P7" s="28"/>
      <c r="T7" s="73"/>
      <c r="U7" s="1"/>
    </row>
    <row r="8" spans="1:21" ht="14.5" x14ac:dyDescent="0.35">
      <c r="B8" s="28" t="s">
        <v>176</v>
      </c>
      <c r="C8">
        <f>IF('Design Calculator'!F71="No", 'Design Calculator'!$F$77,'Design Calculator'!F90)</f>
        <v>1.5529411764705883</v>
      </c>
      <c r="D8" s="28" t="s">
        <v>8</v>
      </c>
      <c r="G8" s="28" t="s">
        <v>176</v>
      </c>
      <c r="H8">
        <f>Equations!F69</f>
        <v>77.992788461538453</v>
      </c>
      <c r="J8" s="68"/>
      <c r="K8" s="16"/>
      <c r="N8" s="28"/>
      <c r="P8" s="73"/>
      <c r="T8" s="73"/>
      <c r="U8" s="1"/>
    </row>
    <row r="9" spans="1:21" ht="14.5" x14ac:dyDescent="0.35">
      <c r="B9" s="28" t="s">
        <v>177</v>
      </c>
      <c r="C9">
        <f>VINMAX</f>
        <v>25.2</v>
      </c>
      <c r="D9" t="s">
        <v>86</v>
      </c>
      <c r="G9" s="28" t="s">
        <v>177</v>
      </c>
      <c r="H9">
        <f>VINMAX</f>
        <v>25.2</v>
      </c>
      <c r="K9" s="16"/>
      <c r="N9" s="28"/>
      <c r="P9" s="73"/>
      <c r="T9" s="73"/>
    </row>
    <row r="10" spans="1:21" ht="14.5" x14ac:dyDescent="0.35">
      <c r="B10" s="28" t="s">
        <v>178</v>
      </c>
      <c r="C10">
        <f>IF(C8&lt;10, IF(C8&lt;1, 0.1, 1), IF(C8&lt;100, 10, 100))</f>
        <v>1</v>
      </c>
      <c r="D10" s="28" t="s">
        <v>8</v>
      </c>
      <c r="G10" s="28" t="s">
        <v>178</v>
      </c>
      <c r="H10">
        <f>IF(H8&lt;10, IF(H8&lt;1, 0.1, 1), IF(H8&lt;100, 10, 100))</f>
        <v>10</v>
      </c>
      <c r="K10" s="16"/>
      <c r="N10" s="28"/>
      <c r="P10" s="73"/>
      <c r="T10" s="73"/>
    </row>
    <row r="11" spans="1:21" ht="14.5" x14ac:dyDescent="0.35">
      <c r="B11" s="28" t="s">
        <v>439</v>
      </c>
      <c r="C11">
        <f>IF('Design Calculator'!F59="NA", MIN(SOA!C10,1),SOA!C10)</f>
        <v>1</v>
      </c>
      <c r="D11" s="28"/>
      <c r="G11" s="28" t="s">
        <v>439</v>
      </c>
      <c r="H11">
        <f>IF('Design Calculator'!F59="NA", MIN(SOA!H10,1),SOA!H10)</f>
        <v>1</v>
      </c>
      <c r="K11" s="16"/>
      <c r="P11" s="73"/>
    </row>
    <row r="12" spans="1:21" x14ac:dyDescent="0.25">
      <c r="B12" s="28" t="s">
        <v>179</v>
      </c>
      <c r="C12">
        <f>C10*10</f>
        <v>10</v>
      </c>
      <c r="D12" s="28" t="s">
        <v>8</v>
      </c>
      <c r="G12" s="28" t="s">
        <v>429</v>
      </c>
      <c r="H12">
        <f>H10*10</f>
        <v>100</v>
      </c>
      <c r="K12" s="16"/>
    </row>
    <row r="13" spans="1:21" x14ac:dyDescent="0.25">
      <c r="B13" s="28" t="s">
        <v>440</v>
      </c>
      <c r="C13">
        <f>IF('Design Calculator'!F60="NA", MIN(SOA!C12,10),SOA!C12)</f>
        <v>10</v>
      </c>
      <c r="D13" s="28"/>
      <c r="G13" s="28" t="s">
        <v>440</v>
      </c>
      <c r="H13">
        <f>IF('Design Calculator'!F60="NA", MIN(SOA!H12,10),SOA!H12)</f>
        <v>100</v>
      </c>
      <c r="K13" s="16"/>
    </row>
    <row r="14" spans="1:21" x14ac:dyDescent="0.25">
      <c r="B14" s="28" t="s">
        <v>180</v>
      </c>
      <c r="C14">
        <f>IF(C11=0.1, B4, IF(C11=1, C4, IF(C11=10, D4, E4)))</f>
        <v>17</v>
      </c>
      <c r="D14" s="28" t="s">
        <v>25</v>
      </c>
      <c r="G14" s="28" t="s">
        <v>180</v>
      </c>
      <c r="H14">
        <f>IF(H11=0.1, B4, IF(H11=1, C4, IF(H11=10, D4, E4)))</f>
        <v>17</v>
      </c>
      <c r="K14" s="16"/>
    </row>
    <row r="15" spans="1:21" x14ac:dyDescent="0.25">
      <c r="B15" s="28" t="s">
        <v>181</v>
      </c>
      <c r="C15">
        <f>IF(C13=1000, F4, IF(C13=1, C4, IF(C13=10, D4, E4)))</f>
        <v>0.6</v>
      </c>
      <c r="D15" s="28" t="s">
        <v>25</v>
      </c>
      <c r="G15" s="28" t="s">
        <v>181</v>
      </c>
      <c r="H15">
        <f>IF(H13=1000, F4, IF(H13=1, C4, IF(H13=10, D4, E4)))</f>
        <v>0.2</v>
      </c>
      <c r="K15" s="16"/>
    </row>
    <row r="16" spans="1:21" x14ac:dyDescent="0.25">
      <c r="K16" s="16"/>
    </row>
    <row r="17" spans="2:15" x14ac:dyDescent="0.25">
      <c r="B17" s="28" t="s">
        <v>185</v>
      </c>
      <c r="G17" s="28" t="s">
        <v>185</v>
      </c>
      <c r="K17" s="16"/>
    </row>
    <row r="18" spans="2:15" x14ac:dyDescent="0.25">
      <c r="B18" s="28" t="s">
        <v>182</v>
      </c>
      <c r="C18">
        <f>C14/C11^C19</f>
        <v>17</v>
      </c>
      <c r="F18" s="28"/>
      <c r="G18" s="28" t="s">
        <v>182</v>
      </c>
      <c r="H18">
        <f>H14/H11^H19</f>
        <v>17</v>
      </c>
    </row>
    <row r="19" spans="2:15" x14ac:dyDescent="0.25">
      <c r="B19" s="28" t="s">
        <v>183</v>
      </c>
      <c r="C19">
        <f>LOG(C14/C15)/LOG(C11/C13)</f>
        <v>-1.4522976709946303</v>
      </c>
      <c r="F19" s="28"/>
      <c r="G19" s="28" t="s">
        <v>183</v>
      </c>
      <c r="H19">
        <f>IF(H14=H15,0.000000000001,LOG(H14/H15)/LOG(H11/H13))</f>
        <v>-0.96470946285714632</v>
      </c>
      <c r="I19" s="28" t="s">
        <v>434</v>
      </c>
      <c r="K19" s="16"/>
    </row>
    <row r="20" spans="2:15" x14ac:dyDescent="0.25">
      <c r="B20" s="28" t="s">
        <v>184</v>
      </c>
      <c r="C20">
        <f>C18*C8^C19</f>
        <v>8.9708780330960209</v>
      </c>
      <c r="D20" s="28" t="s">
        <v>25</v>
      </c>
      <c r="G20" s="28" t="s">
        <v>184</v>
      </c>
      <c r="H20">
        <f>H18*H8^H19</f>
        <v>0.2541944659225</v>
      </c>
      <c r="K20" s="16"/>
      <c r="M20" s="28"/>
    </row>
    <row r="21" spans="2:15" x14ac:dyDescent="0.25">
      <c r="K21" s="16"/>
      <c r="N21" s="1"/>
    </row>
    <row r="22" spans="2:15" x14ac:dyDescent="0.25">
      <c r="B22" s="29" t="s">
        <v>187</v>
      </c>
      <c r="C22">
        <f xml:space="preserve"> C20*C9</f>
        <v>226.06612643401971</v>
      </c>
      <c r="D22" s="28"/>
      <c r="G22" s="29" t="s">
        <v>187</v>
      </c>
      <c r="H22">
        <f>IF(H8&lt;1, H14, H20)*H9</f>
        <v>6.4057005412469996</v>
      </c>
      <c r="K22" s="16"/>
    </row>
    <row r="23" spans="2:15" x14ac:dyDescent="0.25">
      <c r="K23" s="16"/>
    </row>
    <row r="24" spans="2:15" x14ac:dyDescent="0.25">
      <c r="G24" s="28" t="s">
        <v>368</v>
      </c>
      <c r="H24" t="str">
        <f>'Design Calculator'!F79</f>
        <v>No</v>
      </c>
      <c r="K24" s="16"/>
      <c r="O24" s="1"/>
    </row>
    <row r="25" spans="2:15" x14ac:dyDescent="0.25">
      <c r="B25" s="68" t="s">
        <v>193</v>
      </c>
      <c r="C25">
        <f>(TJMAX-TJ)/(TJMAX-25)</f>
        <v>0.56250500000000003</v>
      </c>
      <c r="D25" s="16"/>
      <c r="E25" s="16"/>
      <c r="F25" s="16"/>
      <c r="G25" s="28" t="s">
        <v>367</v>
      </c>
      <c r="H25">
        <f>IF(H24="Yes", TJ,TAMB)</f>
        <v>45</v>
      </c>
      <c r="K25" s="16"/>
      <c r="O25" s="1"/>
    </row>
    <row r="26" spans="2:15" x14ac:dyDescent="0.25">
      <c r="B26" s="29" t="s">
        <v>188</v>
      </c>
      <c r="C26">
        <f>IF((C22*C25)&lt;0,0.000000001,C22*C25)</f>
        <v>127.16332644976826</v>
      </c>
      <c r="D26" s="74" t="s">
        <v>87</v>
      </c>
      <c r="E26" s="16"/>
      <c r="F26" s="16"/>
      <c r="K26" s="16"/>
    </row>
    <row r="27" spans="2:15" x14ac:dyDescent="0.25">
      <c r="B27" s="1"/>
      <c r="C27" s="1"/>
      <c r="D27" s="16"/>
      <c r="E27" s="16"/>
      <c r="F27" s="16"/>
      <c r="G27" s="68" t="s">
        <v>193</v>
      </c>
      <c r="H27">
        <f>(TJMAX-H25)/(TJMAX-25)</f>
        <v>0.8666666666666667</v>
      </c>
      <c r="K27" s="16"/>
    </row>
    <row r="28" spans="2:15" x14ac:dyDescent="0.25">
      <c r="B28" s="1"/>
      <c r="D28" s="16"/>
      <c r="E28" s="16"/>
      <c r="F28" s="16"/>
      <c r="G28" s="29" t="s">
        <v>188</v>
      </c>
      <c r="H28">
        <f>IF((H22*H27)&lt;0,0.000000001,H22*H27)</f>
        <v>5.5516071357473997</v>
      </c>
      <c r="K28" s="16"/>
    </row>
    <row r="29" spans="2:15" x14ac:dyDescent="0.25">
      <c r="B29" s="68" t="s">
        <v>397</v>
      </c>
      <c r="D29" s="16"/>
      <c r="E29" s="16"/>
      <c r="F29" s="16"/>
      <c r="I29" s="3"/>
      <c r="J29" s="3"/>
      <c r="K29" s="3"/>
    </row>
    <row r="30" spans="2:15" x14ac:dyDescent="0.25">
      <c r="C30" s="72" t="s">
        <v>398</v>
      </c>
      <c r="D30" s="176" t="s">
        <v>399</v>
      </c>
      <c r="E30" s="176" t="s">
        <v>400</v>
      </c>
      <c r="F30" s="176" t="s">
        <v>401</v>
      </c>
      <c r="G30" s="16"/>
      <c r="I30" s="3"/>
      <c r="J30" s="3"/>
      <c r="K30" s="3"/>
    </row>
    <row r="31" spans="2:15" x14ac:dyDescent="0.25">
      <c r="B31" s="68" t="s">
        <v>402</v>
      </c>
      <c r="C31" s="68">
        <v>0.1</v>
      </c>
      <c r="D31" s="1">
        <v>1</v>
      </c>
      <c r="E31" s="16">
        <v>10</v>
      </c>
      <c r="F31" s="1">
        <v>100</v>
      </c>
      <c r="G31" s="163"/>
    </row>
    <row r="32" spans="2:15" x14ac:dyDescent="0.25">
      <c r="B32" s="68" t="s">
        <v>403</v>
      </c>
      <c r="C32" s="1">
        <v>1</v>
      </c>
      <c r="D32" s="1">
        <v>10</v>
      </c>
      <c r="E32" s="16">
        <v>100</v>
      </c>
      <c r="F32" s="1">
        <v>1000</v>
      </c>
      <c r="G32" s="29"/>
    </row>
    <row r="33" spans="2:7" x14ac:dyDescent="0.25">
      <c r="B33" s="68" t="s">
        <v>182</v>
      </c>
      <c r="C33" s="1">
        <f>B4/(C31^C34)</f>
        <v>17</v>
      </c>
      <c r="D33" s="1">
        <f>C4/(D31^D34)</f>
        <v>17</v>
      </c>
      <c r="E33" s="1">
        <f>IF('Design Calculator'!F60="NA",D33,D4/(E31^E34))</f>
        <v>1.7999999999999998</v>
      </c>
      <c r="F33" s="1">
        <f>IF('Design Calculator'!F60="NA", E33, E4/(F31^F34))</f>
        <v>0.2</v>
      </c>
      <c r="G33" s="28"/>
    </row>
    <row r="34" spans="2:7" x14ac:dyDescent="0.25">
      <c r="B34" s="68" t="s">
        <v>183</v>
      </c>
      <c r="C34" s="16">
        <f>LOG(B4/C4)/LOG(C31/C32)</f>
        <v>-7.0581074285707285E-2</v>
      </c>
      <c r="D34" s="16">
        <f>LOG(C4/D4)/LOG(D31/D32)</f>
        <v>-1.4522976709946303</v>
      </c>
      <c r="E34" s="16">
        <f>IF('Design Calculator'!F60="NA", D34, LOG(D4/E4)/LOG(E31/E32))</f>
        <v>-0.47712125471966238</v>
      </c>
      <c r="F34" s="16">
        <f>IF('Design Calculator'!F60="NA",E34,LOG(E4/F4)/LOG(F31/F32))</f>
        <v>0</v>
      </c>
      <c r="G34" s="28"/>
    </row>
    <row r="35" spans="2:7" x14ac:dyDescent="0.25">
      <c r="E35" s="16"/>
      <c r="G35" s="28"/>
    </row>
    <row r="36" spans="2:7" x14ac:dyDescent="0.25">
      <c r="E36" s="16"/>
      <c r="G36" s="28"/>
    </row>
    <row r="37" spans="2:7" x14ac:dyDescent="0.25">
      <c r="E37" s="16"/>
      <c r="G37" s="28"/>
    </row>
    <row r="38" spans="2:7" x14ac:dyDescent="0.25">
      <c r="E38" s="16"/>
      <c r="G38" s="28"/>
    </row>
    <row r="39" spans="2:7" x14ac:dyDescent="0.25">
      <c r="E39" s="16"/>
    </row>
    <row r="40" spans="2:7" x14ac:dyDescent="0.25">
      <c r="E40" s="16"/>
      <c r="G40" s="28"/>
    </row>
    <row r="41" spans="2:7" x14ac:dyDescent="0.25">
      <c r="E41" s="16"/>
    </row>
    <row r="42" spans="2:7" x14ac:dyDescent="0.25">
      <c r="E42" s="16"/>
      <c r="G42" s="28"/>
    </row>
    <row r="43" spans="2:7" x14ac:dyDescent="0.25">
      <c r="E43" s="16"/>
      <c r="G43" s="28"/>
    </row>
    <row r="44" spans="2:7" x14ac:dyDescent="0.25">
      <c r="E44" s="16"/>
      <c r="G44" s="28"/>
    </row>
    <row r="45" spans="2:7" x14ac:dyDescent="0.25">
      <c r="E45" s="16"/>
    </row>
    <row r="46" spans="2:7" x14ac:dyDescent="0.25">
      <c r="E46" s="16"/>
      <c r="G46" s="29"/>
    </row>
    <row r="47" spans="2:7" x14ac:dyDescent="0.25">
      <c r="E47" s="16"/>
    </row>
    <row r="48" spans="2:7" x14ac:dyDescent="0.25">
      <c r="E48" s="16"/>
    </row>
    <row r="49" spans="3:7" x14ac:dyDescent="0.25">
      <c r="E49" s="16"/>
      <c r="G49" s="68"/>
    </row>
    <row r="50" spans="3:7" x14ac:dyDescent="0.25">
      <c r="E50" s="16"/>
      <c r="G50" s="29"/>
    </row>
    <row r="51" spans="3:7" x14ac:dyDescent="0.25">
      <c r="E51" s="16"/>
      <c r="F51" s="16"/>
      <c r="G51" s="16"/>
    </row>
    <row r="52" spans="3:7" x14ac:dyDescent="0.25">
      <c r="E52" s="16"/>
      <c r="F52" s="16"/>
      <c r="G52" s="16"/>
    </row>
    <row r="53" spans="3:7" x14ac:dyDescent="0.25">
      <c r="C53" s="1"/>
      <c r="D53" s="16"/>
      <c r="E53" s="16"/>
      <c r="F53" s="16"/>
      <c r="G53" s="16"/>
    </row>
    <row r="54" spans="3:7" x14ac:dyDescent="0.25">
      <c r="C54" s="1"/>
      <c r="D54" s="16"/>
      <c r="E54" s="16"/>
      <c r="F54" s="16"/>
      <c r="G54" s="16"/>
    </row>
    <row r="55" spans="3:7" x14ac:dyDescent="0.25">
      <c r="C55" s="1"/>
      <c r="D55" s="16"/>
      <c r="E55" s="16"/>
      <c r="F55" s="16"/>
      <c r="G55" s="16"/>
    </row>
    <row r="56" spans="3:7" x14ac:dyDescent="0.25">
      <c r="C56" s="1"/>
      <c r="D56" s="16"/>
      <c r="E56" s="16"/>
      <c r="F56" s="16"/>
      <c r="G56" s="16"/>
    </row>
    <row r="57" spans="3:7" x14ac:dyDescent="0.25">
      <c r="C57" s="1"/>
      <c r="D57" s="16"/>
      <c r="E57" s="16"/>
      <c r="F57" s="16"/>
      <c r="G57" s="16"/>
    </row>
    <row r="58" spans="3:7" x14ac:dyDescent="0.25">
      <c r="C58" s="1"/>
      <c r="D58" s="16"/>
      <c r="E58" s="16"/>
      <c r="F58" s="16"/>
      <c r="G58" s="16"/>
    </row>
    <row r="59" spans="3:7" x14ac:dyDescent="0.25">
      <c r="C59" s="1"/>
      <c r="D59" s="16"/>
      <c r="E59" s="16"/>
      <c r="F59" s="16"/>
      <c r="G59" s="16"/>
    </row>
    <row r="60" spans="3:7" x14ac:dyDescent="0.25">
      <c r="C60" s="1"/>
      <c r="D60" s="16"/>
      <c r="E60" s="16"/>
      <c r="F60" s="16"/>
      <c r="G60" s="16"/>
    </row>
    <row r="61" spans="3:7" x14ac:dyDescent="0.25">
      <c r="C61" s="1"/>
      <c r="D61" s="16"/>
      <c r="E61" s="16"/>
      <c r="F61" s="16"/>
      <c r="G61" s="16"/>
    </row>
    <row r="62" spans="3:7" x14ac:dyDescent="0.25">
      <c r="C62" s="1"/>
      <c r="D62" s="16"/>
      <c r="E62" s="16"/>
      <c r="F62" s="16"/>
      <c r="G62" s="16"/>
    </row>
    <row r="63" spans="3:7" x14ac:dyDescent="0.25">
      <c r="C63" s="1"/>
      <c r="D63" s="16"/>
      <c r="E63" s="16"/>
      <c r="F63" s="16"/>
      <c r="G63" s="16"/>
    </row>
    <row r="64" spans="3:7" x14ac:dyDescent="0.25">
      <c r="C64" s="1"/>
      <c r="D64" s="16"/>
      <c r="E64" s="16"/>
      <c r="F64" s="16"/>
      <c r="G64" s="16"/>
    </row>
    <row r="65" spans="3:7" x14ac:dyDescent="0.25">
      <c r="C65" s="1"/>
      <c r="D65" s="16"/>
      <c r="E65" s="16"/>
      <c r="F65" s="16"/>
      <c r="G65" s="16"/>
    </row>
    <row r="66" spans="3:7" x14ac:dyDescent="0.25">
      <c r="C66" s="1"/>
      <c r="D66" s="16"/>
      <c r="E66" s="16"/>
      <c r="F66" s="16"/>
      <c r="G66" s="16"/>
    </row>
    <row r="67" spans="3:7" x14ac:dyDescent="0.25">
      <c r="C67" s="1"/>
      <c r="D67" s="16"/>
      <c r="E67" s="16"/>
      <c r="F67" s="16"/>
      <c r="G67" s="16"/>
    </row>
    <row r="68" spans="3:7" x14ac:dyDescent="0.25">
      <c r="C68" s="1"/>
      <c r="D68" s="16"/>
      <c r="E68" s="16"/>
      <c r="F68" s="16"/>
      <c r="G68" s="16"/>
    </row>
    <row r="69" spans="3:7" x14ac:dyDescent="0.25">
      <c r="C69" s="1"/>
      <c r="D69" s="16"/>
      <c r="E69" s="16"/>
      <c r="F69" s="16"/>
      <c r="G69" s="16"/>
    </row>
  </sheetData>
  <mergeCells count="3">
    <mergeCell ref="C2:E2"/>
    <mergeCell ref="N5:P5"/>
    <mergeCell ref="R5:T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C5:Y59"/>
  <sheetViews>
    <sheetView topLeftCell="C34" zoomScale="85" zoomScaleNormal="85" workbookViewId="0">
      <selection activeCell="R19" sqref="R19"/>
    </sheetView>
  </sheetViews>
  <sheetFormatPr defaultRowHeight="12.5" x14ac:dyDescent="0.25"/>
  <cols>
    <col min="4" max="4" width="37.36328125" customWidth="1"/>
    <col min="5" max="5" width="15.7265625" customWidth="1"/>
    <col min="9" max="9" width="13.26953125" customWidth="1"/>
    <col min="10" max="10" width="11.7265625" customWidth="1"/>
    <col min="11" max="11" width="11.36328125" customWidth="1"/>
    <col min="12" max="12" width="15" customWidth="1"/>
    <col min="13" max="13" width="13.7265625" customWidth="1"/>
  </cols>
  <sheetData>
    <row r="5" spans="3:4" x14ac:dyDescent="0.25">
      <c r="C5" s="28" t="s">
        <v>376</v>
      </c>
    </row>
    <row r="7" spans="3:4" x14ac:dyDescent="0.25">
      <c r="C7" s="28" t="s">
        <v>377</v>
      </c>
    </row>
    <row r="8" spans="3:4" x14ac:dyDescent="0.25">
      <c r="C8" s="28" t="s">
        <v>378</v>
      </c>
    </row>
    <row r="10" spans="3:4" x14ac:dyDescent="0.25">
      <c r="C10" s="28" t="s">
        <v>379</v>
      </c>
    </row>
    <row r="11" spans="3:4" x14ac:dyDescent="0.25">
      <c r="C11" s="28" t="s">
        <v>422</v>
      </c>
    </row>
    <row r="12" spans="3:4" x14ac:dyDescent="0.25">
      <c r="C12" s="28" t="s">
        <v>423</v>
      </c>
    </row>
    <row r="13" spans="3:4" x14ac:dyDescent="0.25">
      <c r="C13" s="28" t="s">
        <v>424</v>
      </c>
    </row>
    <row r="14" spans="3:4" x14ac:dyDescent="0.25">
      <c r="C14" s="28" t="s">
        <v>390</v>
      </c>
      <c r="D14" s="28" t="s">
        <v>391</v>
      </c>
    </row>
    <row r="15" spans="3:4" ht="12" customHeight="1" x14ac:dyDescent="0.25">
      <c r="C15" s="28"/>
      <c r="D15" s="28" t="s">
        <v>393</v>
      </c>
    </row>
    <row r="16" spans="3:4" ht="12" customHeight="1" x14ac:dyDescent="0.25">
      <c r="C16" s="28"/>
      <c r="D16" s="28"/>
    </row>
    <row r="17" spans="3:13" ht="12" customHeight="1" x14ac:dyDescent="0.25">
      <c r="C17" s="28"/>
      <c r="D17" s="28"/>
    </row>
    <row r="18" spans="3:13" ht="12" customHeight="1" x14ac:dyDescent="0.25">
      <c r="C18" s="28"/>
      <c r="D18" s="72" t="s">
        <v>408</v>
      </c>
    </row>
    <row r="19" spans="3:13" x14ac:dyDescent="0.25">
      <c r="C19" s="28"/>
      <c r="D19" s="28" t="s">
        <v>406</v>
      </c>
      <c r="E19">
        <f>SOA!H25</f>
        <v>45</v>
      </c>
    </row>
    <row r="20" spans="3:13" x14ac:dyDescent="0.25">
      <c r="D20" s="28" t="s">
        <v>388</v>
      </c>
      <c r="E20">
        <v>1.5</v>
      </c>
      <c r="I20" s="68" t="s">
        <v>397</v>
      </c>
      <c r="K20" s="16"/>
      <c r="L20" s="16"/>
      <c r="M20" s="16"/>
    </row>
    <row r="21" spans="3:13" x14ac:dyDescent="0.25">
      <c r="D21" s="28" t="s">
        <v>380</v>
      </c>
      <c r="E21">
        <f>1/2*COUTMAX*VINMAX^2*0.000001</f>
        <v>0.25401599999999996</v>
      </c>
      <c r="J21" s="72" t="s">
        <v>398</v>
      </c>
      <c r="K21" s="176" t="s">
        <v>399</v>
      </c>
      <c r="L21" s="176" t="s">
        <v>400</v>
      </c>
      <c r="M21" s="176" t="s">
        <v>401</v>
      </c>
    </row>
    <row r="22" spans="3:13" x14ac:dyDescent="0.25">
      <c r="D22" s="28" t="s">
        <v>382</v>
      </c>
      <c r="E22">
        <f>MAX(Equations!F67-E21,0)</f>
        <v>0</v>
      </c>
      <c r="I22" s="68" t="s">
        <v>402</v>
      </c>
      <c r="J22" s="68">
        <v>0.1</v>
      </c>
      <c r="K22" s="1">
        <v>1</v>
      </c>
      <c r="L22" s="16">
        <v>10</v>
      </c>
      <c r="M22" s="1">
        <v>100</v>
      </c>
    </row>
    <row r="23" spans="3:13" x14ac:dyDescent="0.25">
      <c r="D23" s="28" t="s">
        <v>383</v>
      </c>
      <c r="E23">
        <f>Equations!F66</f>
        <v>157.5</v>
      </c>
      <c r="I23" s="68" t="s">
        <v>403</v>
      </c>
      <c r="J23" s="1">
        <v>1</v>
      </c>
      <c r="K23" s="1">
        <v>10</v>
      </c>
      <c r="L23" s="16">
        <v>100</v>
      </c>
      <c r="M23" s="1">
        <v>1000</v>
      </c>
    </row>
    <row r="24" spans="3:13" x14ac:dyDescent="0.25">
      <c r="I24" s="68" t="s">
        <v>182</v>
      </c>
      <c r="J24" s="1">
        <f>SOA!C33</f>
        <v>17</v>
      </c>
      <c r="K24" s="1">
        <f>SOA!D33</f>
        <v>17</v>
      </c>
      <c r="L24" s="1">
        <f>SOA!E33</f>
        <v>1.7999999999999998</v>
      </c>
      <c r="M24" s="1">
        <f>SOA!F33</f>
        <v>0.2</v>
      </c>
    </row>
    <row r="25" spans="3:13" x14ac:dyDescent="0.25">
      <c r="D25" t="s">
        <v>189</v>
      </c>
      <c r="E25">
        <f>'Design Calculator'!F68</f>
        <v>0</v>
      </c>
      <c r="I25" s="68" t="s">
        <v>183</v>
      </c>
      <c r="J25" s="1">
        <f>SOA!C34</f>
        <v>-7.0581074285707285E-2</v>
      </c>
      <c r="K25" s="1">
        <f>SOA!D34</f>
        <v>-1.4522976709946303</v>
      </c>
      <c r="L25" s="1">
        <f>SOA!E34</f>
        <v>-0.47712125471966238</v>
      </c>
      <c r="M25" s="1">
        <f>SOA!F34</f>
        <v>0</v>
      </c>
    </row>
    <row r="26" spans="3:13" x14ac:dyDescent="0.25">
      <c r="D26" t="s">
        <v>134</v>
      </c>
      <c r="E26" t="str">
        <f>'Design Calculator'!F69</f>
        <v>Constant Current</v>
      </c>
    </row>
    <row r="27" spans="3:13" x14ac:dyDescent="0.25">
      <c r="D27" t="s">
        <v>135</v>
      </c>
      <c r="E27">
        <f>'Design Calculator'!F70</f>
        <v>0</v>
      </c>
      <c r="I27" s="145" t="s">
        <v>419</v>
      </c>
      <c r="J27" s="72" t="s">
        <v>148</v>
      </c>
    </row>
    <row r="28" spans="3:13" x14ac:dyDescent="0.25">
      <c r="G28" t="s">
        <v>417</v>
      </c>
      <c r="I28" s="3">
        <f>SUM(E58:X58)</f>
        <v>0.15291299828437604</v>
      </c>
      <c r="J28" s="3">
        <f>IF(I28=0, "NA", I28/AVERAGE(1, E32))</f>
        <v>0.17135413257197143</v>
      </c>
    </row>
    <row r="29" spans="3:13" x14ac:dyDescent="0.25">
      <c r="D29" s="28" t="s">
        <v>436</v>
      </c>
      <c r="E29">
        <f>12/1</f>
        <v>12</v>
      </c>
      <c r="G29" t="s">
        <v>418</v>
      </c>
      <c r="I29" s="3">
        <f>SUM(E59:X59)</f>
        <v>0.12</v>
      </c>
      <c r="J29" s="3">
        <f>IF(I29=0, "NA", I29*AVERAGE(1,E32))</f>
        <v>0.10708559822108767</v>
      </c>
    </row>
    <row r="30" spans="3:13" x14ac:dyDescent="0.25">
      <c r="D30" s="28" t="s">
        <v>437</v>
      </c>
      <c r="E30">
        <v>0.12</v>
      </c>
    </row>
    <row r="31" spans="3:13" x14ac:dyDescent="0.25">
      <c r="D31" s="28" t="s">
        <v>409</v>
      </c>
      <c r="E31">
        <v>20</v>
      </c>
    </row>
    <row r="32" spans="3:13" x14ac:dyDescent="0.25">
      <c r="D32" s="28" t="s">
        <v>410</v>
      </c>
      <c r="E32">
        <f>(E30/E29)^(1/(E31-1))</f>
        <v>0.78475997035146128</v>
      </c>
    </row>
    <row r="33" spans="4:24" x14ac:dyDescent="0.25">
      <c r="D33" s="28"/>
    </row>
    <row r="34" spans="4:24" x14ac:dyDescent="0.25">
      <c r="E34">
        <v>1</v>
      </c>
      <c r="F34">
        <v>2</v>
      </c>
      <c r="G34">
        <v>3</v>
      </c>
      <c r="H34">
        <v>4</v>
      </c>
      <c r="I34">
        <v>5</v>
      </c>
      <c r="J34">
        <v>6</v>
      </c>
      <c r="K34">
        <v>7</v>
      </c>
      <c r="L34">
        <v>8</v>
      </c>
      <c r="M34">
        <v>9</v>
      </c>
      <c r="N34">
        <v>10</v>
      </c>
      <c r="O34">
        <v>11</v>
      </c>
      <c r="P34">
        <v>12</v>
      </c>
      <c r="Q34">
        <v>13</v>
      </c>
      <c r="R34">
        <v>14</v>
      </c>
      <c r="S34">
        <v>15</v>
      </c>
      <c r="T34">
        <v>16</v>
      </c>
      <c r="U34">
        <v>17</v>
      </c>
      <c r="V34">
        <v>18</v>
      </c>
      <c r="W34">
        <v>19</v>
      </c>
      <c r="X34">
        <v>20</v>
      </c>
    </row>
    <row r="35" spans="4:24" x14ac:dyDescent="0.25">
      <c r="D35" s="175" t="s">
        <v>381</v>
      </c>
      <c r="E35" s="175">
        <f>E29</f>
        <v>12</v>
      </c>
      <c r="F35" s="175">
        <f>E35*$E$32</f>
        <v>9.4171196442175358</v>
      </c>
      <c r="G35" s="175">
        <f t="shared" ref="G35:X35" si="0">F35*$E$32</f>
        <v>7.3901785327923166</v>
      </c>
      <c r="H35" s="175">
        <f t="shared" si="0"/>
        <v>5.7995162862861038</v>
      </c>
      <c r="I35" s="175">
        <f t="shared" si="0"/>
        <v>4.5512282288787</v>
      </c>
      <c r="J35" s="175">
        <f t="shared" si="0"/>
        <v>3.5716217299575823</v>
      </c>
      <c r="K35" s="175">
        <f t="shared" si="0"/>
        <v>2.802865762908147</v>
      </c>
      <c r="L35" s="175">
        <f t="shared" si="0"/>
        <v>2.1995768529989235</v>
      </c>
      <c r="M35" s="175">
        <f t="shared" si="0"/>
        <v>1.7261398659451956</v>
      </c>
      <c r="N35" s="175">
        <f t="shared" si="0"/>
        <v>1.354605470021627</v>
      </c>
      <c r="O35" s="175">
        <f t="shared" si="0"/>
        <v>1.0630401484920993</v>
      </c>
      <c r="P35" s="175">
        <f t="shared" si="0"/>
        <v>0.83423135541307281</v>
      </c>
      <c r="Q35" s="175">
        <f t="shared" si="0"/>
        <v>0.65467137374022233</v>
      </c>
      <c r="R35" s="175">
        <f t="shared" si="0"/>
        <v>0.51375988784632731</v>
      </c>
      <c r="S35" s="175">
        <f t="shared" si="0"/>
        <v>0.40317819435405389</v>
      </c>
      <c r="T35" s="175">
        <f t="shared" si="0"/>
        <v>0.316398107847643</v>
      </c>
      <c r="U35" s="175">
        <f t="shared" si="0"/>
        <v>0.24829656973377476</v>
      </c>
      <c r="V35" s="175">
        <f t="shared" si="0"/>
        <v>0.19485320870264661</v>
      </c>
      <c r="W35" s="175">
        <f t="shared" si="0"/>
        <v>0.15291299828437604</v>
      </c>
      <c r="X35" s="175">
        <f t="shared" si="0"/>
        <v>0.12</v>
      </c>
    </row>
    <row r="36" spans="4:24" x14ac:dyDescent="0.25">
      <c r="D36" s="28" t="s">
        <v>384</v>
      </c>
      <c r="E36">
        <f t="shared" ref="E36:X36" si="1">VINMAX/E35</f>
        <v>2.1</v>
      </c>
      <c r="F36">
        <f t="shared" si="1"/>
        <v>2.6759774699765808</v>
      </c>
      <c r="G36">
        <f t="shared" si="1"/>
        <v>3.4099311522963158</v>
      </c>
      <c r="H36">
        <f t="shared" si="1"/>
        <v>4.3451899703410586</v>
      </c>
      <c r="I36">
        <f t="shared" si="1"/>
        <v>5.5369668873337519</v>
      </c>
      <c r="J36">
        <f t="shared" si="1"/>
        <v>7.0556184011959413</v>
      </c>
      <c r="K36">
        <f t="shared" si="1"/>
        <v>8.9907980373107268</v>
      </c>
      <c r="L36">
        <f t="shared" si="1"/>
        <v>11.456749040453888</v>
      </c>
      <c r="M36">
        <f t="shared" si="1"/>
        <v>14.599048719728771</v>
      </c>
      <c r="N36">
        <f t="shared" si="1"/>
        <v>18.603202598611734</v>
      </c>
      <c r="O36">
        <f t="shared" si="1"/>
        <v>23.705595725378465</v>
      </c>
      <c r="P36">
        <f t="shared" si="1"/>
        <v>30.207447654040916</v>
      </c>
      <c r="Q36">
        <f t="shared" si="1"/>
        <v>38.49259492748115</v>
      </c>
      <c r="R36">
        <f t="shared" si="1"/>
        <v>49.050150850892564</v>
      </c>
      <c r="S36">
        <f t="shared" si="1"/>
        <v>62.50338027425768</v>
      </c>
      <c r="T36">
        <f t="shared" si="1"/>
        <v>79.646494005377235</v>
      </c>
      <c r="U36">
        <f t="shared" si="1"/>
        <v>101.49153501000681</v>
      </c>
      <c r="V36">
        <f t="shared" si="1"/>
        <v>129.32812432386555</v>
      </c>
      <c r="W36">
        <f t="shared" si="1"/>
        <v>164.79959377380686</v>
      </c>
      <c r="X36">
        <f t="shared" si="1"/>
        <v>210</v>
      </c>
    </row>
    <row r="37" spans="4:24" x14ac:dyDescent="0.25">
      <c r="D37" s="28" t="s">
        <v>385</v>
      </c>
      <c r="E37">
        <f t="shared" ref="E37:X37" si="2">E35*COUTMAX/1000</f>
        <v>9.6</v>
      </c>
      <c r="F37">
        <f t="shared" si="2"/>
        <v>7.5336957153740283</v>
      </c>
      <c r="G37">
        <f t="shared" si="2"/>
        <v>5.9121428262338531</v>
      </c>
      <c r="H37">
        <f t="shared" si="2"/>
        <v>4.6396130290288831</v>
      </c>
      <c r="I37">
        <f t="shared" si="2"/>
        <v>3.6409825831029603</v>
      </c>
      <c r="J37">
        <f t="shared" si="2"/>
        <v>2.857297383966066</v>
      </c>
      <c r="K37">
        <f t="shared" si="2"/>
        <v>2.2422926103265177</v>
      </c>
      <c r="L37">
        <f t="shared" si="2"/>
        <v>1.7596614823991388</v>
      </c>
      <c r="M37">
        <f t="shared" si="2"/>
        <v>1.3809118927561566</v>
      </c>
      <c r="N37">
        <f t="shared" si="2"/>
        <v>1.0836843760173016</v>
      </c>
      <c r="O37">
        <f t="shared" si="2"/>
        <v>0.85043211879367941</v>
      </c>
      <c r="P37">
        <f t="shared" si="2"/>
        <v>0.66738508433045818</v>
      </c>
      <c r="Q37">
        <f t="shared" si="2"/>
        <v>0.5237370989921778</v>
      </c>
      <c r="R37">
        <f t="shared" si="2"/>
        <v>0.41100791027706185</v>
      </c>
      <c r="S37">
        <f t="shared" si="2"/>
        <v>0.32254255548324312</v>
      </c>
      <c r="T37">
        <f t="shared" si="2"/>
        <v>0.2531184862781144</v>
      </c>
      <c r="U37">
        <f t="shared" si="2"/>
        <v>0.1986372557870198</v>
      </c>
      <c r="V37">
        <f t="shared" si="2"/>
        <v>0.1558825669621173</v>
      </c>
      <c r="W37">
        <f t="shared" si="2"/>
        <v>0.12233039862750084</v>
      </c>
      <c r="X37">
        <f t="shared" si="2"/>
        <v>9.6000000000000002E-2</v>
      </c>
    </row>
    <row r="38" spans="4:24" x14ac:dyDescent="0.25">
      <c r="D38" s="28" t="s">
        <v>386</v>
      </c>
      <c r="E38">
        <f>$E$21+$E$22*E36/$E$23</f>
        <v>0.25401599999999996</v>
      </c>
      <c r="F38">
        <f>$E$21+$E$22*F36/$E$23</f>
        <v>0.25401599999999996</v>
      </c>
      <c r="G38">
        <f>$E$21+$E$22*G36/$E$23</f>
        <v>0.25401599999999996</v>
      </c>
      <c r="H38">
        <f t="shared" ref="H38:J38" si="3">$E$21+$E$22*H36/$E$23</f>
        <v>0.25401599999999996</v>
      </c>
      <c r="I38">
        <f t="shared" si="3"/>
        <v>0.25401599999999996</v>
      </c>
      <c r="J38">
        <f t="shared" si="3"/>
        <v>0.25401599999999996</v>
      </c>
      <c r="K38">
        <f>$E$21+$E$22*K36/$E$23</f>
        <v>0.25401599999999996</v>
      </c>
      <c r="L38">
        <f t="shared" ref="L38:R38" si="4">$E$21+$E$22*L36/$E$23</f>
        <v>0.25401599999999996</v>
      </c>
      <c r="M38">
        <f t="shared" si="4"/>
        <v>0.25401599999999996</v>
      </c>
      <c r="N38">
        <f t="shared" si="4"/>
        <v>0.25401599999999996</v>
      </c>
      <c r="O38">
        <f t="shared" si="4"/>
        <v>0.25401599999999996</v>
      </c>
      <c r="P38">
        <f t="shared" si="4"/>
        <v>0.25401599999999996</v>
      </c>
      <c r="Q38">
        <f t="shared" si="4"/>
        <v>0.25401599999999996</v>
      </c>
      <c r="R38">
        <f t="shared" si="4"/>
        <v>0.25401599999999996</v>
      </c>
      <c r="S38">
        <f t="shared" ref="S38:X38" si="5">$E$21+$E$22*S36/$E$23</f>
        <v>0.25401599999999996</v>
      </c>
      <c r="T38">
        <f t="shared" si="5"/>
        <v>0.25401599999999996</v>
      </c>
      <c r="U38">
        <f t="shared" si="5"/>
        <v>0.25401599999999996</v>
      </c>
      <c r="V38">
        <f t="shared" si="5"/>
        <v>0.25401599999999996</v>
      </c>
      <c r="W38">
        <f>$E$21+$E$22*W36/$E$23</f>
        <v>0.25401599999999996</v>
      </c>
      <c r="X38">
        <f t="shared" si="5"/>
        <v>0.25401599999999996</v>
      </c>
    </row>
    <row r="39" spans="4:24" x14ac:dyDescent="0.25">
      <c r="D39" s="28" t="s">
        <v>389</v>
      </c>
      <c r="E39">
        <f t="shared" ref="E39:X39" si="6">(E37+IF($E$26="Resistive",0,IF($E$25=0,$E$27,0)))*VINMAX</f>
        <v>241.92</v>
      </c>
      <c r="F39">
        <f t="shared" si="6"/>
        <v>189.8491320274255</v>
      </c>
      <c r="G39">
        <f t="shared" si="6"/>
        <v>148.9859992210931</v>
      </c>
      <c r="H39">
        <f t="shared" si="6"/>
        <v>116.91824833152785</v>
      </c>
      <c r="I39">
        <f t="shared" si="6"/>
        <v>91.752761094194597</v>
      </c>
      <c r="J39">
        <f t="shared" si="6"/>
        <v>72.003894075944856</v>
      </c>
      <c r="K39">
        <f t="shared" si="6"/>
        <v>56.505773780228246</v>
      </c>
      <c r="L39">
        <f t="shared" si="6"/>
        <v>44.343469356458293</v>
      </c>
      <c r="M39">
        <f t="shared" si="6"/>
        <v>34.798979697455145</v>
      </c>
      <c r="N39">
        <f t="shared" si="6"/>
        <v>27.308846275636</v>
      </c>
      <c r="O39">
        <f t="shared" si="6"/>
        <v>21.430889393600722</v>
      </c>
      <c r="P39">
        <f t="shared" si="6"/>
        <v>16.818104125127547</v>
      </c>
      <c r="Q39">
        <f t="shared" si="6"/>
        <v>13.198174894602881</v>
      </c>
      <c r="R39">
        <f t="shared" si="6"/>
        <v>10.357399338981958</v>
      </c>
      <c r="S39">
        <f t="shared" si="6"/>
        <v>8.1280723981777268</v>
      </c>
      <c r="T39">
        <f t="shared" si="6"/>
        <v>6.3785858542084828</v>
      </c>
      <c r="U39">
        <f t="shared" si="6"/>
        <v>5.0056588458328983</v>
      </c>
      <c r="V39">
        <f t="shared" si="6"/>
        <v>3.9282406874453559</v>
      </c>
      <c r="W39">
        <f t="shared" si="6"/>
        <v>3.082726045413021</v>
      </c>
      <c r="X39">
        <f t="shared" si="6"/>
        <v>2.4192</v>
      </c>
    </row>
    <row r="40" spans="4:24" x14ac:dyDescent="0.25">
      <c r="D40" s="28" t="s">
        <v>387</v>
      </c>
      <c r="E40">
        <f t="shared" ref="E40:X40" si="7">(E37+IF($E$26="Resistive", $E$25/$E$27,$E$27)) *(VINMAX-$E$25)</f>
        <v>241.92</v>
      </c>
      <c r="F40">
        <f t="shared" si="7"/>
        <v>189.8491320274255</v>
      </c>
      <c r="G40">
        <f t="shared" si="7"/>
        <v>148.9859992210931</v>
      </c>
      <c r="H40">
        <f t="shared" si="7"/>
        <v>116.91824833152785</v>
      </c>
      <c r="I40">
        <f t="shared" si="7"/>
        <v>91.752761094194597</v>
      </c>
      <c r="J40">
        <f t="shared" si="7"/>
        <v>72.003894075944856</v>
      </c>
      <c r="K40">
        <f t="shared" si="7"/>
        <v>56.505773780228246</v>
      </c>
      <c r="L40">
        <f t="shared" si="7"/>
        <v>44.343469356458293</v>
      </c>
      <c r="M40">
        <f t="shared" si="7"/>
        <v>34.798979697455145</v>
      </c>
      <c r="N40">
        <f t="shared" si="7"/>
        <v>27.308846275636</v>
      </c>
      <c r="O40">
        <f t="shared" si="7"/>
        <v>21.430889393600722</v>
      </c>
      <c r="P40">
        <f t="shared" si="7"/>
        <v>16.818104125127547</v>
      </c>
      <c r="Q40">
        <f t="shared" si="7"/>
        <v>13.198174894602881</v>
      </c>
      <c r="R40">
        <f t="shared" si="7"/>
        <v>10.357399338981958</v>
      </c>
      <c r="S40">
        <f t="shared" si="7"/>
        <v>8.1280723981777268</v>
      </c>
      <c r="T40">
        <f t="shared" si="7"/>
        <v>6.3785858542084828</v>
      </c>
      <c r="U40">
        <f t="shared" si="7"/>
        <v>5.0056588458328983</v>
      </c>
      <c r="V40">
        <f t="shared" si="7"/>
        <v>3.9282406874453559</v>
      </c>
      <c r="W40">
        <f t="shared" si="7"/>
        <v>3.082726045413021</v>
      </c>
      <c r="X40">
        <f t="shared" si="7"/>
        <v>2.4192</v>
      </c>
    </row>
    <row r="41" spans="4:24" x14ac:dyDescent="0.25">
      <c r="D41" s="28" t="s">
        <v>392</v>
      </c>
      <c r="E41">
        <f t="shared" ref="E41:X41" si="8">IF($E$26="Resistive", -$E$27*E37/2 + VINMAX/2, -1)</f>
        <v>-1</v>
      </c>
      <c r="F41">
        <f t="shared" si="8"/>
        <v>-1</v>
      </c>
      <c r="G41">
        <f t="shared" si="8"/>
        <v>-1</v>
      </c>
      <c r="H41">
        <f t="shared" si="8"/>
        <v>-1</v>
      </c>
      <c r="I41">
        <f t="shared" si="8"/>
        <v>-1</v>
      </c>
      <c r="J41">
        <f t="shared" si="8"/>
        <v>-1</v>
      </c>
      <c r="K41">
        <f t="shared" si="8"/>
        <v>-1</v>
      </c>
      <c r="L41">
        <f t="shared" si="8"/>
        <v>-1</v>
      </c>
      <c r="M41">
        <f t="shared" si="8"/>
        <v>-1</v>
      </c>
      <c r="N41">
        <f t="shared" si="8"/>
        <v>-1</v>
      </c>
      <c r="O41">
        <f t="shared" si="8"/>
        <v>-1</v>
      </c>
      <c r="P41">
        <f t="shared" si="8"/>
        <v>-1</v>
      </c>
      <c r="Q41">
        <f t="shared" si="8"/>
        <v>-1</v>
      </c>
      <c r="R41">
        <f t="shared" si="8"/>
        <v>-1</v>
      </c>
      <c r="S41">
        <f t="shared" si="8"/>
        <v>-1</v>
      </c>
      <c r="T41">
        <f t="shared" si="8"/>
        <v>-1</v>
      </c>
      <c r="U41">
        <f t="shared" si="8"/>
        <v>-1</v>
      </c>
      <c r="V41">
        <f t="shared" si="8"/>
        <v>-1</v>
      </c>
      <c r="W41">
        <f t="shared" si="8"/>
        <v>-1</v>
      </c>
      <c r="X41">
        <f t="shared" si="8"/>
        <v>-1</v>
      </c>
    </row>
    <row r="42" spans="4:24" x14ac:dyDescent="0.25">
      <c r="D42" s="28" t="s">
        <v>394</v>
      </c>
      <c r="E42">
        <f t="shared" ref="E42:X42" si="9">IF(AND(E41&lt;VINMAX, E41&gt;$E$25), (VINMAX-E41)*(E37+E41/$E$27), 0)</f>
        <v>0</v>
      </c>
      <c r="F42">
        <f t="shared" si="9"/>
        <v>0</v>
      </c>
      <c r="G42">
        <f t="shared" si="9"/>
        <v>0</v>
      </c>
      <c r="H42">
        <f t="shared" si="9"/>
        <v>0</v>
      </c>
      <c r="I42">
        <f t="shared" si="9"/>
        <v>0</v>
      </c>
      <c r="J42">
        <f t="shared" si="9"/>
        <v>0</v>
      </c>
      <c r="K42">
        <f t="shared" si="9"/>
        <v>0</v>
      </c>
      <c r="L42">
        <f t="shared" si="9"/>
        <v>0</v>
      </c>
      <c r="M42">
        <f t="shared" si="9"/>
        <v>0</v>
      </c>
      <c r="N42">
        <f t="shared" si="9"/>
        <v>0</v>
      </c>
      <c r="O42">
        <f t="shared" si="9"/>
        <v>0</v>
      </c>
      <c r="P42">
        <f t="shared" si="9"/>
        <v>0</v>
      </c>
      <c r="Q42">
        <f t="shared" si="9"/>
        <v>0</v>
      </c>
      <c r="R42">
        <f t="shared" si="9"/>
        <v>0</v>
      </c>
      <c r="S42">
        <f t="shared" si="9"/>
        <v>0</v>
      </c>
      <c r="T42">
        <f t="shared" si="9"/>
        <v>0</v>
      </c>
      <c r="U42">
        <f t="shared" si="9"/>
        <v>0</v>
      </c>
      <c r="V42">
        <f t="shared" si="9"/>
        <v>0</v>
      </c>
      <c r="W42">
        <f t="shared" si="9"/>
        <v>0</v>
      </c>
      <c r="X42">
        <f t="shared" si="9"/>
        <v>0</v>
      </c>
    </row>
    <row r="44" spans="4:24" x14ac:dyDescent="0.25">
      <c r="D44" s="28" t="s">
        <v>395</v>
      </c>
      <c r="E44">
        <f>MAX(E39,E40,E42)</f>
        <v>241.92</v>
      </c>
      <c r="F44">
        <f>MAX(F39,F40,F42)</f>
        <v>189.8491320274255</v>
      </c>
      <c r="G44">
        <f>MAX(G39,G40,G42)</f>
        <v>148.9859992210931</v>
      </c>
      <c r="H44">
        <f t="shared" ref="H44:J44" si="10">MAX(H39,H40,H42)</f>
        <v>116.91824833152785</v>
      </c>
      <c r="I44">
        <f t="shared" si="10"/>
        <v>91.752761094194597</v>
      </c>
      <c r="J44">
        <f t="shared" si="10"/>
        <v>72.003894075944856</v>
      </c>
      <c r="K44">
        <f>MAX(K39,K40,K42)</f>
        <v>56.505773780228246</v>
      </c>
      <c r="L44">
        <f t="shared" ref="L44:R44" si="11">MAX(L39,L40,L42)</f>
        <v>44.343469356458293</v>
      </c>
      <c r="M44">
        <f t="shared" si="11"/>
        <v>34.798979697455145</v>
      </c>
      <c r="N44">
        <f t="shared" si="11"/>
        <v>27.308846275636</v>
      </c>
      <c r="O44">
        <f t="shared" si="11"/>
        <v>21.430889393600722</v>
      </c>
      <c r="P44">
        <f t="shared" si="11"/>
        <v>16.818104125127547</v>
      </c>
      <c r="Q44">
        <f t="shared" si="11"/>
        <v>13.198174894602881</v>
      </c>
      <c r="R44">
        <f t="shared" si="11"/>
        <v>10.357399338981958</v>
      </c>
      <c r="S44">
        <f t="shared" ref="S44:X44" si="12">MAX(S39,S40,S42)</f>
        <v>8.1280723981777268</v>
      </c>
      <c r="T44">
        <f t="shared" si="12"/>
        <v>6.3785858542084828</v>
      </c>
      <c r="U44">
        <f t="shared" si="12"/>
        <v>5.0056588458328983</v>
      </c>
      <c r="V44">
        <f t="shared" si="12"/>
        <v>3.9282406874453559</v>
      </c>
      <c r="W44">
        <f t="shared" si="12"/>
        <v>3.082726045413021</v>
      </c>
      <c r="X44">
        <f t="shared" si="12"/>
        <v>2.4192</v>
      </c>
    </row>
    <row r="45" spans="4:24" x14ac:dyDescent="0.25">
      <c r="D45" s="28" t="s">
        <v>396</v>
      </c>
      <c r="E45">
        <f>E38/E44*1000</f>
        <v>1.05</v>
      </c>
      <c r="F45">
        <f>F38/F44*1000</f>
        <v>1.3379887349882904</v>
      </c>
      <c r="G45">
        <f>G38/G44*1000</f>
        <v>1.7049655761481577</v>
      </c>
      <c r="H45">
        <f t="shared" ref="H45:J45" si="13">H38/H44*1000</f>
        <v>2.1725949851705288</v>
      </c>
      <c r="I45">
        <f t="shared" si="13"/>
        <v>2.7684834436668755</v>
      </c>
      <c r="J45">
        <f t="shared" si="13"/>
        <v>3.5278092005979702</v>
      </c>
      <c r="K45">
        <f>K38/K44*1000</f>
        <v>4.4953990186553625</v>
      </c>
      <c r="L45">
        <f t="shared" ref="L45" si="14">L38/L44*1000</f>
        <v>5.7283745202269438</v>
      </c>
      <c r="M45">
        <f t="shared" ref="M45:N45" si="15">M38/M44*1000</f>
        <v>7.2995243598643835</v>
      </c>
      <c r="N45">
        <f t="shared" si="15"/>
        <v>9.301601299305867</v>
      </c>
      <c r="O45">
        <f t="shared" ref="O45" si="16">O38/O44*1000</f>
        <v>11.852797862689231</v>
      </c>
      <c r="P45">
        <f t="shared" ref="P45" si="17">P38/P44*1000</f>
        <v>15.103723827020456</v>
      </c>
      <c r="Q45">
        <f t="shared" ref="Q45:R45" si="18">Q38/Q44*1000</f>
        <v>19.246297463740575</v>
      </c>
      <c r="R45">
        <f t="shared" si="18"/>
        <v>24.525075425446278</v>
      </c>
      <c r="S45">
        <f t="shared" ref="S45" si="19">S38/S44*1000</f>
        <v>31.251690137128836</v>
      </c>
      <c r="T45">
        <f t="shared" ref="T45:U45" si="20">T38/T44*1000</f>
        <v>39.823247002688611</v>
      </c>
      <c r="U45">
        <f t="shared" si="20"/>
        <v>50.745767505003414</v>
      </c>
      <c r="V45">
        <f t="shared" ref="V45" si="21">V38/V44*1000</f>
        <v>64.664062161932748</v>
      </c>
      <c r="W45">
        <f t="shared" ref="W45" si="22">W38/W44*1000</f>
        <v>82.399796886903417</v>
      </c>
      <c r="X45">
        <f t="shared" ref="X45" si="23">X38/X44*1000</f>
        <v>104.99999999999999</v>
      </c>
    </row>
    <row r="47" spans="4:24" x14ac:dyDescent="0.25">
      <c r="D47" s="28" t="s">
        <v>182</v>
      </c>
      <c r="E47">
        <f>IF(E45&lt;$J$23,$J$24,IF(E45&lt;$K$23,$K$24,IF(E45&lt;$L$23,$L$24,$M$24)))</f>
        <v>17</v>
      </c>
      <c r="F47">
        <f>IF(F45&lt;$J$23,$J$24,IF(F45&lt;$K$23,$K$24,IF(F45&lt;$L$23,$L$24,$M$24)))</f>
        <v>17</v>
      </c>
      <c r="G47">
        <f>IF(G45&lt;$J$23,$J$24,IF(G45&lt;$K$23,$K$24,IF(G45&lt;$L$23,$L$24,$M$24)))</f>
        <v>17</v>
      </c>
      <c r="H47">
        <f t="shared" ref="H47:I47" si="24">IF(H45&lt;$J$23,$J$24,IF(H45&lt;$K$23,$K$24,IF(H45&lt;$L$23,$L$24,$M$24)))</f>
        <v>17</v>
      </c>
      <c r="I47">
        <f t="shared" si="24"/>
        <v>17</v>
      </c>
      <c r="J47">
        <f>IF(J45&lt;$J$23,$J$24,IF(J45&lt;$K$23,$K$24,IF(J45&lt;$L$23,$L$24,$M$24)))</f>
        <v>17</v>
      </c>
      <c r="K47">
        <f>IF(K45&lt;$J$23,$J$24,IF(K45&lt;$K$23,$K$24,IF(K45&lt;$L$23,$L$24,$M$24)))</f>
        <v>17</v>
      </c>
      <c r="L47">
        <f t="shared" ref="L47:R47" si="25">IF(L45&lt;$J$23,$J$24,IF(L45&lt;$K$23,$K$24,IF(L45&lt;$L$23,$L$24,$M$24)))</f>
        <v>17</v>
      </c>
      <c r="M47">
        <f t="shared" si="25"/>
        <v>17</v>
      </c>
      <c r="N47">
        <f t="shared" si="25"/>
        <v>17</v>
      </c>
      <c r="O47">
        <f t="shared" si="25"/>
        <v>1.7999999999999998</v>
      </c>
      <c r="P47">
        <f t="shared" si="25"/>
        <v>1.7999999999999998</v>
      </c>
      <c r="Q47">
        <f t="shared" si="25"/>
        <v>1.7999999999999998</v>
      </c>
      <c r="R47">
        <f t="shared" si="25"/>
        <v>1.7999999999999998</v>
      </c>
      <c r="S47">
        <f t="shared" ref="S47:X47" si="26">IF(S45&lt;$J$23,$J$24,IF(S45&lt;$K$23,$K$24,IF(S45&lt;$L$23,$L$24,$M$24)))</f>
        <v>1.7999999999999998</v>
      </c>
      <c r="T47">
        <f t="shared" si="26"/>
        <v>1.7999999999999998</v>
      </c>
      <c r="U47">
        <f t="shared" si="26"/>
        <v>1.7999999999999998</v>
      </c>
      <c r="V47">
        <f t="shared" si="26"/>
        <v>1.7999999999999998</v>
      </c>
      <c r="W47">
        <f t="shared" si="26"/>
        <v>1.7999999999999998</v>
      </c>
      <c r="X47">
        <f t="shared" si="26"/>
        <v>0.2</v>
      </c>
    </row>
    <row r="48" spans="4:24" x14ac:dyDescent="0.25">
      <c r="D48" s="28" t="s">
        <v>183</v>
      </c>
      <c r="E48">
        <f>IF(E45&lt;$J$23,$J$25,IF(E45&lt;$K$23,$K$25,IF(E45&lt;$L$23,$L$25,$M$25)))</f>
        <v>-1.4522976709946303</v>
      </c>
      <c r="F48">
        <f>IF(F45&lt;$J$23,$J$25,IF(F45&lt;$K$23,$K$25,IF(F45&lt;$L$23,$L$25,$M$25)))</f>
        <v>-1.4522976709946303</v>
      </c>
      <c r="G48">
        <f>IF(G45&lt;$J$23,$J$25,IF(G45&lt;$K$23,$K$25,IF(G45&lt;$L$23,$L$25,$M$25)))</f>
        <v>-1.4522976709946303</v>
      </c>
      <c r="H48">
        <f t="shared" ref="H48:J48" si="27">IF(H45&lt;$J$23,$J$25,IF(H45&lt;$K$23,$K$25,IF(H45&lt;$L$23,$L$25,$M$25)))</f>
        <v>-1.4522976709946303</v>
      </c>
      <c r="I48">
        <f t="shared" si="27"/>
        <v>-1.4522976709946303</v>
      </c>
      <c r="J48">
        <f t="shared" si="27"/>
        <v>-1.4522976709946303</v>
      </c>
      <c r="K48">
        <f>IF(K45&lt;$J$23,$J$25,IF(K45&lt;$K$23,$K$25,IF(K45&lt;$L$23,$L$25,$M$25)))</f>
        <v>-1.4522976709946303</v>
      </c>
      <c r="L48">
        <f t="shared" ref="L48:R48" si="28">IF(L45&lt;$J$23,$J$25,IF(L45&lt;$K$23,$K$25,IF(L45&lt;$L$23,$L$25,$M$25)))</f>
        <v>-1.4522976709946303</v>
      </c>
      <c r="M48">
        <f t="shared" si="28"/>
        <v>-1.4522976709946303</v>
      </c>
      <c r="N48">
        <f t="shared" si="28"/>
        <v>-1.4522976709946303</v>
      </c>
      <c r="O48">
        <f t="shared" si="28"/>
        <v>-0.47712125471966238</v>
      </c>
      <c r="P48">
        <f t="shared" si="28"/>
        <v>-0.47712125471966238</v>
      </c>
      <c r="Q48">
        <f t="shared" si="28"/>
        <v>-0.47712125471966238</v>
      </c>
      <c r="R48">
        <f t="shared" si="28"/>
        <v>-0.47712125471966238</v>
      </c>
      <c r="S48">
        <f t="shared" ref="S48:X48" si="29">IF(S45&lt;$J$23,$J$25,IF(S45&lt;$K$23,$K$25,IF(S45&lt;$L$23,$L$25,$M$25)))</f>
        <v>-0.47712125471966238</v>
      </c>
      <c r="T48">
        <f t="shared" si="29"/>
        <v>-0.47712125471966238</v>
      </c>
      <c r="U48">
        <f t="shared" si="29"/>
        <v>-0.47712125471966238</v>
      </c>
      <c r="V48">
        <f t="shared" si="29"/>
        <v>-0.47712125471966238</v>
      </c>
      <c r="W48">
        <f t="shared" si="29"/>
        <v>-0.47712125471966238</v>
      </c>
      <c r="X48">
        <f t="shared" si="29"/>
        <v>0</v>
      </c>
    </row>
    <row r="50" spans="4:25" x14ac:dyDescent="0.25">
      <c r="D50" s="28" t="s">
        <v>404</v>
      </c>
      <c r="E50">
        <f t="shared" ref="E50:X50" si="30">E47*E45^E48*VINMAX</f>
        <v>399.09500518627783</v>
      </c>
      <c r="F50">
        <f t="shared" si="30"/>
        <v>280.67443263346757</v>
      </c>
      <c r="G50">
        <f t="shared" si="30"/>
        <v>197.3919395391811</v>
      </c>
      <c r="H50">
        <f t="shared" si="30"/>
        <v>138.82125788750491</v>
      </c>
      <c r="I50">
        <f t="shared" si="30"/>
        <v>97.629830713750579</v>
      </c>
      <c r="J50">
        <f>J47*J45^J48*VINMAX</f>
        <v>68.660837614074964</v>
      </c>
      <c r="K50">
        <f t="shared" si="30"/>
        <v>48.287604182052426</v>
      </c>
      <c r="L50">
        <f t="shared" si="30"/>
        <v>33.959572860855772</v>
      </c>
      <c r="M50">
        <f t="shared" si="30"/>
        <v>23.882994578563377</v>
      </c>
      <c r="N50">
        <f t="shared" si="30"/>
        <v>16.796366443618261</v>
      </c>
      <c r="O50">
        <f t="shared" si="30"/>
        <v>13.94216702528349</v>
      </c>
      <c r="P50">
        <f t="shared" si="30"/>
        <v>12.419582343397508</v>
      </c>
      <c r="Q50">
        <f t="shared" si="30"/>
        <v>11.06327483415691</v>
      </c>
      <c r="R50">
        <f t="shared" si="30"/>
        <v>9.8550858371785584</v>
      </c>
      <c r="S50">
        <f t="shared" si="30"/>
        <v>8.7788397480915208</v>
      </c>
      <c r="T50">
        <f t="shared" si="30"/>
        <v>7.8201274545910708</v>
      </c>
      <c r="U50">
        <f t="shared" si="30"/>
        <v>6.9661134228294417</v>
      </c>
      <c r="V50">
        <f t="shared" si="30"/>
        <v>6.205363851357089</v>
      </c>
      <c r="W50">
        <f>W47*W45^W48*VINMAX</f>
        <v>5.5276935918865595</v>
      </c>
      <c r="X50">
        <f t="shared" si="30"/>
        <v>5.04</v>
      </c>
    </row>
    <row r="51" spans="4:25" x14ac:dyDescent="0.25">
      <c r="D51" s="28" t="s">
        <v>405</v>
      </c>
      <c r="E51">
        <f t="shared" ref="E51:X51" si="31">E50*(TJMAX-$E$19)/(TJMAX - 25)</f>
        <v>345.88233782810744</v>
      </c>
      <c r="F51">
        <f t="shared" si="31"/>
        <v>243.25117494900522</v>
      </c>
      <c r="G51">
        <f t="shared" si="31"/>
        <v>171.07301426729026</v>
      </c>
      <c r="H51">
        <f t="shared" si="31"/>
        <v>120.31175683583758</v>
      </c>
      <c r="I51">
        <f t="shared" si="31"/>
        <v>84.612519951917164</v>
      </c>
      <c r="J51">
        <f t="shared" si="31"/>
        <v>59.506059265531633</v>
      </c>
      <c r="K51">
        <f t="shared" si="31"/>
        <v>41.849256957778771</v>
      </c>
      <c r="L51">
        <f t="shared" si="31"/>
        <v>29.431629812741665</v>
      </c>
      <c r="M51">
        <f t="shared" si="31"/>
        <v>20.698595301421591</v>
      </c>
      <c r="N51">
        <f t="shared" si="31"/>
        <v>14.556850917802494</v>
      </c>
      <c r="O51">
        <f t="shared" si="31"/>
        <v>12.08321142191236</v>
      </c>
      <c r="P51">
        <f t="shared" si="31"/>
        <v>10.763638030944506</v>
      </c>
      <c r="Q51">
        <f t="shared" si="31"/>
        <v>9.5881715229359887</v>
      </c>
      <c r="R51">
        <f t="shared" si="31"/>
        <v>8.5410743922214163</v>
      </c>
      <c r="S51">
        <f t="shared" si="31"/>
        <v>7.6083277816793178</v>
      </c>
      <c r="T51">
        <f t="shared" si="31"/>
        <v>6.7774437939789278</v>
      </c>
      <c r="U51">
        <f t="shared" si="31"/>
        <v>6.0372982997855162</v>
      </c>
      <c r="V51">
        <f t="shared" si="31"/>
        <v>5.3779820045094775</v>
      </c>
      <c r="W51">
        <f t="shared" si="31"/>
        <v>4.7906677796350179</v>
      </c>
      <c r="X51">
        <f t="shared" si="31"/>
        <v>4.3680000000000003</v>
      </c>
    </row>
    <row r="52" spans="4:25" x14ac:dyDescent="0.25">
      <c r="D52" s="28" t="s">
        <v>407</v>
      </c>
      <c r="E52">
        <f>E51/E44</f>
        <v>1.4297384996201532</v>
      </c>
      <c r="F52">
        <f>F51/F44</f>
        <v>1.2812867372702303</v>
      </c>
      <c r="G52">
        <f>G51/G44</f>
        <v>1.1482489305147416</v>
      </c>
      <c r="H52">
        <f t="shared" ref="H52:J52" si="32">H51/H44</f>
        <v>1.0290246266321683</v>
      </c>
      <c r="I52">
        <f t="shared" si="32"/>
        <v>0.92217955016146957</v>
      </c>
      <c r="J52">
        <f t="shared" si="32"/>
        <v>0.8264283484830508</v>
      </c>
      <c r="K52">
        <f>K51/K44</f>
        <v>0.74061912895036064</v>
      </c>
      <c r="L52">
        <f t="shared" ref="L52" si="33">L51/L44</f>
        <v>0.66371960155289855</v>
      </c>
      <c r="M52">
        <f t="shared" ref="M52:N52" si="34">M51/M44</f>
        <v>0.59480466040604296</v>
      </c>
      <c r="N52">
        <f t="shared" si="34"/>
        <v>0.53304525467227848</v>
      </c>
      <c r="O52">
        <f t="shared" ref="O52" si="35">O51/O44</f>
        <v>0.56382221008151046</v>
      </c>
      <c r="P52">
        <f t="shared" ref="P52" si="36">P51/P44</f>
        <v>0.64000305568704374</v>
      </c>
      <c r="Q52">
        <f t="shared" ref="Q52:R52" si="37">Q51/Q44</f>
        <v>0.72647707728565347</v>
      </c>
      <c r="R52">
        <f t="shared" si="37"/>
        <v>0.82463503749203992</v>
      </c>
      <c r="S52">
        <f t="shared" ref="S52" si="38">S51/S44</f>
        <v>0.93605561183055741</v>
      </c>
      <c r="T52">
        <f t="shared" ref="T52:U52" si="39">T51/T44</f>
        <v>1.0625307785905689</v>
      </c>
      <c r="U52">
        <f t="shared" si="39"/>
        <v>1.206094639232443</v>
      </c>
      <c r="V52">
        <f t="shared" ref="V52" si="40">V51/V44</f>
        <v>1.3690561328631135</v>
      </c>
      <c r="W52">
        <f t="shared" ref="W52" si="41">W51/W44</f>
        <v>1.5540361709284383</v>
      </c>
      <c r="X52">
        <f t="shared" ref="X52" si="42">X51/X44</f>
        <v>1.8055555555555556</v>
      </c>
    </row>
    <row r="54" spans="4:25" x14ac:dyDescent="0.25">
      <c r="D54" s="28" t="s">
        <v>411</v>
      </c>
      <c r="E54" t="str">
        <f>IF(E52&gt;$E$20, "Y", "N")</f>
        <v>N</v>
      </c>
      <c r="F54" t="str">
        <f t="shared" ref="F54:X54" si="43">IF(F52&gt;$E$20, "Y", "N")</f>
        <v>N</v>
      </c>
      <c r="G54" t="str">
        <f t="shared" si="43"/>
        <v>N</v>
      </c>
      <c r="H54" t="str">
        <f t="shared" si="43"/>
        <v>N</v>
      </c>
      <c r="I54" t="str">
        <f t="shared" si="43"/>
        <v>N</v>
      </c>
      <c r="J54" t="str">
        <f t="shared" si="43"/>
        <v>N</v>
      </c>
      <c r="K54" t="str">
        <f t="shared" si="43"/>
        <v>N</v>
      </c>
      <c r="L54" t="str">
        <f t="shared" si="43"/>
        <v>N</v>
      </c>
      <c r="M54" t="str">
        <f t="shared" si="43"/>
        <v>N</v>
      </c>
      <c r="N54" t="str">
        <f t="shared" si="43"/>
        <v>N</v>
      </c>
      <c r="O54" t="str">
        <f t="shared" si="43"/>
        <v>N</v>
      </c>
      <c r="P54" t="str">
        <f t="shared" si="43"/>
        <v>N</v>
      </c>
      <c r="Q54" t="str">
        <f t="shared" si="43"/>
        <v>N</v>
      </c>
      <c r="R54" t="str">
        <f t="shared" si="43"/>
        <v>N</v>
      </c>
      <c r="S54" t="str">
        <f t="shared" si="43"/>
        <v>N</v>
      </c>
      <c r="T54" t="str">
        <f t="shared" si="43"/>
        <v>N</v>
      </c>
      <c r="U54" t="str">
        <f t="shared" si="43"/>
        <v>N</v>
      </c>
      <c r="V54" t="str">
        <f t="shared" si="43"/>
        <v>N</v>
      </c>
      <c r="W54" t="str">
        <f t="shared" si="43"/>
        <v>Y</v>
      </c>
      <c r="X54" t="str">
        <f t="shared" si="43"/>
        <v>Y</v>
      </c>
      <c r="Y54" t="s">
        <v>414</v>
      </c>
    </row>
    <row r="55" spans="4:25" x14ac:dyDescent="0.25">
      <c r="D55" s="28" t="s">
        <v>412</v>
      </c>
      <c r="E55">
        <f>IF(E54="Y", 1, 0)</f>
        <v>0</v>
      </c>
      <c r="F55">
        <f>IF(AND(F54="Y", E54="N"),  1, 0)</f>
        <v>0</v>
      </c>
      <c r="G55">
        <f t="shared" ref="G55:X55" si="44">IF(AND(G54="Y", F54="N"),  1, 0)</f>
        <v>0</v>
      </c>
      <c r="H55">
        <f t="shared" si="44"/>
        <v>0</v>
      </c>
      <c r="I55">
        <f t="shared" si="44"/>
        <v>0</v>
      </c>
      <c r="J55">
        <f t="shared" si="44"/>
        <v>0</v>
      </c>
      <c r="K55">
        <f t="shared" si="44"/>
        <v>0</v>
      </c>
      <c r="L55">
        <f t="shared" si="44"/>
        <v>0</v>
      </c>
      <c r="M55">
        <f t="shared" si="44"/>
        <v>0</v>
      </c>
      <c r="N55">
        <f t="shared" si="44"/>
        <v>0</v>
      </c>
      <c r="O55">
        <f t="shared" si="44"/>
        <v>0</v>
      </c>
      <c r="P55">
        <f t="shared" si="44"/>
        <v>0</v>
      </c>
      <c r="Q55">
        <f t="shared" si="44"/>
        <v>0</v>
      </c>
      <c r="R55">
        <f t="shared" si="44"/>
        <v>0</v>
      </c>
      <c r="S55">
        <f t="shared" si="44"/>
        <v>0</v>
      </c>
      <c r="T55">
        <f t="shared" si="44"/>
        <v>0</v>
      </c>
      <c r="U55">
        <f t="shared" si="44"/>
        <v>0</v>
      </c>
      <c r="V55">
        <f t="shared" si="44"/>
        <v>0</v>
      </c>
      <c r="W55">
        <f t="shared" si="44"/>
        <v>1</v>
      </c>
      <c r="X55">
        <f t="shared" si="44"/>
        <v>0</v>
      </c>
    </row>
    <row r="56" spans="4:25" x14ac:dyDescent="0.25">
      <c r="D56" s="28" t="s">
        <v>413</v>
      </c>
      <c r="E56">
        <v>0</v>
      </c>
      <c r="F56">
        <f>IF(AND(F54="Y", G54="N"),  1, 0)</f>
        <v>0</v>
      </c>
      <c r="G56">
        <f t="shared" ref="G56:X56" si="45">IF(AND(G54="Y", H54="N"),  1, 0)</f>
        <v>0</v>
      </c>
      <c r="H56">
        <f t="shared" si="45"/>
        <v>0</v>
      </c>
      <c r="I56">
        <f t="shared" si="45"/>
        <v>0</v>
      </c>
      <c r="J56">
        <f t="shared" si="45"/>
        <v>0</v>
      </c>
      <c r="K56">
        <f t="shared" si="45"/>
        <v>0</v>
      </c>
      <c r="L56">
        <f t="shared" si="45"/>
        <v>0</v>
      </c>
      <c r="M56">
        <f t="shared" si="45"/>
        <v>0</v>
      </c>
      <c r="N56">
        <f t="shared" si="45"/>
        <v>0</v>
      </c>
      <c r="O56">
        <f t="shared" si="45"/>
        <v>0</v>
      </c>
      <c r="P56">
        <f t="shared" si="45"/>
        <v>0</v>
      </c>
      <c r="Q56">
        <f t="shared" si="45"/>
        <v>0</v>
      </c>
      <c r="R56">
        <f t="shared" si="45"/>
        <v>0</v>
      </c>
      <c r="S56">
        <f t="shared" si="45"/>
        <v>0</v>
      </c>
      <c r="T56">
        <f t="shared" si="45"/>
        <v>0</v>
      </c>
      <c r="U56">
        <f t="shared" si="45"/>
        <v>0</v>
      </c>
      <c r="V56">
        <f t="shared" si="45"/>
        <v>0</v>
      </c>
      <c r="W56">
        <f t="shared" si="45"/>
        <v>0</v>
      </c>
      <c r="X56">
        <f t="shared" si="45"/>
        <v>1</v>
      </c>
    </row>
    <row r="58" spans="4:25" x14ac:dyDescent="0.25">
      <c r="D58" t="s">
        <v>415</v>
      </c>
      <c r="E58">
        <f>E55*E35</f>
        <v>0</v>
      </c>
      <c r="F58">
        <f t="shared" ref="F58:X58" si="46">F55*F35</f>
        <v>0</v>
      </c>
      <c r="G58">
        <f t="shared" si="46"/>
        <v>0</v>
      </c>
      <c r="H58">
        <f t="shared" si="46"/>
        <v>0</v>
      </c>
      <c r="I58">
        <f t="shared" si="46"/>
        <v>0</v>
      </c>
      <c r="J58">
        <f t="shared" si="46"/>
        <v>0</v>
      </c>
      <c r="K58">
        <f t="shared" si="46"/>
        <v>0</v>
      </c>
      <c r="L58">
        <f t="shared" si="46"/>
        <v>0</v>
      </c>
      <c r="M58">
        <f t="shared" si="46"/>
        <v>0</v>
      </c>
      <c r="N58">
        <f t="shared" si="46"/>
        <v>0</v>
      </c>
      <c r="O58">
        <f t="shared" si="46"/>
        <v>0</v>
      </c>
      <c r="P58">
        <f t="shared" si="46"/>
        <v>0</v>
      </c>
      <c r="Q58">
        <f t="shared" si="46"/>
        <v>0</v>
      </c>
      <c r="R58">
        <f t="shared" si="46"/>
        <v>0</v>
      </c>
      <c r="S58">
        <f t="shared" si="46"/>
        <v>0</v>
      </c>
      <c r="T58">
        <f t="shared" si="46"/>
        <v>0</v>
      </c>
      <c r="U58">
        <f t="shared" si="46"/>
        <v>0</v>
      </c>
      <c r="V58">
        <f t="shared" si="46"/>
        <v>0</v>
      </c>
      <c r="W58">
        <f t="shared" si="46"/>
        <v>0.15291299828437604</v>
      </c>
      <c r="X58">
        <f t="shared" si="46"/>
        <v>0</v>
      </c>
    </row>
    <row r="59" spans="4:25" x14ac:dyDescent="0.25">
      <c r="D59" t="s">
        <v>416</v>
      </c>
      <c r="E59">
        <f>E35*E56</f>
        <v>0</v>
      </c>
      <c r="F59">
        <f t="shared" ref="F59:X59" si="47">F35*F56</f>
        <v>0</v>
      </c>
      <c r="G59">
        <f t="shared" si="47"/>
        <v>0</v>
      </c>
      <c r="H59">
        <f t="shared" si="47"/>
        <v>0</v>
      </c>
      <c r="I59">
        <f t="shared" si="47"/>
        <v>0</v>
      </c>
      <c r="J59">
        <f t="shared" si="47"/>
        <v>0</v>
      </c>
      <c r="K59">
        <f t="shared" si="47"/>
        <v>0</v>
      </c>
      <c r="L59">
        <f t="shared" si="47"/>
        <v>0</v>
      </c>
      <c r="M59">
        <f t="shared" si="47"/>
        <v>0</v>
      </c>
      <c r="N59">
        <f t="shared" si="47"/>
        <v>0</v>
      </c>
      <c r="O59">
        <f t="shared" si="47"/>
        <v>0</v>
      </c>
      <c r="P59">
        <f t="shared" si="47"/>
        <v>0</v>
      </c>
      <c r="Q59">
        <f t="shared" si="47"/>
        <v>0</v>
      </c>
      <c r="R59">
        <f t="shared" si="47"/>
        <v>0</v>
      </c>
      <c r="S59">
        <f t="shared" si="47"/>
        <v>0</v>
      </c>
      <c r="T59">
        <f t="shared" si="47"/>
        <v>0</v>
      </c>
      <c r="U59">
        <f t="shared" si="47"/>
        <v>0</v>
      </c>
      <c r="V59">
        <f t="shared" si="47"/>
        <v>0</v>
      </c>
      <c r="W59">
        <f t="shared" si="47"/>
        <v>0</v>
      </c>
      <c r="X59">
        <f t="shared" si="47"/>
        <v>0.12</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792D54-93DE-44B5-8029-9C9ACFC0E2BA}">
  <ds:schemaRefs>
    <ds:schemaRef ds:uri="http://schemas.microsoft.com/sharepoint/v3/contenttype/forms"/>
  </ds:schemaRefs>
</ds:datastoreItem>
</file>

<file path=customXml/itemProps2.xml><?xml version="1.0" encoding="utf-8"?>
<ds:datastoreItem xmlns:ds="http://schemas.openxmlformats.org/officeDocument/2006/customXml" ds:itemID="{6075DB13-C899-42C1-B546-04A99F6A6EC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50E0136-3BAD-49BB-8AF7-407A6C7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Instructions</vt:lpstr>
      <vt:lpstr>Design Calculator</vt:lpstr>
      <vt:lpstr>Device Parameters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TINSERT</vt:lpstr>
      <vt:lpstr>TINSERTMAX</vt:lpstr>
      <vt:lpstr>TINSERTMIN</vt:lpstr>
      <vt:lpstr>TJ</vt:lpstr>
      <vt:lpstr>TJMAX</vt:lpstr>
      <vt:lpstr>TSTARTMAX</vt:lpstr>
      <vt:lpstr>TSTARTMIN</vt:lpstr>
      <vt:lpstr>TSTARTNOM</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LM5069</dc:title>
  <dc:creator>a-rogachev@ti.com</dc:creator>
  <cp:lastModifiedBy>Stuckey, William M</cp:lastModifiedBy>
  <cp:lastPrinted>2013-08-26T22:42:43Z</cp:lastPrinted>
  <dcterms:created xsi:type="dcterms:W3CDTF">2009-04-21T16:00:33Z</dcterms:created>
  <dcterms:modified xsi:type="dcterms:W3CDTF">2024-11-04T03:12:27Z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