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7990" yWindow="-10965" windowWidth="28110" windowHeight="16440" tabRatio="600" firstSheet="0" activeTab="5" autoFilterDateGrouping="1"/>
  </bookViews>
  <sheets>
    <sheet name="Database" sheetId="1" state="visible" r:id="rId1"/>
    <sheet name="Assym_DB" sheetId="2" state="visible" r:id="rId2"/>
    <sheet name="Boxed_Up_DB" sheetId="3" state="visible" r:id="rId3"/>
    <sheet name="Rec_Tube_DB" sheetId="4" state="visible" r:id="rId4"/>
    <sheet name="Circular_Tube_DB" sheetId="5" state="visible" r:id="rId5"/>
    <sheet name="Beam_Check" sheetId="6" state="visible" r:id="rId6"/>
    <sheet name="Database_2" sheetId="7" state="hidden" r:id="rId7"/>
  </sheets>
  <definedNames>
    <definedName name="PICTURE" localSheetId="5">INDIRECT(#REF!)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theme="1"/>
      <sz val="9.6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i val="1"/>
      <color theme="4"/>
      <sz val="6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sz val="10"/>
      <scheme val="minor"/>
    </font>
    <font>
      <name val="Times New Roman"/>
      <family val="1"/>
      <b val="1"/>
      <color theme="1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theme="1"/>
      <sz val="10"/>
      <vertAlign val="superscript"/>
      <scheme val="minor"/>
    </font>
    <font>
      <name val="Calibri"/>
      <family val="2"/>
      <sz val="10"/>
      <vertAlign val="superscript"/>
      <scheme val="minor"/>
    </font>
    <font>
      <name val="Calibri"/>
      <family val="2"/>
      <b val="1"/>
      <color theme="1"/>
      <sz val="10"/>
      <vertAlign val="subscript"/>
      <scheme val="minor"/>
    </font>
    <font>
      <name val="Calibri"/>
      <family val="2"/>
      <b val="1"/>
      <sz val="10"/>
      <vertAlign val="subscript"/>
      <scheme val="minor"/>
    </font>
    <font>
      <name val="Calibri"/>
      <family val="2"/>
      <b val="1"/>
      <color rgb="FF000000"/>
      <sz val="10"/>
      <vertAlign val="subscript"/>
      <scheme val="minor"/>
    </font>
    <font>
      <name val="Times New Roman"/>
      <family val="1"/>
      <b val="1"/>
      <color theme="1"/>
      <sz val="10"/>
      <vertAlign val="subscript"/>
    </font>
    <font>
      <name val="Times New Roman"/>
      <family val="1"/>
      <b val="1"/>
      <sz val="10"/>
      <vertAlign val="subscript"/>
    </font>
    <font>
      <name val="Calibri"/>
      <family val="2"/>
      <b val="1"/>
      <color theme="1"/>
      <sz val="11"/>
      <vertAlign val="superscript"/>
      <scheme val="minor"/>
    </font>
    <font>
      <name val="Times New Roman"/>
      <family val="1"/>
      <b val="1"/>
      <sz val="10"/>
      <vertAlign val="superscript"/>
    </font>
    <font>
      <name val="Calibri"/>
      <family val="2"/>
      <sz val="8"/>
      <scheme val="minor"/>
    </font>
    <font>
      <name val="Calibri"/>
      <family val="2"/>
      <b val="1"/>
      <color theme="1"/>
      <sz val="11"/>
      <vertAlign val="subscript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vertAlign val="subscript"/>
      <scheme val="minor"/>
    </font>
    <font>
      <name val="Calibri"/>
      <family val="2"/>
      <color theme="1"/>
      <sz val="10"/>
      <vertAlign val="subscript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3" fontId="0" fillId="0" borderId="0" applyAlignment="1" pivotButton="0" quotePrefix="0" xfId="0">
      <alignment horizontal="center"/>
    </xf>
    <xf numFmtId="0" fontId="3" fillId="0" borderId="1" pivotButton="0" quotePrefix="0" xfId="0"/>
    <xf numFmtId="0" fontId="3" fillId="0" borderId="2" pivotButton="0" quotePrefix="0" xfId="0"/>
    <xf numFmtId="49" fontId="3" fillId="0" borderId="1" applyAlignment="1" applyProtection="1" pivotButton="0" quotePrefix="1" xfId="0">
      <alignment horizontal="center"/>
      <protection locked="0" hidden="0"/>
    </xf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5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4" fillId="0" borderId="11" applyAlignment="1" pivotButton="0" quotePrefix="0" xfId="0">
      <alignment horizontal="right"/>
    </xf>
    <xf numFmtId="0" fontId="6" fillId="0" borderId="12" pivotButton="0" quotePrefix="0" xfId="0"/>
    <xf numFmtId="0" fontId="3" fillId="0" borderId="12" pivotButton="0" quotePrefix="0" xfId="0"/>
    <xf numFmtId="0" fontId="3" fillId="0" borderId="13" pivotButton="0" quotePrefix="0" xfId="0"/>
    <xf numFmtId="0" fontId="3" fillId="0" borderId="14" pivotButton="0" quotePrefix="0" xfId="0"/>
    <xf numFmtId="0" fontId="3" fillId="0" borderId="16" pivotButton="0" quotePrefix="0" xfId="0"/>
    <xf numFmtId="0" fontId="7" fillId="0" borderId="7" pivotButton="0" quotePrefix="0" xfId="0"/>
    <xf numFmtId="0" fontId="3" fillId="0" borderId="15" pivotButton="0" quotePrefix="0" xfId="0"/>
    <xf numFmtId="164" fontId="7" fillId="0" borderId="2" applyAlignment="1" applyProtection="1" pivotButton="0" quotePrefix="0" xfId="0">
      <alignment horizontal="center"/>
      <protection locked="0" hidden="0"/>
    </xf>
    <xf numFmtId="0" fontId="3" fillId="0" borderId="2" applyAlignment="1" pivotButton="0" quotePrefix="0" xfId="0">
      <alignment horizontal="right" vertical="center"/>
    </xf>
    <xf numFmtId="0" fontId="3" fillId="0" borderId="17" pivotButton="0" quotePrefix="0" xfId="0"/>
    <xf numFmtId="0" fontId="3" fillId="0" borderId="2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horizontal="center" vertical="center"/>
      <protection locked="0" hidden="0"/>
    </xf>
    <xf numFmtId="2" fontId="11" fillId="0" borderId="0" applyAlignment="1" pivotButton="0" quotePrefix="0" xfId="0">
      <alignment horizontal="center" vertical="center"/>
    </xf>
    <xf numFmtId="2" fontId="12" fillId="0" borderId="0" applyAlignment="1" pivotButton="0" quotePrefix="0" xfId="0">
      <alignment horizontal="right"/>
    </xf>
    <xf numFmtId="2" fontId="13" fillId="0" borderId="0" applyAlignment="1" pivotButton="0" quotePrefix="0" xfId="0">
      <alignment horizontal="center" vertical="center"/>
    </xf>
    <xf numFmtId="0" fontId="3" fillId="0" borderId="16" applyAlignment="1" pivotButton="0" quotePrefix="0" xfId="0">
      <alignment horizontal="right" vertical="center"/>
    </xf>
    <xf numFmtId="0" fontId="8" fillId="0" borderId="14" applyAlignment="1" pivotButton="0" quotePrefix="0" xfId="0">
      <alignment horizontal="left"/>
    </xf>
    <xf numFmtId="0" fontId="3" fillId="0" borderId="19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 vertical="center"/>
    </xf>
    <xf numFmtId="0" fontId="3" fillId="0" borderId="16" applyAlignment="1" pivotButton="0" quotePrefix="0" xfId="0">
      <alignment vertical="center"/>
    </xf>
    <xf numFmtId="2" fontId="10" fillId="0" borderId="0" applyAlignment="1" pivotButton="0" quotePrefix="0" xfId="0">
      <alignment horizontal="left" vertical="center"/>
    </xf>
    <xf numFmtId="0" fontId="3" fillId="0" borderId="18" applyAlignment="1" pivotButton="0" quotePrefix="0" xfId="0">
      <alignment vertical="center"/>
    </xf>
    <xf numFmtId="2" fontId="10" fillId="0" borderId="2" applyAlignment="1" pivotButton="0" quotePrefix="0" xfId="0">
      <alignment horizontal="left" vertical="center"/>
    </xf>
    <xf numFmtId="0" fontId="3" fillId="0" borderId="19" applyAlignment="1" pivotButton="0" quotePrefix="0" xfId="0">
      <alignment vertical="center"/>
    </xf>
    <xf numFmtId="2" fontId="10" fillId="0" borderId="16" applyAlignment="1" pivotButton="0" quotePrefix="0" xfId="0">
      <alignment horizontal="left" vertical="center"/>
    </xf>
    <xf numFmtId="0" fontId="3" fillId="0" borderId="2" applyProtection="1" pivotButton="0" quotePrefix="0" xfId="0"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10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applyProtection="1" pivotButton="0" quotePrefix="0" xfId="0">
      <alignment horizontal="center" vertical="center"/>
      <protection locked="0" hidden="0"/>
    </xf>
    <xf numFmtId="2" fontId="9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 vertical="center"/>
    </xf>
    <xf numFmtId="2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0" fontId="3" fillId="0" borderId="28" applyAlignment="1" pivotButton="0" quotePrefix="0" xfId="0">
      <alignment vertical="center"/>
    </xf>
    <xf numFmtId="0" fontId="14" fillId="0" borderId="1" applyAlignment="1" pivotButton="0" quotePrefix="0" xfId="0">
      <alignment horizontal="left" vertical="center"/>
    </xf>
    <xf numFmtId="0" fontId="14" fillId="4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center" wrapText="1"/>
    </xf>
    <xf numFmtId="0" fontId="4" fillId="0" borderId="21" applyAlignment="1" applyProtection="1" pivotButton="0" quotePrefix="0" xfId="0">
      <alignment horizontal="center" vertical="center"/>
      <protection locked="0" hidden="0"/>
    </xf>
    <xf numFmtId="0" fontId="3" fillId="0" borderId="1" applyAlignment="1" pivotButton="0" quotePrefix="0" xfId="0">
      <alignment vertical="center"/>
    </xf>
    <xf numFmtId="0" fontId="3" fillId="0" borderId="22" applyAlignment="1" pivotButton="0" quotePrefix="0" xfId="0">
      <alignment horizontal="right" vertical="center"/>
    </xf>
    <xf numFmtId="0" fontId="3" fillId="0" borderId="22" applyAlignment="1" pivotButton="0" quotePrefix="0" xfId="0">
      <alignment horizontal="center" vertical="center"/>
    </xf>
    <xf numFmtId="164" fontId="7" fillId="0" borderId="16" applyAlignment="1" applyProtection="1" pivotButton="0" quotePrefix="0" xfId="0">
      <alignment horizontal="center"/>
      <protection locked="0" hidden="0"/>
    </xf>
    <xf numFmtId="2" fontId="10" fillId="0" borderId="14" applyAlignment="1" pivotButton="0" quotePrefix="0" xfId="0">
      <alignment horizontal="left" vertical="center"/>
    </xf>
    <xf numFmtId="164" fontId="7" fillId="0" borderId="29" applyAlignment="1" applyProtection="1" pivotButton="0" quotePrefix="0" xfId="0">
      <alignment horizontal="center"/>
      <protection locked="0" hidden="0"/>
    </xf>
    <xf numFmtId="164" fontId="7" fillId="0" borderId="18" applyAlignment="1" applyProtection="1" pivotButton="0" quotePrefix="0" xfId="0">
      <alignment horizontal="center"/>
      <protection locked="0" hidden="0"/>
    </xf>
    <xf numFmtId="0" fontId="3" fillId="0" borderId="30" applyAlignment="1" pivotButton="0" quotePrefix="0" xfId="0">
      <alignment horizontal="right" vertical="center"/>
    </xf>
    <xf numFmtId="0" fontId="3" fillId="0" borderId="14" applyAlignment="1" pivotButton="0" quotePrefix="0" xfId="0">
      <alignment horizontal="right" vertical="center"/>
    </xf>
    <xf numFmtId="0" fontId="3" fillId="0" borderId="2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0" fillId="0" borderId="16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3" fontId="0" fillId="5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 textRotation="90"/>
    </xf>
    <xf numFmtId="0" fontId="0" fillId="3" borderId="0" applyAlignment="1" pivotButton="0" quotePrefix="0" xfId="0">
      <alignment horizontal="center"/>
    </xf>
    <xf numFmtId="0" fontId="3" fillId="0" borderId="31" pivotButton="0" quotePrefix="0" xfId="0"/>
    <xf numFmtId="0" fontId="3" fillId="0" borderId="19" applyAlignment="1" pivotButton="0" quotePrefix="0" xfId="0">
      <alignment horizontal="right" vertical="center"/>
    </xf>
    <xf numFmtId="0" fontId="3" fillId="0" borderId="18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3" fillId="0" borderId="27" applyAlignment="1" pivotButton="0" quotePrefix="0" xfId="0">
      <alignment horizontal="right" vertical="center"/>
    </xf>
    <xf numFmtId="2" fontId="1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4" fillId="0" borderId="22" pivotButton="0" quotePrefix="0" xfId="0"/>
    <xf numFmtId="0" fontId="4" fillId="0" borderId="16" pivotButton="0" quotePrefix="0" xfId="0"/>
    <xf numFmtId="0" fontId="0" fillId="0" borderId="2" pivotButton="0" quotePrefix="0" xfId="0"/>
    <xf numFmtId="0" fontId="27" fillId="0" borderId="15" pivotButton="0" quotePrefix="0" xfId="0"/>
    <xf numFmtId="0" fontId="27" fillId="0" borderId="22" pivotButton="0" quotePrefix="0" xfId="0"/>
    <xf numFmtId="0" fontId="27" fillId="0" borderId="16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27" fillId="0" borderId="33" pivotButton="0" quotePrefix="0" xfId="0"/>
    <xf numFmtId="0" fontId="27" fillId="0" borderId="27" pivotButton="0" quotePrefix="0" xfId="0"/>
    <xf numFmtId="0" fontId="27" fillId="0" borderId="18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/>
    </xf>
    <xf numFmtId="0" fontId="3" fillId="0" borderId="14" applyAlignment="1" pivotButton="0" quotePrefix="0" xfId="0">
      <alignment horizontal="right"/>
    </xf>
    <xf numFmtId="0" fontId="4" fillId="0" borderId="2" applyAlignment="1" applyProtection="1" pivotButton="0" quotePrefix="0" xfId="0">
      <alignment horizontal="center" vertical="center"/>
      <protection locked="0" hidden="0"/>
    </xf>
    <xf numFmtId="0" fontId="3" fillId="0" borderId="2" applyAlignment="1" pivotButton="0" quotePrefix="0" xfId="0">
      <alignment horizontal="left" vertical="center" wrapText="1"/>
    </xf>
    <xf numFmtId="2" fontId="9" fillId="0" borderId="2" applyAlignment="1" pivotButton="0" quotePrefix="0" xfId="0">
      <alignment horizontal="center" vertical="center"/>
    </xf>
    <xf numFmtId="0" fontId="14" fillId="0" borderId="2" applyAlignment="1" pivotButton="0" quotePrefix="0" xfId="0">
      <alignment horizontal="left" vertical="center" wrapText="1"/>
    </xf>
    <xf numFmtId="2" fontId="15" fillId="0" borderId="2" applyAlignment="1" pivotButton="0" quotePrefix="0" xfId="0">
      <alignment horizontal="center" vertical="center"/>
    </xf>
    <xf numFmtId="0" fontId="14" fillId="0" borderId="2" applyAlignment="1" pivotButton="0" quotePrefix="0" xfId="0">
      <alignment horizontal="left" vertical="center"/>
    </xf>
    <xf numFmtId="2" fontId="4" fillId="0" borderId="2" applyAlignment="1" pivotButton="0" quotePrefix="0" xfId="0">
      <alignment horizontal="center" vertical="center"/>
    </xf>
    <xf numFmtId="0" fontId="14" fillId="4" borderId="2" applyAlignment="1" pivotButton="0" quotePrefix="0" xfId="0">
      <alignment horizontal="left" vertical="center"/>
    </xf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0" borderId="28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2" pivotButton="0" quotePrefix="0" xfId="0"/>
    <xf numFmtId="0" fontId="0" fillId="0" borderId="16" pivotButton="0" quotePrefix="0" xfId="0"/>
    <xf numFmtId="0" fontId="0" fillId="0" borderId="15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3" fillId="0" borderId="1" applyAlignment="1" applyProtection="1" pivotButton="0" quotePrefix="0" xfId="0">
      <alignment horizontal="left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3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" fillId="2" borderId="1" applyAlignment="1" applyProtection="1" pivotButton="0" quotePrefix="0" xfId="0">
      <alignment horizontal="center"/>
      <protection locked="0" hidden="0"/>
    </xf>
    <xf numFmtId="0" fontId="3" fillId="0" borderId="1" applyAlignment="1" applyProtection="1" pivotButton="0" quotePrefix="0" xfId="0">
      <alignment horizontal="center"/>
      <protection locked="0" hidden="0"/>
    </xf>
    <xf numFmtId="0" fontId="0" fillId="0" borderId="23" pivotButton="0" quotePrefix="0" xfId="0"/>
    <xf numFmtId="0" fontId="0" fillId="0" borderId="24" pivotButton="0" quotePrefix="0" xfId="0"/>
    <xf numFmtId="0" fontId="3" fillId="0" borderId="2" pivotButton="0" quotePrefix="0" xfId="0"/>
    <xf numFmtId="0" fontId="0" fillId="0" borderId="25" pivotButton="0" quotePrefix="0" xfId="0"/>
    <xf numFmtId="0" fontId="0" fillId="0" borderId="26" pivotButton="0" quotePrefix="0" xfId="0"/>
    <xf numFmtId="0" fontId="4" fillId="0" borderId="1" applyAlignment="1" applyProtection="1" pivotButton="0" quotePrefix="0" xfId="0">
      <alignment horizontal="left"/>
      <protection locked="0" hidden="0"/>
    </xf>
    <xf numFmtId="15" fontId="3" fillId="0" borderId="1" applyAlignment="1" applyProtection="1" pivotButton="0" quotePrefix="0" xfId="0">
      <alignment horizontal="center"/>
      <protection locked="0" hidden="0"/>
    </xf>
    <xf numFmtId="0" fontId="3" fillId="0" borderId="12" applyAlignment="1" pivotButton="0" quotePrefix="0" xfId="0">
      <alignment horizontal="center"/>
    </xf>
    <xf numFmtId="0" fontId="0" fillId="0" borderId="27" pivotButton="0" quotePrefix="0" xfId="0"/>
    <xf numFmtId="0" fontId="0" fillId="0" borderId="18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2" applyAlignment="1" pivotButton="0" quotePrefix="0" xfId="0">
      <alignment horizontal="center"/>
    </xf>
  </cellXfs>
  <cellStyles count="1">
    <cellStyle name="Normal" xfId="0" builtinId="0"/>
  </cellStyles>
  <dxfs count="89"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Relationship Type="http://schemas.openxmlformats.org/officeDocument/2006/relationships/image" Target="/xl/media/image7.png" Id="rId3" /><Relationship Type="http://schemas.openxmlformats.org/officeDocument/2006/relationships/image" Target="/xl/media/image8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327478</colOff>
      <row>1030</row>
      <rowOff>54318</rowOff>
    </from>
    <to>
      <col>20</col>
      <colOff>529092</colOff>
      <row>1041</row>
      <rowOff>29091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457096" y="196650318"/>
          <a:ext cx="3003084" cy="207027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24</col>
      <colOff>209085</colOff>
      <row>1030</row>
      <rowOff>149776</rowOff>
    </from>
    <to>
      <col>37</col>
      <colOff>238077</colOff>
      <row>1040</row>
      <rowOff>68698</rowOff>
    </to>
    <pic>
      <nvPicPr>
        <cNvPr id="3" name="Picture 2" descr="Circular tube section properties ...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462967" y="196745776"/>
          <a:ext cx="1485758" cy="1823922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18</col>
      <colOff>58079</colOff>
      <row>1030</row>
      <rowOff>5739</rowOff>
    </from>
    <to>
      <col>22</col>
      <colOff>33914</colOff>
      <row>1041</row>
      <rowOff>29235</rowOff>
    </to>
    <pic>
      <nvPicPr>
        <cNvPr id="5" name="Picture 4" descr="Section Modulus Calculator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0860550" y="196601739"/>
          <a:ext cx="2093746" cy="2118996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123492</colOff>
      <row>7</row>
      <rowOff>109557</rowOff>
    </from>
    <to>
      <col>20</col>
      <colOff>1</colOff>
      <row>24</row>
      <rowOff>3789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 rot="16200000">
          <a:off x="7751042" y="1662641"/>
          <a:ext cx="3173177" cy="2865893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212639</colOff>
      <row>1</row>
      <rowOff>31051</rowOff>
    </from>
    <to>
      <col>1</col>
      <colOff>911093</colOff>
      <row>2</row>
      <rowOff>149143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12639" y="188706"/>
          <a:ext cx="1013567" cy="266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32715</colOff>
      <row>117</row>
      <rowOff>15386</rowOff>
    </from>
    <to>
      <col>25</col>
      <colOff>41012</colOff>
      <row>134</row>
      <rowOff>118730</rowOff>
    </to>
    <pic>
      <nvPicPr>
        <cNvPr id="2" name="Picture 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59411" y="20821299"/>
          <a:ext cx="3165213" cy="294171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249116</colOff>
      <row>44</row>
      <rowOff>73270</rowOff>
    </from>
    <to>
      <col>25</col>
      <colOff>225195</colOff>
      <row>67</row>
      <rowOff>35022</rowOff>
    </to>
    <pic>
      <nvPicPr>
        <cNvPr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7099789" y="8345366"/>
          <a:ext cx="2800168" cy="36634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18</col>
      <colOff>173937</colOff>
      <row>81</row>
      <rowOff>66262</rowOff>
    </from>
    <to>
      <col>26</col>
      <colOff>192472</colOff>
      <row>99</row>
      <rowOff>147763</rowOff>
    </to>
    <pic>
      <nvPicPr>
        <cNvPr id="6" name="Picture 5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7644850" y="14668501"/>
          <a:ext cx="2536448" cy="3048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CJ1026"/>
  <sheetViews>
    <sheetView zoomScale="85" zoomScaleNormal="85" workbookViewId="0">
      <pane ySplit="3" topLeftCell="A1021" activePane="bottomLeft" state="frozen"/>
      <selection pane="bottomLeft" activeCell="Y1026" sqref="Y1026"/>
    </sheetView>
  </sheetViews>
  <sheetFormatPr baseColWidth="8" defaultRowHeight="14.5"/>
  <cols>
    <col width="16.26953125" customWidth="1" style="125" min="1" max="1"/>
    <col width="8.453125" customWidth="1" min="2" max="2"/>
    <col width="8.453125" customWidth="1" style="125" min="3" max="12"/>
    <col hidden="1" width="8.453125" customWidth="1" style="125" min="13" max="14"/>
    <col hidden="1" width="11.26953125" customWidth="1" style="125" min="15" max="15"/>
    <col hidden="1" width="8.453125" customWidth="1" style="125" min="16" max="17"/>
    <col width="8.453125" customWidth="1" style="125" min="18" max="21"/>
    <col width="6.54296875" customWidth="1" min="22" max="23"/>
    <col width="13.453125" bestFit="1" customWidth="1" style="129" min="24" max="25"/>
    <col hidden="1" width="6.54296875" customWidth="1" min="26" max="27"/>
    <col hidden="1" width="9.453125" customWidth="1" min="28" max="29"/>
    <col hidden="1" width="8.453125" customWidth="1" style="129" min="30" max="30"/>
    <col hidden="1" width="8.453125" customWidth="1" min="31" max="32"/>
    <col hidden="1" width="8.453125" customWidth="1" style="125" min="33" max="33"/>
    <col hidden="1" width="8.453125" customWidth="1" min="34" max="35"/>
    <col hidden="1" width="12.81640625" customWidth="1" min="36" max="36"/>
    <col width="8.453125" customWidth="1" min="37" max="42"/>
    <col width="12.81640625" customWidth="1" min="43" max="43"/>
    <col width="13.26953125" bestFit="1" customWidth="1" min="44" max="44"/>
    <col width="12.7265625" bestFit="1" customWidth="1" min="53" max="53"/>
    <col width="14.54296875" bestFit="1" customWidth="1" min="54" max="54"/>
    <col width="18.26953125" bestFit="1" customWidth="1" min="55" max="55"/>
    <col width="11.453125" bestFit="1" customWidth="1" style="125" min="60" max="60"/>
    <col width="14.54296875" bestFit="1" customWidth="1" min="61" max="61"/>
    <col width="18.26953125" bestFit="1" customWidth="1" min="62" max="62"/>
    <col width="12.1796875" bestFit="1" customWidth="1" min="67" max="67"/>
  </cols>
  <sheetData>
    <row r="1" ht="43.5" customHeight="1">
      <c r="A1" s="124" t="n"/>
      <c r="C1" s="124" t="inlineStr">
        <is>
          <t>Mass per Metre</t>
        </is>
      </c>
      <c r="D1" s="124" t="inlineStr">
        <is>
          <t>Depth Of Section</t>
        </is>
      </c>
      <c r="E1" s="124" t="inlineStr">
        <is>
          <t>Width Of Section</t>
        </is>
      </c>
      <c r="F1" s="124" t="inlineStr">
        <is>
          <t xml:space="preserve"> Thickness</t>
        </is>
      </c>
      <c r="H1" s="124" t="inlineStr">
        <is>
          <t>Root Radius</t>
        </is>
      </c>
      <c r="I1" s="131" t="inlineStr">
        <is>
          <t>Depth Between Fillets</t>
        </is>
      </c>
      <c r="J1" s="131" t="inlineStr">
        <is>
          <t>Area of Section</t>
        </is>
      </c>
      <c r="K1" s="131" t="inlineStr">
        <is>
          <t>Ratios For Local Buckling</t>
        </is>
      </c>
      <c r="M1" s="131" t="inlineStr">
        <is>
          <t>Surface Area per Metre</t>
        </is>
      </c>
      <c r="N1" s="128" t="inlineStr">
        <is>
          <t>Second
Moment Of Area</t>
        </is>
      </c>
      <c r="P1" s="128" t="inlineStr">
        <is>
          <t>Radius Of Gyration</t>
        </is>
      </c>
      <c r="R1" s="124" t="inlineStr">
        <is>
          <t>Elastic Modulus</t>
        </is>
      </c>
      <c r="T1" s="130" t="inlineStr">
        <is>
          <t>Plastic Modulus</t>
        </is>
      </c>
      <c r="X1" s="124" t="inlineStr">
        <is>
          <t>Classification 1.0</t>
        </is>
      </c>
      <c r="Z1" s="129" t="inlineStr">
        <is>
          <t>New</t>
        </is>
      </c>
      <c r="AB1" s="124" t="inlineStr">
        <is>
          <t>Classification 2.0</t>
        </is>
      </c>
      <c r="AD1" s="124" t="inlineStr">
        <is>
          <t>Euc. Dist. AISC</t>
        </is>
      </c>
      <c r="AE1" s="124" t="inlineStr">
        <is>
          <t>Euc. Dist. GB</t>
        </is>
      </c>
      <c r="AF1" s="124" t="inlineStr">
        <is>
          <t>Euc. Dist. HY</t>
        </is>
      </c>
      <c r="AG1" s="124" t="inlineStr">
        <is>
          <t>Euc. Dist. AISC</t>
        </is>
      </c>
      <c r="AH1" s="124" t="inlineStr">
        <is>
          <t>Euc. Dist. GB</t>
        </is>
      </c>
      <c r="AI1" s="124" t="inlineStr">
        <is>
          <t>Euc. Dist. HY</t>
        </is>
      </c>
      <c r="AJ1" s="124" t="n"/>
      <c r="AK1" s="124" t="inlineStr">
        <is>
          <t>Area of Section</t>
        </is>
      </c>
      <c r="AN1" s="124" t="inlineStr">
        <is>
          <t>Elastic Modulus x-x</t>
        </is>
      </c>
      <c r="AQ1" s="124" t="n"/>
      <c r="BB1" s="124" t="inlineStr">
        <is>
          <t>Area of Section</t>
        </is>
      </c>
      <c r="BC1" s="124" t="inlineStr">
        <is>
          <t>Elastic Modulus x-x</t>
        </is>
      </c>
      <c r="BD1" s="124" t="n"/>
      <c r="BF1" s="124" t="n"/>
      <c r="BG1" s="124" t="n"/>
      <c r="BI1" s="124" t="inlineStr">
        <is>
          <t>Area of Section</t>
        </is>
      </c>
      <c r="BJ1" s="124" t="inlineStr">
        <is>
          <t>Elastic Modulus x-x</t>
        </is>
      </c>
      <c r="BP1" s="124" t="inlineStr">
        <is>
          <t>Area of Section</t>
        </is>
      </c>
      <c r="BQ1" s="124" t="inlineStr">
        <is>
          <t>Elastic Modulus x-x</t>
        </is>
      </c>
      <c r="BW1" s="124" t="inlineStr">
        <is>
          <t>Area of Section</t>
        </is>
      </c>
      <c r="BX1" s="124" t="inlineStr">
        <is>
          <t>Elastic Modulus x-x</t>
        </is>
      </c>
      <c r="CD1" s="124" t="inlineStr">
        <is>
          <t>Area of Section</t>
        </is>
      </c>
      <c r="CE1" s="124" t="inlineStr">
        <is>
          <t>Elastic Modulus x-x</t>
        </is>
      </c>
    </row>
    <row r="2" ht="15" customHeight="1">
      <c r="A2" s="124" t="n"/>
      <c r="C2" s="124" t="n"/>
      <c r="D2" s="124" t="inlineStr">
        <is>
          <t>D</t>
        </is>
      </c>
      <c r="E2" s="124" t="inlineStr">
        <is>
          <t>B</t>
        </is>
      </c>
      <c r="F2" s="30" t="inlineStr">
        <is>
          <t>tf</t>
        </is>
      </c>
      <c r="G2" s="30" t="inlineStr">
        <is>
          <t>tw</t>
        </is>
      </c>
      <c r="H2" s="124" t="inlineStr">
        <is>
          <t>r</t>
        </is>
      </c>
      <c r="I2" s="124" t="inlineStr">
        <is>
          <t>d</t>
        </is>
      </c>
      <c r="J2" s="124" t="inlineStr">
        <is>
          <t>A</t>
        </is>
      </c>
      <c r="K2" s="124" t="inlineStr">
        <is>
          <t>Flange</t>
        </is>
      </c>
      <c r="L2" s="124" t="inlineStr">
        <is>
          <t>Web</t>
        </is>
      </c>
      <c r="M2" s="32" t="n"/>
      <c r="N2" s="33" t="inlineStr">
        <is>
          <t>Ix</t>
        </is>
      </c>
      <c r="O2" s="33" t="inlineStr">
        <is>
          <t>Iy</t>
        </is>
      </c>
      <c r="P2" s="31" t="inlineStr">
        <is>
          <t xml:space="preserve">rx </t>
        </is>
      </c>
      <c r="Q2" s="31" t="inlineStr">
        <is>
          <t xml:space="preserve">ry </t>
        </is>
      </c>
      <c r="R2" s="31" t="inlineStr">
        <is>
          <t>Sex</t>
        </is>
      </c>
      <c r="S2" s="31" t="inlineStr">
        <is>
          <t>Sey</t>
        </is>
      </c>
      <c r="T2" s="31" t="inlineStr">
        <is>
          <t>Zpx</t>
        </is>
      </c>
      <c r="U2" s="31" t="inlineStr">
        <is>
          <t>Zpy</t>
        </is>
      </c>
      <c r="X2" s="56" t="inlineStr">
        <is>
          <t>Web</t>
        </is>
      </c>
      <c r="Y2" s="56" t="inlineStr">
        <is>
          <t>Flange</t>
        </is>
      </c>
      <c r="AB2" s="129" t="inlineStr">
        <is>
          <t>Flange</t>
        </is>
      </c>
      <c r="AC2" s="129" t="inlineStr">
        <is>
          <t>Web</t>
        </is>
      </c>
      <c r="AD2" s="129" t="inlineStr">
        <is>
          <t>AISC</t>
        </is>
      </c>
      <c r="AE2" s="129" t="inlineStr">
        <is>
          <t>GB</t>
        </is>
      </c>
      <c r="AF2" s="129" t="inlineStr">
        <is>
          <t>HY</t>
        </is>
      </c>
      <c r="AG2" s="129" t="inlineStr">
        <is>
          <t>AISC</t>
        </is>
      </c>
      <c r="AH2" s="129" t="inlineStr">
        <is>
          <t>GB</t>
        </is>
      </c>
      <c r="AI2" s="129" t="inlineStr">
        <is>
          <t>HY</t>
        </is>
      </c>
      <c r="AJ2" s="124" t="n"/>
      <c r="AK2" s="129" t="inlineStr">
        <is>
          <t>AISC</t>
        </is>
      </c>
      <c r="AL2" s="129" t="inlineStr">
        <is>
          <t>GB</t>
        </is>
      </c>
      <c r="AM2" s="129" t="inlineStr">
        <is>
          <t>HY</t>
        </is>
      </c>
      <c r="AN2" s="129" t="inlineStr">
        <is>
          <t>AISC</t>
        </is>
      </c>
      <c r="AO2" s="129" t="inlineStr">
        <is>
          <t>GB</t>
        </is>
      </c>
      <c r="AP2" s="129" t="inlineStr">
        <is>
          <t>HY</t>
        </is>
      </c>
      <c r="AQ2" s="124" t="n"/>
      <c r="BB2" s="129" t="inlineStr">
        <is>
          <t>Diff</t>
        </is>
      </c>
      <c r="BC2" s="129" t="inlineStr">
        <is>
          <t>Diff</t>
        </is>
      </c>
      <c r="BD2" s="129" t="n"/>
      <c r="BE2" s="129" t="n"/>
      <c r="BF2" s="129" t="n"/>
      <c r="BG2" s="129" t="n"/>
      <c r="BI2" s="129" t="inlineStr">
        <is>
          <t>Diff</t>
        </is>
      </c>
      <c r="BJ2" s="129" t="inlineStr">
        <is>
          <t>Diff</t>
        </is>
      </c>
      <c r="BP2" s="129" t="inlineStr">
        <is>
          <t>Diff</t>
        </is>
      </c>
      <c r="BQ2" s="129" t="inlineStr">
        <is>
          <t>Diff</t>
        </is>
      </c>
      <c r="BW2" s="129" t="inlineStr">
        <is>
          <t>Diff</t>
        </is>
      </c>
      <c r="BX2" s="129" t="inlineStr">
        <is>
          <t>Diff</t>
        </is>
      </c>
      <c r="CD2" s="129" t="inlineStr">
        <is>
          <t>Diff</t>
        </is>
      </c>
      <c r="CE2" s="129" t="inlineStr">
        <is>
          <t>Diff</t>
        </is>
      </c>
    </row>
    <row r="3" ht="16.5" customHeight="1">
      <c r="A3" s="124" t="inlineStr">
        <is>
          <t>Type</t>
        </is>
      </c>
      <c r="B3" s="46" t="inlineStr">
        <is>
          <t>Standards</t>
        </is>
      </c>
      <c r="C3" s="124" t="inlineStr">
        <is>
          <t>kg/m</t>
        </is>
      </c>
      <c r="D3" s="124" t="inlineStr">
        <is>
          <t>mm</t>
        </is>
      </c>
      <c r="E3" s="124" t="inlineStr">
        <is>
          <t>mm</t>
        </is>
      </c>
      <c r="F3" s="30" t="inlineStr">
        <is>
          <t>mm</t>
        </is>
      </c>
      <c r="G3" s="30" t="inlineStr">
        <is>
          <t>mm</t>
        </is>
      </c>
      <c r="H3" s="124" t="inlineStr">
        <is>
          <t>mm</t>
        </is>
      </c>
      <c r="I3" s="124" t="inlineStr">
        <is>
          <t>mm</t>
        </is>
      </c>
      <c r="J3" s="124" t="inlineStr">
        <is>
          <t>cm2</t>
        </is>
      </c>
      <c r="K3" s="124" t="inlineStr">
        <is>
          <t>b/T</t>
        </is>
      </c>
      <c r="L3" s="124" t="inlineStr">
        <is>
          <t>d/t</t>
        </is>
      </c>
      <c r="M3" s="124" t="inlineStr">
        <is>
          <t>m2</t>
        </is>
      </c>
      <c r="N3" s="33" t="inlineStr">
        <is>
          <t xml:space="preserve">cm4 </t>
        </is>
      </c>
      <c r="O3" s="33" t="inlineStr">
        <is>
          <t xml:space="preserve">cm4 </t>
        </is>
      </c>
      <c r="P3" s="124" t="inlineStr">
        <is>
          <t>cm</t>
        </is>
      </c>
      <c r="Q3" s="124" t="inlineStr">
        <is>
          <t>cm</t>
        </is>
      </c>
      <c r="R3" s="124" t="inlineStr">
        <is>
          <t>cm3</t>
        </is>
      </c>
      <c r="S3" s="124" t="inlineStr">
        <is>
          <t>cm3</t>
        </is>
      </c>
      <c r="T3" s="124" t="inlineStr">
        <is>
          <t>cm3</t>
        </is>
      </c>
      <c r="U3" s="124" t="inlineStr">
        <is>
          <t>cm3</t>
        </is>
      </c>
      <c r="Z3" s="124" t="inlineStr">
        <is>
          <t>B/tf</t>
        </is>
      </c>
      <c r="AA3" s="124" t="inlineStr">
        <is>
          <t>D/tw</t>
        </is>
      </c>
      <c r="AB3" s="124" t="n"/>
      <c r="AC3" s="124" t="n"/>
      <c r="AG3" s="129" t="n"/>
      <c r="AJ3" s="124" t="inlineStr">
        <is>
          <t>Type</t>
        </is>
      </c>
      <c r="AK3" s="124" t="n"/>
      <c r="AL3" s="124" t="n"/>
      <c r="AM3" s="124" t="n"/>
      <c r="AN3" s="124" t="n"/>
      <c r="AO3" s="124" t="n"/>
      <c r="AP3" s="124" t="n"/>
      <c r="AQ3" s="124" t="inlineStr">
        <is>
          <t>Type</t>
        </is>
      </c>
      <c r="BB3" s="124" t="n"/>
      <c r="BC3" s="124" t="n"/>
      <c r="BD3" s="124" t="inlineStr">
        <is>
          <t>Type</t>
        </is>
      </c>
      <c r="BE3" s="124" t="n"/>
      <c r="BF3" s="124" t="n"/>
      <c r="BG3" s="124" t="n"/>
      <c r="BK3" s="124" t="inlineStr">
        <is>
          <t>Type</t>
        </is>
      </c>
      <c r="BR3" s="124" t="inlineStr">
        <is>
          <t>Type</t>
        </is>
      </c>
      <c r="BY3" s="124" t="inlineStr">
        <is>
          <t>Type</t>
        </is>
      </c>
      <c r="CF3" s="124" t="inlineStr">
        <is>
          <t>Type</t>
        </is>
      </c>
    </row>
    <row r="4">
      <c r="A4" s="125" t="inlineStr">
        <is>
          <t>W4X13</t>
        </is>
      </c>
      <c r="B4" s="129" t="inlineStr">
        <is>
          <t>AISC</t>
        </is>
      </c>
      <c r="C4" s="125" t="n">
        <v>19.4</v>
      </c>
      <c r="D4" s="125" t="n">
        <v>105.7</v>
      </c>
      <c r="E4" s="125" t="n">
        <v>103.1</v>
      </c>
      <c r="F4" s="125" t="n">
        <v>8.800000000000001</v>
      </c>
      <c r="G4" s="125" t="n">
        <v>7.1</v>
      </c>
      <c r="H4" s="125" t="n">
        <v>6.4</v>
      </c>
      <c r="I4" s="125" t="n">
        <v>75.5</v>
      </c>
      <c r="J4" s="125" t="n">
        <v>24.7</v>
      </c>
      <c r="K4" s="125">
        <f>((E4-G4)/2)/F4</f>
        <v/>
      </c>
      <c r="L4" s="125">
        <f>I4/G4</f>
        <v/>
      </c>
      <c r="M4" s="125" t="n">
        <v>0.599</v>
      </c>
      <c r="N4" s="125" t="n">
        <v>472</v>
      </c>
      <c r="O4" s="125" t="n">
        <v>160</v>
      </c>
      <c r="P4" s="125" t="n">
        <v>4.38</v>
      </c>
      <c r="Q4" s="125" t="n">
        <v>2.55</v>
      </c>
      <c r="R4" s="125" t="n">
        <v>89.40000000000001</v>
      </c>
      <c r="S4" s="125" t="n">
        <v>31.1</v>
      </c>
      <c r="T4" s="125" t="n">
        <v>103</v>
      </c>
      <c r="U4" s="125" t="n">
        <v>47.8</v>
      </c>
      <c r="X4" s="129">
        <f t="array" ref="X4">_xlfn.IFS((D4/F4) &lt;= (640/SQRT($AT$32)), "Compact", L4 &lt;= ($AT$32*(0.79-(0.002*((E4-G4/2)/(2*F4))*SQRT($AT$32)))), "Non-Compact", L4 &lt;= ($AT$32*(0.79-(0.002*((E4-G4/2)/(2*F4))*SQRT($AT$32)))), "Slender")</f>
        <v/>
      </c>
      <c r="Y4" s="129">
        <f t="array" ref="Y4">_xlfn.IFS(K4 &lt;= (65/SQRT($AT$32)), "Compact", K4 &lt;= (95/SQRT($AT$32)), "Non-Compact", K4 &gt; (95/SQRT($AT$32)), "Slender")</f>
        <v/>
      </c>
      <c r="Z4" s="125">
        <f>E4/F4</f>
        <v/>
      </c>
      <c r="AA4" s="125">
        <f>D4/G4</f>
        <v/>
      </c>
      <c r="AB4" s="125">
        <f t="array" ref="AB4">_xlfn.IFS(Z4 &lt;= 9, "1", Z4 &lt;= 12, "2", Z4 &lt;= 15, "3", Z4 &gt; 15, "4")</f>
        <v/>
      </c>
      <c r="AC4" s="125">
        <f t="array" ref="AC4">_xlfn.IFS(AA4 &lt;= 200, "1", L4 &lt;= 300, "2", L4 &lt;= 400, "3", L4 &gt; 400, "4")</f>
        <v/>
      </c>
      <c r="AD4" s="129">
        <f>SQRT((((VLOOKUP($AT$4,$A$4:$D$1021,4,FALSE))-D4)^2)+(((VLOOKUP($AT$4,$A$4:$E$1021,5,FALSE))-E4)^2)+(((VLOOKUP($AT$4,$A$4:$N$1021,14,FALSE))-N4)^2)+(((VLOOKUP($AT$4,$A$4:$O$1021,15,FALSE))-O4)^2))</f>
        <v/>
      </c>
      <c r="AG4" s="129">
        <f>SQRT((((VLOOKUP($AT$4,$A$4:$D$1021,4,FALSE))-D4)^2)+(((VLOOKUP($AT$4,$A$4:$E$1021,5,FALSE))-E4)^2)+(((VLOOKUP($AT$4,$A$4:$R$1021,18,FALSE))-R4)^2)+(((VLOOKUP($AT$4,$A$4:$S$1021,19,FALSE))-S4)^2))</f>
        <v/>
      </c>
      <c r="AJ4" s="125" t="inlineStr">
        <is>
          <t>W4X13</t>
        </is>
      </c>
      <c r="AK4" s="125">
        <f>SQRT(((VLOOKUP($AT$4,$A$4:$J$1021,10,FALSE))-J4)^2)</f>
        <v/>
      </c>
      <c r="AL4" s="125" t="n"/>
      <c r="AM4" s="125" t="n"/>
      <c r="AN4" s="125">
        <f>SQRT(((VLOOKUP($AT$4,$A$4:$R$1021,18,FALSE))-R4)^2)</f>
        <v/>
      </c>
      <c r="AO4" s="125" t="n"/>
      <c r="AP4" s="125" t="n"/>
      <c r="AQ4" s="125" t="inlineStr">
        <is>
          <t>W4X13</t>
        </is>
      </c>
      <c r="AS4" s="46" t="inlineStr">
        <is>
          <t>Chosen</t>
        </is>
      </c>
      <c r="AT4">
        <f>Beam_Check!C12</f>
        <v/>
      </c>
      <c r="BB4" s="125">
        <f>SQRT(($J$1022-J4)^2)</f>
        <v/>
      </c>
      <c r="BC4" s="125">
        <f>SQRT(($R$1022-R4)^2)</f>
        <v/>
      </c>
      <c r="BD4" s="125" t="inlineStr">
        <is>
          <t>W4X13</t>
        </is>
      </c>
      <c r="BE4" s="125" t="n"/>
      <c r="BF4" s="125" t="n"/>
      <c r="BG4" s="125" t="n"/>
      <c r="BI4">
        <f>SQRT(($J$1023-J4)^2)</f>
        <v/>
      </c>
      <c r="BJ4">
        <f>SQRT(($R$1023-R4)^2)</f>
        <v/>
      </c>
      <c r="BK4" s="125" t="inlineStr">
        <is>
          <t>W4X13</t>
        </is>
      </c>
      <c r="BP4">
        <f>SQRT(($J$1024-J4)^2)</f>
        <v/>
      </c>
      <c r="BQ4">
        <f>SQRT(($R$1024-R4)^2)</f>
        <v/>
      </c>
      <c r="BR4" s="125" t="inlineStr">
        <is>
          <t>W4X13</t>
        </is>
      </c>
      <c r="BW4">
        <f>SQRT(($J$1025-J4)^2)</f>
        <v/>
      </c>
      <c r="BX4">
        <f>SQRT(($R$1025-R4)^2)</f>
        <v/>
      </c>
      <c r="BY4" s="125" t="inlineStr">
        <is>
          <t>W4X13</t>
        </is>
      </c>
      <c r="CD4">
        <f>SQRT(($J$1026-J4)^2)</f>
        <v/>
      </c>
      <c r="CE4">
        <f>SQRT(($R$1026-R4)^2)</f>
        <v/>
      </c>
      <c r="CF4" s="125" t="inlineStr">
        <is>
          <t>W4X13</t>
        </is>
      </c>
    </row>
    <row r="5">
      <c r="A5" s="125" t="inlineStr">
        <is>
          <t>W4X13.8</t>
        </is>
      </c>
      <c r="B5" s="129" t="inlineStr">
        <is>
          <t>AISC</t>
        </is>
      </c>
      <c r="C5" s="125" t="n">
        <v>21</v>
      </c>
      <c r="D5" s="125" t="n">
        <v>102</v>
      </c>
      <c r="E5" s="125" t="n">
        <v>102</v>
      </c>
      <c r="F5" s="125" t="n">
        <v>9.4</v>
      </c>
      <c r="G5" s="125" t="n">
        <v>8</v>
      </c>
      <c r="H5" s="125" t="n">
        <v>6</v>
      </c>
      <c r="I5" s="125" t="n">
        <v>71.2</v>
      </c>
      <c r="J5" s="125" t="n">
        <v>26.1</v>
      </c>
      <c r="K5" s="125">
        <f>((E5-G5)/2)/F5</f>
        <v/>
      </c>
      <c r="L5" s="125">
        <f>I5/G5</f>
        <v/>
      </c>
      <c r="M5" s="125" t="n">
        <v>0.586</v>
      </c>
      <c r="N5" s="125" t="n">
        <v>456</v>
      </c>
      <c r="O5" s="125" t="n">
        <v>167</v>
      </c>
      <c r="P5" s="125" t="n">
        <v>4.18</v>
      </c>
      <c r="Q5" s="125" t="n">
        <v>2.53</v>
      </c>
      <c r="R5" s="125" t="n">
        <v>89.40000000000001</v>
      </c>
      <c r="S5" s="125" t="n">
        <v>32.7</v>
      </c>
      <c r="T5" s="125" t="n">
        <v>104</v>
      </c>
      <c r="U5" s="125" t="n">
        <v>50.4</v>
      </c>
      <c r="X5" s="129">
        <f t="array" ref="X5">_xlfn.IFS((D5/F5) &lt;= (640/SQRT($AT$32)), "Compact", L5 &lt;= ($AT$32*(0.79-(0.002*((E5-G5/2)/(2*F5))*SQRT($AT$32)))), "Non-Compact", L5 &lt;= ($AT$32*(0.79-(0.002*((E5-G5/2)/(2*F5))*SQRT($AT$32)))), "Slender")</f>
        <v/>
      </c>
      <c r="Y5" s="129">
        <f t="array" ref="Y5">_xlfn.IFS(K5 &lt;= (65/SQRT($AT$32)), "Compact", K5 &lt;= (95/SQRT($AT$32)), "Non-Compact", K5 &gt; (95/SQRT($AT$32)), "Slender")</f>
        <v/>
      </c>
      <c r="Z5" s="125">
        <f>E5/F5</f>
        <v/>
      </c>
      <c r="AA5" s="125">
        <f>D5/G5</f>
        <v/>
      </c>
      <c r="AB5" s="125">
        <f t="array" ref="AB5">_xlfn.IFS(Z5 &lt;= 9, "1", Z5 &lt;= 12, "2", Z5 &lt;= 15, "3", Z5 &gt; 15, "4")</f>
        <v/>
      </c>
      <c r="AC5" s="125">
        <f t="array" ref="AC5">_xlfn.IFS(AA5 &lt;= 200, "1", L5 &lt;= 300, "2", L5 &lt;= 400, "3", L5 &gt; 400, "4")</f>
        <v/>
      </c>
      <c r="AD5" s="129">
        <f>SQRT((((VLOOKUP($AT$4,$A$4:$D$1021,4,FALSE))-D5)^2)+(((VLOOKUP($AT$4,$A$4:$E$1021,5,FALSE))-E5)^2)+(((VLOOKUP($AT$4,$A$4:$N$1021,14,FALSE))-N5)^2)+(((VLOOKUP($AT$4,$A$4:$O$1021,15,FALSE))-O5)^2))</f>
        <v/>
      </c>
      <c r="AG5" s="129">
        <f>SQRT((((VLOOKUP($AT$4,$A$4:$D$1021,4,FALSE))-D5)^2)+(((VLOOKUP($AT$4,$A$4:$E$1021,5,FALSE))-E5)^2)+(((VLOOKUP($AT$4,$A$4:$R$1021,18,FALSE))-R5)^2)+(((VLOOKUP($AT$4,$A$4:$S$1021,19,FALSE))-S5)^2))</f>
        <v/>
      </c>
      <c r="AJ5" s="125" t="inlineStr">
        <is>
          <t>W4X13.8</t>
        </is>
      </c>
      <c r="AK5" s="125">
        <f>SQRT(((VLOOKUP($AT$4,$A$4:$J$1021,10,FALSE))-J5)^2)</f>
        <v/>
      </c>
      <c r="AL5" s="125" t="n"/>
      <c r="AM5" s="125" t="n"/>
      <c r="AN5" s="125">
        <f>SQRT(((VLOOKUP($AT$4,$A$4:$R$1021,18,FALSE))-R5)^2)</f>
        <v/>
      </c>
      <c r="AO5" s="125" t="n"/>
      <c r="AP5" s="125" t="n"/>
      <c r="AQ5" s="125" t="inlineStr">
        <is>
          <t>W4X13.8</t>
        </is>
      </c>
      <c r="AS5" s="46" t="inlineStr">
        <is>
          <t>Std.</t>
        </is>
      </c>
      <c r="AT5">
        <f>VLOOKUP(AT4,A4:B1021,2,FALSE)</f>
        <v/>
      </c>
      <c r="BB5" s="125">
        <f>SQRT(($J$1022-J5)^2)</f>
        <v/>
      </c>
      <c r="BC5" s="125">
        <f>SQRT(($R$1022-R5)^2)</f>
        <v/>
      </c>
      <c r="BD5" s="125" t="inlineStr">
        <is>
          <t>W4X13.8</t>
        </is>
      </c>
      <c r="BE5" s="136" t="inlineStr">
        <is>
          <t>Custom Symmetrical</t>
        </is>
      </c>
      <c r="BF5" s="155" t="n"/>
      <c r="BG5" s="155" t="n"/>
      <c r="BH5" s="155" t="n"/>
      <c r="BI5">
        <f>SQRT(($J$1023-J5)^2)</f>
        <v/>
      </c>
      <c r="BJ5">
        <f>SQRT(($R$1023-R5)^2)</f>
        <v/>
      </c>
      <c r="BK5" s="125" t="inlineStr">
        <is>
          <t>W4X13.8</t>
        </is>
      </c>
      <c r="BL5" s="136" t="inlineStr">
        <is>
          <t>Custom Assym</t>
        </is>
      </c>
      <c r="BM5" s="155" t="n"/>
      <c r="BN5" s="155" t="n"/>
      <c r="BO5" s="155" t="n"/>
      <c r="BP5">
        <f>SQRT(($J$1024-J5)^2)</f>
        <v/>
      </c>
      <c r="BQ5">
        <f>SQRT(($R$1024-R5)^2)</f>
        <v/>
      </c>
      <c r="BR5" s="125" t="inlineStr">
        <is>
          <t>W4X13.8</t>
        </is>
      </c>
      <c r="BS5" s="136" t="inlineStr">
        <is>
          <t>Boxed Up</t>
        </is>
      </c>
      <c r="BT5" s="155" t="n"/>
      <c r="BU5" s="155" t="n"/>
      <c r="BV5" s="155" t="n"/>
      <c r="BW5">
        <f>SQRT(($J$1025-J5)^2)</f>
        <v/>
      </c>
      <c r="BX5">
        <f>SQRT(($R$1025-R5)^2)</f>
        <v/>
      </c>
      <c r="BY5" s="125" t="inlineStr">
        <is>
          <t>W4X13.8</t>
        </is>
      </c>
      <c r="BZ5" s="136" t="inlineStr">
        <is>
          <t>Rec Tube</t>
        </is>
      </c>
      <c r="CA5" s="155" t="n"/>
      <c r="CB5" s="155" t="n"/>
      <c r="CC5" s="155" t="n"/>
      <c r="CD5">
        <f>SQRT(($J$1026-J5)^2)</f>
        <v/>
      </c>
      <c r="CE5">
        <f>SQRT(($R$1026-R5)^2)</f>
        <v/>
      </c>
      <c r="CF5" s="125" t="inlineStr">
        <is>
          <t>W4X13.8</t>
        </is>
      </c>
      <c r="CG5" s="136" t="inlineStr">
        <is>
          <t>Cir Tube</t>
        </is>
      </c>
      <c r="CH5" s="155" t="n"/>
      <c r="CI5" s="155" t="n"/>
      <c r="CJ5" s="155" t="n"/>
    </row>
    <row r="6">
      <c r="A6" s="129" t="inlineStr">
        <is>
          <t>W4X16.3</t>
        </is>
      </c>
      <c r="B6" s="129" t="inlineStr">
        <is>
          <t>AISC</t>
        </is>
      </c>
      <c r="C6" s="125" t="n">
        <v>24</v>
      </c>
      <c r="D6" s="125" t="n">
        <v>107</v>
      </c>
      <c r="E6" s="125" t="n">
        <v>100</v>
      </c>
      <c r="F6" s="125" t="n">
        <v>12</v>
      </c>
      <c r="G6" s="125" t="n">
        <v>7.9</v>
      </c>
      <c r="H6" s="125" t="n">
        <v>6</v>
      </c>
      <c r="I6" s="125" t="n">
        <v>71</v>
      </c>
      <c r="J6" s="125" t="n">
        <v>30.9</v>
      </c>
      <c r="K6" s="125">
        <f>((E6-G6)/2)/F6</f>
        <v/>
      </c>
      <c r="L6" s="125">
        <f>I6/G6</f>
        <v/>
      </c>
      <c r="M6" s="125" t="n">
        <v>0.588</v>
      </c>
      <c r="N6" s="125" t="n">
        <v>587</v>
      </c>
      <c r="O6" s="125" t="n">
        <v>200</v>
      </c>
      <c r="P6" s="125" t="n">
        <v>4.36</v>
      </c>
      <c r="Q6" s="125" t="n">
        <v>2.55</v>
      </c>
      <c r="R6" s="125" t="n">
        <v>110</v>
      </c>
      <c r="S6" s="125" t="n">
        <v>40.1</v>
      </c>
      <c r="T6" s="125" t="n">
        <v>129</v>
      </c>
      <c r="U6" s="125" t="n">
        <v>61.5</v>
      </c>
      <c r="X6" s="129">
        <f t="array" ref="X6">_xlfn.IFS((D6/F6) &lt;= (640/SQRT($AT$32)), "Compact", L6 &lt;= ($AT$32*(0.79-(0.002*((E6-G6/2)/(2*F6))*SQRT($AT$32)))), "Non-Compact", L6 &lt;= ($AT$32*(0.79-(0.002*((E6-G6/2)/(2*F6))*SQRT($AT$32)))), "Slender")</f>
        <v/>
      </c>
      <c r="Y6" s="129">
        <f t="array" ref="Y6">_xlfn.IFS(K6 &lt;= (65/SQRT($AT$32)), "Compact", K6 &lt;= (95/SQRT($AT$32)), "Non-Compact", K6 &gt; (95/SQRT($AT$32)), "Slender")</f>
        <v/>
      </c>
      <c r="Z6" s="125">
        <f>E6/F6</f>
        <v/>
      </c>
      <c r="AA6" s="125">
        <f>D6/G6</f>
        <v/>
      </c>
      <c r="AB6" s="125">
        <f t="array" ref="AB6">_xlfn.IFS(Z6 &lt;= 9, "1", Z6 &lt;= 12, "2", Z6 &lt;= 15, "3", Z6 &gt; 15, "4")</f>
        <v/>
      </c>
      <c r="AC6" s="125">
        <f t="array" ref="AC6">_xlfn.IFS(AA6 &lt;= 200, "1", L6 &lt;= 300, "2", L6 &lt;= 400, "3", L6 &gt; 400, "4")</f>
        <v/>
      </c>
      <c r="AD6" s="129">
        <f>SQRT((((VLOOKUP($AT$4,$A$4:$D$1021,4,FALSE))-D6)^2)+(((VLOOKUP($AT$4,$A$4:$E$1021,5,FALSE))-E6)^2)+(((VLOOKUP($AT$4,$A$4:$N$1021,14,FALSE))-N6)^2)+(((VLOOKUP($AT$4,$A$4:$O$1021,15,FALSE))-O6)^2))</f>
        <v/>
      </c>
      <c r="AG6" s="129">
        <f>SQRT((((VLOOKUP($AT$4,$A$4:$D$1021,4,FALSE))-D6)^2)+(((VLOOKUP($AT$4,$A$4:$E$1021,5,FALSE))-E6)^2)+(((VLOOKUP($AT$4,$A$4:$R$1021,18,FALSE))-R6)^2)+(((VLOOKUP($AT$4,$A$4:$S$1021,19,FALSE))-S6)^2))</f>
        <v/>
      </c>
      <c r="AJ6" s="129" t="inlineStr">
        <is>
          <t>W4X16.3</t>
        </is>
      </c>
      <c r="AK6" s="125">
        <f>SQRT(((VLOOKUP($AT$4,$A$4:$J$1021,10,FALSE))-J6)^2)</f>
        <v/>
      </c>
      <c r="AL6" s="129" t="n"/>
      <c r="AM6" s="129" t="n"/>
      <c r="AN6" s="125">
        <f>SQRT(((VLOOKUP($AT$4,$A$4:$R$1021,18,FALSE))-R6)^2)</f>
        <v/>
      </c>
      <c r="AO6" s="129" t="n"/>
      <c r="AP6" s="129" t="n"/>
      <c r="AQ6" s="129" t="inlineStr">
        <is>
          <t>W4X16.3</t>
        </is>
      </c>
      <c r="AX6" s="135" t="inlineStr">
        <is>
          <t>Area</t>
        </is>
      </c>
      <c r="AY6" s="147" t="n"/>
      <c r="AZ6" s="147" t="n"/>
      <c r="BA6" s="148" t="n"/>
      <c r="BB6" s="125">
        <f>SQRT(($J$1022-J6)^2)</f>
        <v/>
      </c>
      <c r="BC6" s="125">
        <f>SQRT(($R$1022-R6)^2)</f>
        <v/>
      </c>
      <c r="BD6" s="129" t="inlineStr">
        <is>
          <t>W4X16.3</t>
        </is>
      </c>
      <c r="BE6" s="135" t="inlineStr">
        <is>
          <t>Area</t>
        </is>
      </c>
      <c r="BF6" s="147" t="n"/>
      <c r="BG6" s="147" t="n"/>
      <c r="BH6" s="148" t="n"/>
      <c r="BI6">
        <f>SQRT(($J$1023-J6)^2)</f>
        <v/>
      </c>
      <c r="BJ6">
        <f>SQRT(($R$1023-R6)^2)</f>
        <v/>
      </c>
      <c r="BK6" s="129" t="inlineStr">
        <is>
          <t>W4X16.3</t>
        </is>
      </c>
      <c r="BL6" s="135" t="inlineStr">
        <is>
          <t>Area</t>
        </is>
      </c>
      <c r="BM6" s="147" t="n"/>
      <c r="BN6" s="147" t="n"/>
      <c r="BO6" s="148" t="n"/>
      <c r="BP6">
        <f>SQRT(($J$1024-J6)^2)</f>
        <v/>
      </c>
      <c r="BQ6">
        <f>SQRT(($R$1024-R6)^2)</f>
        <v/>
      </c>
      <c r="BR6" s="129" t="inlineStr">
        <is>
          <t>W4X16.3</t>
        </is>
      </c>
      <c r="BS6" s="135" t="inlineStr">
        <is>
          <t>Area</t>
        </is>
      </c>
      <c r="BT6" s="147" t="n"/>
      <c r="BU6" s="147" t="n"/>
      <c r="BV6" s="148" t="n"/>
      <c r="BW6">
        <f>SQRT(($J$1025-J6)^2)</f>
        <v/>
      </c>
      <c r="BX6">
        <f>SQRT(($R$1025-R6)^2)</f>
        <v/>
      </c>
      <c r="BY6" s="129" t="inlineStr">
        <is>
          <t>W4X16.3</t>
        </is>
      </c>
      <c r="BZ6" s="135" t="inlineStr">
        <is>
          <t>Area</t>
        </is>
      </c>
      <c r="CA6" s="147" t="n"/>
      <c r="CB6" s="147" t="n"/>
      <c r="CC6" s="148" t="n"/>
      <c r="CD6">
        <f>SQRT(($J$1026-J6)^2)</f>
        <v/>
      </c>
      <c r="CE6">
        <f>SQRT(($R$1026-R6)^2)</f>
        <v/>
      </c>
      <c r="CF6" s="129" t="inlineStr">
        <is>
          <t>W4X16.3</t>
        </is>
      </c>
      <c r="CG6" s="135" t="inlineStr">
        <is>
          <t>Area</t>
        </is>
      </c>
      <c r="CH6" s="147" t="n"/>
      <c r="CI6" s="147" t="n"/>
      <c r="CJ6" s="148" t="n"/>
    </row>
    <row r="7">
      <c r="A7" s="125" t="inlineStr">
        <is>
          <t>W5X9</t>
        </is>
      </c>
      <c r="B7" s="129" t="inlineStr">
        <is>
          <t>AISC</t>
        </is>
      </c>
      <c r="C7" s="125" t="n">
        <v>13</v>
      </c>
      <c r="D7" s="125" t="n">
        <v>127</v>
      </c>
      <c r="E7" s="125" t="n">
        <v>76</v>
      </c>
      <c r="F7" s="125" t="n">
        <v>7.6</v>
      </c>
      <c r="G7" s="125" t="n">
        <v>4</v>
      </c>
      <c r="H7" s="125" t="n">
        <v>7.6</v>
      </c>
      <c r="I7" s="125" t="n">
        <v>96.59999999999999</v>
      </c>
      <c r="J7" s="125" t="n">
        <v>16.5</v>
      </c>
      <c r="K7" s="125">
        <f>((E7-G7)/2)/F7</f>
        <v/>
      </c>
      <c r="L7" s="125">
        <f>I7/G7</f>
        <v/>
      </c>
      <c r="M7" s="125" t="n">
        <v>0.537</v>
      </c>
      <c r="N7" s="125" t="n">
        <v>473</v>
      </c>
      <c r="O7" s="125" t="n">
        <v>55.8</v>
      </c>
      <c r="P7" s="125" t="n">
        <v>5.35</v>
      </c>
      <c r="Q7" s="125" t="n">
        <v>1.84</v>
      </c>
      <c r="R7" s="125" t="n">
        <v>74.59999999999999</v>
      </c>
      <c r="S7" s="125" t="n">
        <v>14.7</v>
      </c>
      <c r="T7" s="125" t="n">
        <v>84.2</v>
      </c>
      <c r="U7" s="125" t="n">
        <v>22.6</v>
      </c>
      <c r="X7" s="129">
        <f t="array" ref="X7">_xlfn.IFS((D7/F7) &lt;= (640/SQRT($AT$32)), "Compact", L7 &lt;= ($AT$32*(0.79-(0.002*((E7-G7/2)/(2*F7))*SQRT($AT$32)))), "Non-Compact", L7 &gt; ($AT$32*(0.79-(0.002*((E7-G7/2)/(2*F7))*SQRT($AT$32)))), "Slender")</f>
        <v/>
      </c>
      <c r="Y7" s="129">
        <f t="array" ref="Y7">_xlfn.IFS(K7 &lt;= (65/SQRT($AT$32)), "Compact", K7 &lt;= (95/SQRT($AT$32)), "Non-Compact", K7 &gt; (95/SQRT($AT$32)), "Slender")</f>
        <v/>
      </c>
      <c r="Z7" s="125">
        <f>E7/F7</f>
        <v/>
      </c>
      <c r="AA7" s="125">
        <f>D7/G7</f>
        <v/>
      </c>
      <c r="AB7" s="125">
        <f t="array" ref="AB7">_xlfn.IFS(Z7 &lt;= 9, "1", Z7 &lt;= 12, "2", Z7 &lt;= 15, "3", Z7 &gt; 15, "4")</f>
        <v/>
      </c>
      <c r="AC7" s="125">
        <f t="array" ref="AC7">_xlfn.IFS(AA7 &lt;= 200, "1", L7 &lt;= 300, "2", L7 &lt;= 400, "3", L7 &gt; 400, "4")</f>
        <v/>
      </c>
      <c r="AD7" s="129">
        <f>SQRT((((VLOOKUP($AT$4,$A$4:$D$1021,4,FALSE))-D7)^2)+(((VLOOKUP($AT$4,$A$4:$E$1021,5,FALSE))-E7)^2)+(((VLOOKUP($AT$4,$A$4:$N$1021,14,FALSE))-N7)^2)+(((VLOOKUP($AT$4,$A$4:$O$1021,15,FALSE))-O7)^2))</f>
        <v/>
      </c>
      <c r="AG7" s="129">
        <f>SQRT((((VLOOKUP($AT$4,$A$4:$D$1021,4,FALSE))-D7)^2)+(((VLOOKUP($AT$4,$A$4:$E$1021,5,FALSE))-E7)^2)+(((VLOOKUP($AT$4,$A$4:$R$1021,18,FALSE))-R7)^2)+(((VLOOKUP($AT$4,$A$4:$S$1021,19,FALSE))-S7)^2))</f>
        <v/>
      </c>
      <c r="AJ7" s="125" t="inlineStr">
        <is>
          <t>W5X9</t>
        </is>
      </c>
      <c r="AK7" s="125">
        <f>SQRT(((VLOOKUP($AT$4,$A$4:$J$1021,10,FALSE))-J7)^2)</f>
        <v/>
      </c>
      <c r="AL7" s="125" t="n"/>
      <c r="AM7" s="125" t="n"/>
      <c r="AN7" s="125">
        <f>SQRT(((VLOOKUP($AT$4,$A$4:$R$1021,18,FALSE))-R7)^2)</f>
        <v/>
      </c>
      <c r="AO7" s="125" t="n"/>
      <c r="AP7" s="125" t="n"/>
      <c r="AQ7" s="125" t="inlineStr">
        <is>
          <t>W5X9</t>
        </is>
      </c>
      <c r="AR7" s="126" t="inlineStr">
        <is>
          <t>W+B+S</t>
        </is>
      </c>
      <c r="AS7" s="131" t="n"/>
      <c r="AT7" s="131" t="inlineStr">
        <is>
          <t>Type</t>
        </is>
      </c>
      <c r="AU7" s="131" t="n"/>
      <c r="AV7" s="127" t="n"/>
      <c r="AX7" s="78" t="n"/>
      <c r="AY7" s="78" t="inlineStr">
        <is>
          <t>Type</t>
        </is>
      </c>
      <c r="AZ7" s="78" t="n"/>
      <c r="BA7" s="79" t="n"/>
      <c r="BB7" s="125">
        <f>SQRT(($J$1022-J7)^2)</f>
        <v/>
      </c>
      <c r="BC7" s="125">
        <f>SQRT(($R$1022-R7)^2)</f>
        <v/>
      </c>
      <c r="BD7" s="125" t="inlineStr">
        <is>
          <t>W5X9</t>
        </is>
      </c>
      <c r="BE7" s="78" t="n"/>
      <c r="BF7" s="78" t="inlineStr">
        <is>
          <t>Type</t>
        </is>
      </c>
      <c r="BG7" s="78" t="n"/>
      <c r="BH7" s="92" t="n"/>
      <c r="BI7">
        <f>SQRT(($J$1023-J7)^2)</f>
        <v/>
      </c>
      <c r="BJ7">
        <f>SQRT(($R$1023-R7)^2)</f>
        <v/>
      </c>
      <c r="BK7" s="125" t="inlineStr">
        <is>
          <t>W5X9</t>
        </is>
      </c>
      <c r="BL7" s="78" t="n"/>
      <c r="BM7" s="78" t="inlineStr">
        <is>
          <t>Type</t>
        </is>
      </c>
      <c r="BN7" s="78" t="n"/>
      <c r="BO7" s="92" t="n"/>
      <c r="BP7">
        <f>SQRT(($J$1024-J7)^2)</f>
        <v/>
      </c>
      <c r="BQ7">
        <f>SQRT(($R$1024-R7)^2)</f>
        <v/>
      </c>
      <c r="BR7" s="125" t="inlineStr">
        <is>
          <t>W5X9</t>
        </is>
      </c>
      <c r="BS7" s="78" t="n"/>
      <c r="BT7" s="78" t="inlineStr">
        <is>
          <t>Type</t>
        </is>
      </c>
      <c r="BU7" s="78" t="n"/>
      <c r="BV7" s="92" t="n"/>
      <c r="BW7">
        <f>SQRT(($J$1025-J7)^2)</f>
        <v/>
      </c>
      <c r="BX7">
        <f>SQRT(($R$1025-R7)^2)</f>
        <v/>
      </c>
      <c r="BY7" s="125" t="inlineStr">
        <is>
          <t>W5X9</t>
        </is>
      </c>
      <c r="BZ7" s="78" t="n"/>
      <c r="CA7" s="78" t="inlineStr">
        <is>
          <t>Type</t>
        </is>
      </c>
      <c r="CB7" s="78" t="n"/>
      <c r="CC7" s="92" t="n"/>
      <c r="CD7">
        <f>SQRT(($J$1026-J7)^2)</f>
        <v/>
      </c>
      <c r="CE7">
        <f>SQRT(($R$1026-R7)^2)</f>
        <v/>
      </c>
      <c r="CF7" s="125" t="inlineStr">
        <is>
          <t>W5X9</t>
        </is>
      </c>
      <c r="CG7" s="78" t="n"/>
      <c r="CH7" s="78" t="inlineStr">
        <is>
          <t>Type</t>
        </is>
      </c>
      <c r="CI7" s="78" t="n"/>
      <c r="CJ7" s="92" t="n"/>
    </row>
    <row r="8">
      <c r="A8" s="125" t="inlineStr">
        <is>
          <t>W5X16</t>
        </is>
      </c>
      <c r="B8" s="129" t="inlineStr">
        <is>
          <t>AISC</t>
        </is>
      </c>
      <c r="C8" s="125" t="n">
        <v>23.8</v>
      </c>
      <c r="D8" s="125" t="n">
        <v>127.3</v>
      </c>
      <c r="E8" s="125" t="n">
        <v>127</v>
      </c>
      <c r="F8" s="125" t="n">
        <v>9.1</v>
      </c>
      <c r="G8" s="125" t="n">
        <v>6.1</v>
      </c>
      <c r="H8" s="125" t="n">
        <v>7.6</v>
      </c>
      <c r="I8" s="125" t="n">
        <v>93.8</v>
      </c>
      <c r="J8" s="125" t="n">
        <v>30.4</v>
      </c>
      <c r="K8" s="125">
        <f>((E8-G8)/2)/F8</f>
        <v/>
      </c>
      <c r="L8" s="125">
        <f>I8/G8</f>
        <v/>
      </c>
      <c r="M8" s="125" t="n">
        <v>0.737</v>
      </c>
      <c r="N8" s="125" t="n">
        <v>892</v>
      </c>
      <c r="O8" s="125" t="n">
        <v>312</v>
      </c>
      <c r="P8" s="125" t="n">
        <v>5.42</v>
      </c>
      <c r="Q8" s="125" t="n">
        <v>3.21</v>
      </c>
      <c r="R8" s="125" t="n">
        <v>140</v>
      </c>
      <c r="S8" s="125" t="n">
        <v>49.2</v>
      </c>
      <c r="T8" s="125" t="n">
        <v>158</v>
      </c>
      <c r="U8" s="125" t="n">
        <v>75</v>
      </c>
      <c r="X8" s="129">
        <f t="array" ref="X8">_xlfn.IFS((D8/F8) &lt;= (640/SQRT($AT$32)), "Compact", L8 &lt;= ($AT$32*(0.79-(0.002*((E8-G8/2)/(2*F8))*SQRT($AT$32)))), "Non-Compact", L8 &gt; ($AT$32*(0.79-(0.002*((E8-G8/2)/(2*F8))*SQRT($AT$32)))), "Slender")</f>
        <v/>
      </c>
      <c r="Y8" s="129">
        <f t="array" ref="Y8">_xlfn.IFS(K8 &lt;= (65/SQRT($AT$32)), "Compact", K8 &lt;= (95/SQRT($AT$32)), "Non-Compact", K8 &gt; (95/SQRT($AT$32)), "Slender")</f>
        <v/>
      </c>
      <c r="Z8" s="125">
        <f>E8/F8</f>
        <v/>
      </c>
      <c r="AA8" s="125">
        <f>D8/G8</f>
        <v/>
      </c>
      <c r="AB8" s="125">
        <f t="array" ref="AB8">_xlfn.IFS(Z8 &lt;= 9, "1", Z8 &lt;= 12, "2", Z8 &lt;= 15, "3", Z8 &gt; 15, "4")</f>
        <v/>
      </c>
      <c r="AC8" s="125">
        <f t="array" ref="AC8">_xlfn.IFS(AA8 &lt;= 200, "1", L8 &lt;= 300, "2", L8 &lt;= 400, "3", L8 &gt; 400, "4")</f>
        <v/>
      </c>
      <c r="AD8" s="129">
        <f>SQRT((((VLOOKUP($AT$4,$A$4:$D$1021,4,FALSE))-D8)^2)+(((VLOOKUP($AT$4,$A$4:$E$1021,5,FALSE))-E8)^2)+(((VLOOKUP($AT$4,$A$4:$N$1021,14,FALSE))-N8)^2)+(((VLOOKUP($AT$4,$A$4:$O$1021,15,FALSE))-O8)^2))</f>
        <v/>
      </c>
      <c r="AG8" s="129">
        <f>SQRT((((VLOOKUP($AT$4,$A$4:$D$1021,4,FALSE))-D8)^2)+(((VLOOKUP($AT$4,$A$4:$E$1021,5,FALSE))-E8)^2)+(((VLOOKUP($AT$4,$A$4:$R$1021,18,FALSE))-R8)^2)+(((VLOOKUP($AT$4,$A$4:$S$1021,19,FALSE))-S8)^2))</f>
        <v/>
      </c>
      <c r="AJ8" s="125" t="inlineStr">
        <is>
          <t>W5X16</t>
        </is>
      </c>
      <c r="AK8" s="125">
        <f>SQRT(((VLOOKUP($AT$4,$A$4:$J$1021,10,FALSE))-J8)^2)</f>
        <v/>
      </c>
      <c r="AL8" s="125" t="n"/>
      <c r="AM8" s="125" t="n"/>
      <c r="AN8" s="125">
        <f>SQRT(((VLOOKUP($AT$4,$A$4:$R$1021,18,FALSE))-R8)^2)</f>
        <v/>
      </c>
      <c r="AO8" s="125" t="n"/>
      <c r="AP8" s="125" t="n"/>
      <c r="AQ8" s="125" t="inlineStr">
        <is>
          <t>W5X16</t>
        </is>
      </c>
      <c r="AS8" s="131" t="inlineStr">
        <is>
          <t>Min aisc</t>
        </is>
      </c>
      <c r="AT8" s="126" t="inlineStr">
        <is>
          <t>AISC</t>
        </is>
      </c>
      <c r="AU8" s="127">
        <f>MIN(AG4:AG363)</f>
        <v/>
      </c>
      <c r="AV8" s="127">
        <f>VLOOKUP(AU8,AG4:AJ363,4,FALSE)</f>
        <v/>
      </c>
      <c r="AX8" s="78" t="inlineStr">
        <is>
          <t>Min aisc</t>
        </is>
      </c>
      <c r="AY8" s="80" t="inlineStr">
        <is>
          <t>AISC</t>
        </is>
      </c>
      <c r="AZ8" s="79">
        <f>MIN(AK4:AK363)</f>
        <v/>
      </c>
      <c r="BA8" s="79">
        <f>VLOOKUP(AZ8,AK4:AQ363,7,FALSE)</f>
        <v/>
      </c>
      <c r="BB8" s="125">
        <f>SQRT(($J$1022-J8)^2)</f>
        <v/>
      </c>
      <c r="BC8" s="125">
        <f>SQRT(($R$1022-R8)^2)</f>
        <v/>
      </c>
      <c r="BD8" s="125" t="inlineStr">
        <is>
          <t>W5X16</t>
        </is>
      </c>
      <c r="BE8" s="78" t="inlineStr">
        <is>
          <t>Min aisc</t>
        </is>
      </c>
      <c r="BF8" s="80" t="inlineStr">
        <is>
          <t>AISC</t>
        </is>
      </c>
      <c r="BG8" s="79">
        <f>MIN(BB4:BB363)</f>
        <v/>
      </c>
      <c r="BH8" s="92">
        <f>VLOOKUP(BG8,BB4:BD363,3,FALSE)</f>
        <v/>
      </c>
      <c r="BI8">
        <f>SQRT(($J$1023-J8)^2)</f>
        <v/>
      </c>
      <c r="BJ8">
        <f>SQRT(($R$1023-R8)^2)</f>
        <v/>
      </c>
      <c r="BK8" s="125" t="inlineStr">
        <is>
          <t>W5X16</t>
        </is>
      </c>
      <c r="BL8" s="78" t="inlineStr">
        <is>
          <t>Min aisc</t>
        </is>
      </c>
      <c r="BM8" s="80" t="inlineStr">
        <is>
          <t>AISC</t>
        </is>
      </c>
      <c r="BN8" s="79">
        <f>MIN(BI4:BI363)</f>
        <v/>
      </c>
      <c r="BO8" s="92">
        <f>VLOOKUP(BN8,BI4:BK363,3,FALSE)</f>
        <v/>
      </c>
      <c r="BP8">
        <f>SQRT(($J$1024-J8)^2)</f>
        <v/>
      </c>
      <c r="BQ8">
        <f>SQRT(($R$1024-R8)^2)</f>
        <v/>
      </c>
      <c r="BR8" s="125" t="inlineStr">
        <is>
          <t>W5X16</t>
        </is>
      </c>
      <c r="BS8" s="78" t="inlineStr">
        <is>
          <t>Min aisc</t>
        </is>
      </c>
      <c r="BT8" s="80" t="inlineStr">
        <is>
          <t>AISC</t>
        </is>
      </c>
      <c r="BU8" s="79">
        <f>MIN(BP4:BP363)</f>
        <v/>
      </c>
      <c r="BV8" s="92">
        <f>VLOOKUP(BU8,BP4:BR363,3,FALSE)</f>
        <v/>
      </c>
      <c r="BW8">
        <f>SQRT(($J$1025-J8)^2)</f>
        <v/>
      </c>
      <c r="BX8">
        <f>SQRT(($R$1025-R8)^2)</f>
        <v/>
      </c>
      <c r="BY8" s="125" t="inlineStr">
        <is>
          <t>W5X16</t>
        </is>
      </c>
      <c r="BZ8" s="78" t="inlineStr">
        <is>
          <t>Min aisc</t>
        </is>
      </c>
      <c r="CA8" s="80" t="inlineStr">
        <is>
          <t>AISC</t>
        </is>
      </c>
      <c r="CB8" s="79">
        <f>MIN(BW4:BW363)</f>
        <v/>
      </c>
      <c r="CC8" s="92">
        <f>VLOOKUP(CB8,BW4:BY363,3,FALSE)</f>
        <v/>
      </c>
      <c r="CD8">
        <f>SQRT(($J$1026-J8)^2)</f>
        <v/>
      </c>
      <c r="CE8">
        <f>SQRT(($R$1026-R8)^2)</f>
        <v/>
      </c>
      <c r="CF8" s="125" t="inlineStr">
        <is>
          <t>W5X16</t>
        </is>
      </c>
      <c r="CG8" s="78" t="inlineStr">
        <is>
          <t>Min aisc</t>
        </is>
      </c>
      <c r="CH8" s="80" t="inlineStr">
        <is>
          <t>AISC</t>
        </is>
      </c>
      <c r="CI8" s="79">
        <f>MIN(CD4:CD363)</f>
        <v/>
      </c>
      <c r="CJ8" s="92">
        <f>VLOOKUP(CI8,CD4:CF363,3,FALSE)</f>
        <v/>
      </c>
    </row>
    <row r="9">
      <c r="A9" s="125" t="inlineStr">
        <is>
          <t>W5X19</t>
        </is>
      </c>
      <c r="B9" s="129" t="inlineStr">
        <is>
          <t>AISC</t>
        </is>
      </c>
      <c r="C9" s="125" t="n">
        <v>28.3</v>
      </c>
      <c r="D9" s="125" t="n">
        <v>130.8</v>
      </c>
      <c r="E9" s="125" t="n">
        <v>127.8</v>
      </c>
      <c r="F9" s="125" t="n">
        <v>10.9</v>
      </c>
      <c r="G9" s="125" t="n">
        <v>6.9</v>
      </c>
      <c r="H9" s="125" t="n">
        <v>7.6</v>
      </c>
      <c r="I9" s="125" t="n">
        <v>93.8</v>
      </c>
      <c r="J9" s="125" t="n">
        <v>35.8</v>
      </c>
      <c r="K9" s="125">
        <f>((E9-G9)/2)/F9</f>
        <v/>
      </c>
      <c r="L9" s="125">
        <f>I9/G9</f>
        <v/>
      </c>
      <c r="M9" s="125" t="n">
        <v>0.746</v>
      </c>
      <c r="N9" s="125" t="n">
        <v>1092</v>
      </c>
      <c r="O9" s="125" t="n">
        <v>380</v>
      </c>
      <c r="P9" s="125" t="n">
        <v>5.52</v>
      </c>
      <c r="Q9" s="125" t="n">
        <v>3.25</v>
      </c>
      <c r="R9" s="125" t="n">
        <v>167</v>
      </c>
      <c r="S9" s="125" t="n">
        <v>59.4</v>
      </c>
      <c r="T9" s="125" t="n">
        <v>190</v>
      </c>
      <c r="U9" s="125" t="n">
        <v>90.59999999999999</v>
      </c>
      <c r="X9" s="129">
        <f t="array" ref="X9">_xlfn.IFS((D9/F9) &lt;= (640/SQRT($AT$32)), "Compact", L9 &lt;= ($AT$32*(0.79-(0.002*((E9-G9/2)/(2*F9))*SQRT($AT$32)))), "Non-Compact", L9 &gt; ($AT$32*(0.79-(0.002*((E9-G9/2)/(2*F9))*SQRT($AT$32)))), "Slender")</f>
        <v/>
      </c>
      <c r="Y9" s="129">
        <f t="array" ref="Y9">_xlfn.IFS(K9 &lt;= (65/SQRT($AT$32)), "Compact", K9 &lt;= (95/SQRT($AT$32)), "Non-Compact", K9 &gt; (95/SQRT($AT$32)), "Slender")</f>
        <v/>
      </c>
      <c r="Z9" s="125">
        <f>E9/F9</f>
        <v/>
      </c>
      <c r="AA9" s="125">
        <f>D9/G9</f>
        <v/>
      </c>
      <c r="AB9" s="125">
        <f t="array" ref="AB9">_xlfn.IFS(Z9 &lt;= 9, "1", Z9 &lt;= 12, "2", Z9 &lt;= 15, "3", Z9 &gt; 15, "4")</f>
        <v/>
      </c>
      <c r="AC9" s="125">
        <f t="array" ref="AC9">_xlfn.IFS(AA9 &lt;= 200, "1", L9 &lt;= 300, "2", L9 &lt;= 400, "3", L9 &gt; 400, "4")</f>
        <v/>
      </c>
      <c r="AD9" s="129">
        <f>SQRT((((VLOOKUP($AT$4,$A$4:$D$1021,4,FALSE))-D9)^2)+(((VLOOKUP($AT$4,$A$4:$E$1021,5,FALSE))-E9)^2)+(((VLOOKUP($AT$4,$A$4:$N$1021,14,FALSE))-N9)^2)+(((VLOOKUP($AT$4,$A$4:$O$1021,15,FALSE))-O9)^2))</f>
        <v/>
      </c>
      <c r="AG9" s="129">
        <f>SQRT((((VLOOKUP($AT$4,$A$4:$D$1021,4,FALSE))-D9)^2)+(((VLOOKUP($AT$4,$A$4:$E$1021,5,FALSE))-E9)^2)+(((VLOOKUP($AT$4,$A$4:$R$1021,18,FALSE))-R9)^2)+(((VLOOKUP($AT$4,$A$4:$S$1021,19,FALSE))-S9)^2))</f>
        <v/>
      </c>
      <c r="AJ9" s="125" t="inlineStr">
        <is>
          <t>W5X19</t>
        </is>
      </c>
      <c r="AK9" s="125">
        <f>SQRT(((VLOOKUP($AT$4,$A$4:$J$1021,10,FALSE))-J9)^2)</f>
        <v/>
      </c>
      <c r="AL9" s="125" t="n"/>
      <c r="AM9" s="125" t="n"/>
      <c r="AN9" s="125">
        <f>SQRT(((VLOOKUP($AT$4,$A$4:$R$1021,18,FALSE))-R9)^2)</f>
        <v/>
      </c>
      <c r="AO9" s="125" t="n"/>
      <c r="AP9" s="125" t="n"/>
      <c r="AQ9" s="125" t="inlineStr">
        <is>
          <t>W5X19</t>
        </is>
      </c>
      <c r="AS9" s="131" t="inlineStr">
        <is>
          <t>Min gb</t>
        </is>
      </c>
      <c r="AT9" s="126" t="inlineStr">
        <is>
          <t>GB</t>
        </is>
      </c>
      <c r="AU9" s="127">
        <f>MIN(AH364:AH454)</f>
        <v/>
      </c>
      <c r="AV9" s="127">
        <f>VLOOKUP(AU9,AH364:AJ454,3,FALSE)</f>
        <v/>
      </c>
      <c r="AX9" s="78" t="inlineStr">
        <is>
          <t>Min gb</t>
        </is>
      </c>
      <c r="AY9" s="80" t="inlineStr">
        <is>
          <t>GB</t>
        </is>
      </c>
      <c r="AZ9" s="79">
        <f>MIN(AL364:AL454)</f>
        <v/>
      </c>
      <c r="BA9" s="79">
        <f>VLOOKUP(AZ9,AL364:AQ454,6,FALSE)</f>
        <v/>
      </c>
      <c r="BB9" s="125">
        <f>SQRT(($J$1022-J9)^2)</f>
        <v/>
      </c>
      <c r="BC9" s="125">
        <f>SQRT(($R$1022-R9)^2)</f>
        <v/>
      </c>
      <c r="BD9" s="125" t="inlineStr">
        <is>
          <t>W5X19</t>
        </is>
      </c>
      <c r="BE9" s="78" t="inlineStr">
        <is>
          <t>Min gb</t>
        </is>
      </c>
      <c r="BF9" s="80" t="inlineStr">
        <is>
          <t>GB</t>
        </is>
      </c>
      <c r="BG9" s="79">
        <f>MIN(BB364:BB454)</f>
        <v/>
      </c>
      <c r="BH9" s="92">
        <f>VLOOKUP(BG9,BB364:BD454,3,FALSE)</f>
        <v/>
      </c>
      <c r="BI9">
        <f>SQRT(($J$1023-J9)^2)</f>
        <v/>
      </c>
      <c r="BJ9">
        <f>SQRT(($R$1023-R9)^2)</f>
        <v/>
      </c>
      <c r="BK9" s="125" t="inlineStr">
        <is>
          <t>W5X19</t>
        </is>
      </c>
      <c r="BL9" s="78" t="inlineStr">
        <is>
          <t>Min gb</t>
        </is>
      </c>
      <c r="BM9" s="80" t="inlineStr">
        <is>
          <t>GB</t>
        </is>
      </c>
      <c r="BN9" s="79">
        <f>MIN(BI364:BI454)</f>
        <v/>
      </c>
      <c r="BO9" s="92">
        <f>VLOOKUP(BN9,BI364:BK454,3,FALSE)</f>
        <v/>
      </c>
      <c r="BP9">
        <f>SQRT(($J$1024-J9)^2)</f>
        <v/>
      </c>
      <c r="BQ9">
        <f>SQRT(($R$1024-R9)^2)</f>
        <v/>
      </c>
      <c r="BR9" s="125" t="inlineStr">
        <is>
          <t>W5X19</t>
        </is>
      </c>
      <c r="BS9" s="78" t="inlineStr">
        <is>
          <t>Min gb</t>
        </is>
      </c>
      <c r="BT9" s="80" t="inlineStr">
        <is>
          <t>GB</t>
        </is>
      </c>
      <c r="BU9" s="79">
        <f>MIN(BP364:BP454)</f>
        <v/>
      </c>
      <c r="BV9" s="92">
        <f>VLOOKUP(BU9,BP364:BR454,3,FALSE)</f>
        <v/>
      </c>
      <c r="BW9">
        <f>SQRT(($J$1025-J9)^2)</f>
        <v/>
      </c>
      <c r="BX9">
        <f>SQRT(($R$1025-R9)^2)</f>
        <v/>
      </c>
      <c r="BY9" s="125" t="inlineStr">
        <is>
          <t>W5X19</t>
        </is>
      </c>
      <c r="BZ9" s="78" t="inlineStr">
        <is>
          <t>Min gb</t>
        </is>
      </c>
      <c r="CA9" s="80" t="inlineStr">
        <is>
          <t>GB</t>
        </is>
      </c>
      <c r="CB9" s="79">
        <f>MIN(BW364:BW454)</f>
        <v/>
      </c>
      <c r="CC9" s="92">
        <f>VLOOKUP(CB9,BW364:BY454,3,FALSE)</f>
        <v/>
      </c>
      <c r="CD9">
        <f>SQRT(($J$1026-J9)^2)</f>
        <v/>
      </c>
      <c r="CE9">
        <f>SQRT(($R$1026-R9)^2)</f>
        <v/>
      </c>
      <c r="CF9" s="125" t="inlineStr">
        <is>
          <t>W5X19</t>
        </is>
      </c>
      <c r="CG9" s="78" t="inlineStr">
        <is>
          <t>Min gb</t>
        </is>
      </c>
      <c r="CH9" s="80" t="inlineStr">
        <is>
          <t>GB</t>
        </is>
      </c>
      <c r="CI9" s="79">
        <f>MIN(CD364:CD454)</f>
        <v/>
      </c>
      <c r="CJ9" s="92">
        <f>VLOOKUP(CI9,CD364:CF454,3,FALSE)</f>
        <v/>
      </c>
    </row>
    <row r="10">
      <c r="A10" s="125" t="inlineStr">
        <is>
          <t>W6X9</t>
        </is>
      </c>
      <c r="B10" s="129" t="inlineStr">
        <is>
          <t>AISC</t>
        </is>
      </c>
      <c r="C10" s="125" t="n">
        <v>14</v>
      </c>
      <c r="D10" s="125" t="n">
        <v>150</v>
      </c>
      <c r="E10" s="125" t="n">
        <v>75</v>
      </c>
      <c r="F10" s="125" t="n">
        <v>7</v>
      </c>
      <c r="G10" s="125" t="n">
        <v>5</v>
      </c>
      <c r="H10" s="125" t="n">
        <v>8</v>
      </c>
      <c r="I10" s="125" t="n">
        <v>120</v>
      </c>
      <c r="J10" s="125" t="n">
        <v>17.8</v>
      </c>
      <c r="K10" s="125">
        <f>((E10-G10)/2)/F10</f>
        <v/>
      </c>
      <c r="L10" s="125">
        <f>I10/G10</f>
        <v/>
      </c>
      <c r="M10" s="125" t="n">
        <v>0.576</v>
      </c>
      <c r="N10" s="125" t="n">
        <v>666</v>
      </c>
      <c r="O10" s="125" t="n">
        <v>49.5</v>
      </c>
      <c r="P10" s="125" t="n">
        <v>6.11</v>
      </c>
      <c r="Q10" s="125" t="n">
        <v>1.67</v>
      </c>
      <c r="R10" s="125" t="n">
        <v>88.8</v>
      </c>
      <c r="S10" s="125" t="n">
        <v>13.2</v>
      </c>
      <c r="T10" s="125" t="n">
        <v>102</v>
      </c>
      <c r="U10" s="125" t="n">
        <v>20.8</v>
      </c>
      <c r="X10" s="129">
        <f t="array" ref="X10">_xlfn.IFS((D10/F10) &lt;= (640/SQRT($AT$32)), "Compact", L10 &lt;= ($AT$32*(0.79-(0.002*((E10-G10/2)/(2*F10))*SQRT($AT$32)))), "Non-Compact", L10 &gt; ($AT$32*(0.79-(0.002*((E10-G10/2)/(2*F10))*SQRT($AT$32)))), "Slender")</f>
        <v/>
      </c>
      <c r="Y10" s="129">
        <f t="array" ref="Y10">_xlfn.IFS(K10 &lt;= (65/SQRT($AT$32)), "Compact", K10 &lt;= (95/SQRT($AT$32)), "Non-Compact", K10 &gt; (95/SQRT($AT$32)), "Slender")</f>
        <v/>
      </c>
      <c r="Z10" s="125">
        <f>E10/F10</f>
        <v/>
      </c>
      <c r="AA10" s="125">
        <f>D10/G10</f>
        <v/>
      </c>
      <c r="AB10" s="125">
        <f t="array" ref="AB10">_xlfn.IFS(Z10 &lt;= 9, "1", Z10 &lt;= 12, "2", Z10 &lt;= 15, "3", Z10 &gt; 15, "4")</f>
        <v/>
      </c>
      <c r="AC10" s="125">
        <f t="array" ref="AC10">_xlfn.IFS(AA10 &lt;= 200, "1", L10 &lt;= 300, "2", L10 &lt;= 400, "3", L10 &gt; 400, "4")</f>
        <v/>
      </c>
      <c r="AD10" s="129">
        <f>SQRT((((VLOOKUP($AT$4,$A$4:$D$1021,4,FALSE))-D10)^2)+(((VLOOKUP($AT$4,$A$4:$E$1021,5,FALSE))-E10)^2)+(((VLOOKUP($AT$4,$A$4:$N$1021,14,FALSE))-N10)^2)+(((VLOOKUP($AT$4,$A$4:$O$1021,15,FALSE))-O10)^2))</f>
        <v/>
      </c>
      <c r="AG10" s="129">
        <f>SQRT((((VLOOKUP($AT$4,$A$4:$D$1021,4,FALSE))-D10)^2)+(((VLOOKUP($AT$4,$A$4:$E$1021,5,FALSE))-E10)^2)+(((VLOOKUP($AT$4,$A$4:$R$1021,18,FALSE))-R10)^2)+(((VLOOKUP($AT$4,$A$4:$S$1021,19,FALSE))-S10)^2))</f>
        <v/>
      </c>
      <c r="AJ10" s="125" t="inlineStr">
        <is>
          <t>W6X9</t>
        </is>
      </c>
      <c r="AK10" s="125">
        <f>SQRT(((VLOOKUP($AT$4,$A$4:$J$1021,10,FALSE))-J10)^2)</f>
        <v/>
      </c>
      <c r="AL10" s="125" t="n"/>
      <c r="AM10" s="125" t="n"/>
      <c r="AN10" s="125">
        <f>SQRT(((VLOOKUP($AT$4,$A$4:$R$1021,18,FALSE))-R10)^2)</f>
        <v/>
      </c>
      <c r="AO10" s="125" t="n"/>
      <c r="AP10" s="125" t="n"/>
      <c r="AQ10" s="125" t="inlineStr">
        <is>
          <t>W6X9</t>
        </is>
      </c>
      <c r="AS10" s="131" t="inlineStr">
        <is>
          <t>Min hy</t>
        </is>
      </c>
      <c r="AT10" s="126" t="inlineStr">
        <is>
          <t>HY</t>
        </is>
      </c>
      <c r="AU10" s="127">
        <f>MIN(AI455:AI1021)</f>
        <v/>
      </c>
      <c r="AV10" s="127">
        <f>VLOOKUP(AU10,AI455:AJ1021,2,FALSE)</f>
        <v/>
      </c>
      <c r="AX10" s="78" t="inlineStr">
        <is>
          <t>Min hy</t>
        </is>
      </c>
      <c r="AY10" s="80" t="inlineStr">
        <is>
          <t>HY</t>
        </is>
      </c>
      <c r="AZ10" s="79">
        <f>MIN(AM455:AM1021)</f>
        <v/>
      </c>
      <c r="BA10" s="79">
        <f>VLOOKUP(AZ10,AM455:AQ1021,5,FALSE)</f>
        <v/>
      </c>
      <c r="BB10" s="125">
        <f>SQRT(($J$1022-J10)^2)</f>
        <v/>
      </c>
      <c r="BC10" s="125">
        <f>SQRT(($R$1022-R10)^2)</f>
        <v/>
      </c>
      <c r="BD10" s="125" t="inlineStr">
        <is>
          <t>W6X9</t>
        </is>
      </c>
      <c r="BE10" s="78" t="inlineStr">
        <is>
          <t>Min hy</t>
        </is>
      </c>
      <c r="BF10" s="80" t="inlineStr">
        <is>
          <t>HY</t>
        </is>
      </c>
      <c r="BG10" s="79">
        <f>MIN(BB455:BB1021)</f>
        <v/>
      </c>
      <c r="BH10" s="92">
        <f>VLOOKUP(BG10,BB455:BD1021,3,FALSE)</f>
        <v/>
      </c>
      <c r="BI10">
        <f>SQRT(($J$1023-J10)^2)</f>
        <v/>
      </c>
      <c r="BJ10">
        <f>SQRT(($R$1023-R10)^2)</f>
        <v/>
      </c>
      <c r="BK10" s="125" t="inlineStr">
        <is>
          <t>W6X9</t>
        </is>
      </c>
      <c r="BL10" s="78" t="inlineStr">
        <is>
          <t>Min hy</t>
        </is>
      </c>
      <c r="BM10" s="80" t="inlineStr">
        <is>
          <t>HY</t>
        </is>
      </c>
      <c r="BN10" s="79">
        <f>MIN(BI455:BI1021)</f>
        <v/>
      </c>
      <c r="BO10" s="92">
        <f>VLOOKUP(BN10,BI455:BK1021,3,FALSE)</f>
        <v/>
      </c>
      <c r="BP10">
        <f>SQRT(($J$1024-J10)^2)</f>
        <v/>
      </c>
      <c r="BQ10">
        <f>SQRT(($R$1024-R10)^2)</f>
        <v/>
      </c>
      <c r="BR10" s="125" t="inlineStr">
        <is>
          <t>W6X9</t>
        </is>
      </c>
      <c r="BS10" s="78" t="inlineStr">
        <is>
          <t>Min hy</t>
        </is>
      </c>
      <c r="BT10" s="80" t="inlineStr">
        <is>
          <t>HY</t>
        </is>
      </c>
      <c r="BU10" s="79">
        <f>MIN(BP455:BP1021)</f>
        <v/>
      </c>
      <c r="BV10" s="92">
        <f>VLOOKUP(BU10,BP455:BR1021,3,FALSE)</f>
        <v/>
      </c>
      <c r="BW10">
        <f>SQRT(($J$1025-J10)^2)</f>
        <v/>
      </c>
      <c r="BX10">
        <f>SQRT(($R$1025-R10)^2)</f>
        <v/>
      </c>
      <c r="BY10" s="125" t="inlineStr">
        <is>
          <t>W6X9</t>
        </is>
      </c>
      <c r="BZ10" s="78" t="inlineStr">
        <is>
          <t>Min hy</t>
        </is>
      </c>
      <c r="CA10" s="80" t="inlineStr">
        <is>
          <t>HY</t>
        </is>
      </c>
      <c r="CB10" s="79">
        <f>MIN(BW455:BW1021)</f>
        <v/>
      </c>
      <c r="CC10" s="92">
        <f>VLOOKUP(CB10,BW455:BY1021,3,FALSE)</f>
        <v/>
      </c>
      <c r="CD10">
        <f>SQRT(($J$1026-J10)^2)</f>
        <v/>
      </c>
      <c r="CE10">
        <f>SQRT(($R$1026-R10)^2)</f>
        <v/>
      </c>
      <c r="CF10" s="125" t="inlineStr">
        <is>
          <t>W6X9</t>
        </is>
      </c>
      <c r="CG10" s="78" t="inlineStr">
        <is>
          <t>Min hy</t>
        </is>
      </c>
      <c r="CH10" s="80" t="inlineStr">
        <is>
          <t>HY</t>
        </is>
      </c>
      <c r="CI10" s="79">
        <f>MIN(CD455:CD1021)</f>
        <v/>
      </c>
      <c r="CJ10" s="92">
        <f>VLOOKUP(CI10,CD455:CF1021,3,FALSE)</f>
        <v/>
      </c>
    </row>
    <row r="11">
      <c r="A11" s="125" t="inlineStr">
        <is>
          <t>W6X12</t>
        </is>
      </c>
      <c r="B11" s="129" t="inlineStr">
        <is>
          <t>AISC</t>
        </is>
      </c>
      <c r="C11" s="125" t="n">
        <v>18</v>
      </c>
      <c r="D11" s="125" t="n">
        <v>155</v>
      </c>
      <c r="E11" s="125" t="n">
        <v>75</v>
      </c>
      <c r="F11" s="125" t="n">
        <v>8.5</v>
      </c>
      <c r="G11" s="125" t="n">
        <v>6</v>
      </c>
      <c r="H11" s="125" t="n">
        <v>8</v>
      </c>
      <c r="I11" s="125" t="n">
        <v>122</v>
      </c>
      <c r="J11" s="125" t="n">
        <v>21.6</v>
      </c>
      <c r="K11" s="125">
        <f>((E11-G11)/2)/F11</f>
        <v/>
      </c>
      <c r="L11" s="125">
        <f>I11/G11</f>
        <v/>
      </c>
      <c r="M11" s="125" t="n">
        <v>0.584</v>
      </c>
      <c r="N11" s="125" t="n">
        <v>841</v>
      </c>
      <c r="O11" s="125" t="n">
        <v>60.2</v>
      </c>
      <c r="P11" s="125" t="n">
        <v>6.24</v>
      </c>
      <c r="Q11" s="125" t="n">
        <v>1.67</v>
      </c>
      <c r="R11" s="125" t="n">
        <v>109</v>
      </c>
      <c r="S11" s="125" t="n">
        <v>16</v>
      </c>
      <c r="T11" s="125" t="n">
        <v>126</v>
      </c>
      <c r="U11" s="125" t="n">
        <v>25.4</v>
      </c>
      <c r="X11" s="129">
        <f t="array" ref="X11">_xlfn.IFS((D11/F11) &lt;= (640/SQRT($AT$32)), "Compact", L11 &lt;= ($AT$32*(0.79-(0.002*((E11-G11/2)/(2*F11))*SQRT($AT$32)))), "Non-Compact", L11 &gt; ($AT$32*(0.79-(0.002*((E11-G11/2)/(2*F11))*SQRT($AT$32)))), "Slender")</f>
        <v/>
      </c>
      <c r="Y11" s="129">
        <f t="array" ref="Y11">_xlfn.IFS(K11 &lt;= (65/SQRT($AT$32)), "Compact", K11 &lt;= (95/SQRT($AT$32)), "Non-Compact", K11 &gt; (95/SQRT($AT$32)), "Slender")</f>
        <v/>
      </c>
      <c r="Z11" s="125">
        <f>E11/F11</f>
        <v/>
      </c>
      <c r="AA11" s="125">
        <f>D11/G11</f>
        <v/>
      </c>
      <c r="AB11" s="125">
        <f t="array" ref="AB11">_xlfn.IFS(Z11 &lt;= 9, "1", Z11 &lt;= 12, "2", Z11 &lt;= 15, "3", Z11 &gt; 15, "4")</f>
        <v/>
      </c>
      <c r="AC11" s="125">
        <f t="array" ref="AC11">_xlfn.IFS(AA11 &lt;= 200, "1", L11 &lt;= 300, "2", L11 &lt;= 400, "3", L11 &gt; 400, "4")</f>
        <v/>
      </c>
      <c r="AD11" s="129">
        <f>SQRT((((VLOOKUP($AT$4,$A$4:$D$1021,4,FALSE))-D11)^2)+(((VLOOKUP($AT$4,$A$4:$E$1021,5,FALSE))-E11)^2)+(((VLOOKUP($AT$4,$A$4:$N$1021,14,FALSE))-N11)^2)+(((VLOOKUP($AT$4,$A$4:$O$1021,15,FALSE))-O11)^2))</f>
        <v/>
      </c>
      <c r="AG11" s="129">
        <f>SQRT((((VLOOKUP($AT$4,$A$4:$D$1021,4,FALSE))-D11)^2)+(((VLOOKUP($AT$4,$A$4:$E$1021,5,FALSE))-E11)^2)+(((VLOOKUP($AT$4,$A$4:$R$1021,18,FALSE))-R11)^2)+(((VLOOKUP($AT$4,$A$4:$S$1021,19,FALSE))-S11)^2))</f>
        <v/>
      </c>
      <c r="AJ11" s="125" t="inlineStr">
        <is>
          <t>W6X12</t>
        </is>
      </c>
      <c r="AK11" s="125">
        <f>SQRT(((VLOOKUP($AT$4,$A$4:$J$1021,10,FALSE))-J11)^2)</f>
        <v/>
      </c>
      <c r="AL11" s="125" t="n"/>
      <c r="AM11" s="125" t="n"/>
      <c r="AN11" s="125">
        <f>SQRT(((VLOOKUP($AT$4,$A$4:$R$1021,18,FALSE))-R11)^2)</f>
        <v/>
      </c>
      <c r="AO11" s="125" t="n"/>
      <c r="AP11" s="125" t="n"/>
      <c r="AQ11" s="125" t="inlineStr">
        <is>
          <t>W6X12</t>
        </is>
      </c>
      <c r="AS11" s="122" t="inlineStr">
        <is>
          <t>1st</t>
        </is>
      </c>
      <c r="AT11" s="127">
        <f>VLOOKUP(LARGE(AU8:AU10,2),AU8:AV10,2,FALSE)</f>
        <v/>
      </c>
      <c r="AU11" s="127" t="n"/>
      <c r="AV11" s="127" t="n"/>
      <c r="AX11" s="135" t="inlineStr">
        <is>
          <t>1st</t>
        </is>
      </c>
      <c r="AY11" s="79">
        <f>VLOOKUP(LARGE(AZ8:AZ10,2),AZ8:BA10,2,FALSE)</f>
        <v/>
      </c>
      <c r="AZ11" s="79" t="n"/>
      <c r="BA11" s="79" t="n"/>
      <c r="BB11" s="125">
        <f>SQRT(($J$1022-J11)^2)</f>
        <v/>
      </c>
      <c r="BC11" s="125">
        <f>SQRT(($R$1022-R11)^2)</f>
        <v/>
      </c>
      <c r="BD11" s="125" t="inlineStr">
        <is>
          <t>W6X12</t>
        </is>
      </c>
      <c r="BE11" s="135" t="inlineStr">
        <is>
          <t>1st</t>
        </is>
      </c>
      <c r="BF11" s="92">
        <f>VLOOKUP(MIN(BG8:BG10),BG8:BH10,2,FALSE)</f>
        <v/>
      </c>
      <c r="BG11" s="148" t="n"/>
      <c r="BH11" s="92" t="n"/>
      <c r="BI11">
        <f>SQRT(($J$1023-J11)^2)</f>
        <v/>
      </c>
      <c r="BJ11">
        <f>SQRT(($R$1023-R11)^2)</f>
        <v/>
      </c>
      <c r="BK11" s="125" t="inlineStr">
        <is>
          <t>W6X12</t>
        </is>
      </c>
      <c r="BL11" s="135" t="inlineStr">
        <is>
          <t>1st</t>
        </is>
      </c>
      <c r="BM11" s="92">
        <f>VLOOKUP(MIN(BN8:BN10),BN8:BO10,2,FALSE)</f>
        <v/>
      </c>
      <c r="BN11" s="148" t="n"/>
      <c r="BO11" s="92" t="n"/>
      <c r="BP11">
        <f>SQRT(($J$1024-J11)^2)</f>
        <v/>
      </c>
      <c r="BQ11">
        <f>SQRT(($R$1024-R11)^2)</f>
        <v/>
      </c>
      <c r="BR11" s="125" t="inlineStr">
        <is>
          <t>W6X12</t>
        </is>
      </c>
      <c r="BS11" s="135" t="inlineStr">
        <is>
          <t>1st</t>
        </is>
      </c>
      <c r="BT11" s="92">
        <f>VLOOKUP(MIN(BU8:BU10),BU8:BV10,2,FALSE)</f>
        <v/>
      </c>
      <c r="BU11" s="148" t="n"/>
      <c r="BV11" s="92" t="n"/>
      <c r="BW11">
        <f>SQRT(($J$1025-J11)^2)</f>
        <v/>
      </c>
      <c r="BX11">
        <f>SQRT(($R$1025-R11)^2)</f>
        <v/>
      </c>
      <c r="BY11" s="125" t="inlineStr">
        <is>
          <t>W6X12</t>
        </is>
      </c>
      <c r="BZ11" s="135" t="inlineStr">
        <is>
          <t>1st</t>
        </is>
      </c>
      <c r="CA11" s="92">
        <f>VLOOKUP(MIN(CB8:CB10),CB8:CC10,2,FALSE)</f>
        <v/>
      </c>
      <c r="CB11" s="148" t="n"/>
      <c r="CC11" s="92" t="n"/>
      <c r="CD11">
        <f>SQRT(($J$1026-J11)^2)</f>
        <v/>
      </c>
      <c r="CE11">
        <f>SQRT(($R$1026-R11)^2)</f>
        <v/>
      </c>
      <c r="CF11" s="125" t="inlineStr">
        <is>
          <t>W6X12</t>
        </is>
      </c>
      <c r="CG11" s="135" t="inlineStr">
        <is>
          <t>1st</t>
        </is>
      </c>
      <c r="CH11" s="92">
        <f>VLOOKUP(MIN(CI8:CI10),CI8:CJ10,2,FALSE)</f>
        <v/>
      </c>
      <c r="CI11" s="148" t="n"/>
      <c r="CJ11" s="92" t="n"/>
    </row>
    <row r="12">
      <c r="A12" s="125" t="inlineStr">
        <is>
          <t>W6X11</t>
        </is>
      </c>
      <c r="B12" s="129" t="inlineStr">
        <is>
          <t>AISC</t>
        </is>
      </c>
      <c r="C12" s="125" t="n">
        <v>16</v>
      </c>
      <c r="D12" s="125" t="n">
        <v>152.4</v>
      </c>
      <c r="E12" s="125" t="n">
        <v>88.7</v>
      </c>
      <c r="F12" s="125" t="n">
        <v>7.7</v>
      </c>
      <c r="G12" s="125" t="n">
        <v>4.5</v>
      </c>
      <c r="H12" s="125" t="n">
        <v>7.6</v>
      </c>
      <c r="I12" s="125" t="n">
        <v>121.8</v>
      </c>
      <c r="J12" s="125" t="n">
        <v>20.3</v>
      </c>
      <c r="K12" s="125">
        <f>((E12-G12)/2)/F12</f>
        <v/>
      </c>
      <c r="L12" s="125">
        <f>I12/G12</f>
        <v/>
      </c>
      <c r="M12" s="125" t="n">
        <v>0.638</v>
      </c>
      <c r="N12" s="125" t="n">
        <v>834</v>
      </c>
      <c r="O12" s="125" t="n">
        <v>89.8</v>
      </c>
      <c r="P12" s="125" t="n">
        <v>6.41</v>
      </c>
      <c r="Q12" s="125" t="n">
        <v>2.1</v>
      </c>
      <c r="R12" s="125" t="n">
        <v>109</v>
      </c>
      <c r="S12" s="125" t="n">
        <v>20.2</v>
      </c>
      <c r="T12" s="125" t="n">
        <v>123</v>
      </c>
      <c r="U12" s="125" t="n">
        <v>31.2</v>
      </c>
      <c r="X12" s="129">
        <f t="array" ref="X12">_xlfn.IFS((D12/F12) &lt;= (640/SQRT($AT$32)), "Compact", L12 &lt;= ($AT$32*(0.79-(0.002*((E12-G12/2)/(2*F12))*SQRT($AT$32)))), "Non-Compact", L12 &gt; ($AT$32*(0.79-(0.002*((E12-G12/2)/(2*F12))*SQRT($AT$32)))), "Slender")</f>
        <v/>
      </c>
      <c r="Y12" s="129">
        <f t="array" ref="Y12">_xlfn.IFS(K12 &lt;= (65/SQRT($AT$32)), "Compact", K12 &lt;= (95/SQRT($AT$32)), "Non-Compact", K12 &gt; (95/SQRT($AT$32)), "Slender")</f>
        <v/>
      </c>
      <c r="Z12" s="125">
        <f>E12/F12</f>
        <v/>
      </c>
      <c r="AA12" s="125">
        <f>D12/G12</f>
        <v/>
      </c>
      <c r="AB12" s="125">
        <f t="array" ref="AB12">_xlfn.IFS(Z12 &lt;= 9, "1", Z12 &lt;= 12, "2", Z12 &lt;= 15, "3", Z12 &gt; 15, "4")</f>
        <v/>
      </c>
      <c r="AC12" s="125">
        <f t="array" ref="AC12">_xlfn.IFS(AA12 &lt;= 200, "1", L12 &lt;= 300, "2", L12 &lt;= 400, "3", L12 &gt; 400, "4")</f>
        <v/>
      </c>
      <c r="AD12" s="129">
        <f>SQRT((((VLOOKUP($AT$4,$A$4:$D$1021,4,FALSE))-D12)^2)+(((VLOOKUP($AT$4,$A$4:$E$1021,5,FALSE))-E12)^2)+(((VLOOKUP($AT$4,$A$4:$N$1021,14,FALSE))-N12)^2)+(((VLOOKUP($AT$4,$A$4:$O$1021,15,FALSE))-O12)^2))</f>
        <v/>
      </c>
      <c r="AG12" s="129">
        <f>SQRT((((VLOOKUP($AT$4,$A$4:$D$1021,4,FALSE))-D12)^2)+(((VLOOKUP($AT$4,$A$4:$E$1021,5,FALSE))-E12)^2)+(((VLOOKUP($AT$4,$A$4:$R$1021,18,FALSE))-R12)^2)+(((VLOOKUP($AT$4,$A$4:$S$1021,19,FALSE))-S12)^2))</f>
        <v/>
      </c>
      <c r="AJ12" s="125" t="inlineStr">
        <is>
          <t>W6X11</t>
        </is>
      </c>
      <c r="AK12" s="125">
        <f>SQRT(((VLOOKUP($AT$4,$A$4:$J$1021,10,FALSE))-J12)^2)</f>
        <v/>
      </c>
      <c r="AL12" s="125" t="n"/>
      <c r="AM12" s="125" t="n"/>
      <c r="AN12" s="125">
        <f>SQRT(((VLOOKUP($AT$4,$A$4:$R$1021,18,FALSE))-R12)^2)</f>
        <v/>
      </c>
      <c r="AO12" s="125" t="n"/>
      <c r="AP12" s="125" t="n"/>
      <c r="AQ12" s="125" t="inlineStr">
        <is>
          <t>W6X11</t>
        </is>
      </c>
      <c r="AS12" s="122" t="inlineStr">
        <is>
          <t>2nd</t>
        </is>
      </c>
      <c r="AT12" s="127">
        <f>VLOOKUP(MAX(AU8:AU10),AU8:AV10,2,FALSE)</f>
        <v/>
      </c>
      <c r="AU12" s="127" t="n"/>
      <c r="AV12" s="127" t="n"/>
      <c r="AX12" s="135" t="inlineStr">
        <is>
          <t>2nd</t>
        </is>
      </c>
      <c r="AY12" s="79">
        <f>VLOOKUP(MAX(AZ8:AZ10),AZ8:BA10,2,FALSE)</f>
        <v/>
      </c>
      <c r="AZ12" s="79" t="n"/>
      <c r="BA12" s="79" t="n"/>
      <c r="BB12" s="125">
        <f>SQRT(($J$1022-J12)^2)</f>
        <v/>
      </c>
      <c r="BC12" s="125">
        <f>SQRT(($R$1022-R12)^2)</f>
        <v/>
      </c>
      <c r="BD12" s="125" t="inlineStr">
        <is>
          <t>W6X11</t>
        </is>
      </c>
      <c r="BE12" s="135" t="inlineStr">
        <is>
          <t>2nd</t>
        </is>
      </c>
      <c r="BF12" s="92">
        <f>VLOOKUP(LARGE(BG8:BG10,2),BG8:BH10,2,FALSE)</f>
        <v/>
      </c>
      <c r="BG12" s="148" t="n"/>
      <c r="BH12" s="92" t="n"/>
      <c r="BI12">
        <f>SQRT(($J$1023-J12)^2)</f>
        <v/>
      </c>
      <c r="BJ12">
        <f>SQRT(($R$1023-R12)^2)</f>
        <v/>
      </c>
      <c r="BK12" s="125" t="inlineStr">
        <is>
          <t>W6X11</t>
        </is>
      </c>
      <c r="BL12" s="135" t="inlineStr">
        <is>
          <t>2nd</t>
        </is>
      </c>
      <c r="BM12" s="92">
        <f>VLOOKUP(LARGE(BN8:BN10,2),BN8:BO10,2,FALSE)</f>
        <v/>
      </c>
      <c r="BN12" s="148" t="n"/>
      <c r="BO12" s="92" t="n"/>
      <c r="BP12">
        <f>SQRT(($J$1024-J12)^2)</f>
        <v/>
      </c>
      <c r="BQ12">
        <f>SQRT(($R$1024-R12)^2)</f>
        <v/>
      </c>
      <c r="BR12" s="125" t="inlineStr">
        <is>
          <t>W6X11</t>
        </is>
      </c>
      <c r="BS12" s="135" t="inlineStr">
        <is>
          <t>2nd</t>
        </is>
      </c>
      <c r="BT12" s="92">
        <f>VLOOKUP(LARGE(BU8:BU10,2),BU8:BV10,2,FALSE)</f>
        <v/>
      </c>
      <c r="BU12" s="148" t="n"/>
      <c r="BV12" s="92" t="n"/>
      <c r="BW12">
        <f>SQRT(($J$1025-J12)^2)</f>
        <v/>
      </c>
      <c r="BX12">
        <f>SQRT(($R$1025-R12)^2)</f>
        <v/>
      </c>
      <c r="BY12" s="125" t="inlineStr">
        <is>
          <t>W6X11</t>
        </is>
      </c>
      <c r="BZ12" s="135" t="inlineStr">
        <is>
          <t>2nd</t>
        </is>
      </c>
      <c r="CA12" s="92">
        <f>VLOOKUP(LARGE(CB8:CB10,2),CB8:CC10,2,FALSE)</f>
        <v/>
      </c>
      <c r="CB12" s="148" t="n"/>
      <c r="CC12" s="92" t="n"/>
      <c r="CD12">
        <f>SQRT(($J$1026-J12)^2)</f>
        <v/>
      </c>
      <c r="CE12">
        <f>SQRT(($R$1026-R12)^2)</f>
        <v/>
      </c>
      <c r="CF12" s="125" t="inlineStr">
        <is>
          <t>W6X11</t>
        </is>
      </c>
      <c r="CG12" s="135" t="inlineStr">
        <is>
          <t>2nd</t>
        </is>
      </c>
      <c r="CH12" s="92">
        <f>VLOOKUP(LARGE(CI8:CI10,2),CI8:CJ10,2,FALSE)</f>
        <v/>
      </c>
      <c r="CI12" s="148" t="n"/>
      <c r="CJ12" s="92" t="n"/>
    </row>
    <row r="13">
      <c r="A13" s="125" t="inlineStr">
        <is>
          <t>W6X9*</t>
        </is>
      </c>
      <c r="B13" s="129" t="inlineStr">
        <is>
          <t>AISC</t>
        </is>
      </c>
      <c r="C13" s="125" t="n">
        <v>13.4</v>
      </c>
      <c r="D13" s="125" t="n">
        <v>149.9</v>
      </c>
      <c r="E13" s="125" t="n">
        <v>100.1</v>
      </c>
      <c r="F13" s="125" t="n">
        <v>5.5</v>
      </c>
      <c r="G13" s="125" t="n">
        <v>4.3</v>
      </c>
      <c r="H13" s="125" t="n">
        <v>6.4</v>
      </c>
      <c r="I13" s="125" t="n">
        <v>126.3</v>
      </c>
      <c r="J13" s="125" t="n">
        <v>17.3</v>
      </c>
      <c r="K13" s="125">
        <f>((E13-G13)/2)/F13</f>
        <v/>
      </c>
      <c r="L13" s="125">
        <f>I13/G13</f>
        <v/>
      </c>
      <c r="M13" s="125" t="n">
        <v>0.681</v>
      </c>
      <c r="N13" s="125" t="n">
        <v>683</v>
      </c>
      <c r="O13" s="125" t="n">
        <v>91.40000000000001</v>
      </c>
      <c r="P13" s="125" t="n">
        <v>6.29</v>
      </c>
      <c r="Q13" s="125" t="n">
        <v>2.3</v>
      </c>
      <c r="R13" s="125" t="n">
        <v>91.09999999999999</v>
      </c>
      <c r="S13" s="125" t="n">
        <v>18.3</v>
      </c>
      <c r="T13" s="125" t="n">
        <v>102</v>
      </c>
      <c r="U13" s="125" t="n">
        <v>28.1</v>
      </c>
      <c r="X13" s="129">
        <f t="array" ref="X13">_xlfn.IFS((D13/F13) &lt;= (640/SQRT($AT$32)), "Compact", L13 &lt;= ($AT$32*(0.79-(0.002*((E13-G13/2)/(2*F13))*SQRT($AT$32)))), "Non-Compact", L13 &gt; ($AT$32*(0.79-(0.002*((E13-G13/2)/(2*F13))*SQRT($AT$32)))), "Slender")</f>
        <v/>
      </c>
      <c r="Y13" s="129">
        <f t="array" ref="Y13">_xlfn.IFS(K13 &lt;= (65/SQRT($AT$32)), "Compact", K13 &lt;= (95/SQRT($AT$32)), "Non-Compact", K13 &gt; (95/SQRT($AT$32)), "Slender")</f>
        <v/>
      </c>
      <c r="Z13" s="125">
        <f>E13/F13</f>
        <v/>
      </c>
      <c r="AA13" s="125">
        <f>D13/G13</f>
        <v/>
      </c>
      <c r="AB13" s="125">
        <f t="array" ref="AB13">_xlfn.IFS(Z13 &lt;= 9, "1", Z13 &lt;= 12, "2", Z13 &lt;= 15, "3", Z13 &gt; 15, "4")</f>
        <v/>
      </c>
      <c r="AC13" s="125">
        <f t="array" ref="AC13">_xlfn.IFS(AA13 &lt;= 200, "1", L13 &lt;= 300, "2", L13 &lt;= 400, "3", L13 &gt; 400, "4")</f>
        <v/>
      </c>
      <c r="AD13" s="129">
        <f>SQRT((((VLOOKUP($AT$4,$A$4:$D$1021,4,FALSE))-D13)^2)+(((VLOOKUP($AT$4,$A$4:$E$1021,5,FALSE))-E13)^2)+(((VLOOKUP($AT$4,$A$4:$N$1021,14,FALSE))-N13)^2)+(((VLOOKUP($AT$4,$A$4:$O$1021,15,FALSE))-O13)^2))</f>
        <v/>
      </c>
      <c r="AG13" s="129">
        <f>SQRT((((VLOOKUP($AT$4,$A$4:$D$1021,4,FALSE))-D13)^2)+(((VLOOKUP($AT$4,$A$4:$E$1021,5,FALSE))-E13)^2)+(((VLOOKUP($AT$4,$A$4:$R$1021,18,FALSE))-R13)^2)+(((VLOOKUP($AT$4,$A$4:$S$1021,19,FALSE))-S13)^2))</f>
        <v/>
      </c>
      <c r="AJ13" s="125" t="inlineStr">
        <is>
          <t>W6X9*</t>
        </is>
      </c>
      <c r="AK13" s="125">
        <f>SQRT(((VLOOKUP($AT$4,$A$4:$J$1021,10,FALSE))-J13)^2)</f>
        <v/>
      </c>
      <c r="AL13" s="125" t="n"/>
      <c r="AM13" s="125" t="n"/>
      <c r="AN13" s="125">
        <f>SQRT(((VLOOKUP($AT$4,$A$4:$R$1021,18,FALSE))-R13)^2)</f>
        <v/>
      </c>
      <c r="AO13" s="125" t="n"/>
      <c r="AP13" s="125" t="n"/>
      <c r="AQ13" s="125" t="inlineStr">
        <is>
          <t>W6X9*</t>
        </is>
      </c>
      <c r="AR13" s="127" t="n"/>
      <c r="AS13" s="127" t="n"/>
      <c r="AT13" s="127" t="n"/>
      <c r="AU13" s="127" t="n"/>
      <c r="AV13" s="127" t="n"/>
      <c r="BB13" s="125">
        <f>SQRT(($J$1022-J13)^2)</f>
        <v/>
      </c>
      <c r="BC13" s="125">
        <f>SQRT(($R$1022-R13)^2)</f>
        <v/>
      </c>
      <c r="BD13" s="125" t="inlineStr">
        <is>
          <t>W6X9*</t>
        </is>
      </c>
      <c r="BE13" s="135" t="inlineStr">
        <is>
          <t>3rd</t>
        </is>
      </c>
      <c r="BF13" s="92">
        <f>VLOOKUP(MAX(BG8:BG10),BG8:BH10,2,FALSE)</f>
        <v/>
      </c>
      <c r="BG13" s="148" t="n"/>
      <c r="BH13" s="92" t="n"/>
      <c r="BI13">
        <f>SQRT(($J$1023-J13)^2)</f>
        <v/>
      </c>
      <c r="BJ13">
        <f>SQRT(($R$1023-R13)^2)</f>
        <v/>
      </c>
      <c r="BK13" s="125" t="inlineStr">
        <is>
          <t>W6X9*</t>
        </is>
      </c>
      <c r="BL13" s="135" t="inlineStr">
        <is>
          <t>3rd</t>
        </is>
      </c>
      <c r="BM13" s="92">
        <f>VLOOKUP(MAX(BN8:BN10),BN8:BO10,2,FALSE)</f>
        <v/>
      </c>
      <c r="BN13" s="148" t="n"/>
      <c r="BO13" s="92" t="n"/>
      <c r="BP13">
        <f>SQRT(($J$1024-J13)^2)</f>
        <v/>
      </c>
      <c r="BQ13">
        <f>SQRT(($R$1024-R13)^2)</f>
        <v/>
      </c>
      <c r="BR13" s="125" t="inlineStr">
        <is>
          <t>W6X9*</t>
        </is>
      </c>
      <c r="BS13" s="135" t="inlineStr">
        <is>
          <t>3rd</t>
        </is>
      </c>
      <c r="BT13" s="92">
        <f>VLOOKUP(MAX(BU8:BU10),BU8:BV10,2,FALSE)</f>
        <v/>
      </c>
      <c r="BU13" s="148" t="n"/>
      <c r="BV13" s="92" t="n"/>
      <c r="BW13">
        <f>SQRT(($J$1025-J13)^2)</f>
        <v/>
      </c>
      <c r="BX13">
        <f>SQRT(($R$1025-R13)^2)</f>
        <v/>
      </c>
      <c r="BY13" s="125" t="inlineStr">
        <is>
          <t>W6X9*</t>
        </is>
      </c>
      <c r="BZ13" s="135" t="inlineStr">
        <is>
          <t>3rd</t>
        </is>
      </c>
      <c r="CA13" s="92">
        <f>VLOOKUP(MAX(CB8:CB10),CB8:CC10,2,FALSE)</f>
        <v/>
      </c>
      <c r="CB13" s="148" t="n"/>
      <c r="CC13" s="92" t="n"/>
      <c r="CD13">
        <f>SQRT(($J$1026-J13)^2)</f>
        <v/>
      </c>
      <c r="CE13">
        <f>SQRT(($R$1026-R13)^2)</f>
        <v/>
      </c>
      <c r="CF13" s="125" t="inlineStr">
        <is>
          <t>W6X9*</t>
        </is>
      </c>
      <c r="CG13" s="135" t="inlineStr">
        <is>
          <t>3rd</t>
        </is>
      </c>
      <c r="CH13" s="92">
        <f>VLOOKUP(MAX(CI8:CI10),CI8:CJ10,2,FALSE)</f>
        <v/>
      </c>
      <c r="CI13" s="148" t="n"/>
      <c r="CJ13" s="92" t="n"/>
    </row>
    <row r="14">
      <c r="A14" s="125" t="inlineStr">
        <is>
          <t>W6X12*</t>
        </is>
      </c>
      <c r="B14" s="129" t="inlineStr">
        <is>
          <t>AISC</t>
        </is>
      </c>
      <c r="C14" s="125" t="n">
        <v>17.9</v>
      </c>
      <c r="D14" s="125" t="n">
        <v>153.2</v>
      </c>
      <c r="E14" s="125" t="n">
        <v>101.6</v>
      </c>
      <c r="F14" s="125" t="n">
        <v>7.1</v>
      </c>
      <c r="G14" s="125" t="n">
        <v>5.8</v>
      </c>
      <c r="H14" s="125" t="n">
        <v>6.4</v>
      </c>
      <c r="I14" s="125" t="n">
        <v>126.3</v>
      </c>
      <c r="J14" s="125" t="n">
        <v>22.9</v>
      </c>
      <c r="K14" s="125">
        <f>((E14-G14)/2)/F14</f>
        <v/>
      </c>
      <c r="L14" s="125">
        <f>I14/G14</f>
        <v/>
      </c>
      <c r="M14" s="125" t="n">
        <v>0.6899999999999999</v>
      </c>
      <c r="N14" s="125" t="n">
        <v>918</v>
      </c>
      <c r="O14" s="125" t="n">
        <v>125</v>
      </c>
      <c r="P14" s="125" t="n">
        <v>6.33</v>
      </c>
      <c r="Q14" s="125" t="n">
        <v>2.33</v>
      </c>
      <c r="R14" s="125" t="n">
        <v>120</v>
      </c>
      <c r="S14" s="125" t="n">
        <v>24.5</v>
      </c>
      <c r="T14" s="125" t="n">
        <v>136</v>
      </c>
      <c r="U14" s="125" t="n">
        <v>38</v>
      </c>
      <c r="X14" s="129">
        <f t="array" ref="X14">_xlfn.IFS((D14/F14) &lt;= (640/SQRT($AT$32)), "Compact", L14 &lt;= ($AT$32*(0.79-(0.002*((E14-G14/2)/(2*F14))*SQRT($AT$32)))), "Non-Compact", L14 &gt; ($AT$32*(0.79-(0.002*((E14-G14/2)/(2*F14))*SQRT($AT$32)))), "Slender")</f>
        <v/>
      </c>
      <c r="Y14" s="129">
        <f t="array" ref="Y14">_xlfn.IFS(K14 &lt;= (65/SQRT($AT$32)), "Compact", K14 &lt;= (95/SQRT($AT$32)), "Non-Compact", K14 &gt; (95/SQRT($AT$32)), "Slender")</f>
        <v/>
      </c>
      <c r="Z14" s="125">
        <f>E14/F14</f>
        <v/>
      </c>
      <c r="AA14" s="125">
        <f>D14/G14</f>
        <v/>
      </c>
      <c r="AB14" s="125">
        <f t="array" ref="AB14">_xlfn.IFS(Z14 &lt;= 9, "1", Z14 &lt;= 12, "2", Z14 &lt;= 15, "3", Z14 &gt; 15, "4")</f>
        <v/>
      </c>
      <c r="AC14" s="125">
        <f t="array" ref="AC14">_xlfn.IFS(AA14 &lt;= 200, "1", L14 &lt;= 300, "2", L14 &lt;= 400, "3", L14 &gt; 400, "4")</f>
        <v/>
      </c>
      <c r="AD14" s="129">
        <f>SQRT((((VLOOKUP($AT$4,$A$4:$D$1021,4,FALSE))-D14)^2)+(((VLOOKUP($AT$4,$A$4:$E$1021,5,FALSE))-E14)^2)+(((VLOOKUP($AT$4,$A$4:$N$1021,14,FALSE))-N14)^2)+(((VLOOKUP($AT$4,$A$4:$O$1021,15,FALSE))-O14)^2))</f>
        <v/>
      </c>
      <c r="AG14" s="129">
        <f>SQRT((((VLOOKUP($AT$4,$A$4:$D$1021,4,FALSE))-D14)^2)+(((VLOOKUP($AT$4,$A$4:$E$1021,5,FALSE))-E14)^2)+(((VLOOKUP($AT$4,$A$4:$R$1021,18,FALSE))-R14)^2)+(((VLOOKUP($AT$4,$A$4:$S$1021,19,FALSE))-S14)^2))</f>
        <v/>
      </c>
      <c r="AJ14" s="125" t="inlineStr">
        <is>
          <t>W6X12*</t>
        </is>
      </c>
      <c r="AK14" s="125">
        <f>SQRT(((VLOOKUP($AT$4,$A$4:$J$1021,10,FALSE))-J14)^2)</f>
        <v/>
      </c>
      <c r="AL14" s="125" t="n"/>
      <c r="AM14" s="125" t="n"/>
      <c r="AN14" s="125">
        <f>SQRT(((VLOOKUP($AT$4,$A$4:$R$1021,18,FALSE))-R14)^2)</f>
        <v/>
      </c>
      <c r="AO14" s="125" t="n"/>
      <c r="AP14" s="125" t="n"/>
      <c r="AQ14" s="125" t="inlineStr">
        <is>
          <t>W6X12*</t>
        </is>
      </c>
      <c r="AR14" s="126" t="inlineStr">
        <is>
          <t>W+B+I</t>
        </is>
      </c>
      <c r="AS14" s="131" t="inlineStr">
        <is>
          <t>Min aisc</t>
        </is>
      </c>
      <c r="AT14" s="126" t="inlineStr">
        <is>
          <t>AISC</t>
        </is>
      </c>
      <c r="AU14" s="127">
        <f>MIN(AD4:AD363)</f>
        <v/>
      </c>
      <c r="AV14" s="127">
        <f>VLOOKUP(AU14,AD4:AJ363,7,FALSE)</f>
        <v/>
      </c>
      <c r="AX14" s="135" t="inlineStr">
        <is>
          <t>Elastic Modulus x-x</t>
        </is>
      </c>
      <c r="AY14" s="147" t="n"/>
      <c r="AZ14" s="147" t="n"/>
      <c r="BA14" s="148" t="n"/>
      <c r="BB14" s="125">
        <f>SQRT(($J$1022-J14)^2)</f>
        <v/>
      </c>
      <c r="BC14" s="125">
        <f>SQRT(($R$1022-R14)^2)</f>
        <v/>
      </c>
      <c r="BD14" s="125" t="inlineStr">
        <is>
          <t>W6X12*</t>
        </is>
      </c>
      <c r="BE14" s="135" t="inlineStr">
        <is>
          <t>Elastic Modulus x-x</t>
        </is>
      </c>
      <c r="BF14" s="147" t="n"/>
      <c r="BG14" s="147" t="n"/>
      <c r="BH14" s="148" t="n"/>
      <c r="BI14">
        <f>SQRT(($J$1023-J14)^2)</f>
        <v/>
      </c>
      <c r="BJ14">
        <f>SQRT(($R$1023-R14)^2)</f>
        <v/>
      </c>
      <c r="BK14" s="125" t="inlineStr">
        <is>
          <t>W6X12*</t>
        </is>
      </c>
      <c r="BL14" s="135" t="inlineStr">
        <is>
          <t>Elastic Modulus x-x</t>
        </is>
      </c>
      <c r="BM14" s="147" t="n"/>
      <c r="BN14" s="147" t="n"/>
      <c r="BO14" s="148" t="n"/>
      <c r="BP14">
        <f>SQRT(($J$1024-J14)^2)</f>
        <v/>
      </c>
      <c r="BQ14">
        <f>SQRT(($R$1024-R14)^2)</f>
        <v/>
      </c>
      <c r="BR14" s="125" t="inlineStr">
        <is>
          <t>W6X12*</t>
        </is>
      </c>
      <c r="BS14" s="135" t="inlineStr">
        <is>
          <t>Elastic Modulus x-x</t>
        </is>
      </c>
      <c r="BT14" s="147" t="n"/>
      <c r="BU14" s="147" t="n"/>
      <c r="BV14" s="148" t="n"/>
      <c r="BW14">
        <f>SQRT(($J$1025-J14)^2)</f>
        <v/>
      </c>
      <c r="BX14">
        <f>SQRT(($R$1025-R14)^2)</f>
        <v/>
      </c>
      <c r="BY14" s="125" t="inlineStr">
        <is>
          <t>W6X12*</t>
        </is>
      </c>
      <c r="BZ14" s="135" t="inlineStr">
        <is>
          <t>Elastic Modulus x-x</t>
        </is>
      </c>
      <c r="CA14" s="147" t="n"/>
      <c r="CB14" s="147" t="n"/>
      <c r="CC14" s="148" t="n"/>
      <c r="CD14">
        <f>SQRT(($J$1026-J14)^2)</f>
        <v/>
      </c>
      <c r="CE14">
        <f>SQRT(($R$1026-R14)^2)</f>
        <v/>
      </c>
      <c r="CF14" s="125" t="inlineStr">
        <is>
          <t>W6X12*</t>
        </is>
      </c>
      <c r="CG14" s="135" t="inlineStr">
        <is>
          <t>Elastic Modulus x-x</t>
        </is>
      </c>
      <c r="CH14" s="147" t="n"/>
      <c r="CI14" s="147" t="n"/>
      <c r="CJ14" s="148" t="n"/>
    </row>
    <row r="15">
      <c r="A15" s="125" t="inlineStr">
        <is>
          <t>W6X16</t>
        </is>
      </c>
      <c r="B15" s="129" t="inlineStr">
        <is>
          <t>AISC</t>
        </is>
      </c>
      <c r="C15" s="125" t="n">
        <v>23.8</v>
      </c>
      <c r="D15" s="125" t="n">
        <v>159.5</v>
      </c>
      <c r="E15" s="125" t="n">
        <v>102.4</v>
      </c>
      <c r="F15" s="125" t="n">
        <v>10.2</v>
      </c>
      <c r="G15" s="125" t="n">
        <v>6.6</v>
      </c>
      <c r="H15" s="125" t="n">
        <v>6.4</v>
      </c>
      <c r="I15" s="125" t="n">
        <v>126.4</v>
      </c>
      <c r="J15" s="125" t="n">
        <v>30.4</v>
      </c>
      <c r="K15" s="125">
        <f>((E15-G15)/2)/F15</f>
        <v/>
      </c>
      <c r="L15" s="125">
        <f>I15/G15</f>
        <v/>
      </c>
      <c r="M15" s="125" t="n">
        <v>0.704</v>
      </c>
      <c r="N15" s="125" t="n">
        <v>1330</v>
      </c>
      <c r="O15" s="125" t="n">
        <v>183</v>
      </c>
      <c r="P15" s="125" t="n">
        <v>6.61</v>
      </c>
      <c r="Q15" s="125" t="n">
        <v>2.45</v>
      </c>
      <c r="R15" s="125" t="n">
        <v>167</v>
      </c>
      <c r="S15" s="125" t="n">
        <v>35.7</v>
      </c>
      <c r="T15" s="125" t="n">
        <v>190</v>
      </c>
      <c r="U15" s="125" t="n">
        <v>55.2</v>
      </c>
      <c r="X15" s="129">
        <f t="array" ref="X15">_xlfn.IFS((D15/F15) &lt;= (640/SQRT($AT$32)), "Compact", L15 &lt;= ($AT$32*(0.79-(0.002*((E15-G15/2)/(2*F15))*SQRT($AT$32)))), "Non-Compact", L15 &gt; ($AT$32*(0.79-(0.002*((E15-G15/2)/(2*F15))*SQRT($AT$32)))), "Slender")</f>
        <v/>
      </c>
      <c r="Y15" s="129">
        <f t="array" ref="Y15">_xlfn.IFS(K15 &lt;= (65/SQRT($AT$32)), "Compact", K15 &lt;= (95/SQRT($AT$32)), "Non-Compact", K15 &gt; (95/SQRT($AT$32)), "Slender")</f>
        <v/>
      </c>
      <c r="Z15" s="125">
        <f>E15/F15</f>
        <v/>
      </c>
      <c r="AA15" s="125">
        <f>D15/G15</f>
        <v/>
      </c>
      <c r="AB15" s="125">
        <f t="array" ref="AB15">_xlfn.IFS(Z15 &lt;= 9, "1", Z15 &lt;= 12, "2", Z15 &lt;= 15, "3", Z15 &gt; 15, "4")</f>
        <v/>
      </c>
      <c r="AC15" s="125">
        <f t="array" ref="AC15">_xlfn.IFS(AA15 &lt;= 200, "1", L15 &lt;= 300, "2", L15 &lt;= 400, "3", L15 &gt; 400, "4")</f>
        <v/>
      </c>
      <c r="AD15" s="129">
        <f>SQRT((((VLOOKUP($AT$4,$A$4:$D$1021,4,FALSE))-D15)^2)+(((VLOOKUP($AT$4,$A$4:$E$1021,5,FALSE))-E15)^2)+(((VLOOKUP($AT$4,$A$4:$N$1021,14,FALSE))-N15)^2)+(((VLOOKUP($AT$4,$A$4:$O$1021,15,FALSE))-O15)^2))</f>
        <v/>
      </c>
      <c r="AG15" s="129">
        <f>SQRT((((VLOOKUP($AT$4,$A$4:$D$1021,4,FALSE))-D15)^2)+(((VLOOKUP($AT$4,$A$4:$E$1021,5,FALSE))-E15)^2)+(((VLOOKUP($AT$4,$A$4:$R$1021,18,FALSE))-R15)^2)+(((VLOOKUP($AT$4,$A$4:$S$1021,19,FALSE))-S15)^2))</f>
        <v/>
      </c>
      <c r="AJ15" s="125" t="inlineStr">
        <is>
          <t>W6X16</t>
        </is>
      </c>
      <c r="AK15" s="125">
        <f>SQRT(((VLOOKUP($AT$4,$A$4:$J$1021,10,FALSE))-J15)^2)</f>
        <v/>
      </c>
      <c r="AL15" s="125" t="n"/>
      <c r="AM15" s="125" t="n"/>
      <c r="AN15" s="125">
        <f>SQRT(((VLOOKUP($AT$4,$A$4:$R$1021,18,FALSE))-R15)^2)</f>
        <v/>
      </c>
      <c r="AO15" s="125" t="n"/>
      <c r="AP15" s="125" t="n"/>
      <c r="AQ15" s="125" t="inlineStr">
        <is>
          <t>W6X16</t>
        </is>
      </c>
      <c r="AS15" s="131" t="inlineStr">
        <is>
          <t>Min gb</t>
        </is>
      </c>
      <c r="AT15" s="126" t="inlineStr">
        <is>
          <t>GB</t>
        </is>
      </c>
      <c r="AU15" s="127">
        <f>MIN(AE364:AE454)</f>
        <v/>
      </c>
      <c r="AV15" s="127">
        <f>VLOOKUP(AU15,AE364:AJ454,6,FALSE)</f>
        <v/>
      </c>
      <c r="AX15" s="78" t="n"/>
      <c r="AY15" s="78" t="inlineStr">
        <is>
          <t>Type</t>
        </is>
      </c>
      <c r="AZ15" s="78" t="n"/>
      <c r="BA15" s="79" t="n"/>
      <c r="BB15" s="125">
        <f>SQRT(($J$1022-J15)^2)</f>
        <v/>
      </c>
      <c r="BC15" s="125">
        <f>SQRT(($R$1022-R15)^2)</f>
        <v/>
      </c>
      <c r="BD15" s="125" t="inlineStr">
        <is>
          <t>W6X16</t>
        </is>
      </c>
      <c r="BE15" s="78" t="n"/>
      <c r="BF15" s="78" t="inlineStr">
        <is>
          <t>Type</t>
        </is>
      </c>
      <c r="BG15" s="78" t="n"/>
      <c r="BH15" s="92" t="n"/>
      <c r="BI15">
        <f>SQRT(($J$1023-J15)^2)</f>
        <v/>
      </c>
      <c r="BJ15">
        <f>SQRT(($R$1023-R15)^2)</f>
        <v/>
      </c>
      <c r="BK15" s="125" t="inlineStr">
        <is>
          <t>W6X16</t>
        </is>
      </c>
      <c r="BL15" s="78" t="n"/>
      <c r="BM15" s="78" t="inlineStr">
        <is>
          <t>Type</t>
        </is>
      </c>
      <c r="BN15" s="78" t="n"/>
      <c r="BO15" s="92" t="n"/>
      <c r="BP15">
        <f>SQRT(($J$1024-J15)^2)</f>
        <v/>
      </c>
      <c r="BQ15">
        <f>SQRT(($R$1024-R15)^2)</f>
        <v/>
      </c>
      <c r="BR15" s="125" t="inlineStr">
        <is>
          <t>W6X16</t>
        </is>
      </c>
      <c r="BS15" s="78" t="n"/>
      <c r="BT15" s="78" t="inlineStr">
        <is>
          <t>Type</t>
        </is>
      </c>
      <c r="BU15" s="78" t="n"/>
      <c r="BV15" s="92" t="n"/>
      <c r="BW15">
        <f>SQRT(($J$1025-J15)^2)</f>
        <v/>
      </c>
      <c r="BX15">
        <f>SQRT(($R$1025-R15)^2)</f>
        <v/>
      </c>
      <c r="BY15" s="125" t="inlineStr">
        <is>
          <t>W6X16</t>
        </is>
      </c>
      <c r="BZ15" s="78" t="n"/>
      <c r="CA15" s="78" t="inlineStr">
        <is>
          <t>Type</t>
        </is>
      </c>
      <c r="CB15" s="78" t="n"/>
      <c r="CC15" s="92" t="n"/>
      <c r="CD15">
        <f>SQRT(($J$1026-J15)^2)</f>
        <v/>
      </c>
      <c r="CE15">
        <f>SQRT(($R$1026-R15)^2)</f>
        <v/>
      </c>
      <c r="CF15" s="125" t="inlineStr">
        <is>
          <t>W6X16</t>
        </is>
      </c>
      <c r="CG15" s="78" t="n"/>
      <c r="CH15" s="78" t="inlineStr">
        <is>
          <t>Type</t>
        </is>
      </c>
      <c r="CI15" s="78" t="n"/>
      <c r="CJ15" s="92" t="n"/>
    </row>
    <row r="16">
      <c r="A16" s="125" t="inlineStr">
        <is>
          <t>W6X15</t>
        </is>
      </c>
      <c r="B16" s="129" t="inlineStr">
        <is>
          <t>AISC</t>
        </is>
      </c>
      <c r="C16" s="125" t="n">
        <v>22.3</v>
      </c>
      <c r="D16" s="125" t="n">
        <v>152.1</v>
      </c>
      <c r="E16" s="125" t="n">
        <v>152.1</v>
      </c>
      <c r="F16" s="125" t="n">
        <v>6.6</v>
      </c>
      <c r="G16" s="125" t="n">
        <v>5.8</v>
      </c>
      <c r="H16" s="125" t="n">
        <v>6.4</v>
      </c>
      <c r="I16" s="125" t="n">
        <v>126.2</v>
      </c>
      <c r="J16" s="125" t="n">
        <v>28.5</v>
      </c>
      <c r="K16" s="125">
        <f>((E16-G16)/2)/F16</f>
        <v/>
      </c>
      <c r="L16" s="125">
        <f>I16/G16</f>
        <v/>
      </c>
      <c r="M16" s="125" t="n">
        <v>0.89</v>
      </c>
      <c r="N16" s="125" t="n">
        <v>1210</v>
      </c>
      <c r="O16" s="125" t="n">
        <v>387</v>
      </c>
      <c r="P16" s="125" t="n">
        <v>6.51</v>
      </c>
      <c r="Q16" s="125" t="n">
        <v>3.68</v>
      </c>
      <c r="R16" s="125" t="n">
        <v>159</v>
      </c>
      <c r="S16" s="125" t="n">
        <v>50.9</v>
      </c>
      <c r="T16" s="125" t="n">
        <v>177</v>
      </c>
      <c r="U16" s="125" t="n">
        <v>77.7</v>
      </c>
      <c r="X16" s="129">
        <f t="array" ref="X16">_xlfn.IFS((D16/F16) &lt;= (640/SQRT($AT$32)), "Compact", L16 &lt;= ($AT$32*(0.79-(0.002*((E16-G16/2)/(2*F16))*SQRT($AT$32)))), "Non-Compact", L16 &gt; ($AT$32*(0.79-(0.002*((E16-G16/2)/(2*F16))*SQRT($AT$32)))), "Slender")</f>
        <v/>
      </c>
      <c r="Y16" s="129">
        <f t="array" ref="Y16">_xlfn.IFS(K16 &lt;= (65/SQRT($AT$32)), "Compact", K16 &lt;= (95/SQRT($AT$32)), "Non-Compact", K16 &gt; (95/SQRT($AT$32)), "Slender")</f>
        <v/>
      </c>
      <c r="Z16" s="125">
        <f>E16/F16</f>
        <v/>
      </c>
      <c r="AA16" s="125">
        <f>D16/G16</f>
        <v/>
      </c>
      <c r="AB16" s="125">
        <f t="array" ref="AB16">_xlfn.IFS(Z16 &lt;= 9, "1", Z16 &lt;= 12, "2", Z16 &lt;= 15, "3", Z16 &gt; 15, "4")</f>
        <v/>
      </c>
      <c r="AC16" s="125">
        <f t="array" ref="AC16">_xlfn.IFS(AA16 &lt;= 200, "1", L16 &lt;= 300, "2", L16 &lt;= 400, "3", L16 &gt; 400, "4")</f>
        <v/>
      </c>
      <c r="AD16" s="129">
        <f>SQRT((((VLOOKUP($AT$4,$A$4:$D$1021,4,FALSE))-D16)^2)+(((VLOOKUP($AT$4,$A$4:$E$1021,5,FALSE))-E16)^2)+(((VLOOKUP($AT$4,$A$4:$N$1021,14,FALSE))-N16)^2)+(((VLOOKUP($AT$4,$A$4:$O$1021,15,FALSE))-O16)^2))</f>
        <v/>
      </c>
      <c r="AG16" s="129">
        <f>SQRT((((VLOOKUP($AT$4,$A$4:$D$1021,4,FALSE))-D16)^2)+(((VLOOKUP($AT$4,$A$4:$E$1021,5,FALSE))-E16)^2)+(((VLOOKUP($AT$4,$A$4:$R$1021,18,FALSE))-R16)^2)+(((VLOOKUP($AT$4,$A$4:$S$1021,19,FALSE))-S16)^2))</f>
        <v/>
      </c>
      <c r="AJ16" s="125" t="inlineStr">
        <is>
          <t>W6X15</t>
        </is>
      </c>
      <c r="AK16" s="125">
        <f>SQRT(((VLOOKUP($AT$4,$A$4:$J$1021,10,FALSE))-J16)^2)</f>
        <v/>
      </c>
      <c r="AL16" s="125" t="n"/>
      <c r="AM16" s="125" t="n"/>
      <c r="AN16" s="125">
        <f>SQRT(((VLOOKUP($AT$4,$A$4:$R$1021,18,FALSE))-R16)^2)</f>
        <v/>
      </c>
      <c r="AO16" s="125" t="n"/>
      <c r="AP16" s="125" t="n"/>
      <c r="AQ16" s="125" t="inlineStr">
        <is>
          <t>W6X15</t>
        </is>
      </c>
      <c r="AS16" s="131" t="inlineStr">
        <is>
          <t>Min hy</t>
        </is>
      </c>
      <c r="AT16" s="126" t="inlineStr">
        <is>
          <t>HY</t>
        </is>
      </c>
      <c r="AU16" s="127">
        <f>MIN(AF455:AF1021)</f>
        <v/>
      </c>
      <c r="AV16" s="127">
        <f>VLOOKUP(AU16,AF455:AJ1021,5,FALSE)</f>
        <v/>
      </c>
      <c r="AX16" s="78" t="inlineStr">
        <is>
          <t>Min aisc</t>
        </is>
      </c>
      <c r="AY16" s="80" t="inlineStr">
        <is>
          <t>AISC</t>
        </is>
      </c>
      <c r="AZ16" s="79">
        <f>MIN(AN4:AN363)</f>
        <v/>
      </c>
      <c r="BA16" s="79">
        <f>VLOOKUP(AZ16,AN4:AQ363,4,FALSE)</f>
        <v/>
      </c>
      <c r="BB16" s="125">
        <f>SQRT(($J$1022-J16)^2)</f>
        <v/>
      </c>
      <c r="BC16" s="125">
        <f>SQRT(($R$1022-R16)^2)</f>
        <v/>
      </c>
      <c r="BD16" s="125" t="inlineStr">
        <is>
          <t>W6X15</t>
        </is>
      </c>
      <c r="BE16" s="78" t="inlineStr">
        <is>
          <t>Min aisc</t>
        </is>
      </c>
      <c r="BF16" s="80" t="inlineStr">
        <is>
          <t>AISC</t>
        </is>
      </c>
      <c r="BG16" s="79">
        <f>MIN(BC4:BC363)</f>
        <v/>
      </c>
      <c r="BH16" s="92">
        <f>VLOOKUP(BG16,BC4:BD363,2,FALSE)</f>
        <v/>
      </c>
      <c r="BI16">
        <f>SQRT(($J$1023-J16)^2)</f>
        <v/>
      </c>
      <c r="BJ16">
        <f>SQRT(($R$1023-R16)^2)</f>
        <v/>
      </c>
      <c r="BK16" s="125" t="inlineStr">
        <is>
          <t>W6X15</t>
        </is>
      </c>
      <c r="BL16" s="78" t="inlineStr">
        <is>
          <t>Min aisc</t>
        </is>
      </c>
      <c r="BM16" s="80" t="inlineStr">
        <is>
          <t>AISC</t>
        </is>
      </c>
      <c r="BN16" s="79">
        <f>MIN(BJ4:BJ363)</f>
        <v/>
      </c>
      <c r="BO16" s="92">
        <f>VLOOKUP(BN16,BJ4:BK363,2,FALSE)</f>
        <v/>
      </c>
      <c r="BP16">
        <f>SQRT(($J$1024-J16)^2)</f>
        <v/>
      </c>
      <c r="BQ16">
        <f>SQRT(($R$1024-R16)^2)</f>
        <v/>
      </c>
      <c r="BR16" s="125" t="inlineStr">
        <is>
          <t>W6X15</t>
        </is>
      </c>
      <c r="BS16" s="78" t="inlineStr">
        <is>
          <t>Min aisc</t>
        </is>
      </c>
      <c r="BT16" s="80" t="inlineStr">
        <is>
          <t>AISC</t>
        </is>
      </c>
      <c r="BU16" s="79">
        <f>MIN(BQ4:BQ363)</f>
        <v/>
      </c>
      <c r="BV16" s="92">
        <f>VLOOKUP(BU16,BQ4:BR363,2,FALSE)</f>
        <v/>
      </c>
      <c r="BW16">
        <f>SQRT(($J$1025-J16)^2)</f>
        <v/>
      </c>
      <c r="BX16">
        <f>SQRT(($R$1025-R16)^2)</f>
        <v/>
      </c>
      <c r="BY16" s="125" t="inlineStr">
        <is>
          <t>W6X15</t>
        </is>
      </c>
      <c r="BZ16" s="78" t="inlineStr">
        <is>
          <t>Min aisc</t>
        </is>
      </c>
      <c r="CA16" s="80" t="inlineStr">
        <is>
          <t>AISC</t>
        </is>
      </c>
      <c r="CB16" s="79">
        <f>MIN(BX4:BX363)</f>
        <v/>
      </c>
      <c r="CC16" s="92">
        <f>VLOOKUP(CB16,BX4:BY363,2,FALSE)</f>
        <v/>
      </c>
      <c r="CD16">
        <f>SQRT(($J$1026-J16)^2)</f>
        <v/>
      </c>
      <c r="CE16">
        <f>SQRT(($R$1026-R16)^2)</f>
        <v/>
      </c>
      <c r="CF16" s="125" t="inlineStr">
        <is>
          <t>W6X15</t>
        </is>
      </c>
      <c r="CG16" s="78" t="inlineStr">
        <is>
          <t>Min aisc</t>
        </is>
      </c>
      <c r="CH16" s="80" t="inlineStr">
        <is>
          <t>AISC</t>
        </is>
      </c>
      <c r="CI16" s="79">
        <f>MIN(CE4:CE363)</f>
        <v/>
      </c>
      <c r="CJ16" s="92">
        <f>VLOOKUP(CI16,CE4:CF363,2,FALSE)</f>
        <v/>
      </c>
    </row>
    <row r="17">
      <c r="A17" s="125" t="inlineStr">
        <is>
          <t>W6X15.7</t>
        </is>
      </c>
      <c r="B17" s="129" t="inlineStr">
        <is>
          <t>AISC</t>
        </is>
      </c>
      <c r="C17" s="125" t="n">
        <v>23</v>
      </c>
      <c r="D17" s="125" t="n">
        <v>152.4</v>
      </c>
      <c r="E17" s="125" t="n">
        <v>152.2</v>
      </c>
      <c r="F17" s="125" t="n">
        <v>6.8</v>
      </c>
      <c r="G17" s="125" t="n">
        <v>5.8</v>
      </c>
      <c r="H17" s="125" t="n">
        <v>7.6</v>
      </c>
      <c r="I17" s="125" t="n">
        <v>123.6</v>
      </c>
      <c r="J17" s="125" t="n">
        <v>29.2</v>
      </c>
      <c r="K17" s="125">
        <f>((E17-G17)/2)/F17</f>
        <v/>
      </c>
      <c r="L17" s="125">
        <f>I17/G17</f>
        <v/>
      </c>
      <c r="M17" s="125" t="n">
        <v>0.889</v>
      </c>
      <c r="N17" s="125" t="n">
        <v>1250</v>
      </c>
      <c r="O17" s="125" t="n">
        <v>400</v>
      </c>
      <c r="P17" s="125" t="n">
        <v>6.54</v>
      </c>
      <c r="Q17" s="125" t="n">
        <v>3.7</v>
      </c>
      <c r="R17" s="125" t="n">
        <v>164</v>
      </c>
      <c r="S17" s="125" t="n">
        <v>52.6</v>
      </c>
      <c r="T17" s="125" t="n">
        <v>182</v>
      </c>
      <c r="U17" s="125" t="n">
        <v>80.2</v>
      </c>
      <c r="X17" s="129">
        <f t="array" ref="X17">_xlfn.IFS((D17/F17) &lt;= (640/SQRT($AT$32)), "Compact", L17 &lt;= ($AT$32*(0.79-(0.002*((E17-G17/2)/(2*F17))*SQRT($AT$32)))), "Non-Compact", L17 &gt; ($AT$32*(0.79-(0.002*((E17-G17/2)/(2*F17))*SQRT($AT$32)))), "Slender")</f>
        <v/>
      </c>
      <c r="Y17" s="129">
        <f t="array" ref="Y17">_xlfn.IFS(K17 &lt;= (65/SQRT($AT$32)), "Compact", K17 &lt;= (95/SQRT($AT$32)), "Non-Compact", K17 &gt; (95/SQRT($AT$32)), "Slender")</f>
        <v/>
      </c>
      <c r="Z17" s="125">
        <f>E17/F17</f>
        <v/>
      </c>
      <c r="AA17" s="125">
        <f>D17/G17</f>
        <v/>
      </c>
      <c r="AB17" s="125">
        <f t="array" ref="AB17">_xlfn.IFS(Z17 &lt;= 9, "1", Z17 &lt;= 12, "2", Z17 &lt;= 15, "3", Z17 &gt; 15, "4")</f>
        <v/>
      </c>
      <c r="AC17" s="125">
        <f t="array" ref="AC17">_xlfn.IFS(AA17 &lt;= 200, "1", L17 &lt;= 300, "2", L17 &lt;= 400, "3", L17 &gt; 400, "4")</f>
        <v/>
      </c>
      <c r="AD17" s="129">
        <f>SQRT((((VLOOKUP($AT$4,$A$4:$D$1021,4,FALSE))-D17)^2)+(((VLOOKUP($AT$4,$A$4:$E$1021,5,FALSE))-E17)^2)+(((VLOOKUP($AT$4,$A$4:$N$1021,14,FALSE))-N17)^2)+(((VLOOKUP($AT$4,$A$4:$O$1021,15,FALSE))-O17)^2))</f>
        <v/>
      </c>
      <c r="AG17" s="129">
        <f>SQRT((((VLOOKUP($AT$4,$A$4:$D$1021,4,FALSE))-D17)^2)+(((VLOOKUP($AT$4,$A$4:$E$1021,5,FALSE))-E17)^2)+(((VLOOKUP($AT$4,$A$4:$R$1021,18,FALSE))-R17)^2)+(((VLOOKUP($AT$4,$A$4:$S$1021,19,FALSE))-S17)^2))</f>
        <v/>
      </c>
      <c r="AJ17" s="125" t="inlineStr">
        <is>
          <t>W6X15.7</t>
        </is>
      </c>
      <c r="AK17" s="125">
        <f>SQRT(((VLOOKUP($AT$4,$A$4:$J$1021,10,FALSE))-J17)^2)</f>
        <v/>
      </c>
      <c r="AL17" s="125" t="n"/>
      <c r="AM17" s="125" t="n"/>
      <c r="AN17" s="125">
        <f>SQRT(((VLOOKUP($AT$4,$A$4:$R$1021,18,FALSE))-R17)^2)</f>
        <v/>
      </c>
      <c r="AO17" s="125" t="n"/>
      <c r="AP17" s="125" t="n"/>
      <c r="AQ17" s="125" t="inlineStr">
        <is>
          <t>W6X15.7</t>
        </is>
      </c>
      <c r="AS17" s="122" t="inlineStr">
        <is>
          <t>1st</t>
        </is>
      </c>
      <c r="AT17" s="127">
        <f>VLOOKUP(LARGE(AU14:AU16,2),AU14:AV16,2,FALSE)</f>
        <v/>
      </c>
      <c r="AU17" s="127" t="n"/>
      <c r="AV17" s="127" t="n"/>
      <c r="AX17" s="78" t="inlineStr">
        <is>
          <t>Min gb</t>
        </is>
      </c>
      <c r="AY17" s="80" t="inlineStr">
        <is>
          <t>GB</t>
        </is>
      </c>
      <c r="AZ17" s="79">
        <f>MIN(AO364:AO454)</f>
        <v/>
      </c>
      <c r="BA17" s="79">
        <f>VLOOKUP(AZ17,AO364:AQ454,3,FALSE)</f>
        <v/>
      </c>
      <c r="BB17" s="125">
        <f>SQRT(($J$1022-J17)^2)</f>
        <v/>
      </c>
      <c r="BC17" s="125">
        <f>SQRT(($R$1022-R17)^2)</f>
        <v/>
      </c>
      <c r="BD17" s="125" t="inlineStr">
        <is>
          <t>W6X15.7</t>
        </is>
      </c>
      <c r="BE17" s="78" t="inlineStr">
        <is>
          <t>Min gb</t>
        </is>
      </c>
      <c r="BF17" s="80" t="inlineStr">
        <is>
          <t>GB</t>
        </is>
      </c>
      <c r="BG17" s="79">
        <f>MIN(BC364:BC454)</f>
        <v/>
      </c>
      <c r="BH17" s="92">
        <f>VLOOKUP(BG17,BC364:BD454,2,FALSE)</f>
        <v/>
      </c>
      <c r="BI17">
        <f>SQRT(($J$1023-J17)^2)</f>
        <v/>
      </c>
      <c r="BJ17">
        <f>SQRT(($R$1023-R17)^2)</f>
        <v/>
      </c>
      <c r="BK17" s="125" t="inlineStr">
        <is>
          <t>W6X15.7</t>
        </is>
      </c>
      <c r="BL17" s="78" t="inlineStr">
        <is>
          <t>Min gb</t>
        </is>
      </c>
      <c r="BM17" s="80" t="inlineStr">
        <is>
          <t>GB</t>
        </is>
      </c>
      <c r="BN17" s="79">
        <f>MIN(BJ364:BJ454)</f>
        <v/>
      </c>
      <c r="BO17" s="92">
        <f>VLOOKUP(BN17,BJ364:BK454,2,FALSE)</f>
        <v/>
      </c>
      <c r="BP17">
        <f>SQRT(($J$1024-J17)^2)</f>
        <v/>
      </c>
      <c r="BQ17">
        <f>SQRT(($R$1024-R17)^2)</f>
        <v/>
      </c>
      <c r="BR17" s="125" t="inlineStr">
        <is>
          <t>W6X15.7</t>
        </is>
      </c>
      <c r="BS17" s="78" t="inlineStr">
        <is>
          <t>Min gb</t>
        </is>
      </c>
      <c r="BT17" s="80" t="inlineStr">
        <is>
          <t>GB</t>
        </is>
      </c>
      <c r="BU17" s="79">
        <f>MIN(BQ364:BQ454)</f>
        <v/>
      </c>
      <c r="BV17" s="92">
        <f>VLOOKUP(BU17,BQ364:BR454,2,FALSE)</f>
        <v/>
      </c>
      <c r="BW17">
        <f>SQRT(($J$1025-J17)^2)</f>
        <v/>
      </c>
      <c r="BX17">
        <f>SQRT(($R$1025-R17)^2)</f>
        <v/>
      </c>
      <c r="BY17" s="125" t="inlineStr">
        <is>
          <t>W6X15.7</t>
        </is>
      </c>
      <c r="BZ17" s="78" t="inlineStr">
        <is>
          <t>Min gb</t>
        </is>
      </c>
      <c r="CA17" s="80" t="inlineStr">
        <is>
          <t>GB</t>
        </is>
      </c>
      <c r="CB17" s="79">
        <f>MIN(BX364:BX454)</f>
        <v/>
      </c>
      <c r="CC17" s="92">
        <f>VLOOKUP(CB17,BX364:BY454,2,FALSE)</f>
        <v/>
      </c>
      <c r="CD17">
        <f>SQRT(($J$1026-J17)^2)</f>
        <v/>
      </c>
      <c r="CE17">
        <f>SQRT(($R$1026-R17)^2)</f>
        <v/>
      </c>
      <c r="CF17" s="125" t="inlineStr">
        <is>
          <t>W6X15.7</t>
        </is>
      </c>
      <c r="CG17" s="78" t="inlineStr">
        <is>
          <t>Min gb</t>
        </is>
      </c>
      <c r="CH17" s="80" t="inlineStr">
        <is>
          <t>GB</t>
        </is>
      </c>
      <c r="CI17" s="79">
        <f>MIN(CE364:CE454)</f>
        <v/>
      </c>
      <c r="CJ17" s="92">
        <f>VLOOKUP(CI17,CE364:CF454,2,FALSE)</f>
        <v/>
      </c>
    </row>
    <row r="18">
      <c r="A18" s="125" t="inlineStr">
        <is>
          <t>W6X20</t>
        </is>
      </c>
      <c r="B18" s="129" t="inlineStr">
        <is>
          <t>AISC</t>
        </is>
      </c>
      <c r="C18" s="125" t="n">
        <v>30</v>
      </c>
      <c r="D18" s="125" t="n">
        <v>157.6</v>
      </c>
      <c r="E18" s="125" t="n">
        <v>152.9</v>
      </c>
      <c r="F18" s="125" t="n">
        <v>9.4</v>
      </c>
      <c r="G18" s="125" t="n">
        <v>6.5</v>
      </c>
      <c r="H18" s="125" t="n">
        <v>7.6</v>
      </c>
      <c r="I18" s="125" t="n">
        <v>123.6</v>
      </c>
      <c r="J18" s="125" t="n">
        <v>38.3</v>
      </c>
      <c r="K18" s="125">
        <f>((E18-G18)/2)/F18</f>
        <v/>
      </c>
      <c r="L18" s="125">
        <f>I18/G18</f>
        <v/>
      </c>
      <c r="M18" s="125" t="n">
        <v>0.901</v>
      </c>
      <c r="N18" s="125" t="n">
        <v>1748</v>
      </c>
      <c r="O18" s="125" t="n">
        <v>560</v>
      </c>
      <c r="P18" s="125" t="n">
        <v>6.76</v>
      </c>
      <c r="Q18" s="125" t="n">
        <v>3.83</v>
      </c>
      <c r="R18" s="125" t="n">
        <v>222</v>
      </c>
      <c r="S18" s="125" t="n">
        <v>73.3</v>
      </c>
      <c r="T18" s="125" t="n">
        <v>248</v>
      </c>
      <c r="U18" s="125" t="n">
        <v>112</v>
      </c>
      <c r="X18" s="129">
        <f t="array" ref="X18">_xlfn.IFS((D18/F18) &lt;= (640/SQRT($AT$32)), "Compact", L18 &lt;= ($AT$32*(0.79-(0.002*((E18-G18/2)/(2*F18))*SQRT($AT$32)))), "Non-Compact", L18 &gt; ($AT$32*(0.79-(0.002*((E18-G18/2)/(2*F18))*SQRT($AT$32)))), "Slender")</f>
        <v/>
      </c>
      <c r="Y18" s="129">
        <f t="array" ref="Y18">_xlfn.IFS(K18 &lt;= (65/SQRT($AT$32)), "Compact", K18 &lt;= (95/SQRT($AT$32)), "Non-Compact", K18 &gt; (95/SQRT($AT$32)), "Slender")</f>
        <v/>
      </c>
      <c r="Z18" s="125">
        <f>E18/F18</f>
        <v/>
      </c>
      <c r="AA18" s="125">
        <f>D18/G18</f>
        <v/>
      </c>
      <c r="AB18" s="125">
        <f t="array" ref="AB18">_xlfn.IFS(Z18 &lt;= 9, "1", Z18 &lt;= 12, "2", Z18 &lt;= 15, "3", Z18 &gt; 15, "4")</f>
        <v/>
      </c>
      <c r="AC18" s="125">
        <f t="array" ref="AC18">_xlfn.IFS(AA18 &lt;= 200, "1", L18 &lt;= 300, "2", L18 &lt;= 400, "3", L18 &gt; 400, "4")</f>
        <v/>
      </c>
      <c r="AD18" s="129">
        <f>SQRT((((VLOOKUP($AT$4,$A$4:$D$1021,4,FALSE))-D18)^2)+(((VLOOKUP($AT$4,$A$4:$E$1021,5,FALSE))-E18)^2)+(((VLOOKUP($AT$4,$A$4:$N$1021,14,FALSE))-N18)^2)+(((VLOOKUP($AT$4,$A$4:$O$1021,15,FALSE))-O18)^2))</f>
        <v/>
      </c>
      <c r="AG18" s="129">
        <f>SQRT((((VLOOKUP($AT$4,$A$4:$D$1021,4,FALSE))-D18)^2)+(((VLOOKUP($AT$4,$A$4:$E$1021,5,FALSE))-E18)^2)+(((VLOOKUP($AT$4,$A$4:$R$1021,18,FALSE))-R18)^2)+(((VLOOKUP($AT$4,$A$4:$S$1021,19,FALSE))-S18)^2))</f>
        <v/>
      </c>
      <c r="AJ18" s="125" t="inlineStr">
        <is>
          <t>W6X20</t>
        </is>
      </c>
      <c r="AK18" s="125">
        <f>SQRT(((VLOOKUP($AT$4,$A$4:$J$1021,10,FALSE))-J18)^2)</f>
        <v/>
      </c>
      <c r="AL18" s="125" t="n"/>
      <c r="AM18" s="125" t="n"/>
      <c r="AN18" s="125">
        <f>SQRT(((VLOOKUP($AT$4,$A$4:$R$1021,18,FALSE))-R18)^2)</f>
        <v/>
      </c>
      <c r="AO18" s="125" t="n"/>
      <c r="AP18" s="125" t="n"/>
      <c r="AQ18" s="125" t="inlineStr">
        <is>
          <t>W6X20</t>
        </is>
      </c>
      <c r="AS18" s="122" t="inlineStr">
        <is>
          <t>2nd</t>
        </is>
      </c>
      <c r="AT18" s="127">
        <f>VLOOKUP(MAX(AU14:AU16),AU14:AV16,2,FALSE)</f>
        <v/>
      </c>
      <c r="AU18" s="127" t="n"/>
      <c r="AV18" s="127" t="n"/>
      <c r="AX18" s="78" t="inlineStr">
        <is>
          <t>Min hy</t>
        </is>
      </c>
      <c r="AY18" s="80" t="inlineStr">
        <is>
          <t>HY</t>
        </is>
      </c>
      <c r="AZ18" s="79">
        <f>MIN(AP455:AP1021)</f>
        <v/>
      </c>
      <c r="BA18" s="79">
        <f>VLOOKUP(AZ18,AP455:AQ1021,2,FALSE)</f>
        <v/>
      </c>
      <c r="BB18" s="125">
        <f>SQRT(($J$1022-J18)^2)</f>
        <v/>
      </c>
      <c r="BC18" s="125">
        <f>SQRT(($R$1022-R18)^2)</f>
        <v/>
      </c>
      <c r="BD18" s="125" t="inlineStr">
        <is>
          <t>W6X20</t>
        </is>
      </c>
      <c r="BE18" s="78" t="inlineStr">
        <is>
          <t>Min hy</t>
        </is>
      </c>
      <c r="BF18" s="80" t="inlineStr">
        <is>
          <t>HY</t>
        </is>
      </c>
      <c r="BG18" s="79">
        <f>MIN(BC455:BC1021)</f>
        <v/>
      </c>
      <c r="BH18" s="92">
        <f>VLOOKUP(BG18,BC455:BD1021,2,FALSE)</f>
        <v/>
      </c>
      <c r="BI18">
        <f>SQRT(($J$1023-J18)^2)</f>
        <v/>
      </c>
      <c r="BJ18">
        <f>SQRT(($R$1023-R18)^2)</f>
        <v/>
      </c>
      <c r="BK18" s="125" t="inlineStr">
        <is>
          <t>W6X20</t>
        </is>
      </c>
      <c r="BL18" s="78" t="inlineStr">
        <is>
          <t>Min hy</t>
        </is>
      </c>
      <c r="BM18" s="80" t="inlineStr">
        <is>
          <t>HY</t>
        </is>
      </c>
      <c r="BN18" s="79">
        <f>MIN(BJ455:BJ1021)</f>
        <v/>
      </c>
      <c r="BO18" s="92">
        <f>VLOOKUP(BN18,BJ455:BK1021,2,FALSE)</f>
        <v/>
      </c>
      <c r="BP18">
        <f>SQRT(($J$1024-J18)^2)</f>
        <v/>
      </c>
      <c r="BQ18">
        <f>SQRT(($R$1024-R18)^2)</f>
        <v/>
      </c>
      <c r="BR18" s="125" t="inlineStr">
        <is>
          <t>W6X20</t>
        </is>
      </c>
      <c r="BS18" s="78" t="inlineStr">
        <is>
          <t>Min hy</t>
        </is>
      </c>
      <c r="BT18" s="80" t="inlineStr">
        <is>
          <t>HY</t>
        </is>
      </c>
      <c r="BU18" s="79">
        <f>MIN(BQ455:BQ1021)</f>
        <v/>
      </c>
      <c r="BV18" s="92">
        <f>VLOOKUP(BU18,BQ455:BR1021,2,FALSE)</f>
        <v/>
      </c>
      <c r="BW18">
        <f>SQRT(($J$1025-J18)^2)</f>
        <v/>
      </c>
      <c r="BX18">
        <f>SQRT(($R$1025-R18)^2)</f>
        <v/>
      </c>
      <c r="BY18" s="125" t="inlineStr">
        <is>
          <t>W6X20</t>
        </is>
      </c>
      <c r="BZ18" s="78" t="inlineStr">
        <is>
          <t>Min hy</t>
        </is>
      </c>
      <c r="CA18" s="80" t="inlineStr">
        <is>
          <t>HY</t>
        </is>
      </c>
      <c r="CB18" s="79">
        <f>MIN(BX455:BX1021)</f>
        <v/>
      </c>
      <c r="CC18" s="92">
        <f>VLOOKUP(CB18,BX455:BY1021,2,FALSE)</f>
        <v/>
      </c>
      <c r="CD18">
        <f>SQRT(($J$1026-J18)^2)</f>
        <v/>
      </c>
      <c r="CE18">
        <f>SQRT(($R$1026-R18)^2)</f>
        <v/>
      </c>
      <c r="CF18" s="125" t="inlineStr">
        <is>
          <t>W6X20</t>
        </is>
      </c>
      <c r="CG18" s="78" t="inlineStr">
        <is>
          <t>Min hy</t>
        </is>
      </c>
      <c r="CH18" s="80" t="inlineStr">
        <is>
          <t>HY</t>
        </is>
      </c>
      <c r="CI18" s="79">
        <f>MIN(CE455:CE1021)</f>
        <v/>
      </c>
      <c r="CJ18" s="92">
        <f>VLOOKUP(CI18,CE455:CF1021,2,FALSE)</f>
        <v/>
      </c>
    </row>
    <row r="19">
      <c r="A19" s="125" t="inlineStr">
        <is>
          <t>W6X25</t>
        </is>
      </c>
      <c r="B19" s="129" t="inlineStr">
        <is>
          <t>AISC</t>
        </is>
      </c>
      <c r="C19" s="125" t="n">
        <v>37</v>
      </c>
      <c r="D19" s="125" t="n">
        <v>161.8</v>
      </c>
      <c r="E19" s="125" t="n">
        <v>154.4</v>
      </c>
      <c r="F19" s="125" t="n">
        <v>11.5</v>
      </c>
      <c r="G19" s="125" t="n">
        <v>8</v>
      </c>
      <c r="H19" s="125" t="n">
        <v>7.6</v>
      </c>
      <c r="I19" s="125" t="n">
        <v>123.6</v>
      </c>
      <c r="J19" s="125" t="n">
        <v>47.1</v>
      </c>
      <c r="K19" s="125">
        <f>((E19-G19)/2)/F19</f>
        <v/>
      </c>
      <c r="L19" s="125">
        <f>I19/G19</f>
        <v/>
      </c>
      <c r="M19" s="125" t="n">
        <v>0.912</v>
      </c>
      <c r="N19" s="125" t="n">
        <v>2210</v>
      </c>
      <c r="O19" s="125" t="n">
        <v>706</v>
      </c>
      <c r="P19" s="125" t="n">
        <v>6.85</v>
      </c>
      <c r="Q19" s="125" t="n">
        <v>3.87</v>
      </c>
      <c r="R19" s="125" t="n">
        <v>273</v>
      </c>
      <c r="S19" s="125" t="n">
        <v>91.5</v>
      </c>
      <c r="T19" s="125" t="n">
        <v>309</v>
      </c>
      <c r="U19" s="125" t="n">
        <v>140</v>
      </c>
      <c r="X19" s="129">
        <f t="array" ref="X19">_xlfn.IFS((D19/F19) &lt;= (640/SQRT($AT$32)), "Compact", L19 &lt;= ($AT$32*(0.79-(0.002*((E19-G19/2)/(2*F19))*SQRT($AT$32)))), "Non-Compact", L19 &gt; ($AT$32*(0.79-(0.002*((E19-G19/2)/(2*F19))*SQRT($AT$32)))), "Slender")</f>
        <v/>
      </c>
      <c r="Y19" s="129">
        <f t="array" ref="Y19">_xlfn.IFS(K19 &lt;= (65/SQRT($AT$32)), "Compact", K19 &lt;= (95/SQRT($AT$32)), "Non-Compact", K19 &gt; (95/SQRT($AT$32)), "Slender")</f>
        <v/>
      </c>
      <c r="Z19" s="125">
        <f>E19/F19</f>
        <v/>
      </c>
      <c r="AA19" s="125">
        <f>D19/G19</f>
        <v/>
      </c>
      <c r="AB19" s="125">
        <f t="array" ref="AB19">_xlfn.IFS(Z19 &lt;= 9, "1", Z19 &lt;= 12, "2", Z19 &lt;= 15, "3", Z19 &gt; 15, "4")</f>
        <v/>
      </c>
      <c r="AC19" s="125">
        <f t="array" ref="AC19">_xlfn.IFS(AA19 &lt;= 200, "1", L19 &lt;= 300, "2", L19 &lt;= 400, "3", L19 &gt; 400, "4")</f>
        <v/>
      </c>
      <c r="AD19" s="129">
        <f>SQRT((((VLOOKUP($AT$4,$A$4:$D$1021,4,FALSE))-D19)^2)+(((VLOOKUP($AT$4,$A$4:$E$1021,5,FALSE))-E19)^2)+(((VLOOKUP($AT$4,$A$4:$N$1021,14,FALSE))-N19)^2)+(((VLOOKUP($AT$4,$A$4:$O$1021,15,FALSE))-O19)^2))</f>
        <v/>
      </c>
      <c r="AG19" s="129">
        <f>SQRT((((VLOOKUP($AT$4,$A$4:$D$1021,4,FALSE))-D19)^2)+(((VLOOKUP($AT$4,$A$4:$E$1021,5,FALSE))-E19)^2)+(((VLOOKUP($AT$4,$A$4:$R$1021,18,FALSE))-R19)^2)+(((VLOOKUP($AT$4,$A$4:$S$1021,19,FALSE))-S19)^2))</f>
        <v/>
      </c>
      <c r="AJ19" s="125" t="inlineStr">
        <is>
          <t>W6X25</t>
        </is>
      </c>
      <c r="AK19" s="125">
        <f>SQRT(((VLOOKUP($AT$4,$A$4:$J$1021,10,FALSE))-J19)^2)</f>
        <v/>
      </c>
      <c r="AL19" s="125" t="n"/>
      <c r="AM19" s="125" t="n"/>
      <c r="AN19" s="125">
        <f>SQRT(((VLOOKUP($AT$4,$A$4:$R$1021,18,FALSE))-R19)^2)</f>
        <v/>
      </c>
      <c r="AO19" s="125" t="n"/>
      <c r="AP19" s="125" t="n"/>
      <c r="AQ19" s="125" t="inlineStr">
        <is>
          <t>W6X25</t>
        </is>
      </c>
      <c r="AX19" s="135" t="inlineStr">
        <is>
          <t>1st</t>
        </is>
      </c>
      <c r="AY19" s="79">
        <f>VLOOKUP(LARGE(AZ16:AZ18,2),AZ16:BA18,2,FALSE)</f>
        <v/>
      </c>
      <c r="AZ19" s="79" t="n"/>
      <c r="BA19" s="79" t="n"/>
      <c r="BB19" s="125">
        <f>SQRT(($J$1022-J19)^2)</f>
        <v/>
      </c>
      <c r="BC19" s="125">
        <f>SQRT(($R$1022-R19)^2)</f>
        <v/>
      </c>
      <c r="BD19" s="125" t="inlineStr">
        <is>
          <t>W6X25</t>
        </is>
      </c>
      <c r="BE19" s="135" t="inlineStr">
        <is>
          <t>1st</t>
        </is>
      </c>
      <c r="BF19" s="92">
        <f>VLOOKUP(MIN(BG16:BG18),BG16:BH18,2,FALSE)</f>
        <v/>
      </c>
      <c r="BG19" s="148" t="n"/>
      <c r="BH19" s="92" t="n"/>
      <c r="BI19">
        <f>SQRT(($J$1023-J19)^2)</f>
        <v/>
      </c>
      <c r="BJ19">
        <f>SQRT(($R$1023-R19)^2)</f>
        <v/>
      </c>
      <c r="BK19" s="125" t="inlineStr">
        <is>
          <t>W6X25</t>
        </is>
      </c>
      <c r="BL19" s="135" t="inlineStr">
        <is>
          <t>1st</t>
        </is>
      </c>
      <c r="BM19" s="92">
        <f>VLOOKUP(MIN(BN16:BN18),BN16:BO18,2,FALSE)</f>
        <v/>
      </c>
      <c r="BN19" s="148" t="n"/>
      <c r="BO19" s="92" t="n"/>
      <c r="BP19">
        <f>SQRT(($J$1024-J19)^2)</f>
        <v/>
      </c>
      <c r="BQ19">
        <f>SQRT(($R$1024-R19)^2)</f>
        <v/>
      </c>
      <c r="BR19" s="125" t="inlineStr">
        <is>
          <t>W6X25</t>
        </is>
      </c>
      <c r="BS19" s="135" t="inlineStr">
        <is>
          <t>1st</t>
        </is>
      </c>
      <c r="BT19" s="92">
        <f>VLOOKUP(MIN(BU16:BU18),BU16:BV18,2,FALSE)</f>
        <v/>
      </c>
      <c r="BU19" s="148" t="n"/>
      <c r="BV19" s="92" t="n"/>
      <c r="BW19">
        <f>SQRT(($J$1025-J19)^2)</f>
        <v/>
      </c>
      <c r="BX19">
        <f>SQRT(($R$1025-R19)^2)</f>
        <v/>
      </c>
      <c r="BY19" s="125" t="inlineStr">
        <is>
          <t>W6X25</t>
        </is>
      </c>
      <c r="BZ19" s="135" t="inlineStr">
        <is>
          <t>1st</t>
        </is>
      </c>
      <c r="CA19" s="92">
        <f>VLOOKUP(MIN(CB16:CB18),CB16:CC18,2,FALSE)</f>
        <v/>
      </c>
      <c r="CB19" s="148" t="n"/>
      <c r="CC19" s="92" t="n"/>
      <c r="CD19">
        <f>SQRT(($J$1026-J19)^2)</f>
        <v/>
      </c>
      <c r="CE19">
        <f>SQRT(($R$1026-R19)^2)</f>
        <v/>
      </c>
      <c r="CF19" s="125" t="inlineStr">
        <is>
          <t>W6X25</t>
        </is>
      </c>
      <c r="CG19" s="135" t="inlineStr">
        <is>
          <t>1st</t>
        </is>
      </c>
      <c r="CH19" s="92">
        <f>VLOOKUP(MIN(CI16:CI18),CI16:CJ18,2,FALSE)</f>
        <v/>
      </c>
      <c r="CI19" s="148" t="n"/>
      <c r="CJ19" s="92" t="n"/>
    </row>
    <row r="20">
      <c r="A20" s="125" t="inlineStr">
        <is>
          <t>W7X11</t>
        </is>
      </c>
      <c r="B20" s="129" t="inlineStr">
        <is>
          <t>AISC</t>
        </is>
      </c>
      <c r="C20" s="125" t="n">
        <v>16.1</v>
      </c>
      <c r="D20" s="125" t="n">
        <v>173</v>
      </c>
      <c r="E20" s="125" t="n">
        <v>90</v>
      </c>
      <c r="F20" s="125" t="n">
        <v>7</v>
      </c>
      <c r="G20" s="125" t="n">
        <v>4.5</v>
      </c>
      <c r="H20" s="125" t="n">
        <v>8.9</v>
      </c>
      <c r="I20" s="125" t="n">
        <v>141.2</v>
      </c>
      <c r="J20" s="125" t="n">
        <v>20.4</v>
      </c>
      <c r="K20" s="125">
        <f>((E20-G20)/2)/F20</f>
        <v/>
      </c>
      <c r="L20" s="125">
        <f>I20/G20</f>
        <v/>
      </c>
      <c r="M20" s="125" t="n">
        <v>0.6820000000000001</v>
      </c>
      <c r="N20" s="125" t="n">
        <v>1060</v>
      </c>
      <c r="O20" s="125" t="n">
        <v>85.40000000000001</v>
      </c>
      <c r="P20" s="125" t="n">
        <v>7.2</v>
      </c>
      <c r="Q20" s="125" t="n">
        <v>2.04</v>
      </c>
      <c r="R20" s="125" t="n">
        <v>123</v>
      </c>
      <c r="S20" s="125" t="n">
        <v>19</v>
      </c>
      <c r="T20" s="125" t="n">
        <v>138</v>
      </c>
      <c r="U20" s="125" t="n">
        <v>29.4</v>
      </c>
      <c r="X20" s="129">
        <f t="array" ref="X20">_xlfn.IFS((D20/F20) &lt;= (640/SQRT($AT$32)), "Compact", L20 &lt;= ($AT$32*(0.79-(0.002*((E20-G20/2)/(2*F20))*SQRT($AT$32)))), "Non-Compact", L20 &gt; ($AT$32*(0.79-(0.002*((E20-G20/2)/(2*F20))*SQRT($AT$32)))), "Slender")</f>
        <v/>
      </c>
      <c r="Y20" s="129">
        <f t="array" ref="Y20">_xlfn.IFS(K20 &lt;= (65/SQRT($AT$32)), "Compact", K20 &lt;= (95/SQRT($AT$32)), "Non-Compact", K20 &gt; (95/SQRT($AT$32)), "Slender")</f>
        <v/>
      </c>
      <c r="Z20" s="125">
        <f>E20/F20</f>
        <v/>
      </c>
      <c r="AA20" s="125">
        <f>D20/G20</f>
        <v/>
      </c>
      <c r="AB20" s="125">
        <f t="array" ref="AB20">_xlfn.IFS(Z20 &lt;= 9, "1", Z20 &lt;= 12, "2", Z20 &lt;= 15, "3", Z20 &gt; 15, "4")</f>
        <v/>
      </c>
      <c r="AC20" s="125">
        <f t="array" ref="AC20">_xlfn.IFS(AA20 &lt;= 200, "1", L20 &lt;= 300, "2", L20 &lt;= 400, "3", L20 &gt; 400, "4")</f>
        <v/>
      </c>
      <c r="AD20" s="129">
        <f>SQRT((((VLOOKUP($AT$4,$A$4:$D$1021,4,FALSE))-D20)^2)+(((VLOOKUP($AT$4,$A$4:$E$1021,5,FALSE))-E20)^2)+(((VLOOKUP($AT$4,$A$4:$N$1021,14,FALSE))-N20)^2)+(((VLOOKUP($AT$4,$A$4:$O$1021,15,FALSE))-O20)^2))</f>
        <v/>
      </c>
      <c r="AG20" s="129">
        <f>SQRT((((VLOOKUP($AT$4,$A$4:$D$1021,4,FALSE))-D20)^2)+(((VLOOKUP($AT$4,$A$4:$E$1021,5,FALSE))-E20)^2)+(((VLOOKUP($AT$4,$A$4:$R$1021,18,FALSE))-R20)^2)+(((VLOOKUP($AT$4,$A$4:$S$1021,19,FALSE))-S20)^2))</f>
        <v/>
      </c>
      <c r="AJ20" s="125" t="inlineStr">
        <is>
          <t>W7X11</t>
        </is>
      </c>
      <c r="AK20" s="125">
        <f>SQRT(((VLOOKUP($AT$4,$A$4:$J$1021,10,FALSE))-J20)^2)</f>
        <v/>
      </c>
      <c r="AL20" s="125" t="n"/>
      <c r="AM20" s="125" t="n"/>
      <c r="AN20" s="125">
        <f>SQRT(((VLOOKUP($AT$4,$A$4:$R$1021,18,FALSE))-R20)^2)</f>
        <v/>
      </c>
      <c r="AO20" s="125" t="n"/>
      <c r="AP20" s="125" t="n"/>
      <c r="AQ20" s="125" t="inlineStr">
        <is>
          <t>W7X11</t>
        </is>
      </c>
      <c r="AX20" s="135" t="inlineStr">
        <is>
          <t>2nd</t>
        </is>
      </c>
      <c r="AY20" s="79">
        <f>VLOOKUP(MAX(AZ16:AZ18),AZ16:BA18,2,FALSE)</f>
        <v/>
      </c>
      <c r="AZ20" s="79" t="n"/>
      <c r="BA20" s="79" t="n"/>
      <c r="BB20" s="125">
        <f>SQRT(($J$1022-J20)^2)</f>
        <v/>
      </c>
      <c r="BC20" s="125">
        <f>SQRT(($R$1022-R20)^2)</f>
        <v/>
      </c>
      <c r="BD20" s="125" t="inlineStr">
        <is>
          <t>W7X11</t>
        </is>
      </c>
      <c r="BE20" s="135" t="inlineStr">
        <is>
          <t>2nd</t>
        </is>
      </c>
      <c r="BF20" s="92">
        <f>VLOOKUP(LARGE(BG16:BG18,2),BG16:BH18,2,FALSE)</f>
        <v/>
      </c>
      <c r="BG20" s="148" t="n"/>
      <c r="BH20" s="92" t="n"/>
      <c r="BI20">
        <f>SQRT(($J$1023-J20)^2)</f>
        <v/>
      </c>
      <c r="BJ20">
        <f>SQRT(($R$1023-R20)^2)</f>
        <v/>
      </c>
      <c r="BK20" s="125" t="inlineStr">
        <is>
          <t>W7X11</t>
        </is>
      </c>
      <c r="BL20" s="135" t="inlineStr">
        <is>
          <t>2nd</t>
        </is>
      </c>
      <c r="BM20" s="92">
        <f>VLOOKUP(LARGE(BN16:BN18,2),BN16:BO18,2,FALSE)</f>
        <v/>
      </c>
      <c r="BN20" s="148" t="n"/>
      <c r="BO20" s="92" t="n"/>
      <c r="BP20">
        <f>SQRT(($J$1024-J20)^2)</f>
        <v/>
      </c>
      <c r="BQ20">
        <f>SQRT(($R$1024-R20)^2)</f>
        <v/>
      </c>
      <c r="BR20" s="125" t="inlineStr">
        <is>
          <t>W7X11</t>
        </is>
      </c>
      <c r="BS20" s="135" t="inlineStr">
        <is>
          <t>2nd</t>
        </is>
      </c>
      <c r="BT20" s="92">
        <f>VLOOKUP(LARGE(BU16:BU18,2),BU16:BV18,2,FALSE)</f>
        <v/>
      </c>
      <c r="BU20" s="148" t="n"/>
      <c r="BV20" s="92" t="n"/>
      <c r="BW20">
        <f>SQRT(($J$1025-J20)^2)</f>
        <v/>
      </c>
      <c r="BX20">
        <f>SQRT(($R$1025-R20)^2)</f>
        <v/>
      </c>
      <c r="BY20" s="125" t="inlineStr">
        <is>
          <t>W7X11</t>
        </is>
      </c>
      <c r="BZ20" s="135" t="inlineStr">
        <is>
          <t>2nd</t>
        </is>
      </c>
      <c r="CA20" s="92">
        <f>VLOOKUP(LARGE(CB16:CB18,2),CB16:CC18,2,FALSE)</f>
        <v/>
      </c>
      <c r="CB20" s="148" t="n"/>
      <c r="CC20" s="92" t="n"/>
      <c r="CD20">
        <f>SQRT(($J$1026-J20)^2)</f>
        <v/>
      </c>
      <c r="CE20">
        <f>SQRT(($R$1026-R20)^2)</f>
        <v/>
      </c>
      <c r="CF20" s="125" t="inlineStr">
        <is>
          <t>W7X11</t>
        </is>
      </c>
      <c r="CG20" s="135" t="inlineStr">
        <is>
          <t>2nd</t>
        </is>
      </c>
      <c r="CH20" s="92">
        <f>VLOOKUP(LARGE(CI16:CI18,2),CI16:CJ18,2,FALSE)</f>
        <v/>
      </c>
      <c r="CI20" s="148" t="n"/>
      <c r="CJ20" s="92" t="n"/>
    </row>
    <row r="21">
      <c r="A21" s="125" t="inlineStr">
        <is>
          <t>W7X12</t>
        </is>
      </c>
      <c r="B21" s="129" t="inlineStr">
        <is>
          <t>AISC</t>
        </is>
      </c>
      <c r="C21" s="125" t="n">
        <v>18.1</v>
      </c>
      <c r="D21" s="125" t="n">
        <v>175</v>
      </c>
      <c r="E21" s="125" t="n">
        <v>90</v>
      </c>
      <c r="F21" s="125" t="n">
        <v>8</v>
      </c>
      <c r="G21" s="125" t="n">
        <v>5</v>
      </c>
      <c r="H21" s="125" t="n">
        <v>8.9</v>
      </c>
      <c r="I21" s="125" t="n">
        <v>141.2</v>
      </c>
      <c r="J21" s="125" t="n">
        <v>23</v>
      </c>
      <c r="K21" s="125">
        <f>((E21-G21)/2)/F21</f>
        <v/>
      </c>
      <c r="L21" s="125">
        <f>I21/G21</f>
        <v/>
      </c>
      <c r="M21" s="125" t="n">
        <v>0.6850000000000001</v>
      </c>
      <c r="N21" s="125" t="n">
        <v>1213</v>
      </c>
      <c r="O21" s="125" t="n">
        <v>97.59999999999999</v>
      </c>
      <c r="P21" s="125" t="n">
        <v>7.26</v>
      </c>
      <c r="Q21" s="125" t="n">
        <v>2.06</v>
      </c>
      <c r="R21" s="125" t="n">
        <v>139</v>
      </c>
      <c r="S21" s="125" t="n">
        <v>21.7</v>
      </c>
      <c r="T21" s="125" t="n">
        <v>157</v>
      </c>
      <c r="U21" s="125" t="n">
        <v>33.7</v>
      </c>
      <c r="X21" s="129">
        <f t="array" ref="X21">_xlfn.IFS((D21/F21) &lt;= (640/SQRT($AT$32)), "Compact", L21 &lt;= ($AT$32*(0.79-(0.002*((E21-G21/2)/(2*F21))*SQRT($AT$32)))), "Non-Compact", L21 &gt; ($AT$32*(0.79-(0.002*((E21-G21/2)/(2*F21))*SQRT($AT$32)))), "Slender")</f>
        <v/>
      </c>
      <c r="Y21" s="129">
        <f t="array" ref="Y21">_xlfn.IFS(K21 &lt;= (65/SQRT($AT$32)), "Compact", K21 &lt;= (95/SQRT($AT$32)), "Non-Compact", K21 &gt; (95/SQRT($AT$32)), "Slender")</f>
        <v/>
      </c>
      <c r="Z21" s="125">
        <f>E21/F21</f>
        <v/>
      </c>
      <c r="AA21" s="125">
        <f>D21/G21</f>
        <v/>
      </c>
      <c r="AB21" s="125">
        <f t="array" ref="AB21">_xlfn.IFS(Z21 &lt;= 9, "1", Z21 &lt;= 12, "2", Z21 &lt;= 15, "3", Z21 &gt; 15, "4")</f>
        <v/>
      </c>
      <c r="AC21" s="125">
        <f t="array" ref="AC21">_xlfn.IFS(AA21 &lt;= 200, "1", L21 &lt;= 300, "2", L21 &lt;= 400, "3", L21 &gt; 400, "4")</f>
        <v/>
      </c>
      <c r="AD21" s="129">
        <f>SQRT((((VLOOKUP($AT$4,$A$4:$D$1021,4,FALSE))-D21)^2)+(((VLOOKUP($AT$4,$A$4:$E$1021,5,FALSE))-E21)^2)+(((VLOOKUP($AT$4,$A$4:$N$1021,14,FALSE))-N21)^2)+(((VLOOKUP($AT$4,$A$4:$O$1021,15,FALSE))-O21)^2))</f>
        <v/>
      </c>
      <c r="AG21" s="129">
        <f>SQRT((((VLOOKUP($AT$4,$A$4:$D$1021,4,FALSE))-D21)^2)+(((VLOOKUP($AT$4,$A$4:$E$1021,5,FALSE))-E21)^2)+(((VLOOKUP($AT$4,$A$4:$R$1021,18,FALSE))-R21)^2)+(((VLOOKUP($AT$4,$A$4:$S$1021,19,FALSE))-S21)^2))</f>
        <v/>
      </c>
      <c r="AJ21" s="125" t="inlineStr">
        <is>
          <t>W7X12</t>
        </is>
      </c>
      <c r="AK21" s="125">
        <f>SQRT(((VLOOKUP($AT$4,$A$4:$J$1021,10,FALSE))-J21)^2)</f>
        <v/>
      </c>
      <c r="AL21" s="125" t="n"/>
      <c r="AM21" s="125" t="n"/>
      <c r="AN21" s="125">
        <f>SQRT(((VLOOKUP($AT$4,$A$4:$R$1021,18,FALSE))-R21)^2)</f>
        <v/>
      </c>
      <c r="AO21" s="125" t="n"/>
      <c r="AP21" s="125" t="n"/>
      <c r="AQ21" s="125" t="inlineStr">
        <is>
          <t>W7X12</t>
        </is>
      </c>
      <c r="AR21" s="125" t="n">
        <v>235</v>
      </c>
      <c r="AT21" s="129" t="inlineStr">
        <is>
          <t>ϵ</t>
        </is>
      </c>
      <c r="AU21" s="129" t="inlineStr">
        <is>
          <t>=</t>
        </is>
      </c>
      <c r="AV21" s="125">
        <f>SQRT(235/Beam_Check!C15)</f>
        <v/>
      </c>
      <c r="BB21" s="125">
        <f>SQRT(($J$1022-J21)^2)</f>
        <v/>
      </c>
      <c r="BC21" s="125">
        <f>SQRT(($R$1022-R21)^2)</f>
        <v/>
      </c>
      <c r="BD21" s="125" t="inlineStr">
        <is>
          <t>W7X12</t>
        </is>
      </c>
      <c r="BE21" s="135" t="inlineStr">
        <is>
          <t>3rd</t>
        </is>
      </c>
      <c r="BF21" s="92">
        <f>VLOOKUP(MAX(BG16:BG18),BG16:BH18,2,FALSE)</f>
        <v/>
      </c>
      <c r="BG21" s="148" t="n"/>
      <c r="BH21" s="92" t="n"/>
      <c r="BI21">
        <f>SQRT(($J$1023-J21)^2)</f>
        <v/>
      </c>
      <c r="BJ21">
        <f>SQRT(($R$1023-R21)^2)</f>
        <v/>
      </c>
      <c r="BK21" s="125" t="inlineStr">
        <is>
          <t>W7X12</t>
        </is>
      </c>
      <c r="BL21" s="135" t="inlineStr">
        <is>
          <t>3rd</t>
        </is>
      </c>
      <c r="BM21" s="92">
        <f>VLOOKUP(MAX(BN16:BN18),BN16:BO18,2,FALSE)</f>
        <v/>
      </c>
      <c r="BN21" s="148" t="n"/>
      <c r="BO21" s="92" t="n"/>
      <c r="BP21">
        <f>SQRT(($J$1024-J21)^2)</f>
        <v/>
      </c>
      <c r="BQ21">
        <f>SQRT(($R$1024-R21)^2)</f>
        <v/>
      </c>
      <c r="BR21" s="125" t="inlineStr">
        <is>
          <t>W7X12</t>
        </is>
      </c>
      <c r="BS21" s="135" t="inlineStr">
        <is>
          <t>3rd</t>
        </is>
      </c>
      <c r="BT21" s="92">
        <f>VLOOKUP(MAX(BU16:BU18),BU16:BV18,2,FALSE)</f>
        <v/>
      </c>
      <c r="BU21" s="148" t="n"/>
      <c r="BV21" s="92" t="n"/>
      <c r="BW21">
        <f>SQRT(($J$1025-J21)^2)</f>
        <v/>
      </c>
      <c r="BX21">
        <f>SQRT(($R$1025-R21)^2)</f>
        <v/>
      </c>
      <c r="BY21" s="125" t="inlineStr">
        <is>
          <t>W7X12</t>
        </is>
      </c>
      <c r="BZ21" s="135" t="inlineStr">
        <is>
          <t>3rd</t>
        </is>
      </c>
      <c r="CA21" s="92">
        <f>VLOOKUP(MAX(CB16:CB18),CB16:CC18,2,FALSE)</f>
        <v/>
      </c>
      <c r="CB21" s="148" t="n"/>
      <c r="CC21" s="92" t="n"/>
      <c r="CD21">
        <f>SQRT(($J$1026-J21)^2)</f>
        <v/>
      </c>
      <c r="CE21">
        <f>SQRT(($R$1026-R21)^2)</f>
        <v/>
      </c>
      <c r="CF21" s="125" t="inlineStr">
        <is>
          <t>W7X12</t>
        </is>
      </c>
      <c r="CG21" s="135" t="inlineStr">
        <is>
          <t>3rd</t>
        </is>
      </c>
      <c r="CH21" s="92">
        <f>VLOOKUP(MAX(CI16:CI18),CI16:CJ18,2,FALSE)</f>
        <v/>
      </c>
      <c r="CI21" s="148" t="n"/>
      <c r="CJ21" s="92" t="n"/>
    </row>
    <row r="22">
      <c r="A22" s="125" t="inlineStr">
        <is>
          <t>W7X15</t>
        </is>
      </c>
      <c r="B22" s="129" t="inlineStr">
        <is>
          <t>AISC</t>
        </is>
      </c>
      <c r="C22" s="125" t="n">
        <v>22.2</v>
      </c>
      <c r="D22" s="125" t="n">
        <v>179</v>
      </c>
      <c r="E22" s="125" t="n">
        <v>90</v>
      </c>
      <c r="F22" s="125" t="n">
        <v>10</v>
      </c>
      <c r="G22" s="125" t="n">
        <v>6</v>
      </c>
      <c r="H22" s="125" t="n">
        <v>8.9</v>
      </c>
      <c r="I22" s="125" t="n">
        <v>141.2</v>
      </c>
      <c r="J22" s="125" t="n">
        <v>28.2</v>
      </c>
      <c r="K22" s="125">
        <f>((E22-G22)/2)/F22</f>
        <v/>
      </c>
      <c r="L22" s="125">
        <f>I22/G22</f>
        <v/>
      </c>
      <c r="M22" s="125" t="n">
        <v>0.6909999999999999</v>
      </c>
      <c r="N22" s="125" t="n">
        <v>1529</v>
      </c>
      <c r="O22" s="125" t="n">
        <v>122</v>
      </c>
      <c r="P22" s="125" t="n">
        <v>7.36</v>
      </c>
      <c r="Q22" s="125" t="n">
        <v>2.08</v>
      </c>
      <c r="R22" s="125" t="n">
        <v>171</v>
      </c>
      <c r="S22" s="125" t="n">
        <v>27.1</v>
      </c>
      <c r="T22" s="125" t="n">
        <v>195</v>
      </c>
      <c r="U22" s="125" t="n">
        <v>42.3</v>
      </c>
      <c r="X22" s="129">
        <f t="array" ref="X22">_xlfn.IFS((D22/F22) &lt;= (640/SQRT($AT$32)), "Compact", L22 &lt;= ($AT$32*(0.79-(0.002*((E22-G22/2)/(2*F22))*SQRT($AT$32)))), "Non-Compact", L22 &gt; ($AT$32*(0.79-(0.002*((E22-G22/2)/(2*F22))*SQRT($AT$32)))), "Slender")</f>
        <v/>
      </c>
      <c r="Y22" s="129">
        <f t="array" ref="Y22">_xlfn.IFS(K22 &lt;= (65/SQRT($AT$32)), "Compact", K22 &lt;= (95/SQRT($AT$32)), "Non-Compact", K22 &gt; (95/SQRT($AT$32)), "Slender")</f>
        <v/>
      </c>
      <c r="Z22" s="125">
        <f>E22/F22</f>
        <v/>
      </c>
      <c r="AA22" s="125">
        <f>D22/G22</f>
        <v/>
      </c>
      <c r="AB22" s="125">
        <f t="array" ref="AB22">_xlfn.IFS(Z22 &lt;= 9, "1", Z22 &lt;= 12, "2", Z22 &lt;= 15, "3", Z22 &gt; 15, "4")</f>
        <v/>
      </c>
      <c r="AC22" s="125">
        <f t="array" ref="AC22">_xlfn.IFS(AA22 &lt;= 200, "1", L22 &lt;= 300, "2", L22 &lt;= 400, "3", L22 &gt; 400, "4")</f>
        <v/>
      </c>
      <c r="AD22" s="129">
        <f>SQRT((((VLOOKUP($AT$4,$A$4:$D$1021,4,FALSE))-D22)^2)+(((VLOOKUP($AT$4,$A$4:$E$1021,5,FALSE))-E22)^2)+(((VLOOKUP($AT$4,$A$4:$N$1021,14,FALSE))-N22)^2)+(((VLOOKUP($AT$4,$A$4:$O$1021,15,FALSE))-O22)^2))</f>
        <v/>
      </c>
      <c r="AG22" s="129">
        <f>SQRT((((VLOOKUP($AT$4,$A$4:$D$1021,4,FALSE))-D22)^2)+(((VLOOKUP($AT$4,$A$4:$E$1021,5,FALSE))-E22)^2)+(((VLOOKUP($AT$4,$A$4:$R$1021,18,FALSE))-R22)^2)+(((VLOOKUP($AT$4,$A$4:$S$1021,19,FALSE))-S22)^2))</f>
        <v/>
      </c>
      <c r="AJ22" s="125" t="inlineStr">
        <is>
          <t>W7X15</t>
        </is>
      </c>
      <c r="AK22" s="125">
        <f>SQRT(((VLOOKUP($AT$4,$A$4:$J$1021,10,FALSE))-J22)^2)</f>
        <v/>
      </c>
      <c r="AL22" s="125" t="n"/>
      <c r="AM22" s="125" t="n"/>
      <c r="AN22" s="125">
        <f>SQRT(((VLOOKUP($AT$4,$A$4:$R$1021,18,FALSE))-R22)^2)</f>
        <v/>
      </c>
      <c r="AO22" s="125" t="n"/>
      <c r="AP22" s="125" t="n"/>
      <c r="AQ22" s="125" t="inlineStr">
        <is>
          <t>W7X15</t>
        </is>
      </c>
      <c r="AR22" s="125" t="n">
        <v>248</v>
      </c>
      <c r="BB22" s="125">
        <f>SQRT(($J$1022-J22)^2)</f>
        <v/>
      </c>
      <c r="BC22" s="125">
        <f>SQRT(($R$1022-R22)^2)</f>
        <v/>
      </c>
      <c r="BD22" s="125" t="inlineStr">
        <is>
          <t>W7X15</t>
        </is>
      </c>
      <c r="BI22">
        <f>SQRT(($J$1023-J22)^2)</f>
        <v/>
      </c>
      <c r="BJ22">
        <f>SQRT(($R$1023-R22)^2)</f>
        <v/>
      </c>
      <c r="BK22" s="125" t="inlineStr">
        <is>
          <t>W7X15</t>
        </is>
      </c>
      <c r="BO22" s="125" t="n"/>
      <c r="BP22">
        <f>SQRT(($J$1024-J22)^2)</f>
        <v/>
      </c>
      <c r="BQ22">
        <f>SQRT(($R$1024-R22)^2)</f>
        <v/>
      </c>
      <c r="BR22" s="125" t="inlineStr">
        <is>
          <t>W7X15</t>
        </is>
      </c>
      <c r="BW22">
        <f>SQRT(($J$1025-J22)^2)</f>
        <v/>
      </c>
      <c r="BX22">
        <f>SQRT(($R$1025-R22)^2)</f>
        <v/>
      </c>
      <c r="BY22" s="125" t="inlineStr">
        <is>
          <t>W7X15</t>
        </is>
      </c>
      <c r="CD22">
        <f>SQRT(($J$1026-J22)^2)</f>
        <v/>
      </c>
      <c r="CE22">
        <f>SQRT(($R$1026-R22)^2)</f>
        <v/>
      </c>
      <c r="CF22" s="125" t="inlineStr">
        <is>
          <t>W7X15</t>
        </is>
      </c>
    </row>
    <row r="23">
      <c r="A23" s="125" t="inlineStr">
        <is>
          <t>W7X13</t>
        </is>
      </c>
      <c r="B23" s="129" t="inlineStr">
        <is>
          <t>AISC</t>
        </is>
      </c>
      <c r="C23" s="125" t="n">
        <v>19</v>
      </c>
      <c r="D23" s="125" t="n">
        <v>177.8</v>
      </c>
      <c r="E23" s="125" t="n">
        <v>101.2</v>
      </c>
      <c r="F23" s="125" t="n">
        <v>7.9</v>
      </c>
      <c r="G23" s="125" t="n">
        <v>4.8</v>
      </c>
      <c r="H23" s="125" t="n">
        <v>7.6</v>
      </c>
      <c r="I23" s="125" t="n">
        <v>146.8</v>
      </c>
      <c r="J23" s="125" t="n">
        <v>24.3</v>
      </c>
      <c r="K23" s="125">
        <f>((E23-G23)/2)/F23</f>
        <v/>
      </c>
      <c r="L23" s="125">
        <f>I23/G23</f>
        <v/>
      </c>
      <c r="M23" s="125" t="n">
        <v>0.738</v>
      </c>
      <c r="N23" s="125" t="n">
        <v>1356</v>
      </c>
      <c r="O23" s="125" t="n">
        <v>137</v>
      </c>
      <c r="P23" s="125" t="n">
        <v>7.48</v>
      </c>
      <c r="Q23" s="125" t="n">
        <v>2.37</v>
      </c>
      <c r="R23" s="125" t="n">
        <v>153</v>
      </c>
      <c r="S23" s="125" t="n">
        <v>27</v>
      </c>
      <c r="T23" s="125" t="n">
        <v>171</v>
      </c>
      <c r="U23" s="125" t="n">
        <v>41.6</v>
      </c>
      <c r="X23" s="129">
        <f t="array" ref="X23">_xlfn.IFS((D23/F23) &lt;= (640/SQRT($AT$32)), "Compact", L23 &lt;= ($AT$32*(0.79-(0.002*((E23-G23/2)/(2*F23))*SQRT($AT$32)))), "Non-Compact", L23 &gt; ($AT$32*(0.79-(0.002*((E23-G23/2)/(2*F23))*SQRT($AT$32)))), "Slender")</f>
        <v/>
      </c>
      <c r="Y23" s="129">
        <f t="array" ref="Y23">_xlfn.IFS(K23 &lt;= (65/SQRT($AT$32)), "Compact", K23 &lt;= (95/SQRT($AT$32)), "Non-Compact", K23 &gt; (95/SQRT($AT$32)), "Slender")</f>
        <v/>
      </c>
      <c r="Z23" s="125">
        <f>E23/F23</f>
        <v/>
      </c>
      <c r="AA23" s="125">
        <f>D23/G23</f>
        <v/>
      </c>
      <c r="AB23" s="125">
        <f t="array" ref="AB23">_xlfn.IFS(Z23 &lt;= 9, "1", Z23 &lt;= 12, "2", Z23 &lt;= 15, "3", Z23 &gt; 15, "4")</f>
        <v/>
      </c>
      <c r="AC23" s="125">
        <f t="array" ref="AC23">_xlfn.IFS(AA23 &lt;= 200, "1", L23 &lt;= 300, "2", L23 &lt;= 400, "3", L23 &gt; 400, "4")</f>
        <v/>
      </c>
      <c r="AD23" s="129">
        <f>SQRT((((VLOOKUP($AT$4,$A$4:$D$1021,4,FALSE))-D23)^2)+(((VLOOKUP($AT$4,$A$4:$E$1021,5,FALSE))-E23)^2)+(((VLOOKUP($AT$4,$A$4:$N$1021,14,FALSE))-N23)^2)+(((VLOOKUP($AT$4,$A$4:$O$1021,15,FALSE))-O23)^2))</f>
        <v/>
      </c>
      <c r="AG23" s="129">
        <f>SQRT((((VLOOKUP($AT$4,$A$4:$D$1021,4,FALSE))-D23)^2)+(((VLOOKUP($AT$4,$A$4:$E$1021,5,FALSE))-E23)^2)+(((VLOOKUP($AT$4,$A$4:$R$1021,18,FALSE))-R23)^2)+(((VLOOKUP($AT$4,$A$4:$S$1021,19,FALSE))-S23)^2))</f>
        <v/>
      </c>
      <c r="AJ23" s="125" t="inlineStr">
        <is>
          <t>W7X13</t>
        </is>
      </c>
      <c r="AK23" s="125">
        <f>SQRT(((VLOOKUP($AT$4,$A$4:$J$1021,10,FALSE))-J23)^2)</f>
        <v/>
      </c>
      <c r="AL23" s="125" t="n"/>
      <c r="AM23" s="125" t="n"/>
      <c r="AN23" s="125">
        <f>SQRT(((VLOOKUP($AT$4,$A$4:$R$1021,18,FALSE))-R23)^2)</f>
        <v/>
      </c>
      <c r="AO23" s="125" t="n"/>
      <c r="AP23" s="125" t="n"/>
      <c r="AQ23" s="125" t="inlineStr">
        <is>
          <t>W7X13</t>
        </is>
      </c>
      <c r="AR23" s="125" t="n">
        <v>275</v>
      </c>
      <c r="AT23" s="126" t="inlineStr">
        <is>
          <t>Web</t>
        </is>
      </c>
      <c r="AU23" s="126" t="inlineStr">
        <is>
          <t>Flange</t>
        </is>
      </c>
      <c r="BB23" s="125">
        <f>SQRT(($J$1022-J23)^2)</f>
        <v/>
      </c>
      <c r="BC23" s="125">
        <f>SQRT(($R$1022-R23)^2)</f>
        <v/>
      </c>
      <c r="BD23" s="125" t="inlineStr">
        <is>
          <t>W7X13</t>
        </is>
      </c>
      <c r="BI23">
        <f>SQRT(($J$1023-J23)^2)</f>
        <v/>
      </c>
      <c r="BJ23">
        <f>SQRT(($R$1023-R23)^2)</f>
        <v/>
      </c>
      <c r="BK23" s="125" t="inlineStr">
        <is>
          <t>W7X13</t>
        </is>
      </c>
      <c r="BP23">
        <f>SQRT(($J$1024-J23)^2)</f>
        <v/>
      </c>
      <c r="BQ23">
        <f>SQRT(($R$1024-R23)^2)</f>
        <v/>
      </c>
      <c r="BR23" s="125" t="inlineStr">
        <is>
          <t>W7X13</t>
        </is>
      </c>
      <c r="BW23">
        <f>SQRT(($J$1025-J23)^2)</f>
        <v/>
      </c>
      <c r="BX23">
        <f>SQRT(($R$1025-R23)^2)</f>
        <v/>
      </c>
      <c r="BY23" s="125" t="inlineStr">
        <is>
          <t>W7X13</t>
        </is>
      </c>
      <c r="CD23">
        <f>SQRT(($J$1026-J23)^2)</f>
        <v/>
      </c>
      <c r="CE23">
        <f>SQRT(($R$1026-R23)^2)</f>
        <v/>
      </c>
      <c r="CF23" s="125" t="inlineStr">
        <is>
          <t>W7X13</t>
        </is>
      </c>
    </row>
    <row r="24">
      <c r="A24" s="125" t="inlineStr">
        <is>
          <t>W8X10</t>
        </is>
      </c>
      <c r="B24" s="129" t="inlineStr">
        <is>
          <t>AISC</t>
        </is>
      </c>
      <c r="C24" s="125" t="n">
        <v>14.9</v>
      </c>
      <c r="D24" s="125" t="n">
        <v>200.4</v>
      </c>
      <c r="E24" s="125" t="n">
        <v>100.1</v>
      </c>
      <c r="F24" s="125" t="n">
        <v>5.2</v>
      </c>
      <c r="G24" s="125" t="n">
        <v>4.3</v>
      </c>
      <c r="H24" s="125" t="n">
        <v>7.6</v>
      </c>
      <c r="I24" s="125" t="n">
        <v>174.7</v>
      </c>
      <c r="J24" s="125" t="n">
        <v>19.1</v>
      </c>
      <c r="K24" s="125">
        <f>((E24-G24)/2)/F24</f>
        <v/>
      </c>
      <c r="L24" s="125">
        <f>I24/G24</f>
        <v/>
      </c>
      <c r="M24" s="125" t="n">
        <v>0.779</v>
      </c>
      <c r="N24" s="125" t="n">
        <v>1284</v>
      </c>
      <c r="O24" s="125" t="n">
        <v>87.3</v>
      </c>
      <c r="P24" s="125" t="n">
        <v>8.19</v>
      </c>
      <c r="Q24" s="125" t="n">
        <v>2.14</v>
      </c>
      <c r="R24" s="125" t="n">
        <v>128</v>
      </c>
      <c r="S24" s="125" t="n">
        <v>17.4</v>
      </c>
      <c r="T24" s="125" t="n">
        <v>145</v>
      </c>
      <c r="U24" s="125" t="n">
        <v>27.2</v>
      </c>
      <c r="X24" s="129">
        <f t="array" ref="X24">_xlfn.IFS((D24/F24) &lt;= (640/SQRT($AT$32)), "Compact", L24 &lt;= ($AT$32*(0.79-(0.002*((E24-G24/2)/(2*F24))*SQRT($AT$32)))), "Non-Compact", L24 &gt; ($AT$32*(0.79-(0.002*((E24-G24/2)/(2*F24))*SQRT($AT$32)))), "Slender")</f>
        <v/>
      </c>
      <c r="Y24" s="129">
        <f t="array" ref="Y24">_xlfn.IFS(K24 &lt;= (65/SQRT($AT$32)), "Compact", K24 &lt;= (95/SQRT($AT$32)), "Non-Compact", K24 &gt; (95/SQRT($AT$32)), "Slender")</f>
        <v/>
      </c>
      <c r="Z24" s="125">
        <f>E24/F24</f>
        <v/>
      </c>
      <c r="AA24" s="125">
        <f>D24/G24</f>
        <v/>
      </c>
      <c r="AB24" s="125">
        <f t="array" ref="AB24">_xlfn.IFS(Z24 &lt;= 9, "1", Z24 &lt;= 12, "2", Z24 &lt;= 15, "3", Z24 &gt; 15, "4")</f>
        <v/>
      </c>
      <c r="AC24" s="125">
        <f t="array" ref="AC24">_xlfn.IFS(AA24 &lt;= 200, "1", L24 &lt;= 300, "2", L24 &lt;= 400, "3", L24 &gt; 400, "4")</f>
        <v/>
      </c>
      <c r="AD24" s="129">
        <f>SQRT((((VLOOKUP($AT$4,$A$4:$D$1021,4,FALSE))-D24)^2)+(((VLOOKUP($AT$4,$A$4:$E$1021,5,FALSE))-E24)^2)+(((VLOOKUP($AT$4,$A$4:$N$1021,14,FALSE))-N24)^2)+(((VLOOKUP($AT$4,$A$4:$O$1021,15,FALSE))-O24)^2))</f>
        <v/>
      </c>
      <c r="AG24" s="129">
        <f>SQRT((((VLOOKUP($AT$4,$A$4:$D$1021,4,FALSE))-D24)^2)+(((VLOOKUP($AT$4,$A$4:$E$1021,5,FALSE))-E24)^2)+(((VLOOKUP($AT$4,$A$4:$R$1021,18,FALSE))-R24)^2)+(((VLOOKUP($AT$4,$A$4:$S$1021,19,FALSE))-S24)^2))</f>
        <v/>
      </c>
      <c r="AJ24" s="125" t="inlineStr">
        <is>
          <t>W8X10</t>
        </is>
      </c>
      <c r="AK24" s="125">
        <f>SQRT(((VLOOKUP($AT$4,$A$4:$J$1021,10,FALSE))-J24)^2)</f>
        <v/>
      </c>
      <c r="AL24" s="125" t="n"/>
      <c r="AM24" s="125" t="n"/>
      <c r="AN24" s="125">
        <f>SQRT(((VLOOKUP($AT$4,$A$4:$R$1021,18,FALSE))-R24)^2)</f>
        <v/>
      </c>
      <c r="AO24" s="125" t="n"/>
      <c r="AP24" s="125" t="n"/>
      <c r="AQ24" s="125" t="inlineStr">
        <is>
          <t>W8X10</t>
        </is>
      </c>
      <c r="AR24" s="125" t="n">
        <v>345</v>
      </c>
      <c r="AT24" s="126">
        <f>72*$AV$21</f>
        <v/>
      </c>
      <c r="AU24" s="126">
        <f>9*$AV$21</f>
        <v/>
      </c>
      <c r="BB24" s="125">
        <f>SQRT(($J$1022-J24)^2)</f>
        <v/>
      </c>
      <c r="BC24" s="125">
        <f>SQRT(($R$1022-R24)^2)</f>
        <v/>
      </c>
      <c r="BD24" s="125" t="inlineStr">
        <is>
          <t>W8X10</t>
        </is>
      </c>
      <c r="BI24">
        <f>SQRT(($J$1023-J24)^2)</f>
        <v/>
      </c>
      <c r="BJ24">
        <f>SQRT(($R$1023-R24)^2)</f>
        <v/>
      </c>
      <c r="BK24" s="125" t="inlineStr">
        <is>
          <t>W8X10</t>
        </is>
      </c>
      <c r="BP24">
        <f>SQRT(($J$1024-J24)^2)</f>
        <v/>
      </c>
      <c r="BQ24">
        <f>SQRT(($R$1024-R24)^2)</f>
        <v/>
      </c>
      <c r="BR24" s="125" t="inlineStr">
        <is>
          <t>W8X10</t>
        </is>
      </c>
      <c r="BW24">
        <f>SQRT(($J$1025-J24)^2)</f>
        <v/>
      </c>
      <c r="BX24">
        <f>SQRT(($R$1025-R24)^2)</f>
        <v/>
      </c>
      <c r="BY24" s="125" t="inlineStr">
        <is>
          <t>W8X10</t>
        </is>
      </c>
      <c r="CD24">
        <f>SQRT(($J$1026-J24)^2)</f>
        <v/>
      </c>
      <c r="CE24">
        <f>SQRT(($R$1026-R24)^2)</f>
        <v/>
      </c>
      <c r="CF24" s="125" t="inlineStr">
        <is>
          <t>W8X10</t>
        </is>
      </c>
    </row>
    <row r="25">
      <c r="A25" s="125" t="inlineStr">
        <is>
          <t>W8X13</t>
        </is>
      </c>
      <c r="B25" s="129" t="inlineStr">
        <is>
          <t>AISC</t>
        </is>
      </c>
      <c r="C25" s="125" t="n">
        <v>19.4</v>
      </c>
      <c r="D25" s="125" t="n">
        <v>202.9</v>
      </c>
      <c r="E25" s="125" t="n">
        <v>101.6</v>
      </c>
      <c r="F25" s="125" t="n">
        <v>6.5</v>
      </c>
      <c r="G25" s="125" t="n">
        <v>5.8</v>
      </c>
      <c r="H25" s="125" t="n">
        <v>7.6</v>
      </c>
      <c r="I25" s="125" t="n">
        <v>174.7</v>
      </c>
      <c r="J25" s="125" t="n">
        <v>24.8</v>
      </c>
      <c r="K25" s="125">
        <f>((E25-G25)/2)/F25</f>
        <v/>
      </c>
      <c r="L25" s="125">
        <f>I25/G25</f>
        <v/>
      </c>
      <c r="M25" s="125" t="n">
        <v>0.787</v>
      </c>
      <c r="N25" s="125" t="n">
        <v>1647</v>
      </c>
      <c r="O25" s="125" t="n">
        <v>114</v>
      </c>
      <c r="P25" s="125" t="n">
        <v>8.16</v>
      </c>
      <c r="Q25" s="125" t="n">
        <v>2.14</v>
      </c>
      <c r="R25" s="125" t="n">
        <v>162</v>
      </c>
      <c r="S25" s="125" t="n">
        <v>22.4</v>
      </c>
      <c r="T25" s="125" t="n">
        <v>187</v>
      </c>
      <c r="U25" s="125" t="n">
        <v>35.3</v>
      </c>
      <c r="X25" s="129">
        <f t="array" ref="X25">_xlfn.IFS((D25/F25) &lt;= (640/SQRT($AT$32)), "Compact", L25 &lt;= ($AT$32*(0.79-(0.002*((E25-G25/2)/(2*F25))*SQRT($AT$32)))), "Non-Compact", L25 &gt; ($AT$32*(0.79-(0.002*((E25-G25/2)/(2*F25))*SQRT($AT$32)))), "Slender")</f>
        <v/>
      </c>
      <c r="Y25" s="129">
        <f t="array" ref="Y25">_xlfn.IFS(K25 &lt;= (65/SQRT($AT$32)), "Compact", K25 &lt;= (95/SQRT($AT$32)), "Non-Compact", K25 &gt; (95/SQRT($AT$32)), "Slender")</f>
        <v/>
      </c>
      <c r="Z25" s="125">
        <f>E25/F25</f>
        <v/>
      </c>
      <c r="AA25" s="125">
        <f>D25/G25</f>
        <v/>
      </c>
      <c r="AB25" s="125">
        <f t="array" ref="AB25">_xlfn.IFS(Z25 &lt;= 9, "1", Z25 &lt;= 12, "2", Z25 &lt;= 15, "3", Z25 &gt; 15, "4")</f>
        <v/>
      </c>
      <c r="AC25" s="125">
        <f t="array" ref="AC25">_xlfn.IFS(AA25 &lt;= 200, "1", L25 &lt;= 300, "2", L25 &lt;= 400, "3", L25 &gt; 400, "4")</f>
        <v/>
      </c>
      <c r="AD25" s="129">
        <f>SQRT((((VLOOKUP($AT$4,$A$4:$D$1021,4,FALSE))-D25)^2)+(((VLOOKUP($AT$4,$A$4:$E$1021,5,FALSE))-E25)^2)+(((VLOOKUP($AT$4,$A$4:$N$1021,14,FALSE))-N25)^2)+(((VLOOKUP($AT$4,$A$4:$O$1021,15,FALSE))-O25)^2))</f>
        <v/>
      </c>
      <c r="AG25" s="129">
        <f>SQRT((((VLOOKUP($AT$4,$A$4:$D$1021,4,FALSE))-D25)^2)+(((VLOOKUP($AT$4,$A$4:$E$1021,5,FALSE))-E25)^2)+(((VLOOKUP($AT$4,$A$4:$R$1021,18,FALSE))-R25)^2)+(((VLOOKUP($AT$4,$A$4:$S$1021,19,FALSE))-S25)^2))</f>
        <v/>
      </c>
      <c r="AJ25" s="125" t="inlineStr">
        <is>
          <t>W8X13</t>
        </is>
      </c>
      <c r="AK25" s="125">
        <f>SQRT(((VLOOKUP($AT$4,$A$4:$J$1021,10,FALSE))-J25)^2)</f>
        <v/>
      </c>
      <c r="AL25" s="125" t="n"/>
      <c r="AM25" s="125" t="n"/>
      <c r="AN25" s="125">
        <f>SQRT(((VLOOKUP($AT$4,$A$4:$R$1021,18,FALSE))-R25)^2)</f>
        <v/>
      </c>
      <c r="AO25" s="125" t="n"/>
      <c r="AP25" s="125" t="n"/>
      <c r="AQ25" s="125" t="inlineStr">
        <is>
          <t>W8X13</t>
        </is>
      </c>
      <c r="AR25" s="125" t="n">
        <v>355</v>
      </c>
      <c r="AT25" s="126">
        <f>83*$AV$21</f>
        <v/>
      </c>
      <c r="AU25" s="126">
        <f>10*$AV$21</f>
        <v/>
      </c>
      <c r="BB25" s="125">
        <f>SQRT(($J$1022-J25)^2)</f>
        <v/>
      </c>
      <c r="BC25" s="125">
        <f>SQRT(($R$1022-R25)^2)</f>
        <v/>
      </c>
      <c r="BD25" s="125" t="inlineStr">
        <is>
          <t>W8X13</t>
        </is>
      </c>
      <c r="BI25">
        <f>SQRT(($J$1023-J25)^2)</f>
        <v/>
      </c>
      <c r="BJ25">
        <f>SQRT(($R$1023-R25)^2)</f>
        <v/>
      </c>
      <c r="BK25" s="125" t="inlineStr">
        <is>
          <t>W8X13</t>
        </is>
      </c>
      <c r="BP25">
        <f>SQRT(($J$1024-J25)^2)</f>
        <v/>
      </c>
      <c r="BQ25">
        <f>SQRT(($R$1024-R25)^2)</f>
        <v/>
      </c>
      <c r="BR25" s="125" t="inlineStr">
        <is>
          <t>W8X13</t>
        </is>
      </c>
      <c r="BW25">
        <f>SQRT(($J$1025-J25)^2)</f>
        <v/>
      </c>
      <c r="BX25">
        <f>SQRT(($R$1025-R25)^2)</f>
        <v/>
      </c>
      <c r="BY25" s="125" t="inlineStr">
        <is>
          <t>W8X13</t>
        </is>
      </c>
      <c r="CD25">
        <f>SQRT(($J$1026-J25)^2)</f>
        <v/>
      </c>
      <c r="CE25">
        <f>SQRT(($R$1026-R25)^2)</f>
        <v/>
      </c>
      <c r="CF25" s="125" t="inlineStr">
        <is>
          <t>W8X13</t>
        </is>
      </c>
    </row>
    <row r="26">
      <c r="A26" s="125" t="inlineStr">
        <is>
          <t>W8X15</t>
        </is>
      </c>
      <c r="B26" s="129" t="inlineStr">
        <is>
          <t>AISC</t>
        </is>
      </c>
      <c r="C26" s="125" t="n">
        <v>22.3</v>
      </c>
      <c r="D26" s="125" t="n">
        <v>206</v>
      </c>
      <c r="E26" s="125" t="n">
        <v>102</v>
      </c>
      <c r="F26" s="125" t="n">
        <v>8</v>
      </c>
      <c r="G26" s="125" t="n">
        <v>6.2</v>
      </c>
      <c r="H26" s="125" t="n">
        <v>7.6</v>
      </c>
      <c r="I26" s="125" t="n">
        <v>174.8</v>
      </c>
      <c r="J26" s="125" t="n">
        <v>28.6</v>
      </c>
      <c r="K26" s="125">
        <f>((E26-G26)/2)/F26</f>
        <v/>
      </c>
      <c r="L26" s="125">
        <f>I26/G26</f>
        <v/>
      </c>
      <c r="M26" s="125" t="n">
        <v>0.794</v>
      </c>
      <c r="N26" s="125" t="n">
        <v>1999</v>
      </c>
      <c r="O26" s="125" t="n">
        <v>142</v>
      </c>
      <c r="P26" s="125" t="n">
        <v>8.359999999999999</v>
      </c>
      <c r="Q26" s="125" t="n">
        <v>2.23</v>
      </c>
      <c r="R26" s="125" t="n">
        <v>194</v>
      </c>
      <c r="S26" s="125" t="n">
        <v>27.8</v>
      </c>
      <c r="T26" s="125" t="n">
        <v>222</v>
      </c>
      <c r="U26" s="125" t="n">
        <v>43.7</v>
      </c>
      <c r="X26" s="129">
        <f t="array" ref="X26">_xlfn.IFS((D26/F26) &lt;= (640/SQRT($AT$32)), "Compact", L26 &lt;= ($AT$32*(0.79-(0.002*((E26-G26/2)/(2*F26))*SQRT($AT$32)))), "Non-Compact", L26 &gt; ($AT$32*(0.79-(0.002*((E26-G26/2)/(2*F26))*SQRT($AT$32)))), "Slender")</f>
        <v/>
      </c>
      <c r="Y26" s="129">
        <f t="array" ref="Y26">_xlfn.IFS(K26 &lt;= (65/SQRT($AT$32)), "Compact", K26 &lt;= (95/SQRT($AT$32)), "Non-Compact", K26 &gt; (95/SQRT($AT$32)), "Slender")</f>
        <v/>
      </c>
      <c r="Z26" s="125">
        <f>E26/F26</f>
        <v/>
      </c>
      <c r="AA26" s="125">
        <f>D26/G26</f>
        <v/>
      </c>
      <c r="AB26" s="125">
        <f t="array" ref="AB26">_xlfn.IFS(Z26 &lt;= 9, "1", Z26 &lt;= 12, "2", Z26 &lt;= 15, "3", Z26 &gt; 15, "4")</f>
        <v/>
      </c>
      <c r="AC26" s="125">
        <f t="array" ref="AC26">_xlfn.IFS(AA26 &lt;= 200, "1", L26 &lt;= 300, "2", L26 &lt;= 400, "3", L26 &gt; 400, "4")</f>
        <v/>
      </c>
      <c r="AD26" s="129">
        <f>SQRT((((VLOOKUP($AT$4,$A$4:$D$1021,4,FALSE))-D26)^2)+(((VLOOKUP($AT$4,$A$4:$E$1021,5,FALSE))-E26)^2)+(((VLOOKUP($AT$4,$A$4:$N$1021,14,FALSE))-N26)^2)+(((VLOOKUP($AT$4,$A$4:$O$1021,15,FALSE))-O26)^2))</f>
        <v/>
      </c>
      <c r="AG26" s="129">
        <f>SQRT((((VLOOKUP($AT$4,$A$4:$D$1021,4,FALSE))-D26)^2)+(((VLOOKUP($AT$4,$A$4:$E$1021,5,FALSE))-E26)^2)+(((VLOOKUP($AT$4,$A$4:$R$1021,18,FALSE))-R26)^2)+(((VLOOKUP($AT$4,$A$4:$S$1021,19,FALSE))-S26)^2))</f>
        <v/>
      </c>
      <c r="AJ26" s="125" t="inlineStr">
        <is>
          <t>W8X15</t>
        </is>
      </c>
      <c r="AK26" s="125">
        <f>SQRT(((VLOOKUP($AT$4,$A$4:$J$1021,10,FALSE))-J26)^2)</f>
        <v/>
      </c>
      <c r="AL26" s="125" t="n"/>
      <c r="AM26" s="125" t="n"/>
      <c r="AN26" s="125">
        <f>SQRT(((VLOOKUP($AT$4,$A$4:$R$1021,18,FALSE))-R26)^2)</f>
        <v/>
      </c>
      <c r="AO26" s="125" t="n"/>
      <c r="AP26" s="125" t="n"/>
      <c r="AQ26" s="125" t="inlineStr">
        <is>
          <t>W8X15</t>
        </is>
      </c>
      <c r="AT26" s="126">
        <f>124*$AV$21</f>
        <v/>
      </c>
      <c r="AU26" s="126">
        <f>14*$AV$21</f>
        <v/>
      </c>
      <c r="BB26" s="125">
        <f>SQRT(($J$1022-J26)^2)</f>
        <v/>
      </c>
      <c r="BC26" s="125">
        <f>SQRT(($R$1022-R26)^2)</f>
        <v/>
      </c>
      <c r="BD26" s="125" t="inlineStr">
        <is>
          <t>W8X15</t>
        </is>
      </c>
      <c r="BI26">
        <f>SQRT(($J$1023-J26)^2)</f>
        <v/>
      </c>
      <c r="BJ26">
        <f>SQRT(($R$1023-R26)^2)</f>
        <v/>
      </c>
      <c r="BK26" s="125" t="inlineStr">
        <is>
          <t>W8X15</t>
        </is>
      </c>
      <c r="BP26">
        <f>SQRT(($J$1024-J26)^2)</f>
        <v/>
      </c>
      <c r="BQ26">
        <f>SQRT(($R$1024-R26)^2)</f>
        <v/>
      </c>
      <c r="BR26" s="125" t="inlineStr">
        <is>
          <t>W8X15</t>
        </is>
      </c>
      <c r="BW26">
        <f>SQRT(($J$1025-J26)^2)</f>
        <v/>
      </c>
      <c r="BX26">
        <f>SQRT(($R$1025-R26)^2)</f>
        <v/>
      </c>
      <c r="BY26" s="125" t="inlineStr">
        <is>
          <t>W8X15</t>
        </is>
      </c>
      <c r="CD26">
        <f>SQRT(($J$1026-J26)^2)</f>
        <v/>
      </c>
      <c r="CE26">
        <f>SQRT(($R$1026-R26)^2)</f>
        <v/>
      </c>
      <c r="CF26" s="125" t="inlineStr">
        <is>
          <t>W8X15</t>
        </is>
      </c>
    </row>
    <row r="27">
      <c r="A27" s="125" t="inlineStr">
        <is>
          <t>W8X16</t>
        </is>
      </c>
      <c r="B27" s="129" t="inlineStr">
        <is>
          <t>AISC</t>
        </is>
      </c>
      <c r="C27" s="125" t="n">
        <v>23.1</v>
      </c>
      <c r="D27" s="125" t="n">
        <v>203.2</v>
      </c>
      <c r="E27" s="125" t="n">
        <v>101.8</v>
      </c>
      <c r="F27" s="125" t="n">
        <v>9.300000000000001</v>
      </c>
      <c r="G27" s="125" t="n">
        <v>5.4</v>
      </c>
      <c r="H27" s="125" t="n">
        <v>7.6</v>
      </c>
      <c r="I27" s="125" t="n">
        <v>169.4</v>
      </c>
      <c r="J27" s="125" t="n">
        <v>29.4</v>
      </c>
      <c r="K27" s="125">
        <f>((E27-G27)/2)/F27</f>
        <v/>
      </c>
      <c r="L27" s="125">
        <f>I27/G27</f>
        <v/>
      </c>
      <c r="M27" s="125" t="n">
        <v>0.79</v>
      </c>
      <c r="N27" s="125" t="n">
        <v>2105</v>
      </c>
      <c r="O27" s="125" t="n">
        <v>164</v>
      </c>
      <c r="P27" s="125" t="n">
        <v>8.460000000000001</v>
      </c>
      <c r="Q27" s="125" t="n">
        <v>2.36</v>
      </c>
      <c r="R27" s="125" t="n">
        <v>207</v>
      </c>
      <c r="S27" s="125" t="n">
        <v>32.2</v>
      </c>
      <c r="T27" s="125" t="n">
        <v>234</v>
      </c>
      <c r="U27" s="125" t="n">
        <v>49.8</v>
      </c>
      <c r="X27" s="129">
        <f t="array" ref="X27">_xlfn.IFS((D27/F27) &lt;= (640/SQRT($AT$32)), "Compact", L27 &lt;= ($AT$32*(0.79-(0.002*((E27-G27/2)/(2*F27))*SQRT($AT$32)))), "Non-Compact", L27 &gt; ($AT$32*(0.79-(0.002*((E27-G27/2)/(2*F27))*SQRT($AT$32)))), "Slender")</f>
        <v/>
      </c>
      <c r="Y27" s="129">
        <f t="array" ref="Y27">_xlfn.IFS(K27 &lt;= (65/SQRT($AT$32)), "Compact", K27 &lt;= (95/SQRT($AT$32)), "Non-Compact", K27 &gt; (95/SQRT($AT$32)), "Slender")</f>
        <v/>
      </c>
      <c r="Z27" s="125">
        <f>E27/F27</f>
        <v/>
      </c>
      <c r="AA27" s="125">
        <f>D27/G27</f>
        <v/>
      </c>
      <c r="AB27" s="125">
        <f t="array" ref="AB27">_xlfn.IFS(Z27 &lt;= 9, "1", Z27 &lt;= 12, "2", Z27 &lt;= 15, "3", Z27 &gt; 15, "4")</f>
        <v/>
      </c>
      <c r="AC27" s="125">
        <f t="array" ref="AC27">_xlfn.IFS(AA27 &lt;= 200, "1", L27 &lt;= 300, "2", L27 &lt;= 400, "3", L27 &gt; 400, "4")</f>
        <v/>
      </c>
      <c r="AD27" s="129">
        <f>SQRT((((VLOOKUP($AT$4,$A$4:$D$1021,4,FALSE))-D27)^2)+(((VLOOKUP($AT$4,$A$4:$E$1021,5,FALSE))-E27)^2)+(((VLOOKUP($AT$4,$A$4:$N$1021,14,FALSE))-N27)^2)+(((VLOOKUP($AT$4,$A$4:$O$1021,15,FALSE))-O27)^2))</f>
        <v/>
      </c>
      <c r="AG27" s="129">
        <f>SQRT((((VLOOKUP($AT$4,$A$4:$D$1021,4,FALSE))-D27)^2)+(((VLOOKUP($AT$4,$A$4:$E$1021,5,FALSE))-E27)^2)+(((VLOOKUP($AT$4,$A$4:$R$1021,18,FALSE))-R27)^2)+(((VLOOKUP($AT$4,$A$4:$S$1021,19,FALSE))-S27)^2))</f>
        <v/>
      </c>
      <c r="AJ27" s="125" t="inlineStr">
        <is>
          <t>W8X16</t>
        </is>
      </c>
      <c r="AK27" s="125">
        <f>SQRT(((VLOOKUP($AT$4,$A$4:$J$1021,10,FALSE))-J27)^2)</f>
        <v/>
      </c>
      <c r="AL27" s="125" t="n"/>
      <c r="AM27" s="125" t="n"/>
      <c r="AN27" s="125">
        <f>SQRT(((VLOOKUP($AT$4,$A$4:$R$1021,18,FALSE))-R27)^2)</f>
        <v/>
      </c>
      <c r="AO27" s="125" t="n"/>
      <c r="AP27" s="125" t="n"/>
      <c r="AQ27" s="125" t="inlineStr">
        <is>
          <t>W8X16</t>
        </is>
      </c>
      <c r="BB27" s="125">
        <f>SQRT(($J$1022-J27)^2)</f>
        <v/>
      </c>
      <c r="BC27" s="125">
        <f>SQRT(($R$1022-R27)^2)</f>
        <v/>
      </c>
      <c r="BD27" s="125" t="inlineStr">
        <is>
          <t>W8X16</t>
        </is>
      </c>
      <c r="BI27">
        <f>SQRT(($J$1023-J27)^2)</f>
        <v/>
      </c>
      <c r="BJ27">
        <f>SQRT(($R$1023-R27)^2)</f>
        <v/>
      </c>
      <c r="BK27" s="125" t="inlineStr">
        <is>
          <t>W8X16</t>
        </is>
      </c>
      <c r="BP27">
        <f>SQRT(($J$1024-J27)^2)</f>
        <v/>
      </c>
      <c r="BQ27">
        <f>SQRT(($R$1024-R27)^2)</f>
        <v/>
      </c>
      <c r="BR27" s="125" t="inlineStr">
        <is>
          <t>W8X16</t>
        </is>
      </c>
      <c r="BW27">
        <f>SQRT(($J$1025-J27)^2)</f>
        <v/>
      </c>
      <c r="BX27">
        <f>SQRT(($R$1025-R27)^2)</f>
        <v/>
      </c>
      <c r="BY27" s="125" t="inlineStr">
        <is>
          <t>W8X16</t>
        </is>
      </c>
      <c r="CD27">
        <f>SQRT(($J$1026-J27)^2)</f>
        <v/>
      </c>
      <c r="CE27">
        <f>SQRT(($R$1026-R27)^2)</f>
        <v/>
      </c>
      <c r="CF27" s="125" t="inlineStr">
        <is>
          <t>W8X16</t>
        </is>
      </c>
    </row>
    <row r="28">
      <c r="A28" s="125" t="inlineStr">
        <is>
          <t>W8X14</t>
        </is>
      </c>
      <c r="B28" s="129" t="inlineStr">
        <is>
          <t>AISC</t>
        </is>
      </c>
      <c r="C28" s="125" t="n">
        <v>21</v>
      </c>
      <c r="D28" s="125" t="n">
        <v>203</v>
      </c>
      <c r="E28" s="125" t="n">
        <v>133</v>
      </c>
      <c r="F28" s="125" t="n">
        <v>6.4</v>
      </c>
      <c r="G28" s="125" t="n">
        <v>5</v>
      </c>
      <c r="H28" s="125" t="n">
        <v>8</v>
      </c>
      <c r="I28" s="125" t="n">
        <v>174.2</v>
      </c>
      <c r="J28" s="125" t="n">
        <v>27.1</v>
      </c>
      <c r="K28" s="125">
        <f>((E28-G28)/2)/F28</f>
        <v/>
      </c>
      <c r="L28" s="125">
        <f>I28/G28</f>
        <v/>
      </c>
      <c r="M28" s="125" t="n">
        <v>0.914</v>
      </c>
      <c r="N28" s="125" t="n">
        <v>1980</v>
      </c>
      <c r="O28" s="125" t="n">
        <v>251</v>
      </c>
      <c r="P28" s="125" t="n">
        <v>8.550000000000001</v>
      </c>
      <c r="Q28" s="125" t="n">
        <v>3.05</v>
      </c>
      <c r="R28" s="125" t="n">
        <v>195</v>
      </c>
      <c r="S28" s="125" t="n">
        <v>37.8</v>
      </c>
      <c r="T28" s="125" t="n">
        <v>218</v>
      </c>
      <c r="U28" s="125" t="n">
        <v>58</v>
      </c>
      <c r="X28" s="129">
        <f t="array" ref="X28">_xlfn.IFS((D28/F28) &lt;= (640/SQRT($AT$32)), "Compact", L28 &lt;= ($AT$32*(0.79-(0.002*((E28-G28/2)/(2*F28))*SQRT($AT$32)))), "Non-Compact", L28 &gt; ($AT$32*(0.79-(0.002*((E28-G28/2)/(2*F28))*SQRT($AT$32)))), "Slender")</f>
        <v/>
      </c>
      <c r="Y28" s="129">
        <f t="array" ref="Y28">_xlfn.IFS(K28 &lt;= (65/SQRT($AT$32)), "Compact", K28 &lt;= (95/SQRT($AT$32)), "Non-Compact", K28 &gt; (95/SQRT($AT$32)), "Slender")</f>
        <v/>
      </c>
      <c r="Z28" s="125">
        <f>E28/F28</f>
        <v/>
      </c>
      <c r="AA28" s="125">
        <f>D28/G28</f>
        <v/>
      </c>
      <c r="AB28" s="125">
        <f t="array" ref="AB28">_xlfn.IFS(Z28 &lt;= 9, "1", Z28 &lt;= 12, "2", Z28 &lt;= 15, "3", Z28 &gt; 15, "4")</f>
        <v/>
      </c>
      <c r="AC28" s="125">
        <f t="array" ref="AC28">_xlfn.IFS(AA28 &lt;= 200, "1", L28 &lt;= 300, "2", L28 &lt;= 400, "3", L28 &gt; 400, "4")</f>
        <v/>
      </c>
      <c r="AD28" s="129">
        <f>SQRT((((VLOOKUP($AT$4,$A$4:$D$1021,4,FALSE))-D28)^2)+(((VLOOKUP($AT$4,$A$4:$E$1021,5,FALSE))-E28)^2)+(((VLOOKUP($AT$4,$A$4:$N$1021,14,FALSE))-N28)^2)+(((VLOOKUP($AT$4,$A$4:$O$1021,15,FALSE))-O28)^2))</f>
        <v/>
      </c>
      <c r="AG28" s="129">
        <f>SQRT((((VLOOKUP($AT$4,$A$4:$D$1021,4,FALSE))-D28)^2)+(((VLOOKUP($AT$4,$A$4:$E$1021,5,FALSE))-E28)^2)+(((VLOOKUP($AT$4,$A$4:$R$1021,18,FALSE))-R28)^2)+(((VLOOKUP($AT$4,$A$4:$S$1021,19,FALSE))-S28)^2))</f>
        <v/>
      </c>
      <c r="AJ28" s="125" t="inlineStr">
        <is>
          <t>W8X14</t>
        </is>
      </c>
      <c r="AK28" s="125">
        <f>SQRT(((VLOOKUP($AT$4,$A$4:$J$1021,10,FALSE))-J28)^2)</f>
        <v/>
      </c>
      <c r="AL28" s="125" t="n"/>
      <c r="AM28" s="125" t="n"/>
      <c r="AN28" s="125">
        <f>SQRT(((VLOOKUP($AT$4,$A$4:$R$1021,18,FALSE))-R28)^2)</f>
        <v/>
      </c>
      <c r="AO28" s="125" t="n"/>
      <c r="AP28" s="125" t="n"/>
      <c r="AQ28" s="125" t="inlineStr">
        <is>
          <t>W8X14</t>
        </is>
      </c>
      <c r="AW28" t="inlineStr">
        <is>
          <t>Area of Section</t>
        </is>
      </c>
      <c r="BB28" s="125">
        <f>SQRT(($J$1022-J28)^2)</f>
        <v/>
      </c>
      <c r="BC28" s="125">
        <f>SQRT(($R$1022-R28)^2)</f>
        <v/>
      </c>
      <c r="BD28" s="125" t="inlineStr">
        <is>
          <t>W8X14</t>
        </is>
      </c>
      <c r="BI28">
        <f>SQRT(($J$1023-J28)^2)</f>
        <v/>
      </c>
      <c r="BJ28">
        <f>SQRT(($R$1023-R28)^2)</f>
        <v/>
      </c>
      <c r="BK28" s="125" t="inlineStr">
        <is>
          <t>W8X14</t>
        </is>
      </c>
      <c r="BP28">
        <f>SQRT(($J$1024-J28)^2)</f>
        <v/>
      </c>
      <c r="BQ28">
        <f>SQRT(($R$1024-R28)^2)</f>
        <v/>
      </c>
      <c r="BR28" s="125" t="inlineStr">
        <is>
          <t>W8X14</t>
        </is>
      </c>
      <c r="BW28">
        <f>SQRT(($J$1025-J28)^2)</f>
        <v/>
      </c>
      <c r="BX28">
        <f>SQRT(($R$1025-R28)^2)</f>
        <v/>
      </c>
      <c r="BY28" s="125" t="inlineStr">
        <is>
          <t>W8X14</t>
        </is>
      </c>
      <c r="CD28">
        <f>SQRT(($J$1026-J28)^2)</f>
        <v/>
      </c>
      <c r="CE28">
        <f>SQRT(($R$1026-R28)^2)</f>
        <v/>
      </c>
      <c r="CF28" s="125" t="inlineStr">
        <is>
          <t>W8X14</t>
        </is>
      </c>
    </row>
    <row r="29">
      <c r="A29" s="125" t="inlineStr">
        <is>
          <t>W8X15*</t>
        </is>
      </c>
      <c r="B29" s="129" t="inlineStr">
        <is>
          <t>AISC</t>
        </is>
      </c>
      <c r="C29" s="125" t="n">
        <v>22.3</v>
      </c>
      <c r="D29" s="125" t="n">
        <v>202</v>
      </c>
      <c r="E29" s="125" t="n">
        <v>133</v>
      </c>
      <c r="F29" s="125" t="n">
        <v>7</v>
      </c>
      <c r="G29" s="125" t="n">
        <v>5</v>
      </c>
      <c r="H29" s="125" t="n">
        <v>8.9</v>
      </c>
      <c r="I29" s="125" t="n">
        <v>170.2</v>
      </c>
      <c r="J29" s="125" t="n">
        <v>28.7</v>
      </c>
      <c r="K29" s="125">
        <f>((E29-G29)/2)/F29</f>
        <v/>
      </c>
      <c r="L29" s="125">
        <f>I29/G29</f>
        <v/>
      </c>
      <c r="M29" s="125" t="n">
        <v>0.911</v>
      </c>
      <c r="N29" s="125" t="n">
        <v>2105</v>
      </c>
      <c r="O29" s="125" t="n">
        <v>275</v>
      </c>
      <c r="P29" s="125" t="n">
        <v>8.56</v>
      </c>
      <c r="Q29" s="125" t="n">
        <v>3.09</v>
      </c>
      <c r="R29" s="125" t="n">
        <v>208</v>
      </c>
      <c r="S29" s="125" t="n">
        <v>41.3</v>
      </c>
      <c r="T29" s="125" t="n">
        <v>232</v>
      </c>
      <c r="U29" s="125" t="n">
        <v>63.4</v>
      </c>
      <c r="X29" s="129">
        <f t="array" ref="X29">_xlfn.IFS((D29/F29) &lt;= (640/SQRT($AT$32)), "Compact", L29 &lt;= ($AT$32*(0.79-(0.002*((E29-G29/2)/(2*F29))*SQRT($AT$32)))), "Non-Compact", L29 &gt; ($AT$32*(0.79-(0.002*((E29-G29/2)/(2*F29))*SQRT($AT$32)))), "Slender")</f>
        <v/>
      </c>
      <c r="Y29" s="129">
        <f t="array" ref="Y29">_xlfn.IFS(K29 &lt;= (65/SQRT($AT$32)), "Compact", K29 &lt;= (95/SQRT($AT$32)), "Non-Compact", K29 &gt; (95/SQRT($AT$32)), "Slender")</f>
        <v/>
      </c>
      <c r="Z29" s="125">
        <f>E29/F29</f>
        <v/>
      </c>
      <c r="AA29" s="125">
        <f>D29/G29</f>
        <v/>
      </c>
      <c r="AB29" s="125">
        <f t="array" ref="AB29">_xlfn.IFS(Z29 &lt;= 9, "1", Z29 &lt;= 12, "2", Z29 &lt;= 15, "3", Z29 &gt; 15, "4")</f>
        <v/>
      </c>
      <c r="AC29" s="125">
        <f t="array" ref="AC29">_xlfn.IFS(AA29 &lt;= 200, "1", L29 &lt;= 300, "2", L29 &lt;= 400, "3", L29 &gt; 400, "4")</f>
        <v/>
      </c>
      <c r="AD29" s="129">
        <f>SQRT((((VLOOKUP($AT$4,$A$4:$D$1021,4,FALSE))-D29)^2)+(((VLOOKUP($AT$4,$A$4:$E$1021,5,FALSE))-E29)^2)+(((VLOOKUP($AT$4,$A$4:$N$1021,14,FALSE))-N29)^2)+(((VLOOKUP($AT$4,$A$4:$O$1021,15,FALSE))-O29)^2))</f>
        <v/>
      </c>
      <c r="AG29" s="129">
        <f>SQRT((((VLOOKUP($AT$4,$A$4:$D$1021,4,FALSE))-D29)^2)+(((VLOOKUP($AT$4,$A$4:$E$1021,5,FALSE))-E29)^2)+(((VLOOKUP($AT$4,$A$4:$R$1021,18,FALSE))-R29)^2)+(((VLOOKUP($AT$4,$A$4:$S$1021,19,FALSE))-S29)^2))</f>
        <v/>
      </c>
      <c r="AJ29" s="125" t="inlineStr">
        <is>
          <t>W8X15*</t>
        </is>
      </c>
      <c r="AK29" s="125">
        <f>SQRT(((VLOOKUP($AT$4,$A$4:$J$1021,10,FALSE))-J29)^2)</f>
        <v/>
      </c>
      <c r="AL29" s="125" t="n"/>
      <c r="AM29" s="125" t="n"/>
      <c r="AN29" s="125">
        <f>SQRT(((VLOOKUP($AT$4,$A$4:$R$1021,18,FALSE))-R29)^2)</f>
        <v/>
      </c>
      <c r="AO29" s="125" t="n"/>
      <c r="AP29" s="125" t="n"/>
      <c r="AQ29" s="125" t="inlineStr">
        <is>
          <t>W8X15*</t>
        </is>
      </c>
      <c r="AW29" t="inlineStr">
        <is>
          <t>Elastic Modulus x-x</t>
        </is>
      </c>
      <c r="BB29" s="125">
        <f>SQRT(($J$1022-J29)^2)</f>
        <v/>
      </c>
      <c r="BC29" s="125">
        <f>SQRT(($R$1022-R29)^2)</f>
        <v/>
      </c>
      <c r="BD29" s="125" t="inlineStr">
        <is>
          <t>W8X15*</t>
        </is>
      </c>
      <c r="BI29">
        <f>SQRT(($J$1023-J29)^2)</f>
        <v/>
      </c>
      <c r="BJ29">
        <f>SQRT(($R$1023-R29)^2)</f>
        <v/>
      </c>
      <c r="BK29" s="125" t="inlineStr">
        <is>
          <t>W8X15*</t>
        </is>
      </c>
      <c r="BP29">
        <f>SQRT(($J$1024-J29)^2)</f>
        <v/>
      </c>
      <c r="BQ29">
        <f>SQRT(($R$1024-R29)^2)</f>
        <v/>
      </c>
      <c r="BR29" s="125" t="inlineStr">
        <is>
          <t>W8X15*</t>
        </is>
      </c>
      <c r="BW29">
        <f>SQRT(($J$1025-J29)^2)</f>
        <v/>
      </c>
      <c r="BX29">
        <f>SQRT(($R$1025-R29)^2)</f>
        <v/>
      </c>
      <c r="BY29" s="125" t="inlineStr">
        <is>
          <t>W8X15*</t>
        </is>
      </c>
      <c r="CD29">
        <f>SQRT(($J$1026-J29)^2)</f>
        <v/>
      </c>
      <c r="CE29">
        <f>SQRT(($R$1026-R29)^2)</f>
        <v/>
      </c>
      <c r="CF29" s="125" t="inlineStr">
        <is>
          <t>W8X15*</t>
        </is>
      </c>
    </row>
    <row r="30">
      <c r="A30" s="125" t="inlineStr">
        <is>
          <t>W8X17</t>
        </is>
      </c>
      <c r="B30" s="129" t="inlineStr">
        <is>
          <t>AISC</t>
        </is>
      </c>
      <c r="C30" s="125" t="n">
        <v>25.1</v>
      </c>
      <c r="D30" s="125" t="n">
        <v>203.2</v>
      </c>
      <c r="E30" s="125" t="n">
        <v>133.2</v>
      </c>
      <c r="F30" s="125" t="n">
        <v>7.8</v>
      </c>
      <c r="G30" s="125" t="n">
        <v>5.7</v>
      </c>
      <c r="H30" s="125" t="n">
        <v>7.6</v>
      </c>
      <c r="I30" s="125" t="n">
        <v>172.4</v>
      </c>
      <c r="J30" s="125" t="n">
        <v>32</v>
      </c>
      <c r="K30" s="125">
        <f>((E30-G30)/2)/F30</f>
        <v/>
      </c>
      <c r="L30" s="125">
        <f>I30/G30</f>
        <v/>
      </c>
      <c r="M30" s="125" t="n">
        <v>0.915</v>
      </c>
      <c r="N30" s="125" t="n">
        <v>2340</v>
      </c>
      <c r="O30" s="125" t="n">
        <v>308</v>
      </c>
      <c r="P30" s="125" t="n">
        <v>8.56</v>
      </c>
      <c r="Q30" s="125" t="n">
        <v>3.1</v>
      </c>
      <c r="R30" s="125" t="n">
        <v>230</v>
      </c>
      <c r="S30" s="125" t="n">
        <v>46.2</v>
      </c>
      <c r="T30" s="125" t="n">
        <v>258</v>
      </c>
      <c r="U30" s="125" t="n">
        <v>70.90000000000001</v>
      </c>
      <c r="X30" s="129">
        <f t="array" ref="X30">_xlfn.IFS((D30/F30) &lt;= (640/SQRT($AT$32)), "Compact", L30 &lt;= ($AT$32*(0.79-(0.002*((E30-G30/2)/(2*F30))*SQRT($AT$32)))), "Non-Compact", L30 &gt; ($AT$32*(0.79-(0.002*((E30-G30/2)/(2*F30))*SQRT($AT$32)))), "Slender")</f>
        <v/>
      </c>
      <c r="Y30" s="129">
        <f t="array" ref="Y30">_xlfn.IFS(K30 &lt;= (65/SQRT($AT$32)), "Compact", K30 &lt;= (95/SQRT($AT$32)), "Non-Compact", K30 &gt; (95/SQRT($AT$32)), "Slender")</f>
        <v/>
      </c>
      <c r="Z30" s="125">
        <f>E30/F30</f>
        <v/>
      </c>
      <c r="AA30" s="125">
        <f>D30/G30</f>
        <v/>
      </c>
      <c r="AB30" s="125">
        <f t="array" ref="AB30">_xlfn.IFS(Z30 &lt;= 9, "1", Z30 &lt;= 12, "2", Z30 &lt;= 15, "3", Z30 &gt; 15, "4")</f>
        <v/>
      </c>
      <c r="AC30" s="125">
        <f t="array" ref="AC30">_xlfn.IFS(AA30 &lt;= 200, "1", L30 &lt;= 300, "2", L30 &lt;= 400, "3", L30 &gt; 400, "4")</f>
        <v/>
      </c>
      <c r="AD30" s="129">
        <f>SQRT((((VLOOKUP($AT$4,$A$4:$D$1021,4,FALSE))-D30)^2)+(((VLOOKUP($AT$4,$A$4:$E$1021,5,FALSE))-E30)^2)+(((VLOOKUP($AT$4,$A$4:$N$1021,14,FALSE))-N30)^2)+(((VLOOKUP($AT$4,$A$4:$O$1021,15,FALSE))-O30)^2))</f>
        <v/>
      </c>
      <c r="AG30" s="129">
        <f>SQRT((((VLOOKUP($AT$4,$A$4:$D$1021,4,FALSE))-D30)^2)+(((VLOOKUP($AT$4,$A$4:$E$1021,5,FALSE))-E30)^2)+(((VLOOKUP($AT$4,$A$4:$R$1021,18,FALSE))-R30)^2)+(((VLOOKUP($AT$4,$A$4:$S$1021,19,FALSE))-S30)^2))</f>
        <v/>
      </c>
      <c r="AJ30" s="125" t="inlineStr">
        <is>
          <t>W8X17</t>
        </is>
      </c>
      <c r="AK30" s="125">
        <f>SQRT(((VLOOKUP($AT$4,$A$4:$J$1021,10,FALSE))-J30)^2)</f>
        <v/>
      </c>
      <c r="AL30" s="125" t="n"/>
      <c r="AM30" s="125" t="n"/>
      <c r="AN30" s="125">
        <f>SQRT(((VLOOKUP($AT$4,$A$4:$R$1021,18,FALSE))-R30)^2)</f>
        <v/>
      </c>
      <c r="AO30" s="125" t="n"/>
      <c r="AP30" s="125" t="n"/>
      <c r="AQ30" s="125" t="inlineStr">
        <is>
          <t>W8X17</t>
        </is>
      </c>
      <c r="BB30" s="125">
        <f>SQRT(($J$1022-J30)^2)</f>
        <v/>
      </c>
      <c r="BC30" s="125">
        <f>SQRT(($R$1022-R30)^2)</f>
        <v/>
      </c>
      <c r="BD30" s="125" t="inlineStr">
        <is>
          <t>W8X17</t>
        </is>
      </c>
      <c r="BI30">
        <f>SQRT(($J$1023-J30)^2)</f>
        <v/>
      </c>
      <c r="BJ30">
        <f>SQRT(($R$1023-R30)^2)</f>
        <v/>
      </c>
      <c r="BK30" s="125" t="inlineStr">
        <is>
          <t>W8X17</t>
        </is>
      </c>
      <c r="BP30">
        <f>SQRT(($J$1024-J30)^2)</f>
        <v/>
      </c>
      <c r="BQ30">
        <f>SQRT(($R$1024-R30)^2)</f>
        <v/>
      </c>
      <c r="BR30" s="125" t="inlineStr">
        <is>
          <t>W8X17</t>
        </is>
      </c>
      <c r="BW30">
        <f>SQRT(($J$1025-J30)^2)</f>
        <v/>
      </c>
      <c r="BX30">
        <f>SQRT(($R$1025-R30)^2)</f>
        <v/>
      </c>
      <c r="BY30" s="125" t="inlineStr">
        <is>
          <t>W8X17</t>
        </is>
      </c>
      <c r="CD30">
        <f>SQRT(($J$1026-J30)^2)</f>
        <v/>
      </c>
      <c r="CE30">
        <f>SQRT(($R$1026-R30)^2)</f>
        <v/>
      </c>
      <c r="CF30" s="125" t="inlineStr">
        <is>
          <t>W8X17</t>
        </is>
      </c>
    </row>
    <row r="31">
      <c r="A31" s="125" t="inlineStr">
        <is>
          <t>W8X18</t>
        </is>
      </c>
      <c r="B31" s="129" t="inlineStr">
        <is>
          <t>AISC</t>
        </is>
      </c>
      <c r="C31" s="125" t="n">
        <v>26.8</v>
      </c>
      <c r="D31" s="125" t="n">
        <v>206.8</v>
      </c>
      <c r="E31" s="125" t="n">
        <v>133.3</v>
      </c>
      <c r="F31" s="125" t="n">
        <v>8.4</v>
      </c>
      <c r="G31" s="125" t="n">
        <v>5.8</v>
      </c>
      <c r="H31" s="125" t="n">
        <v>7.6</v>
      </c>
      <c r="I31" s="125" t="n">
        <v>174.8</v>
      </c>
      <c r="J31" s="125" t="n">
        <v>33.9</v>
      </c>
      <c r="K31" s="125">
        <f>((E31-G31)/2)/F31</f>
        <v/>
      </c>
      <c r="L31" s="125">
        <f>I31/G31</f>
        <v/>
      </c>
      <c r="M31" s="125" t="n">
        <v>0.922</v>
      </c>
      <c r="N31" s="125" t="n">
        <v>2578</v>
      </c>
      <c r="O31" s="125" t="n">
        <v>331</v>
      </c>
      <c r="P31" s="125" t="n">
        <v>8.720000000000001</v>
      </c>
      <c r="Q31" s="125" t="n">
        <v>3.12</v>
      </c>
      <c r="R31" s="125" t="n">
        <v>249</v>
      </c>
      <c r="S31" s="125" t="n">
        <v>49.7</v>
      </c>
      <c r="T31" s="125" t="n">
        <v>279</v>
      </c>
      <c r="U31" s="125" t="n">
        <v>76.3</v>
      </c>
      <c r="X31" s="129">
        <f t="array" ref="X31">_xlfn.IFS((D31/F31) &lt;= (640/SQRT($AT$32)), "Compact", L31 &lt;= ($AT$32*(0.79-(0.002*((E31-G31/2)/(2*F31))*SQRT($AT$32)))), "Non-Compact", L31 &gt; ($AT$32*(0.79-(0.002*((E31-G31/2)/(2*F31))*SQRT($AT$32)))), "Slender")</f>
        <v/>
      </c>
      <c r="Y31" s="129">
        <f t="array" ref="Y31">_xlfn.IFS(K31 &lt;= (65/SQRT($AT$32)), "Compact", K31 &lt;= (95/SQRT($AT$32)), "Non-Compact", K31 &gt; (95/SQRT($AT$32)), "Slender")</f>
        <v/>
      </c>
      <c r="Z31" s="125">
        <f>E31/F31</f>
        <v/>
      </c>
      <c r="AA31" s="125">
        <f>D31/G31</f>
        <v/>
      </c>
      <c r="AB31" s="125">
        <f t="array" ref="AB31">_xlfn.IFS(Z31 &lt;= 9, "1", Z31 &lt;= 12, "2", Z31 &lt;= 15, "3", Z31 &gt; 15, "4")</f>
        <v/>
      </c>
      <c r="AC31" s="125">
        <f t="array" ref="AC31">_xlfn.IFS(AA31 &lt;= 200, "1", L31 &lt;= 300, "2", L31 &lt;= 400, "3", L31 &gt; 400, "4")</f>
        <v/>
      </c>
      <c r="AD31" s="129">
        <f>SQRT((((VLOOKUP($AT$4,$A$4:$D$1021,4,FALSE))-D31)^2)+(((VLOOKUP($AT$4,$A$4:$E$1021,5,FALSE))-E31)^2)+(((VLOOKUP($AT$4,$A$4:$N$1021,14,FALSE))-N31)^2)+(((VLOOKUP($AT$4,$A$4:$O$1021,15,FALSE))-O31)^2))</f>
        <v/>
      </c>
      <c r="AG31" s="129">
        <f>SQRT((((VLOOKUP($AT$4,$A$4:$D$1021,4,FALSE))-D31)^2)+(((VLOOKUP($AT$4,$A$4:$E$1021,5,FALSE))-E31)^2)+(((VLOOKUP($AT$4,$A$4:$R$1021,18,FALSE))-R31)^2)+(((VLOOKUP($AT$4,$A$4:$S$1021,19,FALSE))-S31)^2))</f>
        <v/>
      </c>
      <c r="AJ31" s="125" t="inlineStr">
        <is>
          <t>W8X18</t>
        </is>
      </c>
      <c r="AK31" s="125">
        <f>SQRT(((VLOOKUP($AT$4,$A$4:$J$1021,10,FALSE))-J31)^2)</f>
        <v/>
      </c>
      <c r="AL31" s="125" t="n"/>
      <c r="AM31" s="125" t="n"/>
      <c r="AN31" s="125">
        <f>SQRT(((VLOOKUP($AT$4,$A$4:$R$1021,18,FALSE))-R31)^2)</f>
        <v/>
      </c>
      <c r="AO31" s="125" t="n"/>
      <c r="AP31" s="125" t="n"/>
      <c r="AQ31" s="125" t="inlineStr">
        <is>
          <t>W8X18</t>
        </is>
      </c>
      <c r="AT31" s="125" t="inlineStr">
        <is>
          <t>FY</t>
        </is>
      </c>
      <c r="BB31" s="125">
        <f>SQRT(($J$1022-J31)^2)</f>
        <v/>
      </c>
      <c r="BC31" s="125">
        <f>SQRT(($R$1022-R31)^2)</f>
        <v/>
      </c>
      <c r="BD31" s="125" t="inlineStr">
        <is>
          <t>W8X18</t>
        </is>
      </c>
      <c r="BI31">
        <f>SQRT(($J$1023-J31)^2)</f>
        <v/>
      </c>
      <c r="BJ31">
        <f>SQRT(($R$1023-R31)^2)</f>
        <v/>
      </c>
      <c r="BK31" s="125" t="inlineStr">
        <is>
          <t>W8X18</t>
        </is>
      </c>
      <c r="BP31">
        <f>SQRT(($J$1024-J31)^2)</f>
        <v/>
      </c>
      <c r="BQ31">
        <f>SQRT(($R$1024-R31)^2)</f>
        <v/>
      </c>
      <c r="BR31" s="125" t="inlineStr">
        <is>
          <t>W8X18</t>
        </is>
      </c>
      <c r="BW31">
        <f>SQRT(($J$1025-J31)^2)</f>
        <v/>
      </c>
      <c r="BX31">
        <f>SQRT(($R$1025-R31)^2)</f>
        <v/>
      </c>
      <c r="BY31" s="125" t="inlineStr">
        <is>
          <t>W8X18</t>
        </is>
      </c>
      <c r="CD31">
        <f>SQRT(($J$1026-J31)^2)</f>
        <v/>
      </c>
      <c r="CE31">
        <f>SQRT(($R$1026-R31)^2)</f>
        <v/>
      </c>
      <c r="CF31" s="125" t="inlineStr">
        <is>
          <t>W8X18</t>
        </is>
      </c>
    </row>
    <row r="32">
      <c r="A32" s="125" t="inlineStr">
        <is>
          <t>W8X20</t>
        </is>
      </c>
      <c r="B32" s="129" t="inlineStr">
        <is>
          <t>AISC</t>
        </is>
      </c>
      <c r="C32" s="125" t="n">
        <v>30</v>
      </c>
      <c r="D32" s="125" t="n">
        <v>206.8</v>
      </c>
      <c r="E32" s="125" t="n">
        <v>133.9</v>
      </c>
      <c r="F32" s="125" t="n">
        <v>9.6</v>
      </c>
      <c r="G32" s="125" t="n">
        <v>6.4</v>
      </c>
      <c r="H32" s="125" t="n">
        <v>7.6</v>
      </c>
      <c r="I32" s="125" t="n">
        <v>172.4</v>
      </c>
      <c r="J32" s="125" t="n">
        <v>38.2</v>
      </c>
      <c r="K32" s="125">
        <f>((E32-G32)/2)/F32</f>
        <v/>
      </c>
      <c r="L32" s="125">
        <f>I32/G32</f>
        <v/>
      </c>
      <c r="M32" s="125" t="n">
        <v>0.923</v>
      </c>
      <c r="N32" s="125" t="n">
        <v>2896</v>
      </c>
      <c r="O32" s="125" t="n">
        <v>385</v>
      </c>
      <c r="P32" s="125" t="n">
        <v>8.710000000000001</v>
      </c>
      <c r="Q32" s="125" t="n">
        <v>3.17</v>
      </c>
      <c r="R32" s="125" t="n">
        <v>280</v>
      </c>
      <c r="S32" s="125" t="n">
        <v>57.5</v>
      </c>
      <c r="T32" s="125" t="n">
        <v>314</v>
      </c>
      <c r="U32" s="125" t="n">
        <v>88.2</v>
      </c>
      <c r="X32" s="129">
        <f t="array" ref="X32">_xlfn.IFS((D32/F32) &lt;= (640/SQRT($AT$32)), "Compact", L32 &lt;= ($AT$32*(0.79-(0.002*((E32-G32/2)/(2*F32))*SQRT($AT$32)))), "Non-Compact", L32 &gt; ($AT$32*(0.79-(0.002*((E32-G32/2)/(2*F32))*SQRT($AT$32)))), "Slender")</f>
        <v/>
      </c>
      <c r="Y32" s="129">
        <f t="array" ref="Y32">_xlfn.IFS(K32 &lt;= (65/SQRT($AT$32)), "Compact", K32 &lt;= (95/SQRT($AT$32)), "Non-Compact", K32 &gt; (95/SQRT($AT$32)), "Slender")</f>
        <v/>
      </c>
      <c r="Z32" s="125">
        <f>E32/F32</f>
        <v/>
      </c>
      <c r="AA32" s="125">
        <f>D32/G32</f>
        <v/>
      </c>
      <c r="AB32" s="125">
        <f t="array" ref="AB32">_xlfn.IFS(Z32 &lt;= 9, "1", Z32 &lt;= 12, "2", Z32 &lt;= 15, "3", Z32 &gt; 15, "4")</f>
        <v/>
      </c>
      <c r="AC32" s="125">
        <f t="array" ref="AC32">_xlfn.IFS(AA32 &lt;= 200, "1", L32 &lt;= 300, "2", L32 &lt;= 400, "3", L32 &gt; 400, "4")</f>
        <v/>
      </c>
      <c r="AD32" s="129">
        <f>SQRT((((VLOOKUP($AT$4,$A$4:$D$1021,4,FALSE))-D32)^2)+(((VLOOKUP($AT$4,$A$4:$E$1021,5,FALSE))-E32)^2)+(((VLOOKUP($AT$4,$A$4:$N$1021,14,FALSE))-N32)^2)+(((VLOOKUP($AT$4,$A$4:$O$1021,15,FALSE))-O32)^2))</f>
        <v/>
      </c>
      <c r="AG32" s="129">
        <f>SQRT((((VLOOKUP($AT$4,$A$4:$D$1021,4,FALSE))-D32)^2)+(((VLOOKUP($AT$4,$A$4:$E$1021,5,FALSE))-E32)^2)+(((VLOOKUP($AT$4,$A$4:$R$1021,18,FALSE))-R32)^2)+(((VLOOKUP($AT$4,$A$4:$S$1021,19,FALSE))-S32)^2))</f>
        <v/>
      </c>
      <c r="AJ32" s="125" t="inlineStr">
        <is>
          <t>W8X20</t>
        </is>
      </c>
      <c r="AK32" s="125">
        <f>SQRT(((VLOOKUP($AT$4,$A$4:$J$1021,10,FALSE))-J32)^2)</f>
        <v/>
      </c>
      <c r="AL32" s="125" t="n"/>
      <c r="AM32" s="125" t="n"/>
      <c r="AN32" s="125">
        <f>SQRT(((VLOOKUP($AT$4,$A$4:$R$1021,18,FALSE))-R32)^2)</f>
        <v/>
      </c>
      <c r="AO32" s="125" t="n"/>
      <c r="AP32" s="125" t="n"/>
      <c r="AQ32" s="125" t="inlineStr">
        <is>
          <t>W8X20</t>
        </is>
      </c>
      <c r="AS32" t="inlineStr">
        <is>
          <t>SL</t>
        </is>
      </c>
      <c r="AT32" s="129">
        <f>Beam_Check!C15</f>
        <v/>
      </c>
      <c r="BB32" s="125">
        <f>SQRT(($J$1022-J32)^2)</f>
        <v/>
      </c>
      <c r="BC32" s="125">
        <f>SQRT(($R$1022-R32)^2)</f>
        <v/>
      </c>
      <c r="BD32" s="125" t="inlineStr">
        <is>
          <t>W8X20</t>
        </is>
      </c>
      <c r="BI32">
        <f>SQRT(($J$1023-J32)^2)</f>
        <v/>
      </c>
      <c r="BJ32">
        <f>SQRT(($R$1023-R32)^2)</f>
        <v/>
      </c>
      <c r="BK32" s="125" t="inlineStr">
        <is>
          <t>W8X20</t>
        </is>
      </c>
      <c r="BP32">
        <f>SQRT(($J$1024-J32)^2)</f>
        <v/>
      </c>
      <c r="BQ32">
        <f>SQRT(($R$1024-R32)^2)</f>
        <v/>
      </c>
      <c r="BR32" s="125" t="inlineStr">
        <is>
          <t>W8X20</t>
        </is>
      </c>
      <c r="BW32">
        <f>SQRT(($J$1025-J32)^2)</f>
        <v/>
      </c>
      <c r="BX32">
        <f>SQRT(($R$1025-R32)^2)</f>
        <v/>
      </c>
      <c r="BY32" s="125" t="inlineStr">
        <is>
          <t>W8X20</t>
        </is>
      </c>
      <c r="CD32">
        <f>SQRT(($J$1026-J32)^2)</f>
        <v/>
      </c>
      <c r="CE32">
        <f>SQRT(($R$1026-R32)^2)</f>
        <v/>
      </c>
      <c r="CF32" s="125" t="inlineStr">
        <is>
          <t>W8X20</t>
        </is>
      </c>
    </row>
    <row r="33">
      <c r="A33" s="125" t="inlineStr">
        <is>
          <t>W8X21</t>
        </is>
      </c>
      <c r="B33" s="129" t="inlineStr">
        <is>
          <t>AISC</t>
        </is>
      </c>
      <c r="C33" s="125" t="n">
        <v>31.3</v>
      </c>
      <c r="D33" s="125" t="n">
        <v>210.3</v>
      </c>
      <c r="E33" s="125" t="n">
        <v>133.9</v>
      </c>
      <c r="F33" s="125" t="n">
        <v>10.1</v>
      </c>
      <c r="G33" s="125" t="n">
        <v>6.4</v>
      </c>
      <c r="H33" s="125" t="n">
        <v>7.6</v>
      </c>
      <c r="I33" s="125" t="n">
        <v>174.9</v>
      </c>
      <c r="J33" s="125" t="n">
        <v>39.6</v>
      </c>
      <c r="K33" s="125">
        <f>((E33-G33)/2)/F33</f>
        <v/>
      </c>
      <c r="L33" s="125">
        <f>I33/G33</f>
        <v/>
      </c>
      <c r="M33" s="125" t="n">
        <v>0.93</v>
      </c>
      <c r="N33" s="125" t="n">
        <v>3119</v>
      </c>
      <c r="O33" s="125" t="n">
        <v>405</v>
      </c>
      <c r="P33" s="125" t="n">
        <v>8.869999999999999</v>
      </c>
      <c r="Q33" s="125" t="n">
        <v>3.2</v>
      </c>
      <c r="R33" s="125" t="n">
        <v>297</v>
      </c>
      <c r="S33" s="125" t="n">
        <v>60.4</v>
      </c>
      <c r="T33" s="125" t="n">
        <v>333</v>
      </c>
      <c r="U33" s="125" t="n">
        <v>92.7</v>
      </c>
      <c r="X33" s="129">
        <f t="array" ref="X33">_xlfn.IFS((D33/F33) &lt;= (640/SQRT($AT$32)), "Compact", L33 &lt;= ($AT$32*(0.79-(0.002*((E33-G33/2)/(2*F33))*SQRT($AT$32)))), "Non-Compact", L33 &gt; ($AT$32*(0.79-(0.002*((E33-G33/2)/(2*F33))*SQRT($AT$32)))), "Slender")</f>
        <v/>
      </c>
      <c r="Y33" s="129">
        <f t="array" ref="Y33">_xlfn.IFS(K33 &lt;= (65/SQRT($AT$32)), "Compact", K33 &lt;= (95/SQRT($AT$32)), "Non-Compact", K33 &gt; (95/SQRT($AT$32)), "Slender")</f>
        <v/>
      </c>
      <c r="Z33" s="125">
        <f>E33/F33</f>
        <v/>
      </c>
      <c r="AA33" s="125">
        <f>D33/G33</f>
        <v/>
      </c>
      <c r="AB33" s="125">
        <f t="array" ref="AB33">_xlfn.IFS(Z33 &lt;= 9, "1", Z33 &lt;= 12, "2", Z33 &lt;= 15, "3", Z33 &gt; 15, "4")</f>
        <v/>
      </c>
      <c r="AC33" s="125">
        <f t="array" ref="AC33">_xlfn.IFS(AA33 &lt;= 200, "1", L33 &lt;= 300, "2", L33 &lt;= 400, "3", L33 &gt; 400, "4")</f>
        <v/>
      </c>
      <c r="AD33" s="129">
        <f>SQRT((((VLOOKUP($AT$4,$A$4:$D$1021,4,FALSE))-D33)^2)+(((VLOOKUP($AT$4,$A$4:$E$1021,5,FALSE))-E33)^2)+(((VLOOKUP($AT$4,$A$4:$N$1021,14,FALSE))-N33)^2)+(((VLOOKUP($AT$4,$A$4:$O$1021,15,FALSE))-O33)^2))</f>
        <v/>
      </c>
      <c r="AG33" s="129">
        <f>SQRT((((VLOOKUP($AT$4,$A$4:$D$1021,4,FALSE))-D33)^2)+(((VLOOKUP($AT$4,$A$4:$E$1021,5,FALSE))-E33)^2)+(((VLOOKUP($AT$4,$A$4:$R$1021,18,FALSE))-R33)^2)+(((VLOOKUP($AT$4,$A$4:$S$1021,19,FALSE))-S33)^2))</f>
        <v/>
      </c>
      <c r="AJ33" s="125" t="inlineStr">
        <is>
          <t>W8X21</t>
        </is>
      </c>
      <c r="AK33" s="125">
        <f>SQRT(((VLOOKUP($AT$4,$A$4:$J$1021,10,FALSE))-J33)^2)</f>
        <v/>
      </c>
      <c r="AL33" s="125" t="n"/>
      <c r="AM33" s="125" t="n"/>
      <c r="AN33" s="125">
        <f>SQRT(((VLOOKUP($AT$4,$A$4:$R$1021,18,FALSE))-R33)^2)</f>
        <v/>
      </c>
      <c r="AO33" s="125" t="n"/>
      <c r="AP33" s="125" t="n"/>
      <c r="AQ33" s="125" t="inlineStr">
        <is>
          <t>W8X21</t>
        </is>
      </c>
      <c r="AS33" t="inlineStr">
        <is>
          <t>Custom</t>
        </is>
      </c>
      <c r="AT33" s="129">
        <f>Beam_Check!C48</f>
        <v/>
      </c>
      <c r="BB33" s="125">
        <f>SQRT(($J$1022-J33)^2)</f>
        <v/>
      </c>
      <c r="BC33" s="125">
        <f>SQRT(($R$1022-R33)^2)</f>
        <v/>
      </c>
      <c r="BD33" s="125" t="inlineStr">
        <is>
          <t>W8X21</t>
        </is>
      </c>
      <c r="BI33">
        <f>SQRT(($J$1023-J33)^2)</f>
        <v/>
      </c>
      <c r="BJ33">
        <f>SQRT(($R$1023-R33)^2)</f>
        <v/>
      </c>
      <c r="BK33" s="125" t="inlineStr">
        <is>
          <t>W8X21</t>
        </is>
      </c>
      <c r="BP33">
        <f>SQRT(($J$1024-J33)^2)</f>
        <v/>
      </c>
      <c r="BQ33">
        <f>SQRT(($R$1024-R33)^2)</f>
        <v/>
      </c>
      <c r="BR33" s="125" t="inlineStr">
        <is>
          <t>W8X21</t>
        </is>
      </c>
      <c r="BW33">
        <f>SQRT(($J$1025-J33)^2)</f>
        <v/>
      </c>
      <c r="BX33">
        <f>SQRT(($R$1025-R33)^2)</f>
        <v/>
      </c>
      <c r="BY33" s="125" t="inlineStr">
        <is>
          <t>W8X21</t>
        </is>
      </c>
      <c r="CD33">
        <f>SQRT(($J$1026-J33)^2)</f>
        <v/>
      </c>
      <c r="CE33">
        <f>SQRT(($R$1026-R33)^2)</f>
        <v/>
      </c>
      <c r="CF33" s="125" t="inlineStr">
        <is>
          <t>W8X21</t>
        </is>
      </c>
    </row>
    <row r="34">
      <c r="A34" s="125" t="inlineStr">
        <is>
          <t>W8X24</t>
        </is>
      </c>
      <c r="B34" s="129" t="inlineStr">
        <is>
          <t>AISC</t>
        </is>
      </c>
      <c r="C34" s="125" t="n">
        <v>35.7</v>
      </c>
      <c r="D34" s="125" t="n">
        <v>201.4</v>
      </c>
      <c r="E34" s="125" t="n">
        <v>165</v>
      </c>
      <c r="F34" s="125" t="n">
        <v>10.1</v>
      </c>
      <c r="G34" s="125" t="n">
        <v>6.2</v>
      </c>
      <c r="H34" s="125" t="n">
        <v>10.2</v>
      </c>
      <c r="I34" s="125" t="n">
        <v>160.8</v>
      </c>
      <c r="J34" s="125" t="n">
        <v>45.5</v>
      </c>
      <c r="K34" s="125">
        <f>((E34-G34)/2)/F34</f>
        <v/>
      </c>
      <c r="L34" s="125">
        <f>I34/G34</f>
        <v/>
      </c>
      <c r="M34" s="125" t="n">
        <v>1.03</v>
      </c>
      <c r="N34" s="125" t="n">
        <v>3430</v>
      </c>
      <c r="O34" s="125" t="n">
        <v>757</v>
      </c>
      <c r="P34" s="125" t="n">
        <v>8.68</v>
      </c>
      <c r="Q34" s="125" t="n">
        <v>4.08</v>
      </c>
      <c r="R34" s="125" t="n">
        <v>341</v>
      </c>
      <c r="S34" s="125" t="n">
        <v>91.7</v>
      </c>
      <c r="T34" s="125" t="n">
        <v>378</v>
      </c>
      <c r="U34" s="125" t="n">
        <v>140</v>
      </c>
      <c r="X34" s="129">
        <f t="array" ref="X34">_xlfn.IFS((D34/F34) &lt;= (640/SQRT($AT$32)), "Compact", L34 &lt;= ($AT$32*(0.79-(0.002*((E34-G34/2)/(2*F34))*SQRT($AT$32)))), "Non-Compact", L34 &gt; ($AT$32*(0.79-(0.002*((E34-G34/2)/(2*F34))*SQRT($AT$32)))), "Slender")</f>
        <v/>
      </c>
      <c r="Y34" s="129">
        <f t="array" ref="Y34">_xlfn.IFS(K34 &lt;= (65/SQRT($AT$32)), "Compact", K34 &lt;= (95/SQRT($AT$32)), "Non-Compact", K34 &gt; (95/SQRT($AT$32)), "Slender")</f>
        <v/>
      </c>
      <c r="Z34" s="125">
        <f>E34/F34</f>
        <v/>
      </c>
      <c r="AA34" s="125">
        <f>D34/G34</f>
        <v/>
      </c>
      <c r="AB34" s="125">
        <f t="array" ref="AB34">_xlfn.IFS(Z34 &lt;= 9, "1", Z34 &lt;= 12, "2", Z34 &lt;= 15, "3", Z34 &gt; 15, "4")</f>
        <v/>
      </c>
      <c r="AC34" s="125">
        <f t="array" ref="AC34">_xlfn.IFS(AA34 &lt;= 200, "1", L34 &lt;= 300, "2", L34 &lt;= 400, "3", L34 &gt; 400, "4")</f>
        <v/>
      </c>
      <c r="AD34" s="129">
        <f>SQRT((((VLOOKUP($AT$4,$A$4:$D$1021,4,FALSE))-D34)^2)+(((VLOOKUP($AT$4,$A$4:$E$1021,5,FALSE))-E34)^2)+(((VLOOKUP($AT$4,$A$4:$N$1021,14,FALSE))-N34)^2)+(((VLOOKUP($AT$4,$A$4:$O$1021,15,FALSE))-O34)^2))</f>
        <v/>
      </c>
      <c r="AG34" s="129">
        <f>SQRT((((VLOOKUP($AT$4,$A$4:$D$1021,4,FALSE))-D34)^2)+(((VLOOKUP($AT$4,$A$4:$E$1021,5,FALSE))-E34)^2)+(((VLOOKUP($AT$4,$A$4:$R$1021,18,FALSE))-R34)^2)+(((VLOOKUP($AT$4,$A$4:$S$1021,19,FALSE))-S34)^2))</f>
        <v/>
      </c>
      <c r="AJ34" s="125" t="inlineStr">
        <is>
          <t>W8X24</t>
        </is>
      </c>
      <c r="AK34" s="125">
        <f>SQRT(((VLOOKUP($AT$4,$A$4:$J$1021,10,FALSE))-J34)^2)</f>
        <v/>
      </c>
      <c r="AL34" s="125" t="n"/>
      <c r="AM34" s="125" t="n"/>
      <c r="AN34" s="125">
        <f>SQRT(((VLOOKUP($AT$4,$A$4:$R$1021,18,FALSE))-R34)^2)</f>
        <v/>
      </c>
      <c r="AO34" s="125" t="n"/>
      <c r="AP34" s="125" t="n"/>
      <c r="AQ34" s="125" t="inlineStr">
        <is>
          <t>W8X24</t>
        </is>
      </c>
      <c r="BB34" s="125">
        <f>SQRT(($J$1022-J34)^2)</f>
        <v/>
      </c>
      <c r="BC34" s="125">
        <f>SQRT(($R$1022-R34)^2)</f>
        <v/>
      </c>
      <c r="BD34" s="125" t="inlineStr">
        <is>
          <t>W8X24</t>
        </is>
      </c>
      <c r="BI34">
        <f>SQRT(($J$1023-J34)^2)</f>
        <v/>
      </c>
      <c r="BJ34">
        <f>SQRT(($R$1023-R34)^2)</f>
        <v/>
      </c>
      <c r="BK34" s="125" t="inlineStr">
        <is>
          <t>W8X24</t>
        </is>
      </c>
      <c r="BP34">
        <f>SQRT(($J$1024-J34)^2)</f>
        <v/>
      </c>
      <c r="BQ34">
        <f>SQRT(($R$1024-R34)^2)</f>
        <v/>
      </c>
      <c r="BR34" s="125" t="inlineStr">
        <is>
          <t>W8X24</t>
        </is>
      </c>
      <c r="BW34">
        <f>SQRT(($J$1025-J34)^2)</f>
        <v/>
      </c>
      <c r="BX34">
        <f>SQRT(($R$1025-R34)^2)</f>
        <v/>
      </c>
      <c r="BY34" s="125" t="inlineStr">
        <is>
          <t>W8X24</t>
        </is>
      </c>
      <c r="CD34">
        <f>SQRT(($J$1026-J34)^2)</f>
        <v/>
      </c>
      <c r="CE34">
        <f>SQRT(($R$1026-R34)^2)</f>
        <v/>
      </c>
      <c r="CF34" s="125" t="inlineStr">
        <is>
          <t>W8X24</t>
        </is>
      </c>
    </row>
    <row r="35">
      <c r="A35" s="125" t="inlineStr">
        <is>
          <t>W8X28</t>
        </is>
      </c>
      <c r="B35" s="129" t="inlineStr">
        <is>
          <t>AISC</t>
        </is>
      </c>
      <c r="C35" s="125" t="n">
        <v>41.7</v>
      </c>
      <c r="D35" s="125" t="n">
        <v>204.7</v>
      </c>
      <c r="E35" s="125" t="n">
        <v>166</v>
      </c>
      <c r="F35" s="125" t="n">
        <v>11.8</v>
      </c>
      <c r="G35" s="125" t="n">
        <v>7.2</v>
      </c>
      <c r="H35" s="125" t="n">
        <v>10.2</v>
      </c>
      <c r="I35" s="125" t="n">
        <v>160.7</v>
      </c>
      <c r="J35" s="125" t="n">
        <v>53.2</v>
      </c>
      <c r="K35" s="125">
        <f>((E35-G35)/2)/F35</f>
        <v/>
      </c>
      <c r="L35" s="125">
        <f>I35/G35</f>
        <v/>
      </c>
      <c r="M35" s="125" t="n">
        <v>1.04</v>
      </c>
      <c r="N35" s="125" t="n">
        <v>4077</v>
      </c>
      <c r="O35" s="125" t="n">
        <v>901</v>
      </c>
      <c r="P35" s="125" t="n">
        <v>8.76</v>
      </c>
      <c r="Q35" s="125" t="n">
        <v>4.12</v>
      </c>
      <c r="R35" s="125" t="n">
        <v>398</v>
      </c>
      <c r="S35" s="125" t="n">
        <v>109</v>
      </c>
      <c r="T35" s="125" t="n">
        <v>445</v>
      </c>
      <c r="U35" s="125" t="n">
        <v>165</v>
      </c>
      <c r="X35" s="129">
        <f t="array" ref="X35">_xlfn.IFS((D35/F35) &lt;= (640/SQRT($AT$32)), "Compact", L35 &lt;= ($AT$32*(0.79-(0.002*((E35-G35/2)/(2*F35))*SQRT($AT$32)))), "Non-Compact", L35 &gt; ($AT$32*(0.79-(0.002*((E35-G35/2)/(2*F35))*SQRT($AT$32)))), "Slender")</f>
        <v/>
      </c>
      <c r="Y35" s="129">
        <f t="array" ref="Y35">_xlfn.IFS(K35 &lt;= (65/SQRT($AT$32)), "Compact", K35 &lt;= (95/SQRT($AT$32)), "Non-Compact", K35 &gt; (95/SQRT($AT$32)), "Slender")</f>
        <v/>
      </c>
      <c r="Z35" s="125">
        <f>E35/F35</f>
        <v/>
      </c>
      <c r="AA35" s="125">
        <f>D35/G35</f>
        <v/>
      </c>
      <c r="AB35" s="125">
        <f t="array" ref="AB35">_xlfn.IFS(Z35 &lt;= 9, "1", Z35 &lt;= 12, "2", Z35 &lt;= 15, "3", Z35 &gt; 15, "4")</f>
        <v/>
      </c>
      <c r="AC35" s="125">
        <f t="array" ref="AC35">_xlfn.IFS(AA35 &lt;= 200, "1", L35 &lt;= 300, "2", L35 &lt;= 400, "3", L35 &gt; 400, "4")</f>
        <v/>
      </c>
      <c r="AD35" s="129">
        <f>SQRT((((VLOOKUP($AT$4,$A$4:$D$1021,4,FALSE))-D35)^2)+(((VLOOKUP($AT$4,$A$4:$E$1021,5,FALSE))-E35)^2)+(((VLOOKUP($AT$4,$A$4:$N$1021,14,FALSE))-N35)^2)+(((VLOOKUP($AT$4,$A$4:$O$1021,15,FALSE))-O35)^2))</f>
        <v/>
      </c>
      <c r="AG35" s="129">
        <f>SQRT((((VLOOKUP($AT$4,$A$4:$D$1021,4,FALSE))-D35)^2)+(((VLOOKUP($AT$4,$A$4:$E$1021,5,FALSE))-E35)^2)+(((VLOOKUP($AT$4,$A$4:$R$1021,18,FALSE))-R35)^2)+(((VLOOKUP($AT$4,$A$4:$S$1021,19,FALSE))-S35)^2))</f>
        <v/>
      </c>
      <c r="AJ35" s="125" t="inlineStr">
        <is>
          <t>W8X28</t>
        </is>
      </c>
      <c r="AK35" s="125">
        <f>SQRT(((VLOOKUP($AT$4,$A$4:$J$1021,10,FALSE))-J35)^2)</f>
        <v/>
      </c>
      <c r="AL35" s="125" t="n"/>
      <c r="AM35" s="125" t="n"/>
      <c r="AN35" s="125">
        <f>SQRT(((VLOOKUP($AT$4,$A$4:$R$1021,18,FALSE))-R35)^2)</f>
        <v/>
      </c>
      <c r="AO35" s="125" t="n"/>
      <c r="AP35" s="125" t="n"/>
      <c r="AQ35" s="125" t="inlineStr">
        <is>
          <t>W8X28</t>
        </is>
      </c>
      <c r="BB35" s="125">
        <f>SQRT(($J$1022-J35)^2)</f>
        <v/>
      </c>
      <c r="BC35" s="125">
        <f>SQRT(($R$1022-R35)^2)</f>
        <v/>
      </c>
      <c r="BD35" s="125" t="inlineStr">
        <is>
          <t>W8X28</t>
        </is>
      </c>
      <c r="BI35">
        <f>SQRT(($J$1023-J35)^2)</f>
        <v/>
      </c>
      <c r="BJ35">
        <f>SQRT(($R$1023-R35)^2)</f>
        <v/>
      </c>
      <c r="BK35" s="125" t="inlineStr">
        <is>
          <t>W8X28</t>
        </is>
      </c>
      <c r="BP35">
        <f>SQRT(($J$1024-J35)^2)</f>
        <v/>
      </c>
      <c r="BQ35">
        <f>SQRT(($R$1024-R35)^2)</f>
        <v/>
      </c>
      <c r="BR35" s="125" t="inlineStr">
        <is>
          <t>W8X28</t>
        </is>
      </c>
      <c r="BW35">
        <f>SQRT(($J$1025-J35)^2)</f>
        <v/>
      </c>
      <c r="BX35">
        <f>SQRT(($R$1025-R35)^2)</f>
        <v/>
      </c>
      <c r="BY35" s="125" t="inlineStr">
        <is>
          <t>W8X28</t>
        </is>
      </c>
      <c r="CD35">
        <f>SQRT(($J$1026-J35)^2)</f>
        <v/>
      </c>
      <c r="CE35">
        <f>SQRT(($R$1026-R35)^2)</f>
        <v/>
      </c>
      <c r="CF35" s="125" t="inlineStr">
        <is>
          <t>W8X28</t>
        </is>
      </c>
    </row>
    <row r="36">
      <c r="A36" s="125" t="inlineStr">
        <is>
          <t>W8X31</t>
        </is>
      </c>
      <c r="B36" s="129" t="inlineStr">
        <is>
          <t>AISC</t>
        </is>
      </c>
      <c r="C36" s="125" t="n">
        <v>46.1</v>
      </c>
      <c r="D36" s="125" t="n">
        <v>203.2</v>
      </c>
      <c r="E36" s="125" t="n">
        <v>203.6</v>
      </c>
      <c r="F36" s="125" t="n">
        <v>11</v>
      </c>
      <c r="G36" s="125" t="n">
        <v>7.2</v>
      </c>
      <c r="H36" s="125" t="n">
        <v>10.2</v>
      </c>
      <c r="I36" s="125" t="n">
        <v>160.8</v>
      </c>
      <c r="J36" s="125" t="n">
        <v>58.7</v>
      </c>
      <c r="K36" s="125">
        <f>((E36-G36)/2)/F36</f>
        <v/>
      </c>
      <c r="L36" s="125">
        <f>I36/G36</f>
        <v/>
      </c>
      <c r="M36" s="125" t="n">
        <v>1.19</v>
      </c>
      <c r="N36" s="125" t="n">
        <v>4568</v>
      </c>
      <c r="O36" s="125" t="n">
        <v>1548</v>
      </c>
      <c r="P36" s="125" t="n">
        <v>8.82</v>
      </c>
      <c r="Q36" s="125" t="n">
        <v>5.13</v>
      </c>
      <c r="R36" s="125" t="n">
        <v>450</v>
      </c>
      <c r="S36" s="125" t="n">
        <v>152</v>
      </c>
      <c r="T36" s="125" t="n">
        <v>497</v>
      </c>
      <c r="U36" s="125" t="n">
        <v>231</v>
      </c>
      <c r="X36" s="129">
        <f t="array" ref="X36">_xlfn.IFS((D36/F36) &lt;= (640/SQRT($AT$32)), "Compact", L36 &lt;= ($AT$32*(0.79-(0.002*((E36-G36/2)/(2*F36))*SQRT($AT$32)))), "Non-Compact", L36 &gt; ($AT$32*(0.79-(0.002*((E36-G36/2)/(2*F36))*SQRT($AT$32)))), "Slender")</f>
        <v/>
      </c>
      <c r="Y36" s="129">
        <f t="array" ref="Y36">_xlfn.IFS(K36 &lt;= (65/SQRT($AT$32)), "Compact", K36 &lt;= (95/SQRT($AT$32)), "Non-Compact", K36 &gt; (95/SQRT($AT$32)), "Slender")</f>
        <v/>
      </c>
      <c r="Z36" s="125">
        <f>E36/F36</f>
        <v/>
      </c>
      <c r="AA36" s="125">
        <f>D36/G36</f>
        <v/>
      </c>
      <c r="AB36" s="125">
        <f t="array" ref="AB36">_xlfn.IFS(Z36 &lt;= 9, "1", Z36 &lt;= 12, "2", Z36 &lt;= 15, "3", Z36 &gt; 15, "4")</f>
        <v/>
      </c>
      <c r="AC36" s="125">
        <f t="array" ref="AC36">_xlfn.IFS(AA36 &lt;= 200, "1", L36 &lt;= 300, "2", L36 &lt;= 400, "3", L36 &gt; 400, "4")</f>
        <v/>
      </c>
      <c r="AD36" s="129">
        <f>SQRT((((VLOOKUP($AT$4,$A$4:$D$1021,4,FALSE))-D36)^2)+(((VLOOKUP($AT$4,$A$4:$E$1021,5,FALSE))-E36)^2)+(((VLOOKUP($AT$4,$A$4:$N$1021,14,FALSE))-N36)^2)+(((VLOOKUP($AT$4,$A$4:$O$1021,15,FALSE))-O36)^2))</f>
        <v/>
      </c>
      <c r="AG36" s="129">
        <f>SQRT((((VLOOKUP($AT$4,$A$4:$D$1021,4,FALSE))-D36)^2)+(((VLOOKUP($AT$4,$A$4:$E$1021,5,FALSE))-E36)^2)+(((VLOOKUP($AT$4,$A$4:$R$1021,18,FALSE))-R36)^2)+(((VLOOKUP($AT$4,$A$4:$S$1021,19,FALSE))-S36)^2))</f>
        <v/>
      </c>
      <c r="AJ36" s="125" t="inlineStr">
        <is>
          <t>W8X31</t>
        </is>
      </c>
      <c r="AK36" s="125">
        <f>SQRT(((VLOOKUP($AT$4,$A$4:$J$1021,10,FALSE))-J36)^2)</f>
        <v/>
      </c>
      <c r="AL36" s="125" t="n"/>
      <c r="AM36" s="125" t="n"/>
      <c r="AN36" s="125">
        <f>SQRT(((VLOOKUP($AT$4,$A$4:$R$1021,18,FALSE))-R36)^2)</f>
        <v/>
      </c>
      <c r="AO36" s="125" t="n"/>
      <c r="AP36" s="125" t="n"/>
      <c r="AQ36" s="125" t="inlineStr">
        <is>
          <t>W8X31</t>
        </is>
      </c>
      <c r="BB36" s="125">
        <f>SQRT(($J$1022-J36)^2)</f>
        <v/>
      </c>
      <c r="BC36" s="125">
        <f>SQRT(($R$1022-R36)^2)</f>
        <v/>
      </c>
      <c r="BD36" s="125" t="inlineStr">
        <is>
          <t>W8X31</t>
        </is>
      </c>
      <c r="BI36">
        <f>SQRT(($J$1023-J36)^2)</f>
        <v/>
      </c>
      <c r="BJ36">
        <f>SQRT(($R$1023-R36)^2)</f>
        <v/>
      </c>
      <c r="BK36" s="125" t="inlineStr">
        <is>
          <t>W8X31</t>
        </is>
      </c>
      <c r="BP36">
        <f>SQRT(($J$1024-J36)^2)</f>
        <v/>
      </c>
      <c r="BQ36">
        <f>SQRT(($R$1024-R36)^2)</f>
        <v/>
      </c>
      <c r="BR36" s="125" t="inlineStr">
        <is>
          <t>W8X31</t>
        </is>
      </c>
      <c r="BW36">
        <f>SQRT(($J$1025-J36)^2)</f>
        <v/>
      </c>
      <c r="BX36">
        <f>SQRT(($R$1025-R36)^2)</f>
        <v/>
      </c>
      <c r="BY36" s="125" t="inlineStr">
        <is>
          <t>W8X31</t>
        </is>
      </c>
      <c r="CD36">
        <f>SQRT(($J$1026-J36)^2)</f>
        <v/>
      </c>
      <c r="CE36">
        <f>SQRT(($R$1026-R36)^2)</f>
        <v/>
      </c>
      <c r="CF36" s="125" t="inlineStr">
        <is>
          <t>W8X31</t>
        </is>
      </c>
    </row>
    <row r="37">
      <c r="A37" s="125" t="inlineStr">
        <is>
          <t>W8X35</t>
        </is>
      </c>
      <c r="B37" s="129" t="inlineStr">
        <is>
          <t>AISC</t>
        </is>
      </c>
      <c r="C37" s="125" t="n">
        <v>52</v>
      </c>
      <c r="D37" s="125" t="n">
        <v>206.2</v>
      </c>
      <c r="E37" s="125" t="n">
        <v>204.3</v>
      </c>
      <c r="F37" s="125" t="n">
        <v>12.5</v>
      </c>
      <c r="G37" s="125" t="n">
        <v>7.9</v>
      </c>
      <c r="H37" s="125" t="n">
        <v>10.2</v>
      </c>
      <c r="I37" s="125" t="n">
        <v>160.8</v>
      </c>
      <c r="J37" s="125" t="n">
        <v>66.3</v>
      </c>
      <c r="K37" s="125">
        <f>((E37-G37)/2)/F37</f>
        <v/>
      </c>
      <c r="L37" s="125">
        <f>I37/G37</f>
        <v/>
      </c>
      <c r="M37" s="125" t="n">
        <v>1.2</v>
      </c>
      <c r="N37" s="125" t="n">
        <v>5259</v>
      </c>
      <c r="O37" s="125" t="n">
        <v>1778</v>
      </c>
      <c r="P37" s="125" t="n">
        <v>8.91</v>
      </c>
      <c r="Q37" s="125" t="n">
        <v>5.18</v>
      </c>
      <c r="R37" s="125" t="n">
        <v>510</v>
      </c>
      <c r="S37" s="125" t="n">
        <v>174</v>
      </c>
      <c r="T37" s="125" t="n">
        <v>567</v>
      </c>
      <c r="U37" s="125" t="n">
        <v>264</v>
      </c>
      <c r="X37" s="129">
        <f t="array" ref="X37">_xlfn.IFS((D37/F37) &lt;= (640/SQRT($AT$32)), "Compact", L37 &lt;= ($AT$32*(0.79-(0.002*((E37-G37/2)/(2*F37))*SQRT($AT$32)))), "Non-Compact", L37 &gt; ($AT$32*(0.79-(0.002*((E37-G37/2)/(2*F37))*SQRT($AT$32)))), "Slender")</f>
        <v/>
      </c>
      <c r="Y37" s="129">
        <f t="array" ref="Y37">_xlfn.IFS(K37 &lt;= (65/SQRT($AT$32)), "Compact", K37 &lt;= (95/SQRT($AT$32)), "Non-Compact", K37 &gt; (95/SQRT($AT$32)), "Slender")</f>
        <v/>
      </c>
      <c r="Z37" s="125">
        <f>E37/F37</f>
        <v/>
      </c>
      <c r="AA37" s="125">
        <f>D37/G37</f>
        <v/>
      </c>
      <c r="AB37" s="125">
        <f t="array" ref="AB37">_xlfn.IFS(Z37 &lt;= 9, "1", Z37 &lt;= 12, "2", Z37 &lt;= 15, "3", Z37 &gt; 15, "4")</f>
        <v/>
      </c>
      <c r="AC37" s="125">
        <f t="array" ref="AC37">_xlfn.IFS(AA37 &lt;= 200, "1", L37 &lt;= 300, "2", L37 &lt;= 400, "3", L37 &gt; 400, "4")</f>
        <v/>
      </c>
      <c r="AD37" s="129">
        <f>SQRT((((VLOOKUP($AT$4,$A$4:$D$1021,4,FALSE))-D37)^2)+(((VLOOKUP($AT$4,$A$4:$E$1021,5,FALSE))-E37)^2)+(((VLOOKUP($AT$4,$A$4:$N$1021,14,FALSE))-N37)^2)+(((VLOOKUP($AT$4,$A$4:$O$1021,15,FALSE))-O37)^2))</f>
        <v/>
      </c>
      <c r="AG37" s="129">
        <f>SQRT((((VLOOKUP($AT$4,$A$4:$D$1021,4,FALSE))-D37)^2)+(((VLOOKUP($AT$4,$A$4:$E$1021,5,FALSE))-E37)^2)+(((VLOOKUP($AT$4,$A$4:$R$1021,18,FALSE))-R37)^2)+(((VLOOKUP($AT$4,$A$4:$S$1021,19,FALSE))-S37)^2))</f>
        <v/>
      </c>
      <c r="AJ37" s="125" t="inlineStr">
        <is>
          <t>W8X35</t>
        </is>
      </c>
      <c r="AK37" s="125">
        <f>SQRT(((VLOOKUP($AT$4,$A$4:$J$1021,10,FALSE))-J37)^2)</f>
        <v/>
      </c>
      <c r="AL37" s="125" t="n"/>
      <c r="AM37" s="125" t="n"/>
      <c r="AN37" s="125">
        <f>SQRT(((VLOOKUP($AT$4,$A$4:$R$1021,18,FALSE))-R37)^2)</f>
        <v/>
      </c>
      <c r="AO37" s="125" t="n"/>
      <c r="AP37" s="125" t="n"/>
      <c r="AQ37" s="125" t="inlineStr">
        <is>
          <t>W8X35</t>
        </is>
      </c>
      <c r="BB37" s="125">
        <f>SQRT(($J$1022-J37)^2)</f>
        <v/>
      </c>
      <c r="BC37" s="125">
        <f>SQRT(($R$1022-R37)^2)</f>
        <v/>
      </c>
      <c r="BD37" s="125" t="inlineStr">
        <is>
          <t>W8X35</t>
        </is>
      </c>
      <c r="BI37">
        <f>SQRT(($J$1023-J37)^2)</f>
        <v/>
      </c>
      <c r="BJ37">
        <f>SQRT(($R$1023-R37)^2)</f>
        <v/>
      </c>
      <c r="BK37" s="125" t="inlineStr">
        <is>
          <t>W8X35</t>
        </is>
      </c>
      <c r="BP37">
        <f>SQRT(($J$1024-J37)^2)</f>
        <v/>
      </c>
      <c r="BQ37">
        <f>SQRT(($R$1024-R37)^2)</f>
        <v/>
      </c>
      <c r="BR37" s="125" t="inlineStr">
        <is>
          <t>W8X35</t>
        </is>
      </c>
      <c r="BW37">
        <f>SQRT(($J$1025-J37)^2)</f>
        <v/>
      </c>
      <c r="BX37">
        <f>SQRT(($R$1025-R37)^2)</f>
        <v/>
      </c>
      <c r="BY37" s="125" t="inlineStr">
        <is>
          <t>W8X35</t>
        </is>
      </c>
      <c r="CD37">
        <f>SQRT(($J$1026-J37)^2)</f>
        <v/>
      </c>
      <c r="CE37">
        <f>SQRT(($R$1026-R37)^2)</f>
        <v/>
      </c>
      <c r="CF37" s="125" t="inlineStr">
        <is>
          <t>W8X35</t>
        </is>
      </c>
    </row>
    <row r="38">
      <c r="A38" s="125" t="inlineStr">
        <is>
          <t>W8X40</t>
        </is>
      </c>
      <c r="B38" s="129" t="inlineStr">
        <is>
          <t>AISC</t>
        </is>
      </c>
      <c r="C38" s="125" t="n">
        <v>60</v>
      </c>
      <c r="D38" s="125" t="n">
        <v>209.6</v>
      </c>
      <c r="E38" s="125" t="n">
        <v>205.8</v>
      </c>
      <c r="F38" s="125" t="n">
        <v>14.2</v>
      </c>
      <c r="G38" s="125" t="n">
        <v>9.4</v>
      </c>
      <c r="H38" s="125" t="n">
        <v>10.2</v>
      </c>
      <c r="I38" s="125" t="n">
        <v>160.8</v>
      </c>
      <c r="J38" s="125" t="n">
        <v>76.40000000000001</v>
      </c>
      <c r="K38" s="125">
        <f>((E38-G38)/2)/F38</f>
        <v/>
      </c>
      <c r="L38" s="125">
        <f>I38/G38</f>
        <v/>
      </c>
      <c r="M38" s="125" t="n">
        <v>1.21</v>
      </c>
      <c r="N38" s="125" t="n">
        <v>6125</v>
      </c>
      <c r="O38" s="125" t="n">
        <v>2065</v>
      </c>
      <c r="P38" s="125" t="n">
        <v>8.960000000000001</v>
      </c>
      <c r="Q38" s="125" t="n">
        <v>5.2</v>
      </c>
      <c r="R38" s="125" t="n">
        <v>584</v>
      </c>
      <c r="S38" s="125" t="n">
        <v>201</v>
      </c>
      <c r="T38" s="125" t="n">
        <v>656</v>
      </c>
      <c r="U38" s="125" t="n">
        <v>305</v>
      </c>
      <c r="X38" s="129">
        <f t="array" ref="X38">_xlfn.IFS((D38/F38) &lt;= (640/SQRT($AT$32)), "Compact", L38 &lt;= ($AT$32*(0.79-(0.002*((E38-G38/2)/(2*F38))*SQRT($AT$32)))), "Non-Compact", L38 &gt; ($AT$32*(0.79-(0.002*((E38-G38/2)/(2*F38))*SQRT($AT$32)))), "Slender")</f>
        <v/>
      </c>
      <c r="Y38" s="129">
        <f t="array" ref="Y38">_xlfn.IFS(K38 &lt;= (65/SQRT($AT$32)), "Compact", K38 &lt;= (95/SQRT($AT$32)), "Non-Compact", K38 &gt; (95/SQRT($AT$32)), "Slender")</f>
        <v/>
      </c>
      <c r="Z38" s="125">
        <f>E38/F38</f>
        <v/>
      </c>
      <c r="AA38" s="125">
        <f>D38/G38</f>
        <v/>
      </c>
      <c r="AB38" s="125">
        <f t="array" ref="AB38">_xlfn.IFS(Z38 &lt;= 9, "1", Z38 &lt;= 12, "2", Z38 &lt;= 15, "3", Z38 &gt; 15, "4")</f>
        <v/>
      </c>
      <c r="AC38" s="125">
        <f t="array" ref="AC38">_xlfn.IFS(AA38 &lt;= 200, "1", L38 &lt;= 300, "2", L38 &lt;= 400, "3", L38 &gt; 400, "4")</f>
        <v/>
      </c>
      <c r="AD38" s="129">
        <f>SQRT((((VLOOKUP($AT$4,$A$4:$D$1021,4,FALSE))-D38)^2)+(((VLOOKUP($AT$4,$A$4:$E$1021,5,FALSE))-E38)^2)+(((VLOOKUP($AT$4,$A$4:$N$1021,14,FALSE))-N38)^2)+(((VLOOKUP($AT$4,$A$4:$O$1021,15,FALSE))-O38)^2))</f>
        <v/>
      </c>
      <c r="AG38" s="129">
        <f>SQRT((((VLOOKUP($AT$4,$A$4:$D$1021,4,FALSE))-D38)^2)+(((VLOOKUP($AT$4,$A$4:$E$1021,5,FALSE))-E38)^2)+(((VLOOKUP($AT$4,$A$4:$R$1021,18,FALSE))-R38)^2)+(((VLOOKUP($AT$4,$A$4:$S$1021,19,FALSE))-S38)^2))</f>
        <v/>
      </c>
      <c r="AJ38" s="125" t="inlineStr">
        <is>
          <t>W8X40</t>
        </is>
      </c>
      <c r="AK38" s="125">
        <f>SQRT(((VLOOKUP($AT$4,$A$4:$J$1021,10,FALSE))-J38)^2)</f>
        <v/>
      </c>
      <c r="AL38" s="125" t="n"/>
      <c r="AM38" s="125" t="n"/>
      <c r="AN38" s="125">
        <f>SQRT(((VLOOKUP($AT$4,$A$4:$R$1021,18,FALSE))-R38)^2)</f>
        <v/>
      </c>
      <c r="AO38" s="125" t="n"/>
      <c r="AP38" s="125" t="n"/>
      <c r="AQ38" s="125" t="inlineStr">
        <is>
          <t>W8X40</t>
        </is>
      </c>
      <c r="BB38" s="125">
        <f>SQRT(($J$1022-J38)^2)</f>
        <v/>
      </c>
      <c r="BC38" s="125">
        <f>SQRT(($R$1022-R38)^2)</f>
        <v/>
      </c>
      <c r="BD38" s="125" t="inlineStr">
        <is>
          <t>W8X40</t>
        </is>
      </c>
      <c r="BI38">
        <f>SQRT(($J$1023-J38)^2)</f>
        <v/>
      </c>
      <c r="BJ38">
        <f>SQRT(($R$1023-R38)^2)</f>
        <v/>
      </c>
      <c r="BK38" s="125" t="inlineStr">
        <is>
          <t>W8X40</t>
        </is>
      </c>
      <c r="BP38">
        <f>SQRT(($J$1024-J38)^2)</f>
        <v/>
      </c>
      <c r="BQ38">
        <f>SQRT(($R$1024-R38)^2)</f>
        <v/>
      </c>
      <c r="BR38" s="125" t="inlineStr">
        <is>
          <t>W8X40</t>
        </is>
      </c>
      <c r="BW38">
        <f>SQRT(($J$1025-J38)^2)</f>
        <v/>
      </c>
      <c r="BX38">
        <f>SQRT(($R$1025-R38)^2)</f>
        <v/>
      </c>
      <c r="BY38" s="125" t="inlineStr">
        <is>
          <t>W8X40</t>
        </is>
      </c>
      <c r="CD38">
        <f>SQRT(($J$1026-J38)^2)</f>
        <v/>
      </c>
      <c r="CE38">
        <f>SQRT(($R$1026-R38)^2)</f>
        <v/>
      </c>
      <c r="CF38" s="125" t="inlineStr">
        <is>
          <t>W8X40</t>
        </is>
      </c>
    </row>
    <row r="39">
      <c r="A39" s="125" t="inlineStr">
        <is>
          <t>W8X48</t>
        </is>
      </c>
      <c r="B39" s="129" t="inlineStr">
        <is>
          <t>AISC</t>
        </is>
      </c>
      <c r="C39" s="125" t="n">
        <v>71</v>
      </c>
      <c r="D39" s="125" t="n">
        <v>215.8</v>
      </c>
      <c r="E39" s="125" t="n">
        <v>206.4</v>
      </c>
      <c r="F39" s="125" t="n">
        <v>17.3</v>
      </c>
      <c r="G39" s="125" t="n">
        <v>10</v>
      </c>
      <c r="H39" s="125" t="n">
        <v>10.2</v>
      </c>
      <c r="I39" s="125" t="n">
        <v>160.8</v>
      </c>
      <c r="J39" s="125" t="n">
        <v>90.40000000000001</v>
      </c>
      <c r="K39" s="125">
        <f>((E39-G39)/2)/F39</f>
        <v/>
      </c>
      <c r="L39" s="125">
        <f>I39/G39</f>
        <v/>
      </c>
      <c r="M39" s="125" t="n">
        <v>1.22</v>
      </c>
      <c r="N39" s="125" t="n">
        <v>7618</v>
      </c>
      <c r="O39" s="125" t="n">
        <v>2537</v>
      </c>
      <c r="P39" s="125" t="n">
        <v>9.18</v>
      </c>
      <c r="Q39" s="125" t="n">
        <v>5.3</v>
      </c>
      <c r="R39" s="125" t="n">
        <v>706</v>
      </c>
      <c r="S39" s="125" t="n">
        <v>246</v>
      </c>
      <c r="T39" s="125" t="n">
        <v>799</v>
      </c>
      <c r="U39" s="125" t="n">
        <v>374</v>
      </c>
      <c r="X39" s="129">
        <f t="array" ref="X39">_xlfn.IFS((D39/F39) &lt;= (640/SQRT($AT$32)), "Compact", L39 &lt;= ($AT$32*(0.79-(0.002*((E39-G39/2)/(2*F39))*SQRT($AT$32)))), "Non-Compact", L39 &gt; ($AT$32*(0.79-(0.002*((E39-G39/2)/(2*F39))*SQRT($AT$32)))), "Slender")</f>
        <v/>
      </c>
      <c r="Y39" s="129">
        <f t="array" ref="Y39">_xlfn.IFS(K39 &lt;= (65/SQRT($AT$32)), "Compact", K39 &lt;= (95/SQRT($AT$32)), "Non-Compact", K39 &gt; (95/SQRT($AT$32)), "Slender")</f>
        <v/>
      </c>
      <c r="Z39" s="125">
        <f>E39/F39</f>
        <v/>
      </c>
      <c r="AA39" s="125">
        <f>D39/G39</f>
        <v/>
      </c>
      <c r="AB39" s="125">
        <f t="array" ref="AB39">_xlfn.IFS(Z39 &lt;= 9, "1", Z39 &lt;= 12, "2", Z39 &lt;= 15, "3", Z39 &gt; 15, "4")</f>
        <v/>
      </c>
      <c r="AC39" s="125">
        <f t="array" ref="AC39">_xlfn.IFS(AA39 &lt;= 200, "1", L39 &lt;= 300, "2", L39 &lt;= 400, "3", L39 &gt; 400, "4")</f>
        <v/>
      </c>
      <c r="AD39" s="129">
        <f>SQRT((((VLOOKUP($AT$4,$A$4:$D$1021,4,FALSE))-D39)^2)+(((VLOOKUP($AT$4,$A$4:$E$1021,5,FALSE))-E39)^2)+(((VLOOKUP($AT$4,$A$4:$N$1021,14,FALSE))-N39)^2)+(((VLOOKUP($AT$4,$A$4:$O$1021,15,FALSE))-O39)^2))</f>
        <v/>
      </c>
      <c r="AG39" s="129">
        <f>SQRT((((VLOOKUP($AT$4,$A$4:$D$1021,4,FALSE))-D39)^2)+(((VLOOKUP($AT$4,$A$4:$E$1021,5,FALSE))-E39)^2)+(((VLOOKUP($AT$4,$A$4:$R$1021,18,FALSE))-R39)^2)+(((VLOOKUP($AT$4,$A$4:$S$1021,19,FALSE))-S39)^2))</f>
        <v/>
      </c>
      <c r="AJ39" s="125" t="inlineStr">
        <is>
          <t>W8X48</t>
        </is>
      </c>
      <c r="AK39" s="125">
        <f>SQRT(((VLOOKUP($AT$4,$A$4:$J$1021,10,FALSE))-J39)^2)</f>
        <v/>
      </c>
      <c r="AL39" s="125" t="n"/>
      <c r="AM39" s="125" t="n"/>
      <c r="AN39" s="125">
        <f>SQRT(((VLOOKUP($AT$4,$A$4:$R$1021,18,FALSE))-R39)^2)</f>
        <v/>
      </c>
      <c r="AO39" s="125" t="n"/>
      <c r="AP39" s="125" t="n"/>
      <c r="AQ39" s="125" t="inlineStr">
        <is>
          <t>W8X48</t>
        </is>
      </c>
      <c r="BB39" s="125">
        <f>SQRT(($J$1022-J39)^2)</f>
        <v/>
      </c>
      <c r="BC39" s="125">
        <f>SQRT(($R$1022-R39)^2)</f>
        <v/>
      </c>
      <c r="BD39" s="125" t="inlineStr">
        <is>
          <t>W8X48</t>
        </is>
      </c>
      <c r="BI39">
        <f>SQRT(($J$1023-J39)^2)</f>
        <v/>
      </c>
      <c r="BJ39">
        <f>SQRT(($R$1023-R39)^2)</f>
        <v/>
      </c>
      <c r="BK39" s="125" t="inlineStr">
        <is>
          <t>W8X48</t>
        </is>
      </c>
      <c r="BP39">
        <f>SQRT(($J$1024-J39)^2)</f>
        <v/>
      </c>
      <c r="BQ39">
        <f>SQRT(($R$1024-R39)^2)</f>
        <v/>
      </c>
      <c r="BR39" s="125" t="inlineStr">
        <is>
          <t>W8X48</t>
        </is>
      </c>
      <c r="BW39">
        <f>SQRT(($J$1025-J39)^2)</f>
        <v/>
      </c>
      <c r="BX39">
        <f>SQRT(($R$1025-R39)^2)</f>
        <v/>
      </c>
      <c r="BY39" s="125" t="inlineStr">
        <is>
          <t>W8X48</t>
        </is>
      </c>
      <c r="CD39">
        <f>SQRT(($J$1026-J39)^2)</f>
        <v/>
      </c>
      <c r="CE39">
        <f>SQRT(($R$1026-R39)^2)</f>
        <v/>
      </c>
      <c r="CF39" s="125" t="inlineStr">
        <is>
          <t>W8X48</t>
        </is>
      </c>
    </row>
    <row r="40">
      <c r="A40" s="125" t="inlineStr">
        <is>
          <t>W8X58</t>
        </is>
      </c>
      <c r="B40" s="129" t="inlineStr">
        <is>
          <t>AISC</t>
        </is>
      </c>
      <c r="C40" s="125" t="n">
        <v>86.09999999999999</v>
      </c>
      <c r="D40" s="125" t="n">
        <v>222.2</v>
      </c>
      <c r="E40" s="125" t="n">
        <v>209.1</v>
      </c>
      <c r="F40" s="125" t="n">
        <v>20.5</v>
      </c>
      <c r="G40" s="125" t="n">
        <v>12.7</v>
      </c>
      <c r="H40" s="125" t="n">
        <v>10.2</v>
      </c>
      <c r="I40" s="125" t="n">
        <v>160.8</v>
      </c>
      <c r="J40" s="125" t="n">
        <v>110</v>
      </c>
      <c r="K40" s="125">
        <f>((E40-G40)/2)/F40</f>
        <v/>
      </c>
      <c r="L40" s="125">
        <f>I40/G40</f>
        <v/>
      </c>
      <c r="M40" s="125" t="n">
        <v>1.24</v>
      </c>
      <c r="N40" s="125" t="n">
        <v>9449</v>
      </c>
      <c r="O40" s="125" t="n">
        <v>3128</v>
      </c>
      <c r="P40" s="125" t="n">
        <v>9.279999999999999</v>
      </c>
      <c r="Q40" s="125" t="n">
        <v>5.34</v>
      </c>
      <c r="R40" s="125" t="n">
        <v>850</v>
      </c>
      <c r="S40" s="125" t="n">
        <v>299</v>
      </c>
      <c r="T40" s="125" t="n">
        <v>977</v>
      </c>
      <c r="U40" s="125" t="n">
        <v>456</v>
      </c>
      <c r="X40" s="129">
        <f t="array" ref="X40">_xlfn.IFS((D40/F40) &lt;= (640/SQRT($AT$32)), "Compact", L40 &lt;= ($AT$32*(0.79-(0.002*((E40-G40/2)/(2*F40))*SQRT($AT$32)))), "Non-Compact", L40 &gt; ($AT$32*(0.79-(0.002*((E40-G40/2)/(2*F40))*SQRT($AT$32)))), "Slender")</f>
        <v/>
      </c>
      <c r="Y40" s="129">
        <f t="array" ref="Y40">_xlfn.IFS(K40 &lt;= (65/SQRT($AT$32)), "Compact", K40 &lt;= (95/SQRT($AT$32)), "Non-Compact", K40 &gt; (95/SQRT($AT$32)), "Slender")</f>
        <v/>
      </c>
      <c r="Z40" s="125">
        <f>E40/F40</f>
        <v/>
      </c>
      <c r="AA40" s="125">
        <f>D40/G40</f>
        <v/>
      </c>
      <c r="AB40" s="125">
        <f t="array" ref="AB40">_xlfn.IFS(Z40 &lt;= 9, "1", Z40 &lt;= 12, "2", Z40 &lt;= 15, "3", Z40 &gt; 15, "4")</f>
        <v/>
      </c>
      <c r="AC40" s="125">
        <f t="array" ref="AC40">_xlfn.IFS(AA40 &lt;= 200, "1", L40 &lt;= 300, "2", L40 &lt;= 400, "3", L40 &gt; 400, "4")</f>
        <v/>
      </c>
      <c r="AD40" s="129">
        <f>SQRT((((VLOOKUP($AT$4,$A$4:$D$1021,4,FALSE))-D40)^2)+(((VLOOKUP($AT$4,$A$4:$E$1021,5,FALSE))-E40)^2)+(((VLOOKUP($AT$4,$A$4:$N$1021,14,FALSE))-N40)^2)+(((VLOOKUP($AT$4,$A$4:$O$1021,15,FALSE))-O40)^2))</f>
        <v/>
      </c>
      <c r="AG40" s="129">
        <f>SQRT((((VLOOKUP($AT$4,$A$4:$D$1021,4,FALSE))-D40)^2)+(((VLOOKUP($AT$4,$A$4:$E$1021,5,FALSE))-E40)^2)+(((VLOOKUP($AT$4,$A$4:$R$1021,18,FALSE))-R40)^2)+(((VLOOKUP($AT$4,$A$4:$S$1021,19,FALSE))-S40)^2))</f>
        <v/>
      </c>
      <c r="AJ40" s="125" t="inlineStr">
        <is>
          <t>W8X58</t>
        </is>
      </c>
      <c r="AK40" s="125">
        <f>SQRT(((VLOOKUP($AT$4,$A$4:$J$1021,10,FALSE))-J40)^2)</f>
        <v/>
      </c>
      <c r="AL40" s="125" t="n"/>
      <c r="AM40" s="125" t="n"/>
      <c r="AN40" s="125">
        <f>SQRT(((VLOOKUP($AT$4,$A$4:$R$1021,18,FALSE))-R40)^2)</f>
        <v/>
      </c>
      <c r="AO40" s="125" t="n"/>
      <c r="AP40" s="125" t="n"/>
      <c r="AQ40" s="125" t="inlineStr">
        <is>
          <t>W8X58</t>
        </is>
      </c>
      <c r="BB40" s="125">
        <f>SQRT(($J$1022-J40)^2)</f>
        <v/>
      </c>
      <c r="BC40" s="125">
        <f>SQRT(($R$1022-R40)^2)</f>
        <v/>
      </c>
      <c r="BD40" s="125" t="inlineStr">
        <is>
          <t>W8X58</t>
        </is>
      </c>
      <c r="BI40">
        <f>SQRT(($J$1023-J40)^2)</f>
        <v/>
      </c>
      <c r="BJ40">
        <f>SQRT(($R$1023-R40)^2)</f>
        <v/>
      </c>
      <c r="BK40" s="125" t="inlineStr">
        <is>
          <t>W8X58</t>
        </is>
      </c>
      <c r="BP40">
        <f>SQRT(($J$1024-J40)^2)</f>
        <v/>
      </c>
      <c r="BQ40">
        <f>SQRT(($R$1024-R40)^2)</f>
        <v/>
      </c>
      <c r="BR40" s="125" t="inlineStr">
        <is>
          <t>W8X58</t>
        </is>
      </c>
      <c r="BW40">
        <f>SQRT(($J$1025-J40)^2)</f>
        <v/>
      </c>
      <c r="BX40">
        <f>SQRT(($R$1025-R40)^2)</f>
        <v/>
      </c>
      <c r="BY40" s="125" t="inlineStr">
        <is>
          <t>W8X58</t>
        </is>
      </c>
      <c r="CD40">
        <f>SQRT(($J$1026-J40)^2)</f>
        <v/>
      </c>
      <c r="CE40">
        <f>SQRT(($R$1026-R40)^2)</f>
        <v/>
      </c>
      <c r="CF40" s="125" t="inlineStr">
        <is>
          <t>W8X58</t>
        </is>
      </c>
    </row>
    <row r="41">
      <c r="A41" s="125" t="inlineStr">
        <is>
          <t>W8X67</t>
        </is>
      </c>
      <c r="B41" s="129" t="inlineStr">
        <is>
          <t>AISC</t>
        </is>
      </c>
      <c r="C41" s="125" t="n">
        <v>99.7</v>
      </c>
      <c r="D41" s="125" t="n">
        <v>228.6</v>
      </c>
      <c r="E41" s="125" t="n">
        <v>210.3</v>
      </c>
      <c r="F41" s="125" t="n">
        <v>23.8</v>
      </c>
      <c r="G41" s="125" t="n">
        <v>14.5</v>
      </c>
      <c r="H41" s="125" t="n">
        <v>10.2</v>
      </c>
      <c r="I41" s="125" t="n">
        <v>160.7</v>
      </c>
      <c r="J41" s="125" t="n">
        <v>127</v>
      </c>
      <c r="K41" s="125">
        <f>((E41-G41)/2)/F41</f>
        <v/>
      </c>
      <c r="L41" s="125">
        <f>I41/G41</f>
        <v/>
      </c>
      <c r="M41" s="125" t="n">
        <v>1.25</v>
      </c>
      <c r="N41" s="125" t="n">
        <v>11310</v>
      </c>
      <c r="O41" s="125" t="n">
        <v>3687</v>
      </c>
      <c r="P41" s="125" t="n">
        <v>9.44</v>
      </c>
      <c r="Q41" s="125" t="n">
        <v>5.39</v>
      </c>
      <c r="R41" s="125" t="n">
        <v>990</v>
      </c>
      <c r="S41" s="125" t="n">
        <v>351</v>
      </c>
      <c r="T41" s="125" t="n">
        <v>1150</v>
      </c>
      <c r="U41" s="125" t="n">
        <v>536</v>
      </c>
      <c r="X41" s="129">
        <f t="array" ref="X41">_xlfn.IFS((D41/F41) &lt;= (640/SQRT($AT$32)), "Compact", L41 &lt;= ($AT$32*(0.79-(0.002*((E41-G41/2)/(2*F41))*SQRT($AT$32)))), "Non-Compact", L41 &gt; ($AT$32*(0.79-(0.002*((E41-G41/2)/(2*F41))*SQRT($AT$32)))), "Slender")</f>
        <v/>
      </c>
      <c r="Y41" s="129">
        <f t="array" ref="Y41">_xlfn.IFS(K41 &lt;= (65/SQRT($AT$32)), "Compact", K41 &lt;= (95/SQRT($AT$32)), "Non-Compact", K41 &gt; (95/SQRT($AT$32)), "Slender")</f>
        <v/>
      </c>
      <c r="Z41" s="125">
        <f>E41/F41</f>
        <v/>
      </c>
      <c r="AA41" s="125">
        <f>D41/G41</f>
        <v/>
      </c>
      <c r="AB41" s="125">
        <f t="array" ref="AB41">_xlfn.IFS(Z41 &lt;= 9, "1", Z41 &lt;= 12, "2", Z41 &lt;= 15, "3", Z41 &gt; 15, "4")</f>
        <v/>
      </c>
      <c r="AC41" s="125">
        <f t="array" ref="AC41">_xlfn.IFS(AA41 &lt;= 200, "1", L41 &lt;= 300, "2", L41 &lt;= 400, "3", L41 &gt; 400, "4")</f>
        <v/>
      </c>
      <c r="AD41" s="129">
        <f>SQRT((((VLOOKUP($AT$4,$A$4:$D$1021,4,FALSE))-D41)^2)+(((VLOOKUP($AT$4,$A$4:$E$1021,5,FALSE))-E41)^2)+(((VLOOKUP($AT$4,$A$4:$N$1021,14,FALSE))-N41)^2)+(((VLOOKUP($AT$4,$A$4:$O$1021,15,FALSE))-O41)^2))</f>
        <v/>
      </c>
      <c r="AG41" s="129">
        <f>SQRT((((VLOOKUP($AT$4,$A$4:$D$1021,4,FALSE))-D41)^2)+(((VLOOKUP($AT$4,$A$4:$E$1021,5,FALSE))-E41)^2)+(((VLOOKUP($AT$4,$A$4:$R$1021,18,FALSE))-R41)^2)+(((VLOOKUP($AT$4,$A$4:$S$1021,19,FALSE))-S41)^2))</f>
        <v/>
      </c>
      <c r="AH41" s="125" t="n"/>
      <c r="AI41" s="125" t="n"/>
      <c r="AJ41" s="125" t="inlineStr">
        <is>
          <t>W8X67</t>
        </is>
      </c>
      <c r="AK41" s="125">
        <f>SQRT(((VLOOKUP($AT$4,$A$4:$J$1021,10,FALSE))-J41)^2)</f>
        <v/>
      </c>
      <c r="AL41" s="125" t="n"/>
      <c r="AM41" s="125" t="n"/>
      <c r="AN41" s="125">
        <f>SQRT(((VLOOKUP($AT$4,$A$4:$R$1021,18,FALSE))-R41)^2)</f>
        <v/>
      </c>
      <c r="AO41" s="125" t="n"/>
      <c r="AP41" s="125" t="n"/>
      <c r="AQ41" s="125" t="inlineStr">
        <is>
          <t>W8X67</t>
        </is>
      </c>
      <c r="AR41" s="125" t="n"/>
      <c r="AS41" s="125" t="n"/>
      <c r="AT41" s="125" t="n"/>
      <c r="AU41" s="125" t="n"/>
      <c r="AV41" s="125" t="n"/>
      <c r="AW41" s="125" t="n"/>
      <c r="AX41" s="125" t="n"/>
      <c r="AY41" s="125" t="n"/>
      <c r="AZ41" s="125" t="n"/>
      <c r="BA41" s="125" t="n"/>
      <c r="BB41" s="125">
        <f>SQRT(($J$1022-J41)^2)</f>
        <v/>
      </c>
      <c r="BC41" s="125">
        <f>SQRT(($R$1022-R41)^2)</f>
        <v/>
      </c>
      <c r="BD41" s="125" t="inlineStr">
        <is>
          <t>W8X67</t>
        </is>
      </c>
      <c r="BI41">
        <f>SQRT(($J$1023-J41)^2)</f>
        <v/>
      </c>
      <c r="BJ41">
        <f>SQRT(($R$1023-R41)^2)</f>
        <v/>
      </c>
      <c r="BK41" s="125" t="inlineStr">
        <is>
          <t>W8X67</t>
        </is>
      </c>
      <c r="BP41">
        <f>SQRT(($J$1024-J41)^2)</f>
        <v/>
      </c>
      <c r="BQ41">
        <f>SQRT(($R$1024-R41)^2)</f>
        <v/>
      </c>
      <c r="BR41" s="125" t="inlineStr">
        <is>
          <t>W8X67</t>
        </is>
      </c>
      <c r="BW41">
        <f>SQRT(($J$1025-J41)^2)</f>
        <v/>
      </c>
      <c r="BX41">
        <f>SQRT(($R$1025-R41)^2)</f>
        <v/>
      </c>
      <c r="BY41" s="125" t="inlineStr">
        <is>
          <t>W8X67</t>
        </is>
      </c>
      <c r="CD41">
        <f>SQRT(($J$1026-J41)^2)</f>
        <v/>
      </c>
      <c r="CE41">
        <f>SQRT(($R$1026-R41)^2)</f>
        <v/>
      </c>
      <c r="CF41" s="125" t="inlineStr">
        <is>
          <t>W8X67</t>
        </is>
      </c>
    </row>
    <row r="42">
      <c r="A42" s="125" t="inlineStr">
        <is>
          <t>W10X12</t>
        </is>
      </c>
      <c r="B42" s="129" t="inlineStr">
        <is>
          <t>AISC</t>
        </is>
      </c>
      <c r="C42" s="125" t="n">
        <v>17.9</v>
      </c>
      <c r="D42" s="125" t="n">
        <v>250.7</v>
      </c>
      <c r="E42" s="125" t="n">
        <v>100.6</v>
      </c>
      <c r="F42" s="125" t="n">
        <v>5.3</v>
      </c>
      <c r="G42" s="125" t="n">
        <v>4.8</v>
      </c>
      <c r="H42" s="125" t="n">
        <v>7.6</v>
      </c>
      <c r="I42" s="125" t="n">
        <v>224.8</v>
      </c>
      <c r="J42" s="125" t="n">
        <v>22.8</v>
      </c>
      <c r="K42" s="125">
        <f>((E42-G42)/2)/F42</f>
        <v/>
      </c>
      <c r="L42" s="125">
        <f>I42/G42</f>
        <v/>
      </c>
      <c r="M42" s="125" t="n">
        <v>0.881</v>
      </c>
      <c r="N42" s="125" t="n">
        <v>2241</v>
      </c>
      <c r="O42" s="125" t="n">
        <v>90.8</v>
      </c>
      <c r="P42" s="125" t="n">
        <v>9.91</v>
      </c>
      <c r="Q42" s="125" t="n">
        <v>1.99</v>
      </c>
      <c r="R42" s="125" t="n">
        <v>179</v>
      </c>
      <c r="S42" s="125" t="n">
        <v>18</v>
      </c>
      <c r="T42" s="125" t="n">
        <v>207</v>
      </c>
      <c r="U42" s="125" t="n">
        <v>28.6</v>
      </c>
      <c r="X42" s="129">
        <f t="array" ref="X42">_xlfn.IFS((D42/F42) &lt;= (640/SQRT($AT$32)), "Compact", L42 &lt;= ($AT$32*(0.79-(0.002*((E42-G42/2)/(2*F42))*SQRT($AT$32)))), "Non-Compact", L42 &gt; ($AT$32*(0.79-(0.002*((E42-G42/2)/(2*F42))*SQRT($AT$32)))), "Slender")</f>
        <v/>
      </c>
      <c r="Y42" s="129">
        <f t="array" ref="Y42">_xlfn.IFS(K42 &lt;= (65/SQRT($AT$32)), "Compact", K42 &lt;= (95/SQRT($AT$32)), "Non-Compact", K42 &gt; (95/SQRT($AT$32)), "Slender")</f>
        <v/>
      </c>
      <c r="Z42" s="125">
        <f>E42/F42</f>
        <v/>
      </c>
      <c r="AA42" s="125">
        <f>D42/G42</f>
        <v/>
      </c>
      <c r="AB42" s="125">
        <f t="array" ref="AB42">_xlfn.IFS(Z42 &lt;= 9, "1", Z42 &lt;= 12, "2", Z42 &lt;= 15, "3", Z42 &gt; 15, "4")</f>
        <v/>
      </c>
      <c r="AC42" s="125">
        <f t="array" ref="AC42">_xlfn.IFS(AA42 &lt;= 200, "1", L42 &lt;= 300, "2", L42 &lt;= 400, "3", L42 &gt; 400, "4")</f>
        <v/>
      </c>
      <c r="AD42" s="129">
        <f>SQRT((((VLOOKUP($AT$4,$A$4:$D$1021,4,FALSE))-D42)^2)+(((VLOOKUP($AT$4,$A$4:$E$1021,5,FALSE))-E42)^2)+(((VLOOKUP($AT$4,$A$4:$N$1021,14,FALSE))-N42)^2)+(((VLOOKUP($AT$4,$A$4:$O$1021,15,FALSE))-O42)^2))</f>
        <v/>
      </c>
      <c r="AG42" s="129">
        <f>SQRT((((VLOOKUP($AT$4,$A$4:$D$1021,4,FALSE))-D42)^2)+(((VLOOKUP($AT$4,$A$4:$E$1021,5,FALSE))-E42)^2)+(((VLOOKUP($AT$4,$A$4:$R$1021,18,FALSE))-R42)^2)+(((VLOOKUP($AT$4,$A$4:$S$1021,19,FALSE))-S42)^2))</f>
        <v/>
      </c>
      <c r="AH42" s="125" t="n"/>
      <c r="AI42" s="125" t="n"/>
      <c r="AJ42" s="125" t="inlineStr">
        <is>
          <t>W10X12</t>
        </is>
      </c>
      <c r="AK42" s="125">
        <f>SQRT(((VLOOKUP($AT$4,$A$4:$J$1021,10,FALSE))-J42)^2)</f>
        <v/>
      </c>
      <c r="AL42" s="125" t="n"/>
      <c r="AM42" s="125" t="n"/>
      <c r="AN42" s="125">
        <f>SQRT(((VLOOKUP($AT$4,$A$4:$R$1021,18,FALSE))-R42)^2)</f>
        <v/>
      </c>
      <c r="AO42" s="125" t="n"/>
      <c r="AP42" s="125" t="n"/>
      <c r="AQ42" s="125" t="inlineStr">
        <is>
          <t>W10X12</t>
        </is>
      </c>
      <c r="AR42" s="125" t="n"/>
      <c r="AS42" s="125" t="n"/>
      <c r="AT42" s="125" t="n"/>
      <c r="AU42" s="125" t="n"/>
      <c r="AV42" s="125" t="n"/>
      <c r="AW42" s="125" t="n"/>
      <c r="AX42" s="125" t="n"/>
      <c r="AY42" s="125" t="n"/>
      <c r="AZ42" s="125" t="n"/>
      <c r="BA42" s="125" t="n"/>
      <c r="BB42" s="125">
        <f>SQRT(($J$1022-J42)^2)</f>
        <v/>
      </c>
      <c r="BC42" s="125">
        <f>SQRT(($R$1022-R42)^2)</f>
        <v/>
      </c>
      <c r="BD42" s="125" t="inlineStr">
        <is>
          <t>W10X12</t>
        </is>
      </c>
      <c r="BI42">
        <f>SQRT(($J$1023-J42)^2)</f>
        <v/>
      </c>
      <c r="BJ42">
        <f>SQRT(($R$1023-R42)^2)</f>
        <v/>
      </c>
      <c r="BK42" s="125" t="inlineStr">
        <is>
          <t>W10X12</t>
        </is>
      </c>
      <c r="BP42">
        <f>SQRT(($J$1024-J42)^2)</f>
        <v/>
      </c>
      <c r="BQ42">
        <f>SQRT(($R$1024-R42)^2)</f>
        <v/>
      </c>
      <c r="BR42" s="125" t="inlineStr">
        <is>
          <t>W10X12</t>
        </is>
      </c>
      <c r="BW42">
        <f>SQRT(($J$1025-J42)^2)</f>
        <v/>
      </c>
      <c r="BX42">
        <f>SQRT(($R$1025-R42)^2)</f>
        <v/>
      </c>
      <c r="BY42" s="125" t="inlineStr">
        <is>
          <t>W10X12</t>
        </is>
      </c>
      <c r="CD42">
        <f>SQRT(($J$1026-J42)^2)</f>
        <v/>
      </c>
      <c r="CE42">
        <f>SQRT(($R$1026-R42)^2)</f>
        <v/>
      </c>
      <c r="CF42" s="125" t="inlineStr">
        <is>
          <t>W10X12</t>
        </is>
      </c>
    </row>
    <row r="43">
      <c r="A43" s="125" t="inlineStr">
        <is>
          <t>W10X15</t>
        </is>
      </c>
      <c r="B43" s="129" t="inlineStr">
        <is>
          <t>AISC</t>
        </is>
      </c>
      <c r="C43" s="125" t="n">
        <v>22</v>
      </c>
      <c r="D43" s="125" t="n">
        <v>254</v>
      </c>
      <c r="E43" s="125" t="n">
        <v>101.6</v>
      </c>
      <c r="F43" s="125" t="n">
        <v>6.8</v>
      </c>
      <c r="G43" s="125" t="n">
        <v>5.7</v>
      </c>
      <c r="H43" s="125" t="n">
        <v>7.6</v>
      </c>
      <c r="I43" s="125" t="n">
        <v>225.2</v>
      </c>
      <c r="J43" s="125" t="n">
        <v>28</v>
      </c>
      <c r="K43" s="125">
        <f>((E43-G43)/2)/F43</f>
        <v/>
      </c>
      <c r="L43" s="125">
        <f>I43/G43</f>
        <v/>
      </c>
      <c r="M43" s="125" t="n">
        <v>0.89</v>
      </c>
      <c r="N43" s="125" t="n">
        <v>2841</v>
      </c>
      <c r="O43" s="125" t="n">
        <v>119</v>
      </c>
      <c r="P43" s="125" t="n">
        <v>10.1</v>
      </c>
      <c r="Q43" s="125" t="n">
        <v>2.06</v>
      </c>
      <c r="R43" s="125" t="n">
        <v>224</v>
      </c>
      <c r="S43" s="125" t="n">
        <v>23.5</v>
      </c>
      <c r="T43" s="125" t="n">
        <v>259</v>
      </c>
      <c r="U43" s="125" t="n">
        <v>37.3</v>
      </c>
      <c r="X43" s="129">
        <f t="array" ref="X43">_xlfn.IFS((D43/F43) &lt;= (640/SQRT($AT$32)), "Compact", L43 &lt;= ($AT$32*(0.79-(0.002*((E43-G43/2)/(2*F43))*SQRT($AT$32)))), "Non-Compact", L43 &gt; ($AT$32*(0.79-(0.002*((E43-G43/2)/(2*F43))*SQRT($AT$32)))), "Slender")</f>
        <v/>
      </c>
      <c r="Y43" s="129">
        <f t="array" ref="Y43">_xlfn.IFS(K43 &lt;= (65/SQRT($AT$32)), "Compact", K43 &lt;= (95/SQRT($AT$32)), "Non-Compact", K43 &gt; (95/SQRT($AT$32)), "Slender")</f>
        <v/>
      </c>
      <c r="Z43" s="125">
        <f>E43/F43</f>
        <v/>
      </c>
      <c r="AA43" s="125">
        <f>D43/G43</f>
        <v/>
      </c>
      <c r="AB43" s="125">
        <f t="array" ref="AB43">_xlfn.IFS(Z43 &lt;= 9, "1", Z43 &lt;= 12, "2", Z43 &lt;= 15, "3", Z43 &gt; 15, "4")</f>
        <v/>
      </c>
      <c r="AC43" s="125">
        <f t="array" ref="AC43">_xlfn.IFS(AA43 &lt;= 200, "1", L43 &lt;= 300, "2", L43 &lt;= 400, "3", L43 &gt; 400, "4")</f>
        <v/>
      </c>
      <c r="AD43" s="129">
        <f>SQRT((((VLOOKUP($AT$4,$A$4:$D$1021,4,FALSE))-D43)^2)+(((VLOOKUP($AT$4,$A$4:$E$1021,5,FALSE))-E43)^2)+(((VLOOKUP($AT$4,$A$4:$N$1021,14,FALSE))-N43)^2)+(((VLOOKUP($AT$4,$A$4:$O$1021,15,FALSE))-O43)^2))</f>
        <v/>
      </c>
      <c r="AG43" s="129">
        <f>SQRT((((VLOOKUP($AT$4,$A$4:$D$1021,4,FALSE))-D43)^2)+(((VLOOKUP($AT$4,$A$4:$E$1021,5,FALSE))-E43)^2)+(((VLOOKUP($AT$4,$A$4:$R$1021,18,FALSE))-R43)^2)+(((VLOOKUP($AT$4,$A$4:$S$1021,19,FALSE))-S43)^2))</f>
        <v/>
      </c>
      <c r="AH43" s="125" t="n"/>
      <c r="AI43" s="125" t="n"/>
      <c r="AJ43" s="125" t="inlineStr">
        <is>
          <t>W10X15</t>
        </is>
      </c>
      <c r="AK43" s="125">
        <f>SQRT(((VLOOKUP($AT$4,$A$4:$J$1021,10,FALSE))-J43)^2)</f>
        <v/>
      </c>
      <c r="AL43" s="125" t="n"/>
      <c r="AM43" s="125" t="n"/>
      <c r="AN43" s="125">
        <f>SQRT(((VLOOKUP($AT$4,$A$4:$R$1021,18,FALSE))-R43)^2)</f>
        <v/>
      </c>
      <c r="AO43" s="125" t="n"/>
      <c r="AP43" s="125" t="n"/>
      <c r="AQ43" s="125" t="inlineStr">
        <is>
          <t>W10X15</t>
        </is>
      </c>
      <c r="AR43" s="125" t="n"/>
      <c r="AS43" s="125" t="n"/>
      <c r="AT43" s="125" t="n"/>
      <c r="AU43" s="125" t="n"/>
      <c r="AV43" s="125" t="n"/>
      <c r="AW43" s="125" t="n"/>
      <c r="AX43" s="125" t="n"/>
      <c r="AY43" s="125" t="n"/>
      <c r="AZ43" s="125" t="n"/>
      <c r="BA43" s="125" t="n"/>
      <c r="BB43" s="125">
        <f>SQRT(($J$1022-J43)^2)</f>
        <v/>
      </c>
      <c r="BC43" s="125">
        <f>SQRT(($R$1022-R43)^2)</f>
        <v/>
      </c>
      <c r="BD43" s="125" t="inlineStr">
        <is>
          <t>W10X15</t>
        </is>
      </c>
      <c r="BI43">
        <f>SQRT(($J$1023-J43)^2)</f>
        <v/>
      </c>
      <c r="BJ43">
        <f>SQRT(($R$1023-R43)^2)</f>
        <v/>
      </c>
      <c r="BK43" s="125" t="inlineStr">
        <is>
          <t>W10X15</t>
        </is>
      </c>
      <c r="BP43">
        <f>SQRT(($J$1024-J43)^2)</f>
        <v/>
      </c>
      <c r="BQ43">
        <f>SQRT(($R$1024-R43)^2)</f>
        <v/>
      </c>
      <c r="BR43" s="125" t="inlineStr">
        <is>
          <t>W10X15</t>
        </is>
      </c>
      <c r="BW43">
        <f>SQRT(($J$1025-J43)^2)</f>
        <v/>
      </c>
      <c r="BX43">
        <f>SQRT(($R$1025-R43)^2)</f>
        <v/>
      </c>
      <c r="BY43" s="125" t="inlineStr">
        <is>
          <t>W10X15</t>
        </is>
      </c>
      <c r="CD43">
        <f>SQRT(($J$1026-J43)^2)</f>
        <v/>
      </c>
      <c r="CE43">
        <f>SQRT(($R$1026-R43)^2)</f>
        <v/>
      </c>
      <c r="CF43" s="125" t="inlineStr">
        <is>
          <t>W10X15</t>
        </is>
      </c>
    </row>
    <row r="44">
      <c r="A44" s="125" t="inlineStr">
        <is>
          <t>W10X17</t>
        </is>
      </c>
      <c r="B44" s="129" t="inlineStr">
        <is>
          <t>AISC</t>
        </is>
      </c>
      <c r="C44" s="125" t="n">
        <v>25.2</v>
      </c>
      <c r="D44" s="125" t="n">
        <v>257.2</v>
      </c>
      <c r="E44" s="125" t="n">
        <v>101.9</v>
      </c>
      <c r="F44" s="125" t="n">
        <v>8.4</v>
      </c>
      <c r="G44" s="125" t="n">
        <v>6</v>
      </c>
      <c r="H44" s="125" t="n">
        <v>7.6</v>
      </c>
      <c r="I44" s="125" t="n">
        <v>225.2</v>
      </c>
      <c r="J44" s="125" t="n">
        <v>32</v>
      </c>
      <c r="K44" s="125">
        <f>((E44-G44)/2)/F44</f>
        <v/>
      </c>
      <c r="L44" s="125">
        <f>I44/G44</f>
        <v/>
      </c>
      <c r="M44" s="125" t="n">
        <v>0.897</v>
      </c>
      <c r="N44" s="125" t="n">
        <v>3415</v>
      </c>
      <c r="O44" s="125" t="n">
        <v>149</v>
      </c>
      <c r="P44" s="125" t="n">
        <v>10.3</v>
      </c>
      <c r="Q44" s="125" t="n">
        <v>2.15</v>
      </c>
      <c r="R44" s="125" t="n">
        <v>266</v>
      </c>
      <c r="S44" s="125" t="n">
        <v>29.2</v>
      </c>
      <c r="T44" s="125" t="n">
        <v>306</v>
      </c>
      <c r="U44" s="125" t="n">
        <v>46</v>
      </c>
      <c r="X44" s="129">
        <f t="array" ref="X44">_xlfn.IFS((D44/F44) &lt;= (640/SQRT($AT$32)), "Compact", L44 &lt;= ($AT$32*(0.79-(0.002*((E44-G44/2)/(2*F44))*SQRT($AT$32)))), "Non-Compact", L44 &gt; ($AT$32*(0.79-(0.002*((E44-G44/2)/(2*F44))*SQRT($AT$32)))), "Slender")</f>
        <v/>
      </c>
      <c r="Y44" s="129">
        <f t="array" ref="Y44">_xlfn.IFS(K44 &lt;= (65/SQRT($AT$32)), "Compact", K44 &lt;= (95/SQRT($AT$32)), "Non-Compact", K44 &gt; (95/SQRT($AT$32)), "Slender")</f>
        <v/>
      </c>
      <c r="Z44" s="125">
        <f>E44/F44</f>
        <v/>
      </c>
      <c r="AA44" s="125">
        <f>D44/G44</f>
        <v/>
      </c>
      <c r="AB44" s="125">
        <f t="array" ref="AB44">_xlfn.IFS(Z44 &lt;= 9, "1", Z44 &lt;= 12, "2", Z44 &lt;= 15, "3", Z44 &gt; 15, "4")</f>
        <v/>
      </c>
      <c r="AC44" s="125">
        <f t="array" ref="AC44">_xlfn.IFS(AA44 &lt;= 200, "1", L44 &lt;= 300, "2", L44 &lt;= 400, "3", L44 &gt; 400, "4")</f>
        <v/>
      </c>
      <c r="AD44" s="129">
        <f>SQRT((((VLOOKUP($AT$4,$A$4:$D$1021,4,FALSE))-D44)^2)+(((VLOOKUP($AT$4,$A$4:$E$1021,5,FALSE))-E44)^2)+(((VLOOKUP($AT$4,$A$4:$N$1021,14,FALSE))-N44)^2)+(((VLOOKUP($AT$4,$A$4:$O$1021,15,FALSE))-O44)^2))</f>
        <v/>
      </c>
      <c r="AG44" s="129">
        <f>SQRT((((VLOOKUP($AT$4,$A$4:$D$1021,4,FALSE))-D44)^2)+(((VLOOKUP($AT$4,$A$4:$E$1021,5,FALSE))-E44)^2)+(((VLOOKUP($AT$4,$A$4:$R$1021,18,FALSE))-R44)^2)+(((VLOOKUP($AT$4,$A$4:$S$1021,19,FALSE))-S44)^2))</f>
        <v/>
      </c>
      <c r="AH44" s="125" t="n"/>
      <c r="AI44" s="125" t="n"/>
      <c r="AJ44" s="125" t="inlineStr">
        <is>
          <t>W10X17</t>
        </is>
      </c>
      <c r="AK44" s="125">
        <f>SQRT(((VLOOKUP($AT$4,$A$4:$J$1021,10,FALSE))-J44)^2)</f>
        <v/>
      </c>
      <c r="AL44" s="125" t="n"/>
      <c r="AM44" s="125" t="n"/>
      <c r="AN44" s="125">
        <f>SQRT(((VLOOKUP($AT$4,$A$4:$R$1021,18,FALSE))-R44)^2)</f>
        <v/>
      </c>
      <c r="AO44" s="125" t="n"/>
      <c r="AP44" s="125" t="n"/>
      <c r="AQ44" s="125" t="inlineStr">
        <is>
          <t>W10X17</t>
        </is>
      </c>
      <c r="AR44" s="125" t="n"/>
      <c r="AS44" s="125" t="n"/>
      <c r="AT44" s="125" t="n"/>
      <c r="AU44" s="125" t="n"/>
      <c r="AV44" s="125" t="n"/>
      <c r="AW44" s="125" t="n"/>
      <c r="AX44" s="125" t="n"/>
      <c r="AY44" s="125" t="n"/>
      <c r="AZ44" s="125" t="n"/>
      <c r="BA44" s="125" t="n"/>
      <c r="BB44" s="125">
        <f>SQRT(($J$1022-J44)^2)</f>
        <v/>
      </c>
      <c r="BC44" s="125">
        <f>SQRT(($R$1022-R44)^2)</f>
        <v/>
      </c>
      <c r="BD44" s="125" t="inlineStr">
        <is>
          <t>W10X17</t>
        </is>
      </c>
      <c r="BI44">
        <f>SQRT(($J$1023-J44)^2)</f>
        <v/>
      </c>
      <c r="BJ44">
        <f>SQRT(($R$1023-R44)^2)</f>
        <v/>
      </c>
      <c r="BK44" s="125" t="inlineStr">
        <is>
          <t>W10X17</t>
        </is>
      </c>
      <c r="BP44">
        <f>SQRT(($J$1024-J44)^2)</f>
        <v/>
      </c>
      <c r="BQ44">
        <f>SQRT(($R$1024-R44)^2)</f>
        <v/>
      </c>
      <c r="BR44" s="125" t="inlineStr">
        <is>
          <t>W10X17</t>
        </is>
      </c>
      <c r="BW44">
        <f>SQRT(($J$1025-J44)^2)</f>
        <v/>
      </c>
      <c r="BX44">
        <f>SQRT(($R$1025-R44)^2)</f>
        <v/>
      </c>
      <c r="BY44" s="125" t="inlineStr">
        <is>
          <t>W10X17</t>
        </is>
      </c>
      <c r="CD44">
        <f>SQRT(($J$1026-J44)^2)</f>
        <v/>
      </c>
      <c r="CE44">
        <f>SQRT(($R$1026-R44)^2)</f>
        <v/>
      </c>
      <c r="CF44" s="125" t="inlineStr">
        <is>
          <t>W10X17</t>
        </is>
      </c>
    </row>
    <row r="45">
      <c r="A45" s="125" t="inlineStr">
        <is>
          <t>W10X19</t>
        </is>
      </c>
      <c r="B45" s="129" t="inlineStr">
        <is>
          <t>AISC</t>
        </is>
      </c>
      <c r="C45" s="125" t="n">
        <v>28.3</v>
      </c>
      <c r="D45" s="125" t="n">
        <v>260.4</v>
      </c>
      <c r="E45" s="125" t="n">
        <v>102.2</v>
      </c>
      <c r="F45" s="125" t="n">
        <v>10</v>
      </c>
      <c r="G45" s="125" t="n">
        <v>6.3</v>
      </c>
      <c r="H45" s="125" t="n">
        <v>7.6</v>
      </c>
      <c r="I45" s="125" t="n">
        <v>225.2</v>
      </c>
      <c r="J45" s="125" t="n">
        <v>36.1</v>
      </c>
      <c r="K45" s="125">
        <f>((E45-G45)/2)/F45</f>
        <v/>
      </c>
      <c r="L45" s="125">
        <f>I45/G45</f>
        <v/>
      </c>
      <c r="M45" s="125" t="n">
        <v>0.904</v>
      </c>
      <c r="N45" s="125" t="n">
        <v>4005</v>
      </c>
      <c r="O45" s="125" t="n">
        <v>179</v>
      </c>
      <c r="P45" s="125" t="n">
        <v>10.5</v>
      </c>
      <c r="Q45" s="125" t="n">
        <v>2.22</v>
      </c>
      <c r="R45" s="125" t="n">
        <v>308</v>
      </c>
      <c r="S45" s="125" t="n">
        <v>34.9</v>
      </c>
      <c r="T45" s="125" t="n">
        <v>353</v>
      </c>
      <c r="U45" s="125" t="n">
        <v>54.8</v>
      </c>
      <c r="X45" s="129">
        <f t="array" ref="X45">_xlfn.IFS((D45/F45) &lt;= (640/SQRT($AT$32)), "Compact", L45 &lt;= ($AT$32*(0.79-(0.002*((E45-G45/2)/(2*F45))*SQRT($AT$32)))), "Non-Compact", L45 &gt; ($AT$32*(0.79-(0.002*((E45-G45/2)/(2*F45))*SQRT($AT$32)))), "Slender")</f>
        <v/>
      </c>
      <c r="Y45" s="129">
        <f t="array" ref="Y45">_xlfn.IFS(K45 &lt;= (65/SQRT($AT$32)), "Compact", K45 &lt;= (95/SQRT($AT$32)), "Non-Compact", K45 &gt; (95/SQRT($AT$32)), "Slender")</f>
        <v/>
      </c>
      <c r="Z45" s="125">
        <f>E45/F45</f>
        <v/>
      </c>
      <c r="AA45" s="125">
        <f>D45/G45</f>
        <v/>
      </c>
      <c r="AB45" s="125">
        <f t="array" ref="AB45">_xlfn.IFS(Z45 &lt;= 9, "1", Z45 &lt;= 12, "2", Z45 &lt;= 15, "3", Z45 &gt; 15, "4")</f>
        <v/>
      </c>
      <c r="AC45" s="125">
        <f t="array" ref="AC45">_xlfn.IFS(AA45 &lt;= 200, "1", L45 &lt;= 300, "2", L45 &lt;= 400, "3", L45 &gt; 400, "4")</f>
        <v/>
      </c>
      <c r="AD45" s="129">
        <f>SQRT((((VLOOKUP($AT$4,$A$4:$D$1021,4,FALSE))-D45)^2)+(((VLOOKUP($AT$4,$A$4:$E$1021,5,FALSE))-E45)^2)+(((VLOOKUP($AT$4,$A$4:$N$1021,14,FALSE))-N45)^2)+(((VLOOKUP($AT$4,$A$4:$O$1021,15,FALSE))-O45)^2))</f>
        <v/>
      </c>
      <c r="AG45" s="129">
        <f>SQRT((((VLOOKUP($AT$4,$A$4:$D$1021,4,FALSE))-D45)^2)+(((VLOOKUP($AT$4,$A$4:$E$1021,5,FALSE))-E45)^2)+(((VLOOKUP($AT$4,$A$4:$R$1021,18,FALSE))-R45)^2)+(((VLOOKUP($AT$4,$A$4:$S$1021,19,FALSE))-S45)^2))</f>
        <v/>
      </c>
      <c r="AH45" s="125" t="n"/>
      <c r="AI45" s="125" t="n"/>
      <c r="AJ45" s="125" t="inlineStr">
        <is>
          <t>W10X19</t>
        </is>
      </c>
      <c r="AK45" s="125">
        <f>SQRT(((VLOOKUP($AT$4,$A$4:$J$1021,10,FALSE))-J45)^2)</f>
        <v/>
      </c>
      <c r="AL45" s="125" t="n"/>
      <c r="AM45" s="125" t="n"/>
      <c r="AN45" s="125">
        <f>SQRT(((VLOOKUP($AT$4,$A$4:$R$1021,18,FALSE))-R45)^2)</f>
        <v/>
      </c>
      <c r="AO45" s="125" t="n"/>
      <c r="AP45" s="125" t="n"/>
      <c r="AQ45" s="125" t="inlineStr">
        <is>
          <t>W10X19</t>
        </is>
      </c>
      <c r="AR45" s="125" t="n"/>
      <c r="AS45" s="125" t="n"/>
      <c r="AT45" s="125" t="n"/>
      <c r="AU45" s="125" t="n"/>
      <c r="AV45" s="125" t="n"/>
      <c r="AW45" s="125" t="n"/>
      <c r="AX45" s="125" t="n"/>
      <c r="AY45" s="125" t="n"/>
      <c r="AZ45" s="125" t="n"/>
      <c r="BA45" s="125" t="n"/>
      <c r="BB45" s="125">
        <f>SQRT(($J$1022-J45)^2)</f>
        <v/>
      </c>
      <c r="BC45" s="125">
        <f>SQRT(($R$1022-R45)^2)</f>
        <v/>
      </c>
      <c r="BD45" s="125" t="inlineStr">
        <is>
          <t>W10X19</t>
        </is>
      </c>
      <c r="BI45">
        <f>SQRT(($J$1023-J45)^2)</f>
        <v/>
      </c>
      <c r="BJ45">
        <f>SQRT(($R$1023-R45)^2)</f>
        <v/>
      </c>
      <c r="BK45" s="125" t="inlineStr">
        <is>
          <t>W10X19</t>
        </is>
      </c>
      <c r="BP45">
        <f>SQRT(($J$1024-J45)^2)</f>
        <v/>
      </c>
      <c r="BQ45">
        <f>SQRT(($R$1024-R45)^2)</f>
        <v/>
      </c>
      <c r="BR45" s="125" t="inlineStr">
        <is>
          <t>W10X19</t>
        </is>
      </c>
      <c r="BW45">
        <f>SQRT(($J$1025-J45)^2)</f>
        <v/>
      </c>
      <c r="BX45">
        <f>SQRT(($R$1025-R45)^2)</f>
        <v/>
      </c>
      <c r="BY45" s="125" t="inlineStr">
        <is>
          <t>W10X19</t>
        </is>
      </c>
      <c r="CD45">
        <f>SQRT(($J$1026-J45)^2)</f>
        <v/>
      </c>
      <c r="CE45">
        <f>SQRT(($R$1026-R45)^2)</f>
        <v/>
      </c>
      <c r="CF45" s="125" t="inlineStr">
        <is>
          <t>W10X19</t>
        </is>
      </c>
    </row>
    <row r="46">
      <c r="A46" s="125" t="inlineStr">
        <is>
          <t>W10X16</t>
        </is>
      </c>
      <c r="B46" s="129" t="inlineStr">
        <is>
          <t>AISC</t>
        </is>
      </c>
      <c r="C46" s="125" t="n">
        <v>24</v>
      </c>
      <c r="D46" s="125" t="n">
        <v>253</v>
      </c>
      <c r="E46" s="125" t="n">
        <v>145</v>
      </c>
      <c r="F46" s="125" t="n">
        <v>6.4</v>
      </c>
      <c r="G46" s="125" t="n">
        <v>5</v>
      </c>
      <c r="H46" s="125" t="n">
        <v>7.6</v>
      </c>
      <c r="I46" s="125" t="n">
        <v>224.2</v>
      </c>
      <c r="J46" s="125" t="n">
        <v>31.1</v>
      </c>
      <c r="K46" s="125">
        <f>((E46-G46)/2)/F46</f>
        <v/>
      </c>
      <c r="L46" s="125">
        <f>I46/G46</f>
        <v/>
      </c>
      <c r="M46" s="125" t="n">
        <v>1.06</v>
      </c>
      <c r="N46" s="125" t="n">
        <v>3477</v>
      </c>
      <c r="O46" s="125" t="n">
        <v>326</v>
      </c>
      <c r="P46" s="125" t="n">
        <v>10.6</v>
      </c>
      <c r="Q46" s="125" t="n">
        <v>3.23</v>
      </c>
      <c r="R46" s="125" t="n">
        <v>275</v>
      </c>
      <c r="S46" s="125" t="n">
        <v>44.9</v>
      </c>
      <c r="T46" s="125" t="n">
        <v>308</v>
      </c>
      <c r="U46" s="125" t="n">
        <v>69</v>
      </c>
      <c r="X46" s="129">
        <f t="array" ref="X46">_xlfn.IFS((D46/F46) &lt;= (640/SQRT($AT$32)), "Compact", L46 &lt;= ($AT$32*(0.79-(0.002*((E46-G46/2)/(2*F46))*SQRT($AT$32)))), "Non-Compact", L46 &gt; ($AT$32*(0.79-(0.002*((E46-G46/2)/(2*F46))*SQRT($AT$32)))), "Slender")</f>
        <v/>
      </c>
      <c r="Y46" s="129">
        <f t="array" ref="Y46">_xlfn.IFS(K46 &lt;= (65/SQRT($AT$32)), "Compact", K46 &lt;= (95/SQRT($AT$32)), "Non-Compact", K46 &gt; (95/SQRT($AT$32)), "Slender")</f>
        <v/>
      </c>
      <c r="Z46" s="125">
        <f>E46/F46</f>
        <v/>
      </c>
      <c r="AA46" s="125">
        <f>D46/G46</f>
        <v/>
      </c>
      <c r="AB46" s="125">
        <f t="array" ref="AB46">_xlfn.IFS(Z46 &lt;= 9, "1", Z46 &lt;= 12, "2", Z46 &lt;= 15, "3", Z46 &gt; 15, "4")</f>
        <v/>
      </c>
      <c r="AC46" s="125">
        <f t="array" ref="AC46">_xlfn.IFS(AA46 &lt;= 200, "1", L46 &lt;= 300, "2", L46 &lt;= 400, "3", L46 &gt; 400, "4")</f>
        <v/>
      </c>
      <c r="AD46" s="129">
        <f>SQRT((((VLOOKUP($AT$4,$A$4:$D$1021,4,FALSE))-D46)^2)+(((VLOOKUP($AT$4,$A$4:$E$1021,5,FALSE))-E46)^2)+(((VLOOKUP($AT$4,$A$4:$N$1021,14,FALSE))-N46)^2)+(((VLOOKUP($AT$4,$A$4:$O$1021,15,FALSE))-O46)^2))</f>
        <v/>
      </c>
      <c r="AG46" s="129">
        <f>SQRT((((VLOOKUP($AT$4,$A$4:$D$1021,4,FALSE))-D46)^2)+(((VLOOKUP($AT$4,$A$4:$E$1021,5,FALSE))-E46)^2)+(((VLOOKUP($AT$4,$A$4:$R$1021,18,FALSE))-R46)^2)+(((VLOOKUP($AT$4,$A$4:$S$1021,19,FALSE))-S46)^2))</f>
        <v/>
      </c>
      <c r="AH46" s="125" t="n"/>
      <c r="AI46" s="125" t="n"/>
      <c r="AJ46" s="125" t="inlineStr">
        <is>
          <t>W10X16</t>
        </is>
      </c>
      <c r="AK46" s="125">
        <f>SQRT(((VLOOKUP($AT$4,$A$4:$J$1021,10,FALSE))-J46)^2)</f>
        <v/>
      </c>
      <c r="AL46" s="125" t="n"/>
      <c r="AM46" s="125" t="n"/>
      <c r="AN46" s="125">
        <f>SQRT(((VLOOKUP($AT$4,$A$4:$R$1021,18,FALSE))-R46)^2)</f>
        <v/>
      </c>
      <c r="AO46" s="125" t="n"/>
      <c r="AP46" s="125" t="n"/>
      <c r="AQ46" s="125" t="inlineStr">
        <is>
          <t>W10X16</t>
        </is>
      </c>
      <c r="AR46" s="125" t="n"/>
      <c r="AS46" s="125" t="n"/>
      <c r="AT46" s="125" t="n"/>
      <c r="AU46" s="125" t="n"/>
      <c r="AV46" s="125" t="n"/>
      <c r="AW46" s="125" t="n"/>
      <c r="AX46" s="125" t="n"/>
      <c r="AY46" s="125" t="n"/>
      <c r="AZ46" s="125" t="n"/>
      <c r="BA46" s="125" t="n"/>
      <c r="BB46" s="125">
        <f>SQRT(($J$1022-J46)^2)</f>
        <v/>
      </c>
      <c r="BC46" s="125">
        <f>SQRT(($R$1022-R46)^2)</f>
        <v/>
      </c>
      <c r="BD46" s="125" t="inlineStr">
        <is>
          <t>W10X16</t>
        </is>
      </c>
      <c r="BI46">
        <f>SQRT(($J$1023-J46)^2)</f>
        <v/>
      </c>
      <c r="BJ46">
        <f>SQRT(($R$1023-R46)^2)</f>
        <v/>
      </c>
      <c r="BK46" s="125" t="inlineStr">
        <is>
          <t>W10X16</t>
        </is>
      </c>
      <c r="BP46">
        <f>SQRT(($J$1024-J46)^2)</f>
        <v/>
      </c>
      <c r="BQ46">
        <f>SQRT(($R$1024-R46)^2)</f>
        <v/>
      </c>
      <c r="BR46" s="125" t="inlineStr">
        <is>
          <t>W10X16</t>
        </is>
      </c>
      <c r="BW46">
        <f>SQRT(($J$1025-J46)^2)</f>
        <v/>
      </c>
      <c r="BX46">
        <f>SQRT(($R$1025-R46)^2)</f>
        <v/>
      </c>
      <c r="BY46" s="125" t="inlineStr">
        <is>
          <t>W10X16</t>
        </is>
      </c>
      <c r="CD46">
        <f>SQRT(($J$1026-J46)^2)</f>
        <v/>
      </c>
      <c r="CE46">
        <f>SQRT(($R$1026-R46)^2)</f>
        <v/>
      </c>
      <c r="CF46" s="125" t="inlineStr">
        <is>
          <t>W10X16</t>
        </is>
      </c>
    </row>
    <row r="47">
      <c r="A47" s="125" t="inlineStr">
        <is>
          <t>W10X21</t>
        </is>
      </c>
      <c r="B47" s="129" t="inlineStr">
        <is>
          <t>AISC</t>
        </is>
      </c>
      <c r="C47" s="125" t="n">
        <v>31.1</v>
      </c>
      <c r="D47" s="125" t="n">
        <v>251.4</v>
      </c>
      <c r="E47" s="125" t="n">
        <v>146.1</v>
      </c>
      <c r="F47" s="125" t="n">
        <v>8.6</v>
      </c>
      <c r="G47" s="125" t="n">
        <v>6</v>
      </c>
      <c r="H47" s="125" t="n">
        <v>7.6</v>
      </c>
      <c r="I47" s="125" t="n">
        <v>219</v>
      </c>
      <c r="J47" s="125" t="n">
        <v>39.7</v>
      </c>
      <c r="K47" s="125">
        <f>((E47-G47)/2)/F47</f>
        <v/>
      </c>
      <c r="L47" s="125">
        <f>I47/G47</f>
        <v/>
      </c>
      <c r="M47" s="125" t="n">
        <v>1.06</v>
      </c>
      <c r="N47" s="125" t="n">
        <v>4413</v>
      </c>
      <c r="O47" s="125" t="n">
        <v>448</v>
      </c>
      <c r="P47" s="125" t="n">
        <v>10.5</v>
      </c>
      <c r="Q47" s="125" t="n">
        <v>3.36</v>
      </c>
      <c r="R47" s="125" t="n">
        <v>351</v>
      </c>
      <c r="S47" s="125" t="n">
        <v>61.3</v>
      </c>
      <c r="T47" s="125" t="n">
        <v>393</v>
      </c>
      <c r="U47" s="125" t="n">
        <v>94.09999999999999</v>
      </c>
      <c r="X47" s="129">
        <f t="array" ref="X47">_xlfn.IFS((D47/F47) &lt;= (640/SQRT($AT$32)), "Compact", L47 &lt;= ($AT$32*(0.79-(0.002*((E47-G47/2)/(2*F47))*SQRT($AT$32)))), "Non-Compact", L47 &gt; ($AT$32*(0.79-(0.002*((E47-G47/2)/(2*F47))*SQRT($AT$32)))), "Slender")</f>
        <v/>
      </c>
      <c r="Y47" s="129">
        <f t="array" ref="Y47">_xlfn.IFS(K47 &lt;= (65/SQRT($AT$32)), "Compact", K47 &lt;= (95/SQRT($AT$32)), "Non-Compact", K47 &gt; (95/SQRT($AT$32)), "Slender")</f>
        <v/>
      </c>
      <c r="Z47" s="125">
        <f>E47/F47</f>
        <v/>
      </c>
      <c r="AA47" s="125">
        <f>D47/G47</f>
        <v/>
      </c>
      <c r="AB47" s="125">
        <f t="array" ref="AB47">_xlfn.IFS(Z47 &lt;= 9, "1", Z47 &lt;= 12, "2", Z47 &lt;= 15, "3", Z47 &gt; 15, "4")</f>
        <v/>
      </c>
      <c r="AC47" s="125">
        <f t="array" ref="AC47">_xlfn.IFS(AA47 &lt;= 200, "1", L47 &lt;= 300, "2", L47 &lt;= 400, "3", L47 &gt; 400, "4")</f>
        <v/>
      </c>
      <c r="AD47" s="129">
        <f>SQRT((((VLOOKUP($AT$4,$A$4:$D$1021,4,FALSE))-D47)^2)+(((VLOOKUP($AT$4,$A$4:$E$1021,5,FALSE))-E47)^2)+(((VLOOKUP($AT$4,$A$4:$N$1021,14,FALSE))-N47)^2)+(((VLOOKUP($AT$4,$A$4:$O$1021,15,FALSE))-O47)^2))</f>
        <v/>
      </c>
      <c r="AG47" s="129">
        <f>SQRT((((VLOOKUP($AT$4,$A$4:$D$1021,4,FALSE))-D47)^2)+(((VLOOKUP($AT$4,$A$4:$E$1021,5,FALSE))-E47)^2)+(((VLOOKUP($AT$4,$A$4:$R$1021,18,FALSE))-R47)^2)+(((VLOOKUP($AT$4,$A$4:$S$1021,19,FALSE))-S47)^2))</f>
        <v/>
      </c>
      <c r="AH47" s="125" t="n"/>
      <c r="AI47" s="125" t="n"/>
      <c r="AJ47" s="125" t="inlineStr">
        <is>
          <t>W10X21</t>
        </is>
      </c>
      <c r="AK47" s="125">
        <f>SQRT(((VLOOKUP($AT$4,$A$4:$J$1021,10,FALSE))-J47)^2)</f>
        <v/>
      </c>
      <c r="AL47" s="125" t="n"/>
      <c r="AM47" s="125" t="n"/>
      <c r="AN47" s="125">
        <f>SQRT(((VLOOKUP($AT$4,$A$4:$R$1021,18,FALSE))-R47)^2)</f>
        <v/>
      </c>
      <c r="AO47" s="125" t="n"/>
      <c r="AP47" s="125" t="n"/>
      <c r="AQ47" s="125" t="inlineStr">
        <is>
          <t>W10X21</t>
        </is>
      </c>
      <c r="AR47" s="125" t="n"/>
      <c r="AS47" s="125" t="n"/>
      <c r="AT47" s="125" t="n"/>
      <c r="AU47" s="125" t="n"/>
      <c r="AV47" s="125" t="n"/>
      <c r="AW47" s="125" t="n"/>
      <c r="AX47" s="125" t="n"/>
      <c r="AY47" s="125" t="n"/>
      <c r="AZ47" s="125" t="n"/>
      <c r="BA47" s="125" t="n"/>
      <c r="BB47" s="125">
        <f>SQRT(($J$1022-J47)^2)</f>
        <v/>
      </c>
      <c r="BC47" s="125">
        <f>SQRT(($R$1022-R47)^2)</f>
        <v/>
      </c>
      <c r="BD47" s="125" t="inlineStr">
        <is>
          <t>W10X21</t>
        </is>
      </c>
      <c r="BI47">
        <f>SQRT(($J$1023-J47)^2)</f>
        <v/>
      </c>
      <c r="BJ47">
        <f>SQRT(($R$1023-R47)^2)</f>
        <v/>
      </c>
      <c r="BK47" s="125" t="inlineStr">
        <is>
          <t>W10X21</t>
        </is>
      </c>
      <c r="BP47">
        <f>SQRT(($J$1024-J47)^2)</f>
        <v/>
      </c>
      <c r="BQ47">
        <f>SQRT(($R$1024-R47)^2)</f>
        <v/>
      </c>
      <c r="BR47" s="125" t="inlineStr">
        <is>
          <t>W10X21</t>
        </is>
      </c>
      <c r="BW47">
        <f>SQRT(($J$1025-J47)^2)</f>
        <v/>
      </c>
      <c r="BX47">
        <f>SQRT(($R$1025-R47)^2)</f>
        <v/>
      </c>
      <c r="BY47" s="125" t="inlineStr">
        <is>
          <t>W10X21</t>
        </is>
      </c>
      <c r="CD47">
        <f>SQRT(($J$1026-J47)^2)</f>
        <v/>
      </c>
      <c r="CE47">
        <f>SQRT(($R$1026-R47)^2)</f>
        <v/>
      </c>
      <c r="CF47" s="125" t="inlineStr">
        <is>
          <t>W10X21</t>
        </is>
      </c>
    </row>
    <row r="48">
      <c r="A48" s="125" t="inlineStr">
        <is>
          <t>W10X22</t>
        </is>
      </c>
      <c r="B48" s="129" t="inlineStr">
        <is>
          <t>AISC</t>
        </is>
      </c>
      <c r="C48" s="125" t="n">
        <v>32.7</v>
      </c>
      <c r="D48" s="125" t="n">
        <v>258.3</v>
      </c>
      <c r="E48" s="125" t="n">
        <v>146</v>
      </c>
      <c r="F48" s="125" t="n">
        <v>9.1</v>
      </c>
      <c r="G48" s="125" t="n">
        <v>6.1</v>
      </c>
      <c r="H48" s="125" t="n">
        <v>7.6</v>
      </c>
      <c r="I48" s="125" t="n">
        <v>224.8</v>
      </c>
      <c r="J48" s="125" t="n">
        <v>41.8</v>
      </c>
      <c r="K48" s="125">
        <f>((E48-G48)/2)/F48</f>
        <v/>
      </c>
      <c r="L48" s="125">
        <f>I48/G48</f>
        <v/>
      </c>
      <c r="M48" s="125" t="n">
        <v>1.08</v>
      </c>
      <c r="N48" s="125" t="n">
        <v>4917</v>
      </c>
      <c r="O48" s="125" t="n">
        <v>475</v>
      </c>
      <c r="P48" s="125" t="n">
        <v>10.8</v>
      </c>
      <c r="Q48" s="125" t="n">
        <v>3.37</v>
      </c>
      <c r="R48" s="125" t="n">
        <v>381</v>
      </c>
      <c r="S48" s="125" t="n">
        <v>65</v>
      </c>
      <c r="T48" s="125" t="n">
        <v>426</v>
      </c>
      <c r="U48" s="125" t="n">
        <v>100</v>
      </c>
      <c r="X48" s="129">
        <f t="array" ref="X48">_xlfn.IFS((D48/F48) &lt;= (640/SQRT($AT$32)), "Compact", L48 &lt;= ($AT$32*(0.79-(0.002*((E48-G48/2)/(2*F48))*SQRT($AT$32)))), "Non-Compact", L48 &gt; ($AT$32*(0.79-(0.002*((E48-G48/2)/(2*F48))*SQRT($AT$32)))), "Slender")</f>
        <v/>
      </c>
      <c r="Y48" s="129">
        <f t="array" ref="Y48">_xlfn.IFS(K48 &lt;= (65/SQRT($AT$32)), "Compact", K48 &lt;= (95/SQRT($AT$32)), "Non-Compact", K48 &gt; (95/SQRT($AT$32)), "Slender")</f>
        <v/>
      </c>
      <c r="Z48" s="125">
        <f>E48/F48</f>
        <v/>
      </c>
      <c r="AA48" s="125">
        <f>D48/G48</f>
        <v/>
      </c>
      <c r="AB48" s="125">
        <f t="array" ref="AB48">_xlfn.IFS(Z48 &lt;= 9, "1", Z48 &lt;= 12, "2", Z48 &lt;= 15, "3", Z48 &gt; 15, "4")</f>
        <v/>
      </c>
      <c r="AC48" s="125">
        <f t="array" ref="AC48">_xlfn.IFS(AA48 &lt;= 200, "1", L48 &lt;= 300, "2", L48 &lt;= 400, "3", L48 &gt; 400, "4")</f>
        <v/>
      </c>
      <c r="AD48" s="129">
        <f>SQRT((((VLOOKUP($AT$4,$A$4:$D$1021,4,FALSE))-D48)^2)+(((VLOOKUP($AT$4,$A$4:$E$1021,5,FALSE))-E48)^2)+(((VLOOKUP($AT$4,$A$4:$N$1021,14,FALSE))-N48)^2)+(((VLOOKUP($AT$4,$A$4:$O$1021,15,FALSE))-O48)^2))</f>
        <v/>
      </c>
      <c r="AG48" s="129">
        <f>SQRT((((VLOOKUP($AT$4,$A$4:$D$1021,4,FALSE))-D48)^2)+(((VLOOKUP($AT$4,$A$4:$E$1021,5,FALSE))-E48)^2)+(((VLOOKUP($AT$4,$A$4:$R$1021,18,FALSE))-R48)^2)+(((VLOOKUP($AT$4,$A$4:$S$1021,19,FALSE))-S48)^2))</f>
        <v/>
      </c>
      <c r="AH48" s="125" t="n"/>
      <c r="AI48" s="125" t="n"/>
      <c r="AJ48" s="125" t="inlineStr">
        <is>
          <t>W10X22</t>
        </is>
      </c>
      <c r="AK48" s="125">
        <f>SQRT(((VLOOKUP($AT$4,$A$4:$J$1021,10,FALSE))-J48)^2)</f>
        <v/>
      </c>
      <c r="AL48" s="125" t="n"/>
      <c r="AM48" s="125" t="n"/>
      <c r="AN48" s="125">
        <f>SQRT(((VLOOKUP($AT$4,$A$4:$R$1021,18,FALSE))-R48)^2)</f>
        <v/>
      </c>
      <c r="AO48" s="125" t="n"/>
      <c r="AP48" s="125" t="n"/>
      <c r="AQ48" s="125" t="inlineStr">
        <is>
          <t>W10X22</t>
        </is>
      </c>
      <c r="AR48" s="125" t="n"/>
      <c r="AS48" s="125" t="n"/>
      <c r="AT48" s="125" t="n"/>
      <c r="AU48" s="125" t="n"/>
      <c r="AV48" s="125" t="n"/>
      <c r="AW48" s="125" t="n"/>
      <c r="AX48" s="125" t="n"/>
      <c r="AY48" s="125" t="n"/>
      <c r="AZ48" s="125" t="n"/>
      <c r="BA48" s="125" t="n"/>
      <c r="BB48" s="125">
        <f>SQRT(($J$1022-J48)^2)</f>
        <v/>
      </c>
      <c r="BC48" s="125">
        <f>SQRT(($R$1022-R48)^2)</f>
        <v/>
      </c>
      <c r="BD48" s="125" t="inlineStr">
        <is>
          <t>W10X22</t>
        </is>
      </c>
      <c r="BI48">
        <f>SQRT(($J$1023-J48)^2)</f>
        <v/>
      </c>
      <c r="BJ48">
        <f>SQRT(($R$1023-R48)^2)</f>
        <v/>
      </c>
      <c r="BK48" s="125" t="inlineStr">
        <is>
          <t>W10X22</t>
        </is>
      </c>
      <c r="BP48">
        <f>SQRT(($J$1024-J48)^2)</f>
        <v/>
      </c>
      <c r="BQ48">
        <f>SQRT(($R$1024-R48)^2)</f>
        <v/>
      </c>
      <c r="BR48" s="125" t="inlineStr">
        <is>
          <t>W10X22</t>
        </is>
      </c>
      <c r="BW48">
        <f>SQRT(($J$1025-J48)^2)</f>
        <v/>
      </c>
      <c r="BX48">
        <f>SQRT(($R$1025-R48)^2)</f>
        <v/>
      </c>
      <c r="BY48" s="125" t="inlineStr">
        <is>
          <t>W10X22</t>
        </is>
      </c>
      <c r="CD48">
        <f>SQRT(($J$1026-J48)^2)</f>
        <v/>
      </c>
      <c r="CE48">
        <f>SQRT(($R$1026-R48)^2)</f>
        <v/>
      </c>
      <c r="CF48" s="125" t="inlineStr">
        <is>
          <t>W10X22</t>
        </is>
      </c>
    </row>
    <row r="49">
      <c r="A49" s="125" t="inlineStr">
        <is>
          <t>W10X25</t>
        </is>
      </c>
      <c r="B49" s="129" t="inlineStr">
        <is>
          <t>AISC</t>
        </is>
      </c>
      <c r="C49" s="125" t="n">
        <v>37</v>
      </c>
      <c r="D49" s="125" t="n">
        <v>256</v>
      </c>
      <c r="E49" s="125" t="n">
        <v>146.4</v>
      </c>
      <c r="F49" s="125" t="n">
        <v>10.9</v>
      </c>
      <c r="G49" s="125" t="n">
        <v>6.3</v>
      </c>
      <c r="H49" s="125" t="n">
        <v>7.6</v>
      </c>
      <c r="I49" s="125" t="n">
        <v>219</v>
      </c>
      <c r="J49" s="125" t="n">
        <v>47.2</v>
      </c>
      <c r="K49" s="125">
        <f>((E49-G49)/2)/F49</f>
        <v/>
      </c>
      <c r="L49" s="125">
        <f>I49/G49</f>
        <v/>
      </c>
      <c r="M49" s="125" t="n">
        <v>1.07</v>
      </c>
      <c r="N49" s="125" t="n">
        <v>5537</v>
      </c>
      <c r="O49" s="125" t="n">
        <v>571</v>
      </c>
      <c r="P49" s="125" t="n">
        <v>10.8</v>
      </c>
      <c r="Q49" s="125" t="n">
        <v>3.48</v>
      </c>
      <c r="R49" s="125" t="n">
        <v>433</v>
      </c>
      <c r="S49" s="125" t="n">
        <v>78</v>
      </c>
      <c r="T49" s="125" t="n">
        <v>483</v>
      </c>
      <c r="U49" s="125" t="n">
        <v>119</v>
      </c>
      <c r="X49" s="129">
        <f t="array" ref="X49">_xlfn.IFS((D49/F49) &lt;= (640/SQRT($AT$32)), "Compact", L49 &lt;= ($AT$32*(0.79-(0.002*((E49-G49/2)/(2*F49))*SQRT($AT$32)))), "Non-Compact", L49 &gt; ($AT$32*(0.79-(0.002*((E49-G49/2)/(2*F49))*SQRT($AT$32)))), "Slender")</f>
        <v/>
      </c>
      <c r="Y49" s="129">
        <f t="array" ref="Y49">_xlfn.IFS(K49 &lt;= (65/SQRT($AT$32)), "Compact", K49 &lt;= (95/SQRT($AT$32)), "Non-Compact", K49 &gt; (95/SQRT($AT$32)), "Slender")</f>
        <v/>
      </c>
      <c r="Z49" s="125">
        <f>E49/F49</f>
        <v/>
      </c>
      <c r="AA49" s="125">
        <f>D49/G49</f>
        <v/>
      </c>
      <c r="AB49" s="125">
        <f t="array" ref="AB49">_xlfn.IFS(Z49 &lt;= 9, "1", Z49 &lt;= 12, "2", Z49 &lt;= 15, "3", Z49 &gt; 15, "4")</f>
        <v/>
      </c>
      <c r="AC49" s="125">
        <f t="array" ref="AC49">_xlfn.IFS(AA49 &lt;= 200, "1", L49 &lt;= 300, "2", L49 &lt;= 400, "3", L49 &gt; 400, "4")</f>
        <v/>
      </c>
      <c r="AD49" s="129">
        <f>SQRT((((VLOOKUP($AT$4,$A$4:$D$1021,4,FALSE))-D49)^2)+(((VLOOKUP($AT$4,$A$4:$E$1021,5,FALSE))-E49)^2)+(((VLOOKUP($AT$4,$A$4:$N$1021,14,FALSE))-N49)^2)+(((VLOOKUP($AT$4,$A$4:$O$1021,15,FALSE))-O49)^2))</f>
        <v/>
      </c>
      <c r="AG49" s="129">
        <f>SQRT((((VLOOKUP($AT$4,$A$4:$D$1021,4,FALSE))-D49)^2)+(((VLOOKUP($AT$4,$A$4:$E$1021,5,FALSE))-E49)^2)+(((VLOOKUP($AT$4,$A$4:$R$1021,18,FALSE))-R49)^2)+(((VLOOKUP($AT$4,$A$4:$S$1021,19,FALSE))-S49)^2))</f>
        <v/>
      </c>
      <c r="AH49" s="125" t="n"/>
      <c r="AI49" s="125" t="n"/>
      <c r="AJ49" s="125" t="inlineStr">
        <is>
          <t>W10X25</t>
        </is>
      </c>
      <c r="AK49" s="125">
        <f>SQRT(((VLOOKUP($AT$4,$A$4:$J$1021,10,FALSE))-J49)^2)</f>
        <v/>
      </c>
      <c r="AL49" s="125" t="n"/>
      <c r="AM49" s="125" t="n"/>
      <c r="AN49" s="125">
        <f>SQRT(((VLOOKUP($AT$4,$A$4:$R$1021,18,FALSE))-R49)^2)</f>
        <v/>
      </c>
      <c r="AO49" s="125" t="n"/>
      <c r="AP49" s="125" t="n"/>
      <c r="AQ49" s="125" t="inlineStr">
        <is>
          <t>W10X25</t>
        </is>
      </c>
      <c r="AR49" s="125" t="n"/>
      <c r="AS49" s="125" t="n"/>
      <c r="AT49" s="125" t="n"/>
      <c r="AU49" s="125" t="n"/>
      <c r="AV49" s="125" t="n"/>
      <c r="AW49" s="125" t="n"/>
      <c r="AX49" s="125" t="n"/>
      <c r="AY49" s="125" t="n"/>
      <c r="AZ49" s="125" t="n"/>
      <c r="BA49" s="125" t="n"/>
      <c r="BB49" s="125">
        <f>SQRT(($J$1022-J49)^2)</f>
        <v/>
      </c>
      <c r="BC49" s="125">
        <f>SQRT(($R$1022-R49)^2)</f>
        <v/>
      </c>
      <c r="BD49" s="125" t="inlineStr">
        <is>
          <t>W10X25</t>
        </is>
      </c>
      <c r="BI49">
        <f>SQRT(($J$1023-J49)^2)</f>
        <v/>
      </c>
      <c r="BJ49">
        <f>SQRT(($R$1023-R49)^2)</f>
        <v/>
      </c>
      <c r="BK49" s="125" t="inlineStr">
        <is>
          <t>W10X25</t>
        </is>
      </c>
      <c r="BP49">
        <f>SQRT(($J$1024-J49)^2)</f>
        <v/>
      </c>
      <c r="BQ49">
        <f>SQRT(($R$1024-R49)^2)</f>
        <v/>
      </c>
      <c r="BR49" s="125" t="inlineStr">
        <is>
          <t>W10X25</t>
        </is>
      </c>
      <c r="BW49">
        <f>SQRT(($J$1025-J49)^2)</f>
        <v/>
      </c>
      <c r="BX49">
        <f>SQRT(($R$1025-R49)^2)</f>
        <v/>
      </c>
      <c r="BY49" s="125" t="inlineStr">
        <is>
          <t>W10X25</t>
        </is>
      </c>
      <c r="CD49">
        <f>SQRT(($J$1026-J49)^2)</f>
        <v/>
      </c>
      <c r="CE49">
        <f>SQRT(($R$1026-R49)^2)</f>
        <v/>
      </c>
      <c r="CF49" s="125" t="inlineStr">
        <is>
          <t>W10X25</t>
        </is>
      </c>
    </row>
    <row r="50">
      <c r="A50" s="125" t="inlineStr">
        <is>
          <t>W10X26</t>
        </is>
      </c>
      <c r="B50" s="129" t="inlineStr">
        <is>
          <t>AISC</t>
        </is>
      </c>
      <c r="C50" s="125" t="n">
        <v>38.7</v>
      </c>
      <c r="D50" s="125" t="n">
        <v>262.4</v>
      </c>
      <c r="E50" s="125" t="n">
        <v>146.6</v>
      </c>
      <c r="F50" s="125" t="n">
        <v>11.1</v>
      </c>
      <c r="G50" s="125" t="n">
        <v>6.6</v>
      </c>
      <c r="H50" s="125" t="n">
        <v>7.6</v>
      </c>
      <c r="I50" s="125" t="n">
        <v>225</v>
      </c>
      <c r="J50" s="125" t="n">
        <v>48.9</v>
      </c>
      <c r="K50" s="125">
        <f>((E50-G50)/2)/F50</f>
        <v/>
      </c>
      <c r="L50" s="125">
        <f>I50/G50</f>
        <v/>
      </c>
      <c r="M50" s="125" t="n">
        <v>1.08</v>
      </c>
      <c r="N50" s="125" t="n">
        <v>5974</v>
      </c>
      <c r="O50" s="125" t="n">
        <v>584</v>
      </c>
      <c r="P50" s="125" t="n">
        <v>11.1</v>
      </c>
      <c r="Q50" s="125" t="n">
        <v>3.45</v>
      </c>
      <c r="R50" s="125" t="n">
        <v>455</v>
      </c>
      <c r="S50" s="125" t="n">
        <v>79.59999999999999</v>
      </c>
      <c r="T50" s="125" t="n">
        <v>510</v>
      </c>
      <c r="U50" s="125" t="n">
        <v>122</v>
      </c>
      <c r="X50" s="129">
        <f t="array" ref="X50">_xlfn.IFS((D50/F50) &lt;= (640/SQRT($AT$32)), "Compact", L50 &lt;= ($AT$32*(0.79-(0.002*((E50-G50/2)/(2*F50))*SQRT($AT$32)))), "Non-Compact", L50 &gt; ($AT$32*(0.79-(0.002*((E50-G50/2)/(2*F50))*SQRT($AT$32)))), "Slender")</f>
        <v/>
      </c>
      <c r="Y50" s="129">
        <f t="array" ref="Y50">_xlfn.IFS(K50 &lt;= (65/SQRT($AT$32)), "Compact", K50 &lt;= (95/SQRT($AT$32)), "Non-Compact", K50 &gt; (95/SQRT($AT$32)), "Slender")</f>
        <v/>
      </c>
      <c r="Z50" s="125">
        <f>E50/F50</f>
        <v/>
      </c>
      <c r="AA50" s="125">
        <f>D50/G50</f>
        <v/>
      </c>
      <c r="AB50" s="125">
        <f t="array" ref="AB50">_xlfn.IFS(Z50 &lt;= 9, "1", Z50 &lt;= 12, "2", Z50 &lt;= 15, "3", Z50 &gt; 15, "4")</f>
        <v/>
      </c>
      <c r="AC50" s="125">
        <f t="array" ref="AC50">_xlfn.IFS(AA50 &lt;= 200, "1", L50 &lt;= 300, "2", L50 &lt;= 400, "3", L50 &gt; 400, "4")</f>
        <v/>
      </c>
      <c r="AD50" s="129">
        <f>SQRT((((VLOOKUP($AT$4,$A$4:$D$1021,4,FALSE))-D50)^2)+(((VLOOKUP($AT$4,$A$4:$E$1021,5,FALSE))-E50)^2)+(((VLOOKUP($AT$4,$A$4:$N$1021,14,FALSE))-N50)^2)+(((VLOOKUP($AT$4,$A$4:$O$1021,15,FALSE))-O50)^2))</f>
        <v/>
      </c>
      <c r="AG50" s="129">
        <f>SQRT((((VLOOKUP($AT$4,$A$4:$D$1021,4,FALSE))-D50)^2)+(((VLOOKUP($AT$4,$A$4:$E$1021,5,FALSE))-E50)^2)+(((VLOOKUP($AT$4,$A$4:$R$1021,18,FALSE))-R50)^2)+(((VLOOKUP($AT$4,$A$4:$S$1021,19,FALSE))-S50)^2))</f>
        <v/>
      </c>
      <c r="AJ50" s="125" t="inlineStr">
        <is>
          <t>W10X26</t>
        </is>
      </c>
      <c r="AK50" s="125">
        <f>SQRT(((VLOOKUP($AT$4,$A$4:$J$1021,10,FALSE))-J50)^2)</f>
        <v/>
      </c>
      <c r="AL50" s="125" t="n"/>
      <c r="AM50" s="125" t="n"/>
      <c r="AN50" s="125">
        <f>SQRT(((VLOOKUP($AT$4,$A$4:$R$1021,18,FALSE))-R50)^2)</f>
        <v/>
      </c>
      <c r="AO50" s="125" t="n"/>
      <c r="AP50" s="125" t="n"/>
      <c r="AQ50" s="125" t="inlineStr">
        <is>
          <t>W10X26</t>
        </is>
      </c>
      <c r="BB50" s="125">
        <f>SQRT(($J$1022-J50)^2)</f>
        <v/>
      </c>
      <c r="BC50" s="125">
        <f>SQRT(($R$1022-R50)^2)</f>
        <v/>
      </c>
      <c r="BD50" s="125" t="inlineStr">
        <is>
          <t>W10X26</t>
        </is>
      </c>
      <c r="BI50">
        <f>SQRT(($J$1023-J50)^2)</f>
        <v/>
      </c>
      <c r="BJ50">
        <f>SQRT(($R$1023-R50)^2)</f>
        <v/>
      </c>
      <c r="BK50" s="125" t="inlineStr">
        <is>
          <t>W10X26</t>
        </is>
      </c>
      <c r="BP50">
        <f>SQRT(($J$1024-J50)^2)</f>
        <v/>
      </c>
      <c r="BQ50">
        <f>SQRT(($R$1024-R50)^2)</f>
        <v/>
      </c>
      <c r="BR50" s="125" t="inlineStr">
        <is>
          <t>W10X26</t>
        </is>
      </c>
      <c r="BW50">
        <f>SQRT(($J$1025-J50)^2)</f>
        <v/>
      </c>
      <c r="BX50">
        <f>SQRT(($R$1025-R50)^2)</f>
        <v/>
      </c>
      <c r="BY50" s="125" t="inlineStr">
        <is>
          <t>W10X26</t>
        </is>
      </c>
      <c r="CD50">
        <f>SQRT(($J$1026-J50)^2)</f>
        <v/>
      </c>
      <c r="CE50">
        <f>SQRT(($R$1026-R50)^2)</f>
        <v/>
      </c>
      <c r="CF50" s="125" t="inlineStr">
        <is>
          <t>W10X26</t>
        </is>
      </c>
    </row>
    <row r="51">
      <c r="A51" s="125" t="inlineStr">
        <is>
          <t>W10X29</t>
        </is>
      </c>
      <c r="B51" s="129" t="inlineStr">
        <is>
          <t>AISC</t>
        </is>
      </c>
      <c r="C51" s="125" t="n">
        <v>43</v>
      </c>
      <c r="D51" s="125" t="n">
        <v>259.6</v>
      </c>
      <c r="E51" s="125" t="n">
        <v>147.3</v>
      </c>
      <c r="F51" s="125" t="n">
        <v>12.7</v>
      </c>
      <c r="G51" s="125" t="n">
        <v>7.2</v>
      </c>
      <c r="H51" s="125" t="n">
        <v>7.6</v>
      </c>
      <c r="I51" s="125" t="n">
        <v>219</v>
      </c>
      <c r="J51" s="125" t="n">
        <v>54.8</v>
      </c>
      <c r="K51" s="125">
        <f>((E51-G51)/2)/F51</f>
        <v/>
      </c>
      <c r="L51" s="125">
        <f>I51/G51</f>
        <v/>
      </c>
      <c r="M51" s="125" t="n">
        <v>1.08</v>
      </c>
      <c r="N51" s="125" t="n">
        <v>6544</v>
      </c>
      <c r="O51" s="125" t="n">
        <v>677</v>
      </c>
      <c r="P51" s="125" t="n">
        <v>10.9</v>
      </c>
      <c r="Q51" s="125" t="n">
        <v>3.52</v>
      </c>
      <c r="R51" s="125" t="n">
        <v>504</v>
      </c>
      <c r="S51" s="125" t="n">
        <v>92</v>
      </c>
      <c r="T51" s="125" t="n">
        <v>566</v>
      </c>
      <c r="U51" s="125" t="n">
        <v>141</v>
      </c>
      <c r="X51" s="129">
        <f t="array" ref="X51">_xlfn.IFS((D51/F51) &lt;= (640/SQRT($AT$32)), "Compact", L51 &lt;= ($AT$32*(0.79-(0.002*((E51-G51/2)/(2*F51))*SQRT($AT$32)))), "Non-Compact", L51 &gt; ($AT$32*(0.79-(0.002*((E51-G51/2)/(2*F51))*SQRT($AT$32)))), "Slender")</f>
        <v/>
      </c>
      <c r="Y51" s="129">
        <f t="array" ref="Y51">_xlfn.IFS(K51 &lt;= (65/SQRT($AT$32)), "Compact", K51 &lt;= (95/SQRT($AT$32)), "Non-Compact", K51 &gt; (95/SQRT($AT$32)), "Slender")</f>
        <v/>
      </c>
      <c r="Z51" s="125">
        <f>E51/F51</f>
        <v/>
      </c>
      <c r="AA51" s="125">
        <f>D51/G51</f>
        <v/>
      </c>
      <c r="AB51" s="125">
        <f t="array" ref="AB51">_xlfn.IFS(Z51 &lt;= 9, "1", Z51 &lt;= 12, "2", Z51 &lt;= 15, "3", Z51 &gt; 15, "4")</f>
        <v/>
      </c>
      <c r="AC51" s="125">
        <f t="array" ref="AC51">_xlfn.IFS(AA51 &lt;= 200, "1", L51 &lt;= 300, "2", L51 &lt;= 400, "3", L51 &gt; 400, "4")</f>
        <v/>
      </c>
      <c r="AD51" s="129">
        <f>SQRT((((VLOOKUP($AT$4,$A$4:$D$1021,4,FALSE))-D51)^2)+(((VLOOKUP($AT$4,$A$4:$E$1021,5,FALSE))-E51)^2)+(((VLOOKUP($AT$4,$A$4:$N$1021,14,FALSE))-N51)^2)+(((VLOOKUP($AT$4,$A$4:$O$1021,15,FALSE))-O51)^2))</f>
        <v/>
      </c>
      <c r="AG51" s="129">
        <f>SQRT((((VLOOKUP($AT$4,$A$4:$D$1021,4,FALSE))-D51)^2)+(((VLOOKUP($AT$4,$A$4:$E$1021,5,FALSE))-E51)^2)+(((VLOOKUP($AT$4,$A$4:$R$1021,18,FALSE))-R51)^2)+(((VLOOKUP($AT$4,$A$4:$S$1021,19,FALSE))-S51)^2))</f>
        <v/>
      </c>
      <c r="AJ51" s="125" t="inlineStr">
        <is>
          <t>W10X29</t>
        </is>
      </c>
      <c r="AK51" s="125">
        <f>SQRT(((VLOOKUP($AT$4,$A$4:$J$1021,10,FALSE))-J51)^2)</f>
        <v/>
      </c>
      <c r="AL51" s="125" t="n"/>
      <c r="AM51" s="125" t="n"/>
      <c r="AN51" s="125">
        <f>SQRT(((VLOOKUP($AT$4,$A$4:$R$1021,18,FALSE))-R51)^2)</f>
        <v/>
      </c>
      <c r="AO51" s="125" t="n"/>
      <c r="AP51" s="125" t="n"/>
      <c r="AQ51" s="125" t="inlineStr">
        <is>
          <t>W10X29</t>
        </is>
      </c>
      <c r="BB51" s="125">
        <f>SQRT(($J$1022-J51)^2)</f>
        <v/>
      </c>
      <c r="BC51" s="125">
        <f>SQRT(($R$1022-R51)^2)</f>
        <v/>
      </c>
      <c r="BD51" s="125" t="inlineStr">
        <is>
          <t>W10X29</t>
        </is>
      </c>
      <c r="BI51">
        <f>SQRT(($J$1023-J51)^2)</f>
        <v/>
      </c>
      <c r="BJ51">
        <f>SQRT(($R$1023-R51)^2)</f>
        <v/>
      </c>
      <c r="BK51" s="125" t="inlineStr">
        <is>
          <t>W10X29</t>
        </is>
      </c>
      <c r="BP51">
        <f>SQRT(($J$1024-J51)^2)</f>
        <v/>
      </c>
      <c r="BQ51">
        <f>SQRT(($R$1024-R51)^2)</f>
        <v/>
      </c>
      <c r="BR51" s="125" t="inlineStr">
        <is>
          <t>W10X29</t>
        </is>
      </c>
      <c r="BW51">
        <f>SQRT(($J$1025-J51)^2)</f>
        <v/>
      </c>
      <c r="BX51">
        <f>SQRT(($R$1025-R51)^2)</f>
        <v/>
      </c>
      <c r="BY51" s="125" t="inlineStr">
        <is>
          <t>W10X29</t>
        </is>
      </c>
      <c r="CD51">
        <f>SQRT(($J$1026-J51)^2)</f>
        <v/>
      </c>
      <c r="CE51">
        <f>SQRT(($R$1026-R51)^2)</f>
        <v/>
      </c>
      <c r="CF51" s="125" t="inlineStr">
        <is>
          <t>W10X29</t>
        </is>
      </c>
    </row>
    <row r="52">
      <c r="A52" s="125" t="inlineStr">
        <is>
          <t>W10X30</t>
        </is>
      </c>
      <c r="B52" s="129" t="inlineStr">
        <is>
          <t>AISC</t>
        </is>
      </c>
      <c r="C52" s="125" t="n">
        <v>44.6</v>
      </c>
      <c r="D52" s="125" t="n">
        <v>265.9</v>
      </c>
      <c r="E52" s="125" t="n">
        <v>147.6</v>
      </c>
      <c r="F52" s="125" t="n">
        <v>12.9</v>
      </c>
      <c r="G52" s="125" t="n">
        <v>7.6</v>
      </c>
      <c r="H52" s="125" t="n">
        <v>7.6</v>
      </c>
      <c r="I52" s="125" t="n">
        <v>224.9</v>
      </c>
      <c r="J52" s="125" t="n">
        <v>56.9</v>
      </c>
      <c r="K52" s="125">
        <f>((E52-G52)/2)/F52</f>
        <v/>
      </c>
      <c r="L52" s="125">
        <f>I52/G52</f>
        <v/>
      </c>
      <c r="M52" s="125" t="n">
        <v>1.09</v>
      </c>
      <c r="N52" s="125" t="n">
        <v>7048</v>
      </c>
      <c r="O52" s="125" t="n">
        <v>692</v>
      </c>
      <c r="P52" s="125" t="n">
        <v>11.1</v>
      </c>
      <c r="Q52" s="125" t="n">
        <v>3.49</v>
      </c>
      <c r="R52" s="125" t="n">
        <v>530</v>
      </c>
      <c r="S52" s="125" t="n">
        <v>93.8</v>
      </c>
      <c r="T52" s="125" t="n">
        <v>597</v>
      </c>
      <c r="U52" s="125" t="n">
        <v>144</v>
      </c>
      <c r="X52" s="129">
        <f t="array" ref="X52">_xlfn.IFS((D52/F52) &lt;= (640/SQRT($AT$32)), "Compact", L52 &lt;= ($AT$32*(0.79-(0.002*((E52-G52/2)/(2*F52))*SQRT($AT$32)))), "Non-Compact", L52 &gt; ($AT$32*(0.79-(0.002*((E52-G52/2)/(2*F52))*SQRT($AT$32)))), "Slender")</f>
        <v/>
      </c>
      <c r="Y52" s="129">
        <f t="array" ref="Y52">_xlfn.IFS(K52 &lt;= (65/SQRT($AT$32)), "Compact", K52 &lt;= (95/SQRT($AT$32)), "Non-Compact", K52 &gt; (95/SQRT($AT$32)), "Slender")</f>
        <v/>
      </c>
      <c r="Z52" s="125">
        <f>E52/F52</f>
        <v/>
      </c>
      <c r="AA52" s="125">
        <f>D52/G52</f>
        <v/>
      </c>
      <c r="AB52" s="125">
        <f t="array" ref="AB52">_xlfn.IFS(Z52 &lt;= 9, "1", Z52 &lt;= 12, "2", Z52 &lt;= 15, "3", Z52 &gt; 15, "4")</f>
        <v/>
      </c>
      <c r="AC52" s="125">
        <f t="array" ref="AC52">_xlfn.IFS(AA52 &lt;= 200, "1", L52 &lt;= 300, "2", L52 &lt;= 400, "3", L52 &gt; 400, "4")</f>
        <v/>
      </c>
      <c r="AD52" s="129">
        <f>SQRT((((VLOOKUP($AT$4,$A$4:$D$1021,4,FALSE))-D52)^2)+(((VLOOKUP($AT$4,$A$4:$E$1021,5,FALSE))-E52)^2)+(((VLOOKUP($AT$4,$A$4:$N$1021,14,FALSE))-N52)^2)+(((VLOOKUP($AT$4,$A$4:$O$1021,15,FALSE))-O52)^2))</f>
        <v/>
      </c>
      <c r="AG52" s="129">
        <f>SQRT((((VLOOKUP($AT$4,$A$4:$D$1021,4,FALSE))-D52)^2)+(((VLOOKUP($AT$4,$A$4:$E$1021,5,FALSE))-E52)^2)+(((VLOOKUP($AT$4,$A$4:$R$1021,18,FALSE))-R52)^2)+(((VLOOKUP($AT$4,$A$4:$S$1021,19,FALSE))-S52)^2))</f>
        <v/>
      </c>
      <c r="AJ52" s="125" t="inlineStr">
        <is>
          <t>W10X30</t>
        </is>
      </c>
      <c r="AK52" s="125">
        <f>SQRT(((VLOOKUP($AT$4,$A$4:$J$1021,10,FALSE))-J52)^2)</f>
        <v/>
      </c>
      <c r="AL52" s="125" t="n"/>
      <c r="AM52" s="125" t="n"/>
      <c r="AN52" s="125">
        <f>SQRT(((VLOOKUP($AT$4,$A$4:$R$1021,18,FALSE))-R52)^2)</f>
        <v/>
      </c>
      <c r="AO52" s="125" t="n"/>
      <c r="AP52" s="125" t="n"/>
      <c r="AQ52" s="125" t="inlineStr">
        <is>
          <t>W10X30</t>
        </is>
      </c>
      <c r="BB52" s="125">
        <f>SQRT(($J$1022-J52)^2)</f>
        <v/>
      </c>
      <c r="BC52" s="125">
        <f>SQRT(($R$1022-R52)^2)</f>
        <v/>
      </c>
      <c r="BD52" s="125" t="inlineStr">
        <is>
          <t>W10X30</t>
        </is>
      </c>
      <c r="BI52">
        <f>SQRT(($J$1023-J52)^2)</f>
        <v/>
      </c>
      <c r="BJ52">
        <f>SQRT(($R$1023-R52)^2)</f>
        <v/>
      </c>
      <c r="BK52" s="125" t="inlineStr">
        <is>
          <t>W10X30</t>
        </is>
      </c>
      <c r="BP52">
        <f>SQRT(($J$1024-J52)^2)</f>
        <v/>
      </c>
      <c r="BQ52">
        <f>SQRT(($R$1024-R52)^2)</f>
        <v/>
      </c>
      <c r="BR52" s="125" t="inlineStr">
        <is>
          <t>W10X30</t>
        </is>
      </c>
      <c r="BW52">
        <f>SQRT(($J$1025-J52)^2)</f>
        <v/>
      </c>
      <c r="BX52">
        <f>SQRT(($R$1025-R52)^2)</f>
        <v/>
      </c>
      <c r="BY52" s="125" t="inlineStr">
        <is>
          <t>W10X30</t>
        </is>
      </c>
      <c r="CD52">
        <f>SQRT(($J$1026-J52)^2)</f>
        <v/>
      </c>
      <c r="CE52">
        <f>SQRT(($R$1026-R52)^2)</f>
        <v/>
      </c>
      <c r="CF52" s="125" t="inlineStr">
        <is>
          <t>W10X30</t>
        </is>
      </c>
    </row>
    <row r="53">
      <c r="A53" s="125" t="inlineStr">
        <is>
          <t>W10X33</t>
        </is>
      </c>
      <c r="B53" s="129" t="inlineStr">
        <is>
          <t>AISC</t>
        </is>
      </c>
      <c r="C53" s="125" t="n">
        <v>49.1</v>
      </c>
      <c r="D53" s="125" t="n">
        <v>247.1</v>
      </c>
      <c r="E53" s="125" t="n">
        <v>202.2</v>
      </c>
      <c r="F53" s="125" t="n">
        <v>11</v>
      </c>
      <c r="G53" s="125" t="n">
        <v>7.4</v>
      </c>
      <c r="H53" s="125" t="n">
        <v>12.7</v>
      </c>
      <c r="I53" s="125" t="n">
        <v>199.7</v>
      </c>
      <c r="J53" s="125" t="n">
        <v>62.5</v>
      </c>
      <c r="K53" s="125">
        <f>((E53-G53)/2)/F53</f>
        <v/>
      </c>
      <c r="L53" s="125">
        <f>I53/G53</f>
        <v/>
      </c>
      <c r="M53" s="125" t="n">
        <v>1.27</v>
      </c>
      <c r="N53" s="125" t="n">
        <v>7071</v>
      </c>
      <c r="O53" s="125" t="n">
        <v>1517</v>
      </c>
      <c r="P53" s="125" t="n">
        <v>10.6</v>
      </c>
      <c r="Q53" s="125" t="n">
        <v>4.93</v>
      </c>
      <c r="R53" s="125" t="n">
        <v>572</v>
      </c>
      <c r="S53" s="125" t="n">
        <v>150</v>
      </c>
      <c r="T53" s="125" t="n">
        <v>634</v>
      </c>
      <c r="U53" s="125" t="n">
        <v>229</v>
      </c>
      <c r="X53" s="129">
        <f t="array" ref="X53">_xlfn.IFS((D53/F53) &lt;= (640/SQRT($AT$32)), "Compact", L53 &lt;= ($AT$32*(0.79-(0.002*((E53-G53/2)/(2*F53))*SQRT($AT$32)))), "Non-Compact", L53 &gt; ($AT$32*(0.79-(0.002*((E53-G53/2)/(2*F53))*SQRT($AT$32)))), "Slender")</f>
        <v/>
      </c>
      <c r="Y53" s="129">
        <f t="array" ref="Y53">_xlfn.IFS(K53 &lt;= (65/SQRT($AT$32)), "Compact", K53 &lt;= (95/SQRT($AT$32)), "Non-Compact", K53 &gt; (95/SQRT($AT$32)), "Slender")</f>
        <v/>
      </c>
      <c r="Z53" s="125">
        <f>E53/F53</f>
        <v/>
      </c>
      <c r="AA53" s="125">
        <f>D53/G53</f>
        <v/>
      </c>
      <c r="AB53" s="125">
        <f t="array" ref="AB53">_xlfn.IFS(Z53 &lt;= 9, "1", Z53 &lt;= 12, "2", Z53 &lt;= 15, "3", Z53 &gt; 15, "4")</f>
        <v/>
      </c>
      <c r="AC53" s="125">
        <f t="array" ref="AC53">_xlfn.IFS(AA53 &lt;= 200, "1", L53 &lt;= 300, "2", L53 &lt;= 400, "3", L53 &gt; 400, "4")</f>
        <v/>
      </c>
      <c r="AD53" s="129">
        <f>SQRT((((VLOOKUP($AT$4,$A$4:$D$1021,4,FALSE))-D53)^2)+(((VLOOKUP($AT$4,$A$4:$E$1021,5,FALSE))-E53)^2)+(((VLOOKUP($AT$4,$A$4:$N$1021,14,FALSE))-N53)^2)+(((VLOOKUP($AT$4,$A$4:$O$1021,15,FALSE))-O53)^2))</f>
        <v/>
      </c>
      <c r="AG53" s="129">
        <f>SQRT((((VLOOKUP($AT$4,$A$4:$D$1021,4,FALSE))-D53)^2)+(((VLOOKUP($AT$4,$A$4:$E$1021,5,FALSE))-E53)^2)+(((VLOOKUP($AT$4,$A$4:$R$1021,18,FALSE))-R53)^2)+(((VLOOKUP($AT$4,$A$4:$S$1021,19,FALSE))-S53)^2))</f>
        <v/>
      </c>
      <c r="AJ53" s="125" t="inlineStr">
        <is>
          <t>W10X33</t>
        </is>
      </c>
      <c r="AK53" s="125">
        <f>SQRT(((VLOOKUP($AT$4,$A$4:$J$1021,10,FALSE))-J53)^2)</f>
        <v/>
      </c>
      <c r="AL53" s="125" t="n"/>
      <c r="AM53" s="125" t="n"/>
      <c r="AN53" s="125">
        <f>SQRT(((VLOOKUP($AT$4,$A$4:$R$1021,18,FALSE))-R53)^2)</f>
        <v/>
      </c>
      <c r="AO53" s="125" t="n"/>
      <c r="AP53" s="125" t="n"/>
      <c r="AQ53" s="125" t="inlineStr">
        <is>
          <t>W10X33</t>
        </is>
      </c>
      <c r="BB53" s="125">
        <f>SQRT(($J$1022-J53)^2)</f>
        <v/>
      </c>
      <c r="BC53" s="125">
        <f>SQRT(($R$1022-R53)^2)</f>
        <v/>
      </c>
      <c r="BD53" s="125" t="inlineStr">
        <is>
          <t>W10X33</t>
        </is>
      </c>
      <c r="BI53">
        <f>SQRT(($J$1023-J53)^2)</f>
        <v/>
      </c>
      <c r="BJ53">
        <f>SQRT(($R$1023-R53)^2)</f>
        <v/>
      </c>
      <c r="BK53" s="125" t="inlineStr">
        <is>
          <t>W10X33</t>
        </is>
      </c>
      <c r="BP53">
        <f>SQRT(($J$1024-J53)^2)</f>
        <v/>
      </c>
      <c r="BQ53">
        <f>SQRT(($R$1024-R53)^2)</f>
        <v/>
      </c>
      <c r="BR53" s="125" t="inlineStr">
        <is>
          <t>W10X33</t>
        </is>
      </c>
      <c r="BW53">
        <f>SQRT(($J$1025-J53)^2)</f>
        <v/>
      </c>
      <c r="BX53">
        <f>SQRT(($R$1025-R53)^2)</f>
        <v/>
      </c>
      <c r="BY53" s="125" t="inlineStr">
        <is>
          <t>W10X33</t>
        </is>
      </c>
      <c r="CD53">
        <f>SQRT(($J$1026-J53)^2)</f>
        <v/>
      </c>
      <c r="CE53">
        <f>SQRT(($R$1026-R53)^2)</f>
        <v/>
      </c>
      <c r="CF53" s="125" t="inlineStr">
        <is>
          <t>W10X33</t>
        </is>
      </c>
    </row>
    <row r="54">
      <c r="A54" s="125" t="inlineStr">
        <is>
          <t>W10X39</t>
        </is>
      </c>
      <c r="B54" s="129" t="inlineStr">
        <is>
          <t>AISC</t>
        </is>
      </c>
      <c r="C54" s="125" t="n">
        <v>58</v>
      </c>
      <c r="D54" s="125" t="n">
        <v>252</v>
      </c>
      <c r="E54" s="125" t="n">
        <v>202.8</v>
      </c>
      <c r="F54" s="125" t="n">
        <v>13.4</v>
      </c>
      <c r="G54" s="125" t="n">
        <v>8</v>
      </c>
      <c r="H54" s="125" t="n">
        <v>12.7</v>
      </c>
      <c r="I54" s="125" t="n">
        <v>199.8</v>
      </c>
      <c r="J54" s="125" t="n">
        <v>73.8</v>
      </c>
      <c r="K54" s="125">
        <f>((E54-G54)/2)/F54</f>
        <v/>
      </c>
      <c r="L54" s="125">
        <f>I54/G54</f>
        <v/>
      </c>
      <c r="M54" s="125" t="n">
        <v>1.28</v>
      </c>
      <c r="N54" s="125" t="n">
        <v>8672</v>
      </c>
      <c r="O54" s="125" t="n">
        <v>1865</v>
      </c>
      <c r="P54" s="125" t="n">
        <v>10.8</v>
      </c>
      <c r="Q54" s="125" t="n">
        <v>5.03</v>
      </c>
      <c r="R54" s="125" t="n">
        <v>688</v>
      </c>
      <c r="S54" s="125" t="n">
        <v>184</v>
      </c>
      <c r="T54" s="125" t="n">
        <v>765</v>
      </c>
      <c r="U54" s="125" t="n">
        <v>280</v>
      </c>
      <c r="X54" s="129">
        <f t="array" ref="X54">_xlfn.IFS((D54/F54) &lt;= (640/SQRT($AT$32)), "Compact", L54 &lt;= ($AT$32*(0.79-(0.002*((E54-G54/2)/(2*F54))*SQRT($AT$32)))), "Non-Compact", L54 &gt; ($AT$32*(0.79-(0.002*((E54-G54/2)/(2*F54))*SQRT($AT$32)))), "Slender")</f>
        <v/>
      </c>
      <c r="Y54" s="129">
        <f t="array" ref="Y54">_xlfn.IFS(K54 &lt;= (65/SQRT($AT$32)), "Compact", K54 &lt;= (95/SQRT($AT$32)), "Non-Compact", K54 &gt; (95/SQRT($AT$32)), "Slender")</f>
        <v/>
      </c>
      <c r="Z54" s="125">
        <f>E54/F54</f>
        <v/>
      </c>
      <c r="AA54" s="125">
        <f>D54/G54</f>
        <v/>
      </c>
      <c r="AB54" s="125">
        <f t="array" ref="AB54">_xlfn.IFS(Z54 &lt;= 9, "1", Z54 &lt;= 12, "2", Z54 &lt;= 15, "3", Z54 &gt; 15, "4")</f>
        <v/>
      </c>
      <c r="AC54" s="125">
        <f t="array" ref="AC54">_xlfn.IFS(AA54 &lt;= 200, "1", L54 &lt;= 300, "2", L54 &lt;= 400, "3", L54 &gt; 400, "4")</f>
        <v/>
      </c>
      <c r="AD54" s="129">
        <f>SQRT((((VLOOKUP($AT$4,$A$4:$D$1021,4,FALSE))-D54)^2)+(((VLOOKUP($AT$4,$A$4:$E$1021,5,FALSE))-E54)^2)+(((VLOOKUP($AT$4,$A$4:$N$1021,14,FALSE))-N54)^2)+(((VLOOKUP($AT$4,$A$4:$O$1021,15,FALSE))-O54)^2))</f>
        <v/>
      </c>
      <c r="AG54" s="129">
        <f>SQRT((((VLOOKUP($AT$4,$A$4:$D$1021,4,FALSE))-D54)^2)+(((VLOOKUP($AT$4,$A$4:$E$1021,5,FALSE))-E54)^2)+(((VLOOKUP($AT$4,$A$4:$R$1021,18,FALSE))-R54)^2)+(((VLOOKUP($AT$4,$A$4:$S$1021,19,FALSE))-S54)^2))</f>
        <v/>
      </c>
      <c r="AJ54" s="125" t="inlineStr">
        <is>
          <t>W10X39</t>
        </is>
      </c>
      <c r="AK54" s="125">
        <f>SQRT(((VLOOKUP($AT$4,$A$4:$J$1021,10,FALSE))-J54)^2)</f>
        <v/>
      </c>
      <c r="AL54" s="125" t="n"/>
      <c r="AM54" s="125" t="n"/>
      <c r="AN54" s="125">
        <f>SQRT(((VLOOKUP($AT$4,$A$4:$R$1021,18,FALSE))-R54)^2)</f>
        <v/>
      </c>
      <c r="AO54" s="125" t="n"/>
      <c r="AP54" s="125" t="n"/>
      <c r="AQ54" s="125" t="inlineStr">
        <is>
          <t>W10X39</t>
        </is>
      </c>
      <c r="BB54" s="125">
        <f>SQRT(($J$1022-J54)^2)</f>
        <v/>
      </c>
      <c r="BC54" s="125">
        <f>SQRT(($R$1022-R54)^2)</f>
        <v/>
      </c>
      <c r="BD54" s="125" t="inlineStr">
        <is>
          <t>W10X39</t>
        </is>
      </c>
      <c r="BI54">
        <f>SQRT(($J$1023-J54)^2)</f>
        <v/>
      </c>
      <c r="BJ54">
        <f>SQRT(($R$1023-R54)^2)</f>
        <v/>
      </c>
      <c r="BK54" s="125" t="inlineStr">
        <is>
          <t>W10X39</t>
        </is>
      </c>
      <c r="BP54">
        <f>SQRT(($J$1024-J54)^2)</f>
        <v/>
      </c>
      <c r="BQ54">
        <f>SQRT(($R$1024-R54)^2)</f>
        <v/>
      </c>
      <c r="BR54" s="125" t="inlineStr">
        <is>
          <t>W10X39</t>
        </is>
      </c>
      <c r="BW54">
        <f>SQRT(($J$1025-J54)^2)</f>
        <v/>
      </c>
      <c r="BX54">
        <f>SQRT(($R$1025-R54)^2)</f>
        <v/>
      </c>
      <c r="BY54" s="125" t="inlineStr">
        <is>
          <t>W10X39</t>
        </is>
      </c>
      <c r="CD54">
        <f>SQRT(($J$1026-J54)^2)</f>
        <v/>
      </c>
      <c r="CE54">
        <f>SQRT(($R$1026-R54)^2)</f>
        <v/>
      </c>
      <c r="CF54" s="125" t="inlineStr">
        <is>
          <t>W10X39</t>
        </is>
      </c>
    </row>
    <row r="55">
      <c r="A55" s="125" t="inlineStr">
        <is>
          <t>W10X42</t>
        </is>
      </c>
      <c r="B55" s="129" t="inlineStr">
        <is>
          <t>AISC</t>
        </is>
      </c>
      <c r="C55" s="125" t="n">
        <v>62.5</v>
      </c>
      <c r="D55" s="125" t="n">
        <v>249.4</v>
      </c>
      <c r="E55" s="125" t="n">
        <v>207</v>
      </c>
      <c r="F55" s="125" t="n">
        <v>12.2</v>
      </c>
      <c r="G55" s="125" t="n">
        <v>12.2</v>
      </c>
      <c r="H55" s="125" t="n">
        <v>12.7</v>
      </c>
      <c r="I55" s="125" t="n">
        <v>199.6</v>
      </c>
      <c r="J55" s="125" t="n">
        <v>79.3</v>
      </c>
      <c r="K55" s="125">
        <f>((E55-G55)/2)/F55</f>
        <v/>
      </c>
      <c r="L55" s="125">
        <f>I55/G55</f>
        <v/>
      </c>
      <c r="M55" s="125" t="n">
        <v>1.25</v>
      </c>
      <c r="N55" s="125" t="n">
        <v>8430</v>
      </c>
      <c r="O55" s="125" t="n">
        <v>1807</v>
      </c>
      <c r="P55" s="125" t="n">
        <v>10.3</v>
      </c>
      <c r="Q55" s="125" t="n">
        <v>4.77</v>
      </c>
      <c r="R55" s="125" t="n">
        <v>676</v>
      </c>
      <c r="S55" s="125" t="n">
        <v>175</v>
      </c>
      <c r="T55" s="125" t="n">
        <v>768</v>
      </c>
      <c r="U55" s="125" t="n">
        <v>271</v>
      </c>
      <c r="X55" s="129">
        <f t="array" ref="X55">_xlfn.IFS((D55/F55) &lt;= (640/SQRT($AT$32)), "Compact", L55 &lt;= ($AT$32*(0.79-(0.002*((E55-G55/2)/(2*F55))*SQRT($AT$32)))), "Non-Compact", L55 &gt; ($AT$32*(0.79-(0.002*((E55-G55/2)/(2*F55))*SQRT($AT$32)))), "Slender")</f>
        <v/>
      </c>
      <c r="Y55" s="129">
        <f t="array" ref="Y55">_xlfn.IFS(K55 &lt;= (65/SQRT($AT$32)), "Compact", K55 &lt;= (95/SQRT($AT$32)), "Non-Compact", K55 &gt; (95/SQRT($AT$32)), "Slender")</f>
        <v/>
      </c>
      <c r="Z55" s="125">
        <f>E55/F55</f>
        <v/>
      </c>
      <c r="AA55" s="125">
        <f>D55/G55</f>
        <v/>
      </c>
      <c r="AB55" s="125">
        <f t="array" ref="AB55">_xlfn.IFS(Z55 &lt;= 9, "1", Z55 &lt;= 12, "2", Z55 &lt;= 15, "3", Z55 &gt; 15, "4")</f>
        <v/>
      </c>
      <c r="AC55" s="125">
        <f t="array" ref="AC55">_xlfn.IFS(AA55 &lt;= 200, "1", L55 &lt;= 300, "2", L55 &lt;= 400, "3", L55 &gt; 400, "4")</f>
        <v/>
      </c>
      <c r="AD55" s="129">
        <f>SQRT((((VLOOKUP($AT$4,$A$4:$D$1021,4,FALSE))-D55)^2)+(((VLOOKUP($AT$4,$A$4:$E$1021,5,FALSE))-E55)^2)+(((VLOOKUP($AT$4,$A$4:$N$1021,14,FALSE))-N55)^2)+(((VLOOKUP($AT$4,$A$4:$O$1021,15,FALSE))-O55)^2))</f>
        <v/>
      </c>
      <c r="AG55" s="129">
        <f>SQRT((((VLOOKUP($AT$4,$A$4:$D$1021,4,FALSE))-D55)^2)+(((VLOOKUP($AT$4,$A$4:$E$1021,5,FALSE))-E55)^2)+(((VLOOKUP($AT$4,$A$4:$R$1021,18,FALSE))-R55)^2)+(((VLOOKUP($AT$4,$A$4:$S$1021,19,FALSE))-S55)^2))</f>
        <v/>
      </c>
      <c r="AJ55" s="125" t="inlineStr">
        <is>
          <t>W10X42</t>
        </is>
      </c>
      <c r="AK55" s="125">
        <f>SQRT(((VLOOKUP($AT$4,$A$4:$J$1021,10,FALSE))-J55)^2)</f>
        <v/>
      </c>
      <c r="AL55" s="125" t="n"/>
      <c r="AM55" s="125" t="n"/>
      <c r="AN55" s="125">
        <f>SQRT(((VLOOKUP($AT$4,$A$4:$R$1021,18,FALSE))-R55)^2)</f>
        <v/>
      </c>
      <c r="AO55" s="125" t="n"/>
      <c r="AP55" s="125" t="n"/>
      <c r="AQ55" s="125" t="inlineStr">
        <is>
          <t>W10X42</t>
        </is>
      </c>
      <c r="BB55" s="125">
        <f>SQRT(($J$1022-J55)^2)</f>
        <v/>
      </c>
      <c r="BC55" s="125">
        <f>SQRT(($R$1022-R55)^2)</f>
        <v/>
      </c>
      <c r="BD55" s="125" t="inlineStr">
        <is>
          <t>W10X42</t>
        </is>
      </c>
      <c r="BI55">
        <f>SQRT(($J$1023-J55)^2)</f>
        <v/>
      </c>
      <c r="BJ55">
        <f>SQRT(($R$1023-R55)^2)</f>
        <v/>
      </c>
      <c r="BK55" s="125" t="inlineStr">
        <is>
          <t>W10X42</t>
        </is>
      </c>
      <c r="BP55">
        <f>SQRT(($J$1024-J55)^2)</f>
        <v/>
      </c>
      <c r="BQ55">
        <f>SQRT(($R$1024-R55)^2)</f>
        <v/>
      </c>
      <c r="BR55" s="125" t="inlineStr">
        <is>
          <t>W10X42</t>
        </is>
      </c>
      <c r="BW55">
        <f>SQRT(($J$1025-J55)^2)</f>
        <v/>
      </c>
      <c r="BX55">
        <f>SQRT(($R$1025-R55)^2)</f>
        <v/>
      </c>
      <c r="BY55" s="125" t="inlineStr">
        <is>
          <t>W10X42</t>
        </is>
      </c>
      <c r="CD55">
        <f>SQRT(($J$1026-J55)^2)</f>
        <v/>
      </c>
      <c r="CE55">
        <f>SQRT(($R$1026-R55)^2)</f>
        <v/>
      </c>
      <c r="CF55" s="125" t="inlineStr">
        <is>
          <t>W10X42</t>
        </is>
      </c>
    </row>
    <row r="56">
      <c r="A56" s="125" t="inlineStr">
        <is>
          <t>W10X45</t>
        </is>
      </c>
      <c r="B56" s="129" t="inlineStr">
        <is>
          <t>AISC</t>
        </is>
      </c>
      <c r="C56" s="125" t="n">
        <v>67</v>
      </c>
      <c r="D56" s="125" t="n">
        <v>256.5</v>
      </c>
      <c r="E56" s="125" t="n">
        <v>203.7</v>
      </c>
      <c r="F56" s="125" t="n">
        <v>15.7</v>
      </c>
      <c r="G56" s="125" t="n">
        <v>8.9</v>
      </c>
      <c r="H56" s="125" t="n">
        <v>12.7</v>
      </c>
      <c r="I56" s="125" t="n">
        <v>199.7</v>
      </c>
      <c r="J56" s="125" t="n">
        <v>85.40000000000001</v>
      </c>
      <c r="K56" s="125">
        <f>((E56-G56)/2)/F56</f>
        <v/>
      </c>
      <c r="L56" s="125">
        <f>I56/G56</f>
        <v/>
      </c>
      <c r="M56" s="125" t="n">
        <v>1.29</v>
      </c>
      <c r="N56" s="125" t="n">
        <v>10300</v>
      </c>
      <c r="O56" s="125" t="n">
        <v>2214</v>
      </c>
      <c r="P56" s="125" t="n">
        <v>11</v>
      </c>
      <c r="Q56" s="125" t="n">
        <v>5.09</v>
      </c>
      <c r="R56" s="125" t="n">
        <v>803</v>
      </c>
      <c r="S56" s="125" t="n">
        <v>217</v>
      </c>
      <c r="T56" s="125" t="n">
        <v>898</v>
      </c>
      <c r="U56" s="125" t="n">
        <v>331</v>
      </c>
      <c r="X56" s="129">
        <f t="array" ref="X56">_xlfn.IFS((D56/F56) &lt;= (640/SQRT($AT$32)), "Compact", L56 &lt;= ($AT$32*(0.79-(0.002*((E56-G56/2)/(2*F56))*SQRT($AT$32)))), "Non-Compact", L56 &gt; ($AT$32*(0.79-(0.002*((E56-G56/2)/(2*F56))*SQRT($AT$32)))), "Slender")</f>
        <v/>
      </c>
      <c r="Y56" s="129">
        <f t="array" ref="Y56">_xlfn.IFS(K56 &lt;= (65/SQRT($AT$32)), "Compact", K56 &lt;= (95/SQRT($AT$32)), "Non-Compact", K56 &gt; (95/SQRT($AT$32)), "Slender")</f>
        <v/>
      </c>
      <c r="Z56" s="125">
        <f>E56/F56</f>
        <v/>
      </c>
      <c r="AA56" s="125">
        <f>D56/G56</f>
        <v/>
      </c>
      <c r="AB56" s="125">
        <f t="array" ref="AB56">_xlfn.IFS(Z56 &lt;= 9, "1", Z56 &lt;= 12, "2", Z56 &lt;= 15, "3", Z56 &gt; 15, "4")</f>
        <v/>
      </c>
      <c r="AC56" s="125">
        <f t="array" ref="AC56">_xlfn.IFS(AA56 &lt;= 200, "1", L56 &lt;= 300, "2", L56 &lt;= 400, "3", L56 &gt; 400, "4")</f>
        <v/>
      </c>
      <c r="AD56" s="129">
        <f>SQRT((((VLOOKUP($AT$4,$A$4:$D$1021,4,FALSE))-D56)^2)+(((VLOOKUP($AT$4,$A$4:$E$1021,5,FALSE))-E56)^2)+(((VLOOKUP($AT$4,$A$4:$N$1021,14,FALSE))-N56)^2)+(((VLOOKUP($AT$4,$A$4:$O$1021,15,FALSE))-O56)^2))</f>
        <v/>
      </c>
      <c r="AG56" s="129">
        <f>SQRT((((VLOOKUP($AT$4,$A$4:$D$1021,4,FALSE))-D56)^2)+(((VLOOKUP($AT$4,$A$4:$E$1021,5,FALSE))-E56)^2)+(((VLOOKUP($AT$4,$A$4:$R$1021,18,FALSE))-R56)^2)+(((VLOOKUP($AT$4,$A$4:$S$1021,19,FALSE))-S56)^2))</f>
        <v/>
      </c>
      <c r="AJ56" s="125" t="inlineStr">
        <is>
          <t>W10X45</t>
        </is>
      </c>
      <c r="AK56" s="125">
        <f>SQRT(((VLOOKUP($AT$4,$A$4:$J$1021,10,FALSE))-J56)^2)</f>
        <v/>
      </c>
      <c r="AL56" s="125" t="n"/>
      <c r="AM56" s="125" t="n"/>
      <c r="AN56" s="125">
        <f>SQRT(((VLOOKUP($AT$4,$A$4:$R$1021,18,FALSE))-R56)^2)</f>
        <v/>
      </c>
      <c r="AO56" s="125" t="n"/>
      <c r="AP56" s="125" t="n"/>
      <c r="AQ56" s="125" t="inlineStr">
        <is>
          <t>W10X45</t>
        </is>
      </c>
      <c r="BB56" s="125">
        <f>SQRT(($J$1022-J56)^2)</f>
        <v/>
      </c>
      <c r="BC56" s="125">
        <f>SQRT(($R$1022-R56)^2)</f>
        <v/>
      </c>
      <c r="BD56" s="125" t="inlineStr">
        <is>
          <t>W10X45</t>
        </is>
      </c>
      <c r="BI56">
        <f>SQRT(($J$1023-J56)^2)</f>
        <v/>
      </c>
      <c r="BJ56">
        <f>SQRT(($R$1023-R56)^2)</f>
        <v/>
      </c>
      <c r="BK56" s="125" t="inlineStr">
        <is>
          <t>W10X45</t>
        </is>
      </c>
      <c r="BP56">
        <f>SQRT(($J$1024-J56)^2)</f>
        <v/>
      </c>
      <c r="BQ56">
        <f>SQRT(($R$1024-R56)^2)</f>
        <v/>
      </c>
      <c r="BR56" s="125" t="inlineStr">
        <is>
          <t>W10X45</t>
        </is>
      </c>
      <c r="BW56">
        <f>SQRT(($J$1025-J56)^2)</f>
        <v/>
      </c>
      <c r="BX56">
        <f>SQRT(($R$1025-R56)^2)</f>
        <v/>
      </c>
      <c r="BY56" s="125" t="inlineStr">
        <is>
          <t>W10X45</t>
        </is>
      </c>
      <c r="CD56">
        <f>SQRT(($J$1026-J56)^2)</f>
        <v/>
      </c>
      <c r="CE56">
        <f>SQRT(($R$1026-R56)^2)</f>
        <v/>
      </c>
      <c r="CF56" s="125" t="inlineStr">
        <is>
          <t>W10X45</t>
        </is>
      </c>
    </row>
    <row r="57">
      <c r="A57" s="125" t="inlineStr">
        <is>
          <t>W10X57</t>
        </is>
      </c>
      <c r="B57" s="129" t="inlineStr">
        <is>
          <t>AISC</t>
        </is>
      </c>
      <c r="C57" s="125" t="n">
        <v>84.8</v>
      </c>
      <c r="D57" s="125" t="n">
        <v>258.1</v>
      </c>
      <c r="E57" s="125" t="n">
        <v>211.3</v>
      </c>
      <c r="F57" s="125" t="n">
        <v>16.5</v>
      </c>
      <c r="G57" s="125" t="n">
        <v>16.5</v>
      </c>
      <c r="H57" s="125" t="n">
        <v>12.7</v>
      </c>
      <c r="I57" s="125" t="n">
        <v>199.7</v>
      </c>
      <c r="J57" s="125" t="n">
        <v>108</v>
      </c>
      <c r="K57" s="125">
        <f>((E57-G57)/2)/F57</f>
        <v/>
      </c>
      <c r="L57" s="125">
        <f>I57/G57</f>
        <v/>
      </c>
      <c r="M57" s="125" t="n">
        <v>1.31</v>
      </c>
      <c r="N57" s="125" t="n">
        <v>11930</v>
      </c>
      <c r="O57" s="125" t="n">
        <v>2606</v>
      </c>
      <c r="P57" s="125" t="n">
        <v>10.5</v>
      </c>
      <c r="Q57" s="125" t="n">
        <v>4.91</v>
      </c>
      <c r="R57" s="125" t="n">
        <v>925</v>
      </c>
      <c r="S57" s="125" t="n">
        <v>247</v>
      </c>
      <c r="T57" s="125" t="n">
        <v>1067</v>
      </c>
      <c r="U57" s="125" t="n">
        <v>385</v>
      </c>
      <c r="X57" s="129">
        <f t="array" ref="X57">_xlfn.IFS((D57/F57) &lt;= (640/SQRT($AT$32)), "Compact", L57 &lt;= ($AT$32*(0.79-(0.002*((E57-G57/2)/(2*F57))*SQRT($AT$32)))), "Non-Compact", L57 &gt; ($AT$32*(0.79-(0.002*((E57-G57/2)/(2*F57))*SQRT($AT$32)))), "Slender")</f>
        <v/>
      </c>
      <c r="Y57" s="129">
        <f t="array" ref="Y57">_xlfn.IFS(K57 &lt;= (65/SQRT($AT$32)), "Compact", K57 &lt;= (95/SQRT($AT$32)), "Non-Compact", K57 &gt; (95/SQRT($AT$32)), "Slender")</f>
        <v/>
      </c>
      <c r="Z57" s="125">
        <f>E57/F57</f>
        <v/>
      </c>
      <c r="AA57" s="125">
        <f>D57/G57</f>
        <v/>
      </c>
      <c r="AB57" s="125">
        <f t="array" ref="AB57">_xlfn.IFS(Z57 &lt;= 9, "1", Z57 &lt;= 12, "2", Z57 &lt;= 15, "3", Z57 &gt; 15, "4")</f>
        <v/>
      </c>
      <c r="AC57" s="125">
        <f t="array" ref="AC57">_xlfn.IFS(AA57 &lt;= 200, "1", L57 &lt;= 300, "2", L57 &lt;= 400, "3", L57 &gt; 400, "4")</f>
        <v/>
      </c>
      <c r="AD57" s="129">
        <f>SQRT((((VLOOKUP($AT$4,$A$4:$D$1021,4,FALSE))-D57)^2)+(((VLOOKUP($AT$4,$A$4:$E$1021,5,FALSE))-E57)^2)+(((VLOOKUP($AT$4,$A$4:$N$1021,14,FALSE))-N57)^2)+(((VLOOKUP($AT$4,$A$4:$O$1021,15,FALSE))-O57)^2))</f>
        <v/>
      </c>
      <c r="AG57" s="129">
        <f>SQRT((((VLOOKUP($AT$4,$A$4:$D$1021,4,FALSE))-D57)^2)+(((VLOOKUP($AT$4,$A$4:$E$1021,5,FALSE))-E57)^2)+(((VLOOKUP($AT$4,$A$4:$R$1021,18,FALSE))-R57)^2)+(((VLOOKUP($AT$4,$A$4:$S$1021,19,FALSE))-S57)^2))</f>
        <v/>
      </c>
      <c r="AJ57" s="125" t="inlineStr">
        <is>
          <t>W10X57</t>
        </is>
      </c>
      <c r="AK57" s="125">
        <f>SQRT(((VLOOKUP($AT$4,$A$4:$J$1021,10,FALSE))-J57)^2)</f>
        <v/>
      </c>
      <c r="AL57" s="125" t="n"/>
      <c r="AM57" s="125" t="n"/>
      <c r="AN57" s="125">
        <f>SQRT(((VLOOKUP($AT$4,$A$4:$R$1021,18,FALSE))-R57)^2)</f>
        <v/>
      </c>
      <c r="AO57" s="125" t="n"/>
      <c r="AP57" s="125" t="n"/>
      <c r="AQ57" s="125" t="inlineStr">
        <is>
          <t>W10X57</t>
        </is>
      </c>
      <c r="BB57" s="125">
        <f>SQRT(($J$1022-J57)^2)</f>
        <v/>
      </c>
      <c r="BC57" s="125">
        <f>SQRT(($R$1022-R57)^2)</f>
        <v/>
      </c>
      <c r="BD57" s="125" t="inlineStr">
        <is>
          <t>W10X57</t>
        </is>
      </c>
      <c r="BI57">
        <f>SQRT(($J$1023-J57)^2)</f>
        <v/>
      </c>
      <c r="BJ57">
        <f>SQRT(($R$1023-R57)^2)</f>
        <v/>
      </c>
      <c r="BK57" s="125" t="inlineStr">
        <is>
          <t>W10X57</t>
        </is>
      </c>
      <c r="BP57">
        <f>SQRT(($J$1024-J57)^2)</f>
        <v/>
      </c>
      <c r="BQ57">
        <f>SQRT(($R$1024-R57)^2)</f>
        <v/>
      </c>
      <c r="BR57" s="125" t="inlineStr">
        <is>
          <t>W10X57</t>
        </is>
      </c>
      <c r="BW57">
        <f>SQRT(($J$1025-J57)^2)</f>
        <v/>
      </c>
      <c r="BX57">
        <f>SQRT(($R$1025-R57)^2)</f>
        <v/>
      </c>
      <c r="BY57" s="125" t="inlineStr">
        <is>
          <t>W10X57</t>
        </is>
      </c>
      <c r="CD57">
        <f>SQRT(($J$1026-J57)^2)</f>
        <v/>
      </c>
      <c r="CE57">
        <f>SQRT(($R$1026-R57)^2)</f>
        <v/>
      </c>
      <c r="CF57" s="125" t="inlineStr">
        <is>
          <t>W10X57</t>
        </is>
      </c>
    </row>
    <row r="58">
      <c r="A58" s="125" t="inlineStr">
        <is>
          <t>W10X49</t>
        </is>
      </c>
      <c r="B58" s="129" t="inlineStr">
        <is>
          <t>AISC</t>
        </is>
      </c>
      <c r="C58" s="125" t="n">
        <v>73.09999999999999</v>
      </c>
      <c r="D58" s="125" t="n">
        <v>254.1</v>
      </c>
      <c r="E58" s="125" t="n">
        <v>254.6</v>
      </c>
      <c r="F58" s="125" t="n">
        <v>14.2</v>
      </c>
      <c r="G58" s="125" t="n">
        <v>8.6</v>
      </c>
      <c r="H58" s="125" t="n">
        <v>12.7</v>
      </c>
      <c r="I58" s="125" t="n">
        <v>200.3</v>
      </c>
      <c r="J58" s="125" t="n">
        <v>93.09999999999999</v>
      </c>
      <c r="K58" s="125">
        <f>((E58-G58)/2)/F58</f>
        <v/>
      </c>
      <c r="L58" s="125">
        <f>I58/G58</f>
        <v/>
      </c>
      <c r="M58" s="125" t="n">
        <v>1.49</v>
      </c>
      <c r="N58" s="125" t="n">
        <v>11410</v>
      </c>
      <c r="O58" s="125" t="n">
        <v>3908</v>
      </c>
      <c r="P58" s="125" t="n">
        <v>11.1</v>
      </c>
      <c r="Q58" s="125" t="n">
        <v>6.48</v>
      </c>
      <c r="R58" s="125" t="n">
        <v>898</v>
      </c>
      <c r="S58" s="125" t="n">
        <v>307</v>
      </c>
      <c r="T58" s="125" t="n">
        <v>992</v>
      </c>
      <c r="U58" s="125" t="n">
        <v>465</v>
      </c>
      <c r="X58" s="129">
        <f t="array" ref="X58">_xlfn.IFS((D58/F58) &lt;= (640/SQRT($AT$32)), "Compact", L58 &lt;= ($AT$32*(0.79-(0.002*((E58-G58/2)/(2*F58))*SQRT($AT$32)))), "Non-Compact", L58 &gt; ($AT$32*(0.79-(0.002*((E58-G58/2)/(2*F58))*SQRT($AT$32)))), "Slender")</f>
        <v/>
      </c>
      <c r="Y58" s="129">
        <f t="array" ref="Y58">_xlfn.IFS(K58 &lt;= (65/SQRT($AT$32)), "Compact", K58 &lt;= (95/SQRT($AT$32)), "Non-Compact", K58 &gt; (95/SQRT($AT$32)), "Slender")</f>
        <v/>
      </c>
      <c r="Z58" s="125">
        <f>E58/F58</f>
        <v/>
      </c>
      <c r="AA58" s="125">
        <f>D58/G58</f>
        <v/>
      </c>
      <c r="AB58" s="125">
        <f t="array" ref="AB58">_xlfn.IFS(Z58 &lt;= 9, "1", Z58 &lt;= 12, "2", Z58 &lt;= 15, "3", Z58 &gt; 15, "4")</f>
        <v/>
      </c>
      <c r="AC58" s="125">
        <f t="array" ref="AC58">_xlfn.IFS(AA58 &lt;= 200, "1", L58 &lt;= 300, "2", L58 &lt;= 400, "3", L58 &gt; 400, "4")</f>
        <v/>
      </c>
      <c r="AD58" s="129">
        <f>SQRT((((VLOOKUP($AT$4,$A$4:$D$1021,4,FALSE))-D58)^2)+(((VLOOKUP($AT$4,$A$4:$E$1021,5,FALSE))-E58)^2)+(((VLOOKUP($AT$4,$A$4:$N$1021,14,FALSE))-N58)^2)+(((VLOOKUP($AT$4,$A$4:$O$1021,15,FALSE))-O58)^2))</f>
        <v/>
      </c>
      <c r="AG58" s="129">
        <f>SQRT((((VLOOKUP($AT$4,$A$4:$D$1021,4,FALSE))-D58)^2)+(((VLOOKUP($AT$4,$A$4:$E$1021,5,FALSE))-E58)^2)+(((VLOOKUP($AT$4,$A$4:$R$1021,18,FALSE))-R58)^2)+(((VLOOKUP($AT$4,$A$4:$S$1021,19,FALSE))-S58)^2))</f>
        <v/>
      </c>
      <c r="AJ58" s="125" t="inlineStr">
        <is>
          <t>W10X49</t>
        </is>
      </c>
      <c r="AK58" s="125">
        <f>SQRT(((VLOOKUP($AT$4,$A$4:$J$1021,10,FALSE))-J58)^2)</f>
        <v/>
      </c>
      <c r="AL58" s="125" t="n"/>
      <c r="AM58" s="125" t="n"/>
      <c r="AN58" s="125">
        <f>SQRT(((VLOOKUP($AT$4,$A$4:$R$1021,18,FALSE))-R58)^2)</f>
        <v/>
      </c>
      <c r="AO58" s="125" t="n"/>
      <c r="AP58" s="125" t="n"/>
      <c r="AQ58" s="125" t="inlineStr">
        <is>
          <t>W10X49</t>
        </is>
      </c>
      <c r="BB58" s="125">
        <f>SQRT(($J$1022-J58)^2)</f>
        <v/>
      </c>
      <c r="BC58" s="125">
        <f>SQRT(($R$1022-R58)^2)</f>
        <v/>
      </c>
      <c r="BD58" s="125" t="inlineStr">
        <is>
          <t>W10X49</t>
        </is>
      </c>
      <c r="BI58">
        <f>SQRT(($J$1023-J58)^2)</f>
        <v/>
      </c>
      <c r="BJ58">
        <f>SQRT(($R$1023-R58)^2)</f>
        <v/>
      </c>
      <c r="BK58" s="125" t="inlineStr">
        <is>
          <t>W10X49</t>
        </is>
      </c>
      <c r="BP58">
        <f>SQRT(($J$1024-J58)^2)</f>
        <v/>
      </c>
      <c r="BQ58">
        <f>SQRT(($R$1024-R58)^2)</f>
        <v/>
      </c>
      <c r="BR58" s="125" t="inlineStr">
        <is>
          <t>W10X49</t>
        </is>
      </c>
      <c r="BW58">
        <f>SQRT(($J$1025-J58)^2)</f>
        <v/>
      </c>
      <c r="BX58">
        <f>SQRT(($R$1025-R58)^2)</f>
        <v/>
      </c>
      <c r="BY58" s="125" t="inlineStr">
        <is>
          <t>W10X49</t>
        </is>
      </c>
      <c r="CD58">
        <f>SQRT(($J$1026-J58)^2)</f>
        <v/>
      </c>
      <c r="CE58">
        <f>SQRT(($R$1026-R58)^2)</f>
        <v/>
      </c>
      <c r="CF58" s="125" t="inlineStr">
        <is>
          <t>W10X49</t>
        </is>
      </c>
    </row>
    <row r="59">
      <c r="A59" s="125" t="inlineStr">
        <is>
          <t>W10X54</t>
        </is>
      </c>
      <c r="B59" s="129" t="inlineStr">
        <is>
          <t>AISC</t>
        </is>
      </c>
      <c r="C59" s="125" t="n">
        <v>80.40000000000001</v>
      </c>
      <c r="D59" s="125" t="n">
        <v>256.3</v>
      </c>
      <c r="E59" s="125" t="n">
        <v>254.8</v>
      </c>
      <c r="F59" s="125" t="n">
        <v>15.6</v>
      </c>
      <c r="G59" s="125" t="n">
        <v>9.4</v>
      </c>
      <c r="H59" s="125" t="n">
        <v>12.7</v>
      </c>
      <c r="I59" s="125" t="n">
        <v>199.7</v>
      </c>
      <c r="J59" s="125" t="n">
        <v>102</v>
      </c>
      <c r="K59" s="125">
        <f>((E59-G59)/2)/F59</f>
        <v/>
      </c>
      <c r="L59" s="125">
        <f>I59/G59</f>
        <v/>
      </c>
      <c r="M59" s="125" t="n">
        <v>1.49</v>
      </c>
      <c r="N59" s="125" t="n">
        <v>12590</v>
      </c>
      <c r="O59" s="125" t="n">
        <v>4304</v>
      </c>
      <c r="P59" s="125" t="n">
        <v>11.1</v>
      </c>
      <c r="Q59" s="125" t="n">
        <v>6.49</v>
      </c>
      <c r="R59" s="125" t="n">
        <v>983</v>
      </c>
      <c r="S59" s="125" t="n">
        <v>338</v>
      </c>
      <c r="T59" s="125" t="n">
        <v>1091</v>
      </c>
      <c r="U59" s="125" t="n">
        <v>512</v>
      </c>
      <c r="X59" s="129">
        <f t="array" ref="X59">_xlfn.IFS((D59/F59) &lt;= (640/SQRT($AT$32)), "Compact", L59 &lt;= ($AT$32*(0.79-(0.002*((E59-G59/2)/(2*F59))*SQRT($AT$32)))), "Non-Compact", L59 &gt; ($AT$32*(0.79-(0.002*((E59-G59/2)/(2*F59))*SQRT($AT$32)))), "Slender")</f>
        <v/>
      </c>
      <c r="Y59" s="129">
        <f t="array" ref="Y59">_xlfn.IFS(K59 &lt;= (65/SQRT($AT$32)), "Compact", K59 &lt;= (95/SQRT($AT$32)), "Non-Compact", K59 &gt; (95/SQRT($AT$32)), "Slender")</f>
        <v/>
      </c>
      <c r="Z59" s="125">
        <f>E59/F59</f>
        <v/>
      </c>
      <c r="AA59" s="125">
        <f>D59/G59</f>
        <v/>
      </c>
      <c r="AB59" s="125">
        <f t="array" ref="AB59">_xlfn.IFS(Z59 &lt;= 9, "1", Z59 &lt;= 12, "2", Z59 &lt;= 15, "3", Z59 &gt; 15, "4")</f>
        <v/>
      </c>
      <c r="AC59" s="125">
        <f t="array" ref="AC59">_xlfn.IFS(AA59 &lt;= 200, "1", L59 &lt;= 300, "2", L59 &lt;= 400, "3", L59 &gt; 400, "4")</f>
        <v/>
      </c>
      <c r="AD59" s="129">
        <f>SQRT((((VLOOKUP($AT$4,$A$4:$D$1021,4,FALSE))-D59)^2)+(((VLOOKUP($AT$4,$A$4:$E$1021,5,FALSE))-E59)^2)+(((VLOOKUP($AT$4,$A$4:$N$1021,14,FALSE))-N59)^2)+(((VLOOKUP($AT$4,$A$4:$O$1021,15,FALSE))-O59)^2))</f>
        <v/>
      </c>
      <c r="AG59" s="129">
        <f>SQRT((((VLOOKUP($AT$4,$A$4:$D$1021,4,FALSE))-D59)^2)+(((VLOOKUP($AT$4,$A$4:$E$1021,5,FALSE))-E59)^2)+(((VLOOKUP($AT$4,$A$4:$R$1021,18,FALSE))-R59)^2)+(((VLOOKUP($AT$4,$A$4:$S$1021,19,FALSE))-S59)^2))</f>
        <v/>
      </c>
      <c r="AJ59" s="125" t="inlineStr">
        <is>
          <t>W10X54</t>
        </is>
      </c>
      <c r="AK59" s="125">
        <f>SQRT(((VLOOKUP($AT$4,$A$4:$J$1021,10,FALSE))-J59)^2)</f>
        <v/>
      </c>
      <c r="AL59" s="125" t="n"/>
      <c r="AM59" s="125" t="n"/>
      <c r="AN59" s="125">
        <f>SQRT(((VLOOKUP($AT$4,$A$4:$R$1021,18,FALSE))-R59)^2)</f>
        <v/>
      </c>
      <c r="AO59" s="125" t="n"/>
      <c r="AP59" s="125" t="n"/>
      <c r="AQ59" s="125" t="inlineStr">
        <is>
          <t>W10X54</t>
        </is>
      </c>
      <c r="BB59" s="125">
        <f>SQRT(($J$1022-J59)^2)</f>
        <v/>
      </c>
      <c r="BC59" s="125">
        <f>SQRT(($R$1022-R59)^2)</f>
        <v/>
      </c>
      <c r="BD59" s="125" t="inlineStr">
        <is>
          <t>W10X54</t>
        </is>
      </c>
      <c r="BI59">
        <f>SQRT(($J$1023-J59)^2)</f>
        <v/>
      </c>
      <c r="BJ59">
        <f>SQRT(($R$1023-R59)^2)</f>
        <v/>
      </c>
      <c r="BK59" s="125" t="inlineStr">
        <is>
          <t>W10X54</t>
        </is>
      </c>
      <c r="BP59">
        <f>SQRT(($J$1024-J59)^2)</f>
        <v/>
      </c>
      <c r="BQ59">
        <f>SQRT(($R$1024-R59)^2)</f>
        <v/>
      </c>
      <c r="BR59" s="125" t="inlineStr">
        <is>
          <t>W10X54</t>
        </is>
      </c>
      <c r="BW59">
        <f>SQRT(($J$1025-J59)^2)</f>
        <v/>
      </c>
      <c r="BX59">
        <f>SQRT(($R$1025-R59)^2)</f>
        <v/>
      </c>
      <c r="BY59" s="125" t="inlineStr">
        <is>
          <t>W10X54</t>
        </is>
      </c>
      <c r="CD59">
        <f>SQRT(($J$1026-J59)^2)</f>
        <v/>
      </c>
      <c r="CE59">
        <f>SQRT(($R$1026-R59)^2)</f>
        <v/>
      </c>
      <c r="CF59" s="125" t="inlineStr">
        <is>
          <t>W10X54</t>
        </is>
      </c>
    </row>
    <row r="60">
      <c r="A60" s="125" t="inlineStr">
        <is>
          <t>W10X60</t>
        </is>
      </c>
      <c r="B60" s="129" t="inlineStr">
        <is>
          <t>AISC</t>
        </is>
      </c>
      <c r="C60" s="125" t="n">
        <v>88.90000000000001</v>
      </c>
      <c r="D60" s="125" t="n">
        <v>260.3</v>
      </c>
      <c r="E60" s="125" t="n">
        <v>256.3</v>
      </c>
      <c r="F60" s="125" t="n">
        <v>17.3</v>
      </c>
      <c r="G60" s="125" t="n">
        <v>10.3</v>
      </c>
      <c r="H60" s="125" t="n">
        <v>12.7</v>
      </c>
      <c r="I60" s="125" t="n">
        <v>200.3</v>
      </c>
      <c r="J60" s="125" t="n">
        <v>113</v>
      </c>
      <c r="K60" s="125">
        <f>((E60-G60)/2)/F60</f>
        <v/>
      </c>
      <c r="L60" s="125">
        <f>I60/G60</f>
        <v/>
      </c>
      <c r="M60" s="125" t="n">
        <v>1.5</v>
      </c>
      <c r="N60" s="125" t="n">
        <v>14270</v>
      </c>
      <c r="O60" s="125" t="n">
        <v>4858</v>
      </c>
      <c r="P60" s="125" t="n">
        <v>11.2</v>
      </c>
      <c r="Q60" s="125" t="n">
        <v>6.55</v>
      </c>
      <c r="R60" s="125" t="n">
        <v>1096</v>
      </c>
      <c r="S60" s="125" t="n">
        <v>379</v>
      </c>
      <c r="T60" s="125" t="n">
        <v>1224</v>
      </c>
      <c r="U60" s="125" t="n">
        <v>575</v>
      </c>
      <c r="X60" s="129">
        <f t="array" ref="X60">_xlfn.IFS((D60/F60) &lt;= (640/SQRT($AT$32)), "Compact", L60 &lt;= ($AT$32*(0.79-(0.002*((E60-G60/2)/(2*F60))*SQRT($AT$32)))), "Non-Compact", L60 &gt; ($AT$32*(0.79-(0.002*((E60-G60/2)/(2*F60))*SQRT($AT$32)))), "Slender")</f>
        <v/>
      </c>
      <c r="Y60" s="129">
        <f t="array" ref="Y60">_xlfn.IFS(K60 &lt;= (65/SQRT($AT$32)), "Compact", K60 &lt;= (95/SQRT($AT$32)), "Non-Compact", K60 &gt; (95/SQRT($AT$32)), "Slender")</f>
        <v/>
      </c>
      <c r="Z60" s="125">
        <f>E60/F60</f>
        <v/>
      </c>
      <c r="AA60" s="125">
        <f>D60/G60</f>
        <v/>
      </c>
      <c r="AB60" s="125">
        <f t="array" ref="AB60">_xlfn.IFS(Z60 &lt;= 9, "1", Z60 &lt;= 12, "2", Z60 &lt;= 15, "3", Z60 &gt; 15, "4")</f>
        <v/>
      </c>
      <c r="AC60" s="125">
        <f t="array" ref="AC60">_xlfn.IFS(AA60 &lt;= 200, "1", L60 &lt;= 300, "2", L60 &lt;= 400, "3", L60 &gt; 400, "4")</f>
        <v/>
      </c>
      <c r="AD60" s="129">
        <f>SQRT((((VLOOKUP($AT$4,$A$4:$D$1021,4,FALSE))-D60)^2)+(((VLOOKUP($AT$4,$A$4:$E$1021,5,FALSE))-E60)^2)+(((VLOOKUP($AT$4,$A$4:$N$1021,14,FALSE))-N60)^2)+(((VLOOKUP($AT$4,$A$4:$O$1021,15,FALSE))-O60)^2))</f>
        <v/>
      </c>
      <c r="AG60" s="129">
        <f>SQRT((((VLOOKUP($AT$4,$A$4:$D$1021,4,FALSE))-D60)^2)+(((VLOOKUP($AT$4,$A$4:$E$1021,5,FALSE))-E60)^2)+(((VLOOKUP($AT$4,$A$4:$R$1021,18,FALSE))-R60)^2)+(((VLOOKUP($AT$4,$A$4:$S$1021,19,FALSE))-S60)^2))</f>
        <v/>
      </c>
      <c r="AJ60" s="125" t="inlineStr">
        <is>
          <t>W10X60</t>
        </is>
      </c>
      <c r="AK60" s="125">
        <f>SQRT(((VLOOKUP($AT$4,$A$4:$J$1021,10,FALSE))-J60)^2)</f>
        <v/>
      </c>
      <c r="AL60" s="125" t="n"/>
      <c r="AM60" s="125" t="n"/>
      <c r="AN60" s="125">
        <f>SQRT(((VLOOKUP($AT$4,$A$4:$R$1021,18,FALSE))-R60)^2)</f>
        <v/>
      </c>
      <c r="AO60" s="125" t="n"/>
      <c r="AP60" s="125" t="n"/>
      <c r="AQ60" s="125" t="inlineStr">
        <is>
          <t>W10X60</t>
        </is>
      </c>
      <c r="BB60" s="125">
        <f>SQRT(($J$1022-J60)^2)</f>
        <v/>
      </c>
      <c r="BC60" s="125">
        <f>SQRT(($R$1022-R60)^2)</f>
        <v/>
      </c>
      <c r="BD60" s="125" t="inlineStr">
        <is>
          <t>W10X60</t>
        </is>
      </c>
      <c r="BI60">
        <f>SQRT(($J$1023-J60)^2)</f>
        <v/>
      </c>
      <c r="BJ60">
        <f>SQRT(($R$1023-R60)^2)</f>
        <v/>
      </c>
      <c r="BK60" s="125" t="inlineStr">
        <is>
          <t>W10X60</t>
        </is>
      </c>
      <c r="BP60">
        <f>SQRT(($J$1024-J60)^2)</f>
        <v/>
      </c>
      <c r="BQ60">
        <f>SQRT(($R$1024-R60)^2)</f>
        <v/>
      </c>
      <c r="BR60" s="125" t="inlineStr">
        <is>
          <t>W10X60</t>
        </is>
      </c>
      <c r="BW60">
        <f>SQRT(($J$1025-J60)^2)</f>
        <v/>
      </c>
      <c r="BX60">
        <f>SQRT(($R$1025-R60)^2)</f>
        <v/>
      </c>
      <c r="BY60" s="125" t="inlineStr">
        <is>
          <t>W10X60</t>
        </is>
      </c>
      <c r="CD60">
        <f>SQRT(($J$1026-J60)^2)</f>
        <v/>
      </c>
      <c r="CE60">
        <f>SQRT(($R$1026-R60)^2)</f>
        <v/>
      </c>
      <c r="CF60" s="125" t="inlineStr">
        <is>
          <t>W10X60</t>
        </is>
      </c>
    </row>
    <row r="61">
      <c r="A61" s="125" t="inlineStr">
        <is>
          <t>W10X68</t>
        </is>
      </c>
      <c r="B61" s="129" t="inlineStr">
        <is>
          <t>AISC</t>
        </is>
      </c>
      <c r="C61" s="125" t="n">
        <v>101.2</v>
      </c>
      <c r="D61" s="125" t="n">
        <v>264.2</v>
      </c>
      <c r="E61" s="125" t="n">
        <v>257.3</v>
      </c>
      <c r="F61" s="125" t="n">
        <v>19.6</v>
      </c>
      <c r="G61" s="125" t="n">
        <v>11.9</v>
      </c>
      <c r="H61" s="125" t="n">
        <v>12.7</v>
      </c>
      <c r="I61" s="125" t="n">
        <v>199.7</v>
      </c>
      <c r="J61" s="125" t="n">
        <v>129</v>
      </c>
      <c r="K61" s="125">
        <f>((E61-G61)/2)/F61</f>
        <v/>
      </c>
      <c r="L61" s="125">
        <f>I61/G61</f>
        <v/>
      </c>
      <c r="M61" s="125" t="n">
        <v>1.51</v>
      </c>
      <c r="N61" s="125" t="n">
        <v>16390</v>
      </c>
      <c r="O61" s="125" t="n">
        <v>5558</v>
      </c>
      <c r="P61" s="125" t="n">
        <v>11.3</v>
      </c>
      <c r="Q61" s="125" t="n">
        <v>6.57</v>
      </c>
      <c r="R61" s="125" t="n">
        <v>1241</v>
      </c>
      <c r="S61" s="125" t="n">
        <v>432</v>
      </c>
      <c r="T61" s="125" t="n">
        <v>1398</v>
      </c>
      <c r="U61" s="125" t="n">
        <v>657</v>
      </c>
      <c r="X61" s="129">
        <f t="array" ref="X61">_xlfn.IFS((D61/F61) &lt;= (640/SQRT($AT$32)), "Compact", L61 &lt;= ($AT$32*(0.79-(0.002*((E61-G61/2)/(2*F61))*SQRT($AT$32)))), "Non-Compact", L61 &gt; ($AT$32*(0.79-(0.002*((E61-G61/2)/(2*F61))*SQRT($AT$32)))), "Slender")</f>
        <v/>
      </c>
      <c r="Y61" s="129">
        <f t="array" ref="Y61">_xlfn.IFS(K61 &lt;= (65/SQRT($AT$32)), "Compact", K61 &lt;= (95/SQRT($AT$32)), "Non-Compact", K61 &gt; (95/SQRT($AT$32)), "Slender")</f>
        <v/>
      </c>
      <c r="Z61" s="125">
        <f>E61/F61</f>
        <v/>
      </c>
      <c r="AA61" s="125">
        <f>D61/G61</f>
        <v/>
      </c>
      <c r="AB61" s="125">
        <f t="array" ref="AB61">_xlfn.IFS(Z61 &lt;= 9, "1", Z61 &lt;= 12, "2", Z61 &lt;= 15, "3", Z61 &gt; 15, "4")</f>
        <v/>
      </c>
      <c r="AC61" s="125">
        <f t="array" ref="AC61">_xlfn.IFS(AA61 &lt;= 200, "1", L61 &lt;= 300, "2", L61 &lt;= 400, "3", L61 &gt; 400, "4")</f>
        <v/>
      </c>
      <c r="AD61" s="129">
        <f>SQRT((((VLOOKUP($AT$4,$A$4:$D$1021,4,FALSE))-D61)^2)+(((VLOOKUP($AT$4,$A$4:$E$1021,5,FALSE))-E61)^2)+(((VLOOKUP($AT$4,$A$4:$N$1021,14,FALSE))-N61)^2)+(((VLOOKUP($AT$4,$A$4:$O$1021,15,FALSE))-O61)^2))</f>
        <v/>
      </c>
      <c r="AG61" s="129">
        <f>SQRT((((VLOOKUP($AT$4,$A$4:$D$1021,4,FALSE))-D61)^2)+(((VLOOKUP($AT$4,$A$4:$E$1021,5,FALSE))-E61)^2)+(((VLOOKUP($AT$4,$A$4:$R$1021,18,FALSE))-R61)^2)+(((VLOOKUP($AT$4,$A$4:$S$1021,19,FALSE))-S61)^2))</f>
        <v/>
      </c>
      <c r="AJ61" s="125" t="inlineStr">
        <is>
          <t>W10X68</t>
        </is>
      </c>
      <c r="AK61" s="125">
        <f>SQRT(((VLOOKUP($AT$4,$A$4:$J$1021,10,FALSE))-J61)^2)</f>
        <v/>
      </c>
      <c r="AL61" s="125" t="n"/>
      <c r="AM61" s="125" t="n"/>
      <c r="AN61" s="125">
        <f>SQRT(((VLOOKUP($AT$4,$A$4:$R$1021,18,FALSE))-R61)^2)</f>
        <v/>
      </c>
      <c r="AO61" s="125" t="n"/>
      <c r="AP61" s="125" t="n"/>
      <c r="AQ61" s="125" t="inlineStr">
        <is>
          <t>W10X68</t>
        </is>
      </c>
      <c r="BB61" s="125">
        <f>SQRT(($J$1022-J61)^2)</f>
        <v/>
      </c>
      <c r="BC61" s="125">
        <f>SQRT(($R$1022-R61)^2)</f>
        <v/>
      </c>
      <c r="BD61" s="125" t="inlineStr">
        <is>
          <t>W10X68</t>
        </is>
      </c>
      <c r="BI61">
        <f>SQRT(($J$1023-J61)^2)</f>
        <v/>
      </c>
      <c r="BJ61">
        <f>SQRT(($R$1023-R61)^2)</f>
        <v/>
      </c>
      <c r="BK61" s="125" t="inlineStr">
        <is>
          <t>W10X68</t>
        </is>
      </c>
      <c r="BP61">
        <f>SQRT(($J$1024-J61)^2)</f>
        <v/>
      </c>
      <c r="BQ61">
        <f>SQRT(($R$1024-R61)^2)</f>
        <v/>
      </c>
      <c r="BR61" s="125" t="inlineStr">
        <is>
          <t>W10X68</t>
        </is>
      </c>
      <c r="BW61">
        <f>SQRT(($J$1025-J61)^2)</f>
        <v/>
      </c>
      <c r="BX61">
        <f>SQRT(($R$1025-R61)^2)</f>
        <v/>
      </c>
      <c r="BY61" s="125" t="inlineStr">
        <is>
          <t>W10X68</t>
        </is>
      </c>
      <c r="CD61">
        <f>SQRT(($J$1026-J61)^2)</f>
        <v/>
      </c>
      <c r="CE61">
        <f>SQRT(($R$1026-R61)^2)</f>
        <v/>
      </c>
      <c r="CF61" s="125" t="inlineStr">
        <is>
          <t>W10X68</t>
        </is>
      </c>
    </row>
    <row r="62">
      <c r="A62" s="125" t="inlineStr">
        <is>
          <t>W10X72</t>
        </is>
      </c>
      <c r="B62" s="129" t="inlineStr">
        <is>
          <t>AISC</t>
        </is>
      </c>
      <c r="C62" s="125" t="n">
        <v>107.1</v>
      </c>
      <c r="D62" s="125" t="n">
        <v>266.7</v>
      </c>
      <c r="E62" s="125" t="n">
        <v>258.8</v>
      </c>
      <c r="F62" s="125" t="n">
        <v>20.5</v>
      </c>
      <c r="G62" s="125" t="n">
        <v>12.8</v>
      </c>
      <c r="H62" s="125" t="n">
        <v>12.7</v>
      </c>
      <c r="I62" s="125" t="n">
        <v>200.3</v>
      </c>
      <c r="J62" s="125" t="n">
        <v>136</v>
      </c>
      <c r="K62" s="125">
        <f>((E62-G62)/2)/F62</f>
        <v/>
      </c>
      <c r="L62" s="125">
        <f>I62/G62</f>
        <v/>
      </c>
      <c r="M62" s="125" t="n">
        <v>1.52</v>
      </c>
      <c r="N62" s="125" t="n">
        <v>17510</v>
      </c>
      <c r="O62" s="125" t="n">
        <v>5928</v>
      </c>
      <c r="P62" s="125" t="n">
        <v>11.3</v>
      </c>
      <c r="Q62" s="125" t="n">
        <v>6.59</v>
      </c>
      <c r="R62" s="125" t="n">
        <v>1313</v>
      </c>
      <c r="S62" s="125" t="n">
        <v>458</v>
      </c>
      <c r="T62" s="125" t="n">
        <v>1484</v>
      </c>
      <c r="U62" s="125" t="n">
        <v>697</v>
      </c>
      <c r="X62" s="129">
        <f t="array" ref="X62">_xlfn.IFS((D62/F62) &lt;= (640/SQRT($AT$32)), "Compact", L62 &lt;= ($AT$32*(0.79-(0.002*((E62-G62/2)/(2*F62))*SQRT($AT$32)))), "Non-Compact", L62 &gt; ($AT$32*(0.79-(0.002*((E62-G62/2)/(2*F62))*SQRT($AT$32)))), "Slender")</f>
        <v/>
      </c>
      <c r="Y62" s="129">
        <f t="array" ref="Y62">_xlfn.IFS(K62 &lt;= (65/SQRT($AT$32)), "Compact", K62 &lt;= (95/SQRT($AT$32)), "Non-Compact", K62 &gt; (95/SQRT($AT$32)), "Slender")</f>
        <v/>
      </c>
      <c r="Z62" s="125">
        <f>E62/F62</f>
        <v/>
      </c>
      <c r="AA62" s="125">
        <f>D62/G62</f>
        <v/>
      </c>
      <c r="AB62" s="125">
        <f t="array" ref="AB62">_xlfn.IFS(Z62 &lt;= 9, "1", Z62 &lt;= 12, "2", Z62 &lt;= 15, "3", Z62 &gt; 15, "4")</f>
        <v/>
      </c>
      <c r="AC62" s="125">
        <f t="array" ref="AC62">_xlfn.IFS(AA62 &lt;= 200, "1", L62 &lt;= 300, "2", L62 &lt;= 400, "3", L62 &gt; 400, "4")</f>
        <v/>
      </c>
      <c r="AD62" s="129">
        <f>SQRT((((VLOOKUP($AT$4,$A$4:$D$1021,4,FALSE))-D62)^2)+(((VLOOKUP($AT$4,$A$4:$E$1021,5,FALSE))-E62)^2)+(((VLOOKUP($AT$4,$A$4:$N$1021,14,FALSE))-N62)^2)+(((VLOOKUP($AT$4,$A$4:$O$1021,15,FALSE))-O62)^2))</f>
        <v/>
      </c>
      <c r="AG62" s="129">
        <f>SQRT((((VLOOKUP($AT$4,$A$4:$D$1021,4,FALSE))-D62)^2)+(((VLOOKUP($AT$4,$A$4:$E$1021,5,FALSE))-E62)^2)+(((VLOOKUP($AT$4,$A$4:$R$1021,18,FALSE))-R62)^2)+(((VLOOKUP($AT$4,$A$4:$S$1021,19,FALSE))-S62)^2))</f>
        <v/>
      </c>
      <c r="AJ62" s="125" t="inlineStr">
        <is>
          <t>W10X72</t>
        </is>
      </c>
      <c r="AK62" s="125">
        <f>SQRT(((VLOOKUP($AT$4,$A$4:$J$1021,10,FALSE))-J62)^2)</f>
        <v/>
      </c>
      <c r="AL62" s="125" t="n"/>
      <c r="AM62" s="125" t="n"/>
      <c r="AN62" s="125">
        <f>SQRT(((VLOOKUP($AT$4,$A$4:$R$1021,18,FALSE))-R62)^2)</f>
        <v/>
      </c>
      <c r="AO62" s="125" t="n"/>
      <c r="AP62" s="125" t="n"/>
      <c r="AQ62" s="125" t="inlineStr">
        <is>
          <t>W10X72</t>
        </is>
      </c>
      <c r="BB62" s="125">
        <f>SQRT(($J$1022-J62)^2)</f>
        <v/>
      </c>
      <c r="BC62" s="125">
        <f>SQRT(($R$1022-R62)^2)</f>
        <v/>
      </c>
      <c r="BD62" s="125" t="inlineStr">
        <is>
          <t>W10X72</t>
        </is>
      </c>
      <c r="BI62">
        <f>SQRT(($J$1023-J62)^2)</f>
        <v/>
      </c>
      <c r="BJ62">
        <f>SQRT(($R$1023-R62)^2)</f>
        <v/>
      </c>
      <c r="BK62" s="125" t="inlineStr">
        <is>
          <t>W10X72</t>
        </is>
      </c>
      <c r="BP62">
        <f>SQRT(($J$1024-J62)^2)</f>
        <v/>
      </c>
      <c r="BQ62">
        <f>SQRT(($R$1024-R62)^2)</f>
        <v/>
      </c>
      <c r="BR62" s="125" t="inlineStr">
        <is>
          <t>W10X72</t>
        </is>
      </c>
      <c r="BW62">
        <f>SQRT(($J$1025-J62)^2)</f>
        <v/>
      </c>
      <c r="BX62">
        <f>SQRT(($R$1025-R62)^2)</f>
        <v/>
      </c>
      <c r="BY62" s="125" t="inlineStr">
        <is>
          <t>W10X72</t>
        </is>
      </c>
      <c r="CD62">
        <f>SQRT(($J$1026-J62)^2)</f>
        <v/>
      </c>
      <c r="CE62">
        <f>SQRT(($R$1026-R62)^2)</f>
        <v/>
      </c>
      <c r="CF62" s="125" t="inlineStr">
        <is>
          <t>W10X72</t>
        </is>
      </c>
    </row>
    <row r="63">
      <c r="A63" s="125" t="inlineStr">
        <is>
          <t>W10X77</t>
        </is>
      </c>
      <c r="B63" s="129" t="inlineStr">
        <is>
          <t>AISC</t>
        </is>
      </c>
      <c r="C63" s="125" t="n">
        <v>114.6</v>
      </c>
      <c r="D63" s="125" t="n">
        <v>269.2</v>
      </c>
      <c r="E63" s="125" t="n">
        <v>258.8</v>
      </c>
      <c r="F63" s="125" t="n">
        <v>22.1</v>
      </c>
      <c r="G63" s="125" t="n">
        <v>13.5</v>
      </c>
      <c r="H63" s="125" t="n">
        <v>12.7</v>
      </c>
      <c r="I63" s="125" t="n">
        <v>199.6</v>
      </c>
      <c r="J63" s="125" t="n">
        <v>146</v>
      </c>
      <c r="K63" s="125">
        <f>((E63-G63)/2)/F63</f>
        <v/>
      </c>
      <c r="L63" s="125">
        <f>I63/G63</f>
        <v/>
      </c>
      <c r="M63" s="125" t="n">
        <v>1.52</v>
      </c>
      <c r="N63" s="125" t="n">
        <v>18950</v>
      </c>
      <c r="O63" s="125" t="n">
        <v>6391</v>
      </c>
      <c r="P63" s="125" t="n">
        <v>11.4</v>
      </c>
      <c r="Q63" s="125" t="n">
        <v>6.61</v>
      </c>
      <c r="R63" s="125" t="n">
        <v>1408</v>
      </c>
      <c r="S63" s="125" t="n">
        <v>494</v>
      </c>
      <c r="T63" s="125" t="n">
        <v>1599</v>
      </c>
      <c r="U63" s="125" t="n">
        <v>752</v>
      </c>
      <c r="X63" s="129">
        <f t="array" ref="X63">_xlfn.IFS((D63/F63) &lt;= (640/SQRT($AT$32)), "Compact", L63 &lt;= ($AT$32*(0.79-(0.002*((E63-G63/2)/(2*F63))*SQRT($AT$32)))), "Non-Compact", L63 &gt; ($AT$32*(0.79-(0.002*((E63-G63/2)/(2*F63))*SQRT($AT$32)))), "Slender")</f>
        <v/>
      </c>
      <c r="Y63" s="129">
        <f t="array" ref="Y63">_xlfn.IFS(K63 &lt;= (65/SQRT($AT$32)), "Compact", K63 &lt;= (95/SQRT($AT$32)), "Non-Compact", K63 &gt; (95/SQRT($AT$32)), "Slender")</f>
        <v/>
      </c>
      <c r="Z63" s="125">
        <f>E63/F63</f>
        <v/>
      </c>
      <c r="AA63" s="125">
        <f>D63/G63</f>
        <v/>
      </c>
      <c r="AB63" s="125">
        <f t="array" ref="AB63">_xlfn.IFS(Z63 &lt;= 9, "1", Z63 &lt;= 12, "2", Z63 &lt;= 15, "3", Z63 &gt; 15, "4")</f>
        <v/>
      </c>
      <c r="AC63" s="125">
        <f t="array" ref="AC63">_xlfn.IFS(AA63 &lt;= 200, "1", L63 &lt;= 300, "2", L63 &lt;= 400, "3", L63 &gt; 400, "4")</f>
        <v/>
      </c>
      <c r="AD63" s="129">
        <f>SQRT((((VLOOKUP($AT$4,$A$4:$D$1021,4,FALSE))-D63)^2)+(((VLOOKUP($AT$4,$A$4:$E$1021,5,FALSE))-E63)^2)+(((VLOOKUP($AT$4,$A$4:$N$1021,14,FALSE))-N63)^2)+(((VLOOKUP($AT$4,$A$4:$O$1021,15,FALSE))-O63)^2))</f>
        <v/>
      </c>
      <c r="AG63" s="129">
        <f>SQRT((((VLOOKUP($AT$4,$A$4:$D$1021,4,FALSE))-D63)^2)+(((VLOOKUP($AT$4,$A$4:$E$1021,5,FALSE))-E63)^2)+(((VLOOKUP($AT$4,$A$4:$R$1021,18,FALSE))-R63)^2)+(((VLOOKUP($AT$4,$A$4:$S$1021,19,FALSE))-S63)^2))</f>
        <v/>
      </c>
      <c r="AJ63" s="125" t="inlineStr">
        <is>
          <t>W10X77</t>
        </is>
      </c>
      <c r="AK63" s="125">
        <f>SQRT(((VLOOKUP($AT$4,$A$4:$J$1021,10,FALSE))-J63)^2)</f>
        <v/>
      </c>
      <c r="AL63" s="125" t="n"/>
      <c r="AM63" s="125" t="n"/>
      <c r="AN63" s="125">
        <f>SQRT(((VLOOKUP($AT$4,$A$4:$R$1021,18,FALSE))-R63)^2)</f>
        <v/>
      </c>
      <c r="AO63" s="125" t="n"/>
      <c r="AP63" s="125" t="n"/>
      <c r="AQ63" s="125" t="inlineStr">
        <is>
          <t>W10X77</t>
        </is>
      </c>
      <c r="BB63" s="125">
        <f>SQRT(($J$1022-J63)^2)</f>
        <v/>
      </c>
      <c r="BC63" s="125">
        <f>SQRT(($R$1022-R63)^2)</f>
        <v/>
      </c>
      <c r="BD63" s="125" t="inlineStr">
        <is>
          <t>W10X77</t>
        </is>
      </c>
      <c r="BI63">
        <f>SQRT(($J$1023-J63)^2)</f>
        <v/>
      </c>
      <c r="BJ63">
        <f>SQRT(($R$1023-R63)^2)</f>
        <v/>
      </c>
      <c r="BK63" s="125" t="inlineStr">
        <is>
          <t>W10X77</t>
        </is>
      </c>
      <c r="BP63">
        <f>SQRT(($J$1024-J63)^2)</f>
        <v/>
      </c>
      <c r="BQ63">
        <f>SQRT(($R$1024-R63)^2)</f>
        <v/>
      </c>
      <c r="BR63" s="125" t="inlineStr">
        <is>
          <t>W10X77</t>
        </is>
      </c>
      <c r="BW63">
        <f>SQRT(($J$1025-J63)^2)</f>
        <v/>
      </c>
      <c r="BX63">
        <f>SQRT(($R$1025-R63)^2)</f>
        <v/>
      </c>
      <c r="BY63" s="125" t="inlineStr">
        <is>
          <t>W10X77</t>
        </is>
      </c>
      <c r="CD63">
        <f>SQRT(($J$1026-J63)^2)</f>
        <v/>
      </c>
      <c r="CE63">
        <f>SQRT(($R$1026-R63)^2)</f>
        <v/>
      </c>
      <c r="CF63" s="125" t="inlineStr">
        <is>
          <t>W10X77</t>
        </is>
      </c>
    </row>
    <row r="64">
      <c r="A64" s="125" t="inlineStr">
        <is>
          <t>W10X88</t>
        </is>
      </c>
      <c r="B64" s="129" t="inlineStr">
        <is>
          <t>AISC</t>
        </is>
      </c>
      <c r="C64" s="125" t="n">
        <v>131</v>
      </c>
      <c r="D64" s="125" t="n">
        <v>275.3</v>
      </c>
      <c r="E64" s="125" t="n">
        <v>260.7</v>
      </c>
      <c r="F64" s="125" t="n">
        <v>25.2</v>
      </c>
      <c r="G64" s="125" t="n">
        <v>15.4</v>
      </c>
      <c r="H64" s="125" t="n">
        <v>12.7</v>
      </c>
      <c r="I64" s="125" t="n">
        <v>199.6</v>
      </c>
      <c r="J64" s="125" t="n">
        <v>167</v>
      </c>
      <c r="K64" s="125">
        <f>((E64-G64)/2)/F64</f>
        <v/>
      </c>
      <c r="L64" s="125">
        <f>I64/G64</f>
        <v/>
      </c>
      <c r="M64" s="125" t="n">
        <v>1.54</v>
      </c>
      <c r="N64" s="125" t="n">
        <v>22210</v>
      </c>
      <c r="O64" s="125" t="n">
        <v>7436</v>
      </c>
      <c r="P64" s="125" t="n">
        <v>11.5</v>
      </c>
      <c r="Q64" s="125" t="n">
        <v>6.67</v>
      </c>
      <c r="R64" s="125" t="n">
        <v>1613</v>
      </c>
      <c r="S64" s="125" t="n">
        <v>570</v>
      </c>
      <c r="T64" s="125" t="n">
        <v>1850</v>
      </c>
      <c r="U64" s="125" t="n">
        <v>869</v>
      </c>
      <c r="X64" s="129">
        <f t="array" ref="X64">_xlfn.IFS((D64/F64) &lt;= (640/SQRT($AT$32)), "Compact", L64 &lt;= ($AT$32*(0.79-(0.002*((E64-G64/2)/(2*F64))*SQRT($AT$32)))), "Non-Compact", L64 &gt; ($AT$32*(0.79-(0.002*((E64-G64/2)/(2*F64))*SQRT($AT$32)))), "Slender")</f>
        <v/>
      </c>
      <c r="Y64" s="129">
        <f t="array" ref="Y64">_xlfn.IFS(K64 &lt;= (65/SQRT($AT$32)), "Compact", K64 &lt;= (95/SQRT($AT$32)), "Non-Compact", K64 &gt; (95/SQRT($AT$32)), "Slender")</f>
        <v/>
      </c>
      <c r="Z64" s="125">
        <f>E64/F64</f>
        <v/>
      </c>
      <c r="AA64" s="125">
        <f>D64/G64</f>
        <v/>
      </c>
      <c r="AB64" s="125">
        <f t="array" ref="AB64">_xlfn.IFS(Z64 &lt;= 9, "1", Z64 &lt;= 12, "2", Z64 &lt;= 15, "3", Z64 &gt; 15, "4")</f>
        <v/>
      </c>
      <c r="AC64" s="125">
        <f t="array" ref="AC64">_xlfn.IFS(AA64 &lt;= 200, "1", L64 &lt;= 300, "2", L64 &lt;= 400, "3", L64 &gt; 400, "4")</f>
        <v/>
      </c>
      <c r="AD64" s="129">
        <f>SQRT((((VLOOKUP($AT$4,$A$4:$D$1021,4,FALSE))-D64)^2)+(((VLOOKUP($AT$4,$A$4:$E$1021,5,FALSE))-E64)^2)+(((VLOOKUP($AT$4,$A$4:$N$1021,14,FALSE))-N64)^2)+(((VLOOKUP($AT$4,$A$4:$O$1021,15,FALSE))-O64)^2))</f>
        <v/>
      </c>
      <c r="AG64" s="129">
        <f>SQRT((((VLOOKUP($AT$4,$A$4:$D$1021,4,FALSE))-D64)^2)+(((VLOOKUP($AT$4,$A$4:$E$1021,5,FALSE))-E64)^2)+(((VLOOKUP($AT$4,$A$4:$R$1021,18,FALSE))-R64)^2)+(((VLOOKUP($AT$4,$A$4:$S$1021,19,FALSE))-S64)^2))</f>
        <v/>
      </c>
      <c r="AJ64" s="125" t="inlineStr">
        <is>
          <t>W10X88</t>
        </is>
      </c>
      <c r="AK64" s="125">
        <f>SQRT(((VLOOKUP($AT$4,$A$4:$J$1021,10,FALSE))-J64)^2)</f>
        <v/>
      </c>
      <c r="AL64" s="125" t="n"/>
      <c r="AM64" s="125" t="n"/>
      <c r="AN64" s="125">
        <f>SQRT(((VLOOKUP($AT$4,$A$4:$R$1021,18,FALSE))-R64)^2)</f>
        <v/>
      </c>
      <c r="AO64" s="125" t="n"/>
      <c r="AP64" s="125" t="n"/>
      <c r="AQ64" s="125" t="inlineStr">
        <is>
          <t>W10X88</t>
        </is>
      </c>
      <c r="BB64" s="125">
        <f>SQRT(($J$1022-J64)^2)</f>
        <v/>
      </c>
      <c r="BC64" s="125">
        <f>SQRT(($R$1022-R64)^2)</f>
        <v/>
      </c>
      <c r="BD64" s="125" t="inlineStr">
        <is>
          <t>W10X88</t>
        </is>
      </c>
      <c r="BI64">
        <f>SQRT(($J$1023-J64)^2)</f>
        <v/>
      </c>
      <c r="BJ64">
        <f>SQRT(($R$1023-R64)^2)</f>
        <v/>
      </c>
      <c r="BK64" s="125" t="inlineStr">
        <is>
          <t>W10X88</t>
        </is>
      </c>
      <c r="BP64">
        <f>SQRT(($J$1024-J64)^2)</f>
        <v/>
      </c>
      <c r="BQ64">
        <f>SQRT(($R$1024-R64)^2)</f>
        <v/>
      </c>
      <c r="BR64" s="125" t="inlineStr">
        <is>
          <t>W10X88</t>
        </is>
      </c>
      <c r="BW64">
        <f>SQRT(($J$1025-J64)^2)</f>
        <v/>
      </c>
      <c r="BX64">
        <f>SQRT(($R$1025-R64)^2)</f>
        <v/>
      </c>
      <c r="BY64" s="125" t="inlineStr">
        <is>
          <t>W10X88</t>
        </is>
      </c>
      <c r="CD64">
        <f>SQRT(($J$1026-J64)^2)</f>
        <v/>
      </c>
      <c r="CE64">
        <f>SQRT(($R$1026-R64)^2)</f>
        <v/>
      </c>
      <c r="CF64" s="125" t="inlineStr">
        <is>
          <t>W10X88</t>
        </is>
      </c>
    </row>
    <row r="65">
      <c r="A65" s="125" t="inlineStr">
        <is>
          <t>W10X89</t>
        </is>
      </c>
      <c r="B65" s="129" t="inlineStr">
        <is>
          <t>AISC</t>
        </is>
      </c>
      <c r="C65" s="125" t="n">
        <v>132</v>
      </c>
      <c r="D65" s="125" t="n">
        <v>276.3</v>
      </c>
      <c r="E65" s="125" t="n">
        <v>261.3</v>
      </c>
      <c r="F65" s="125" t="n">
        <v>25.3</v>
      </c>
      <c r="G65" s="125" t="n">
        <v>15.3</v>
      </c>
      <c r="H65" s="125" t="n">
        <v>12.7</v>
      </c>
      <c r="I65" s="125" t="n">
        <v>200.3</v>
      </c>
      <c r="J65" s="125" t="n">
        <v>168</v>
      </c>
      <c r="K65" s="125">
        <f>((E65-G65)/2)/F65</f>
        <v/>
      </c>
      <c r="L65" s="125">
        <f>I65/G65</f>
        <v/>
      </c>
      <c r="M65" s="125" t="n">
        <v>1.55</v>
      </c>
      <c r="N65" s="125" t="n">
        <v>22530</v>
      </c>
      <c r="O65" s="125" t="n">
        <v>7531</v>
      </c>
      <c r="P65" s="125" t="n">
        <v>11.6</v>
      </c>
      <c r="Q65" s="125" t="n">
        <v>6.69</v>
      </c>
      <c r="R65" s="125" t="n">
        <v>1631</v>
      </c>
      <c r="S65" s="125" t="n">
        <v>576</v>
      </c>
      <c r="T65" s="125" t="n">
        <v>1869</v>
      </c>
      <c r="U65" s="125" t="n">
        <v>878</v>
      </c>
      <c r="X65" s="129">
        <f t="array" ref="X65">_xlfn.IFS((D65/F65) &lt;= (640/SQRT($AT$32)), "Compact", L65 &lt;= ($AT$32*(0.79-(0.002*((E65-G65/2)/(2*F65))*SQRT($AT$32)))), "Non-Compact", L65 &gt; ($AT$32*(0.79-(0.002*((E65-G65/2)/(2*F65))*SQRT($AT$32)))), "Slender")</f>
        <v/>
      </c>
      <c r="Y65" s="129">
        <f t="array" ref="Y65">_xlfn.IFS(K65 &lt;= (65/SQRT($AT$32)), "Compact", K65 &lt;= (95/SQRT($AT$32)), "Non-Compact", K65 &gt; (95/SQRT($AT$32)), "Slender")</f>
        <v/>
      </c>
      <c r="Z65" s="125">
        <f>E65/F65</f>
        <v/>
      </c>
      <c r="AA65" s="125">
        <f>D65/G65</f>
        <v/>
      </c>
      <c r="AB65" s="125">
        <f t="array" ref="AB65">_xlfn.IFS(Z65 &lt;= 9, "1", Z65 &lt;= 12, "2", Z65 &lt;= 15, "3", Z65 &gt; 15, "4")</f>
        <v/>
      </c>
      <c r="AC65" s="125">
        <f t="array" ref="AC65">_xlfn.IFS(AA65 &lt;= 200, "1", L65 &lt;= 300, "2", L65 &lt;= 400, "3", L65 &gt; 400, "4")</f>
        <v/>
      </c>
      <c r="AD65" s="129">
        <f>SQRT((((VLOOKUP($AT$4,$A$4:$D$1021,4,FALSE))-D65)^2)+(((VLOOKUP($AT$4,$A$4:$E$1021,5,FALSE))-E65)^2)+(((VLOOKUP($AT$4,$A$4:$N$1021,14,FALSE))-N65)^2)+(((VLOOKUP($AT$4,$A$4:$O$1021,15,FALSE))-O65)^2))</f>
        <v/>
      </c>
      <c r="AG65" s="129">
        <f>SQRT((((VLOOKUP($AT$4,$A$4:$D$1021,4,FALSE))-D65)^2)+(((VLOOKUP($AT$4,$A$4:$E$1021,5,FALSE))-E65)^2)+(((VLOOKUP($AT$4,$A$4:$R$1021,18,FALSE))-R65)^2)+(((VLOOKUP($AT$4,$A$4:$S$1021,19,FALSE))-S65)^2))</f>
        <v/>
      </c>
      <c r="AJ65" s="125" t="inlineStr">
        <is>
          <t>W10X89</t>
        </is>
      </c>
      <c r="AK65" s="125">
        <f>SQRT(((VLOOKUP($AT$4,$A$4:$J$1021,10,FALSE))-J65)^2)</f>
        <v/>
      </c>
      <c r="AL65" s="125" t="n"/>
      <c r="AM65" s="125" t="n"/>
      <c r="AN65" s="125">
        <f>SQRT(((VLOOKUP($AT$4,$A$4:$R$1021,18,FALSE))-R65)^2)</f>
        <v/>
      </c>
      <c r="AO65" s="125" t="n"/>
      <c r="AP65" s="125" t="n"/>
      <c r="AQ65" s="125" t="inlineStr">
        <is>
          <t>W10X89</t>
        </is>
      </c>
      <c r="BB65" s="125">
        <f>SQRT(($J$1022-J65)^2)</f>
        <v/>
      </c>
      <c r="BC65" s="125">
        <f>SQRT(($R$1022-R65)^2)</f>
        <v/>
      </c>
      <c r="BD65" s="125" t="inlineStr">
        <is>
          <t>W10X89</t>
        </is>
      </c>
      <c r="BI65">
        <f>SQRT(($J$1023-J65)^2)</f>
        <v/>
      </c>
      <c r="BJ65">
        <f>SQRT(($R$1023-R65)^2)</f>
        <v/>
      </c>
      <c r="BK65" s="125" t="inlineStr">
        <is>
          <t>W10X89</t>
        </is>
      </c>
      <c r="BP65">
        <f>SQRT(($J$1024-J65)^2)</f>
        <v/>
      </c>
      <c r="BQ65">
        <f>SQRT(($R$1024-R65)^2)</f>
        <v/>
      </c>
      <c r="BR65" s="125" t="inlineStr">
        <is>
          <t>W10X89</t>
        </is>
      </c>
      <c r="BW65">
        <f>SQRT(($J$1025-J65)^2)</f>
        <v/>
      </c>
      <c r="BX65">
        <f>SQRT(($R$1025-R65)^2)</f>
        <v/>
      </c>
      <c r="BY65" s="125" t="inlineStr">
        <is>
          <t>W10X89</t>
        </is>
      </c>
      <c r="CD65">
        <f>SQRT(($J$1026-J65)^2)</f>
        <v/>
      </c>
      <c r="CE65">
        <f>SQRT(($R$1026-R65)^2)</f>
        <v/>
      </c>
      <c r="CF65" s="125" t="inlineStr">
        <is>
          <t>W10X89</t>
        </is>
      </c>
    </row>
    <row r="66">
      <c r="A66" s="125" t="inlineStr">
        <is>
          <t>W10X100</t>
        </is>
      </c>
      <c r="B66" s="129" t="inlineStr">
        <is>
          <t>AISC</t>
        </is>
      </c>
      <c r="C66" s="125" t="n">
        <v>148.8</v>
      </c>
      <c r="D66" s="125" t="n">
        <v>281.9</v>
      </c>
      <c r="E66" s="125" t="n">
        <v>262.6</v>
      </c>
      <c r="F66" s="125" t="n">
        <v>28.5</v>
      </c>
      <c r="G66" s="125" t="n">
        <v>17.3</v>
      </c>
      <c r="H66" s="125" t="n">
        <v>12.7</v>
      </c>
      <c r="I66" s="125" t="n">
        <v>199.6</v>
      </c>
      <c r="J66" s="125" t="n">
        <v>190</v>
      </c>
      <c r="K66" s="125">
        <f>((E66-G66)/2)/F66</f>
        <v/>
      </c>
      <c r="L66" s="125">
        <f>I66/G66</f>
        <v/>
      </c>
      <c r="M66" s="125" t="n">
        <v>1.56</v>
      </c>
      <c r="N66" s="125" t="n">
        <v>25900</v>
      </c>
      <c r="O66" s="125" t="n">
        <v>8598</v>
      </c>
      <c r="P66" s="125" t="n">
        <v>11.7</v>
      </c>
      <c r="Q66" s="125" t="n">
        <v>6.73</v>
      </c>
      <c r="R66" s="125" t="n">
        <v>1838</v>
      </c>
      <c r="S66" s="125" t="n">
        <v>655</v>
      </c>
      <c r="T66" s="125" t="n">
        <v>2127</v>
      </c>
      <c r="U66" s="125" t="n">
        <v>999</v>
      </c>
      <c r="X66" s="129">
        <f t="array" ref="X66">_xlfn.IFS((D66/F66) &lt;= (640/SQRT($AT$32)), "Compact", L66 &lt;= ($AT$32*(0.79-(0.002*((E66-G66/2)/(2*F66))*SQRT($AT$32)))), "Non-Compact", L66 &gt; ($AT$32*(0.79-(0.002*((E66-G66/2)/(2*F66))*SQRT($AT$32)))), "Slender")</f>
        <v/>
      </c>
      <c r="Y66" s="129">
        <f t="array" ref="Y66">_xlfn.IFS(K66 &lt;= (65/SQRT($AT$32)), "Compact", K66 &lt;= (95/SQRT($AT$32)), "Non-Compact", K66 &gt; (95/SQRT($AT$32)), "Slender")</f>
        <v/>
      </c>
      <c r="Z66" s="125">
        <f>E66/F66</f>
        <v/>
      </c>
      <c r="AA66" s="125">
        <f>D66/G66</f>
        <v/>
      </c>
      <c r="AB66" s="125">
        <f t="array" ref="AB66">_xlfn.IFS(Z66 &lt;= 9, "1", Z66 &lt;= 12, "2", Z66 &lt;= 15, "3", Z66 &gt; 15, "4")</f>
        <v/>
      </c>
      <c r="AC66" s="125">
        <f t="array" ref="AC66">_xlfn.IFS(AA66 &lt;= 200, "1", L66 &lt;= 300, "2", L66 &lt;= 400, "3", L66 &gt; 400, "4")</f>
        <v/>
      </c>
      <c r="AD66" s="129">
        <f>SQRT((((VLOOKUP($AT$4,$A$4:$D$1021,4,FALSE))-D66)^2)+(((VLOOKUP($AT$4,$A$4:$E$1021,5,FALSE))-E66)^2)+(((VLOOKUP($AT$4,$A$4:$N$1021,14,FALSE))-N66)^2)+(((VLOOKUP($AT$4,$A$4:$O$1021,15,FALSE))-O66)^2))</f>
        <v/>
      </c>
      <c r="AG66" s="129">
        <f>SQRT((((VLOOKUP($AT$4,$A$4:$D$1021,4,FALSE))-D66)^2)+(((VLOOKUP($AT$4,$A$4:$E$1021,5,FALSE))-E66)^2)+(((VLOOKUP($AT$4,$A$4:$R$1021,18,FALSE))-R66)^2)+(((VLOOKUP($AT$4,$A$4:$S$1021,19,FALSE))-S66)^2))</f>
        <v/>
      </c>
      <c r="AJ66" s="125" t="inlineStr">
        <is>
          <t>W10X100</t>
        </is>
      </c>
      <c r="AK66" s="125">
        <f>SQRT(((VLOOKUP($AT$4,$A$4:$J$1021,10,FALSE))-J66)^2)</f>
        <v/>
      </c>
      <c r="AL66" s="125" t="n"/>
      <c r="AM66" s="125" t="n"/>
      <c r="AN66" s="125">
        <f>SQRT(((VLOOKUP($AT$4,$A$4:$R$1021,18,FALSE))-R66)^2)</f>
        <v/>
      </c>
      <c r="AO66" s="125" t="n"/>
      <c r="AP66" s="125" t="n"/>
      <c r="AQ66" s="125" t="inlineStr">
        <is>
          <t>W10X100</t>
        </is>
      </c>
      <c r="BB66" s="125">
        <f>SQRT(($J$1022-J66)^2)</f>
        <v/>
      </c>
      <c r="BC66" s="125">
        <f>SQRT(($R$1022-R66)^2)</f>
        <v/>
      </c>
      <c r="BD66" s="125" t="inlineStr">
        <is>
          <t>W10X100</t>
        </is>
      </c>
      <c r="BI66">
        <f>SQRT(($J$1023-J66)^2)</f>
        <v/>
      </c>
      <c r="BJ66">
        <f>SQRT(($R$1023-R66)^2)</f>
        <v/>
      </c>
      <c r="BK66" s="125" t="inlineStr">
        <is>
          <t>W10X100</t>
        </is>
      </c>
      <c r="BP66">
        <f>SQRT(($J$1024-J66)^2)</f>
        <v/>
      </c>
      <c r="BQ66">
        <f>SQRT(($R$1024-R66)^2)</f>
        <v/>
      </c>
      <c r="BR66" s="125" t="inlineStr">
        <is>
          <t>W10X100</t>
        </is>
      </c>
      <c r="BW66">
        <f>SQRT(($J$1025-J66)^2)</f>
        <v/>
      </c>
      <c r="BX66">
        <f>SQRT(($R$1025-R66)^2)</f>
        <v/>
      </c>
      <c r="BY66" s="125" t="inlineStr">
        <is>
          <t>W10X100</t>
        </is>
      </c>
      <c r="CD66">
        <f>SQRT(($J$1026-J66)^2)</f>
        <v/>
      </c>
      <c r="CE66">
        <f>SQRT(($R$1026-R66)^2)</f>
        <v/>
      </c>
      <c r="CF66" s="125" t="inlineStr">
        <is>
          <t>W10X100</t>
        </is>
      </c>
    </row>
    <row r="67">
      <c r="A67" s="125" t="inlineStr">
        <is>
          <t>W10X112</t>
        </is>
      </c>
      <c r="B67" s="129" t="inlineStr">
        <is>
          <t>AISC</t>
        </is>
      </c>
      <c r="C67" s="125" t="n">
        <v>167.1</v>
      </c>
      <c r="D67" s="125" t="n">
        <v>289.1</v>
      </c>
      <c r="E67" s="125" t="n">
        <v>265.2</v>
      </c>
      <c r="F67" s="125" t="n">
        <v>31.7</v>
      </c>
      <c r="G67" s="125" t="n">
        <v>19.2</v>
      </c>
      <c r="H67" s="125" t="n">
        <v>12.7</v>
      </c>
      <c r="I67" s="125" t="n">
        <v>200.3</v>
      </c>
      <c r="J67" s="125" t="n">
        <v>213</v>
      </c>
      <c r="K67" s="125">
        <f>((E67-G67)/2)/F67</f>
        <v/>
      </c>
      <c r="L67" s="125">
        <f>I67/G67</f>
        <v/>
      </c>
      <c r="M67" s="125" t="n">
        <v>1.58</v>
      </c>
      <c r="N67" s="125" t="n">
        <v>30000</v>
      </c>
      <c r="O67" s="125" t="n">
        <v>9870</v>
      </c>
      <c r="P67" s="125" t="n">
        <v>11.9</v>
      </c>
      <c r="Q67" s="125" t="n">
        <v>6.81</v>
      </c>
      <c r="R67" s="125" t="n">
        <v>2075</v>
      </c>
      <c r="S67" s="125" t="n">
        <v>744</v>
      </c>
      <c r="T67" s="125" t="n">
        <v>2424</v>
      </c>
      <c r="U67" s="125" t="n">
        <v>1137</v>
      </c>
      <c r="X67" s="129">
        <f t="array" ref="X67">_xlfn.IFS((D67/F67) &lt;= (640/SQRT($AT$32)), "Compact", L67 &lt;= ($AT$32*(0.79-(0.002*((E67-G67/2)/(2*F67))*SQRT($AT$32)))), "Non-Compact", L67 &gt; ($AT$32*(0.79-(0.002*((E67-G67/2)/(2*F67))*SQRT($AT$32)))), "Slender")</f>
        <v/>
      </c>
      <c r="Y67" s="129">
        <f t="array" ref="Y67">_xlfn.IFS(K67 &lt;= (65/SQRT($AT$32)), "Compact", K67 &lt;= (95/SQRT($AT$32)), "Non-Compact", K67 &gt; (95/SQRT($AT$32)), "Slender")</f>
        <v/>
      </c>
      <c r="Z67" s="125">
        <f>E67/F67</f>
        <v/>
      </c>
      <c r="AA67" s="125">
        <f>D67/G67</f>
        <v/>
      </c>
      <c r="AB67" s="125">
        <f t="array" ref="AB67">_xlfn.IFS(Z67 &lt;= 9, "1", Z67 &lt;= 12, "2", Z67 &lt;= 15, "3", Z67 &gt; 15, "4")</f>
        <v/>
      </c>
      <c r="AC67" s="125">
        <f t="array" ref="AC67">_xlfn.IFS(AA67 &lt;= 200, "1", L67 &lt;= 300, "2", L67 &lt;= 400, "3", L67 &gt; 400, "4")</f>
        <v/>
      </c>
      <c r="AD67" s="129">
        <f>SQRT((((VLOOKUP($AT$4,$A$4:$D$1021,4,FALSE))-D67)^2)+(((VLOOKUP($AT$4,$A$4:$E$1021,5,FALSE))-E67)^2)+(((VLOOKUP($AT$4,$A$4:$N$1021,14,FALSE))-N67)^2)+(((VLOOKUP($AT$4,$A$4:$O$1021,15,FALSE))-O67)^2))</f>
        <v/>
      </c>
      <c r="AG67" s="129">
        <f>SQRT((((VLOOKUP($AT$4,$A$4:$D$1021,4,FALSE))-D67)^2)+(((VLOOKUP($AT$4,$A$4:$E$1021,5,FALSE))-E67)^2)+(((VLOOKUP($AT$4,$A$4:$R$1021,18,FALSE))-R67)^2)+(((VLOOKUP($AT$4,$A$4:$S$1021,19,FALSE))-S67)^2))</f>
        <v/>
      </c>
      <c r="AJ67" s="125" t="inlineStr">
        <is>
          <t>W10X112</t>
        </is>
      </c>
      <c r="AK67" s="125">
        <f>SQRT(((VLOOKUP($AT$4,$A$4:$J$1021,10,FALSE))-J67)^2)</f>
        <v/>
      </c>
      <c r="AL67" s="125" t="n"/>
      <c r="AM67" s="125" t="n"/>
      <c r="AN67" s="125">
        <f>SQRT(((VLOOKUP($AT$4,$A$4:$R$1021,18,FALSE))-R67)^2)</f>
        <v/>
      </c>
      <c r="AO67" s="125" t="n"/>
      <c r="AP67" s="125" t="n"/>
      <c r="AQ67" s="125" t="inlineStr">
        <is>
          <t>W10X112</t>
        </is>
      </c>
      <c r="BB67" s="125">
        <f>SQRT(($J$1022-J67)^2)</f>
        <v/>
      </c>
      <c r="BC67" s="125">
        <f>SQRT(($R$1022-R67)^2)</f>
        <v/>
      </c>
      <c r="BD67" s="125" t="inlineStr">
        <is>
          <t>W10X112</t>
        </is>
      </c>
      <c r="BI67">
        <f>SQRT(($J$1023-J67)^2)</f>
        <v/>
      </c>
      <c r="BJ67">
        <f>SQRT(($R$1023-R67)^2)</f>
        <v/>
      </c>
      <c r="BK67" s="125" t="inlineStr">
        <is>
          <t>W10X112</t>
        </is>
      </c>
      <c r="BP67">
        <f>SQRT(($J$1024-J67)^2)</f>
        <v/>
      </c>
      <c r="BQ67">
        <f>SQRT(($R$1024-R67)^2)</f>
        <v/>
      </c>
      <c r="BR67" s="125" t="inlineStr">
        <is>
          <t>W10X112</t>
        </is>
      </c>
      <c r="BW67">
        <f>SQRT(($J$1025-J67)^2)</f>
        <v/>
      </c>
      <c r="BX67">
        <f>SQRT(($R$1025-R67)^2)</f>
        <v/>
      </c>
      <c r="BY67" s="125" t="inlineStr">
        <is>
          <t>W10X112</t>
        </is>
      </c>
      <c r="CD67">
        <f>SQRT(($J$1026-J67)^2)</f>
        <v/>
      </c>
      <c r="CE67">
        <f>SQRT(($R$1026-R67)^2)</f>
        <v/>
      </c>
      <c r="CF67" s="125" t="inlineStr">
        <is>
          <t>W10X112</t>
        </is>
      </c>
    </row>
    <row r="68">
      <c r="A68" s="125" t="inlineStr">
        <is>
          <t>W12X14</t>
        </is>
      </c>
      <c r="B68" s="129" t="inlineStr">
        <is>
          <t>AISC</t>
        </is>
      </c>
      <c r="C68" s="125" t="n">
        <v>20.8</v>
      </c>
      <c r="D68" s="125" t="n">
        <v>302.5</v>
      </c>
      <c r="E68" s="125" t="n">
        <v>100.8</v>
      </c>
      <c r="F68" s="125" t="n">
        <v>5.7</v>
      </c>
      <c r="G68" s="129" t="n">
        <v>5.1</v>
      </c>
      <c r="H68" s="125" t="n">
        <v>7.6</v>
      </c>
      <c r="I68" s="125" t="n">
        <v>275.8</v>
      </c>
      <c r="J68" s="125" t="n">
        <v>26.8</v>
      </c>
      <c r="K68" s="125">
        <f>((E68-G68)/2)/F68</f>
        <v/>
      </c>
      <c r="L68" s="125">
        <f>I68/G68</f>
        <v/>
      </c>
      <c r="M68" s="125" t="n">
        <v>0.985</v>
      </c>
      <c r="N68" s="125" t="n">
        <v>3682</v>
      </c>
      <c r="O68" s="125" t="n">
        <v>97.90000000000001</v>
      </c>
      <c r="P68" s="125" t="n">
        <v>11.7</v>
      </c>
      <c r="Q68" s="125" t="n">
        <v>1.91</v>
      </c>
      <c r="R68" s="125" t="n">
        <v>243</v>
      </c>
      <c r="S68" s="125" t="n">
        <v>19.4</v>
      </c>
      <c r="T68" s="125" t="n">
        <v>286</v>
      </c>
      <c r="U68" s="125" t="n">
        <v>31.1</v>
      </c>
      <c r="X68" s="129">
        <f t="array" ref="X68">_xlfn.IFS((D68/F68) &lt;= (640/SQRT($AT$32)), "Compact", L68 &lt;= ($AT$32*(0.79-(0.002*((E68-G68/2)/(2*F68))*SQRT($AT$32)))), "Non-Compact", L68 &gt; ($AT$32*(0.79-(0.002*((E68-G68/2)/(2*F68))*SQRT($AT$32)))), "Slender")</f>
        <v/>
      </c>
      <c r="Y68" s="129">
        <f t="array" ref="Y68">_xlfn.IFS(K68 &lt;= (65/SQRT($AT$32)), "Compact", K68 &lt;= (95/SQRT($AT$32)), "Non-Compact", K68 &gt; (95/SQRT($AT$32)), "Slender")</f>
        <v/>
      </c>
      <c r="Z68" s="125">
        <f>E68/F68</f>
        <v/>
      </c>
      <c r="AA68" s="125">
        <f>D68/G68</f>
        <v/>
      </c>
      <c r="AB68" s="125">
        <f t="array" ref="AB68">_xlfn.IFS(Z68 &lt;= 9, "1", Z68 &lt;= 12, "2", Z68 &lt;= 15, "3", Z68 &gt; 15, "4")</f>
        <v/>
      </c>
      <c r="AC68" s="125">
        <f t="array" ref="AC68">_xlfn.IFS(AA68 &lt;= 200, "1", L68 &lt;= 300, "2", L68 &lt;= 400, "3", L68 &gt; 400, "4")</f>
        <v/>
      </c>
      <c r="AD68" s="129">
        <f>SQRT((((VLOOKUP($AT$4,$A$4:$D$1021,4,FALSE))-D68)^2)+(((VLOOKUP($AT$4,$A$4:$E$1021,5,FALSE))-E68)^2)+(((VLOOKUP($AT$4,$A$4:$N$1021,14,FALSE))-N68)^2)+(((VLOOKUP($AT$4,$A$4:$O$1021,15,FALSE))-O68)^2))</f>
        <v/>
      </c>
      <c r="AG68" s="129">
        <f>SQRT((((VLOOKUP($AT$4,$A$4:$D$1021,4,FALSE))-D68)^2)+(((VLOOKUP($AT$4,$A$4:$E$1021,5,FALSE))-E68)^2)+(((VLOOKUP($AT$4,$A$4:$R$1021,18,FALSE))-R68)^2)+(((VLOOKUP($AT$4,$A$4:$S$1021,19,FALSE))-S68)^2))</f>
        <v/>
      </c>
      <c r="AJ68" s="125" t="inlineStr">
        <is>
          <t>W12X14</t>
        </is>
      </c>
      <c r="AK68" s="125">
        <f>SQRT(((VLOOKUP($AT$4,$A$4:$J$1021,10,FALSE))-J68)^2)</f>
        <v/>
      </c>
      <c r="AL68" s="125" t="n"/>
      <c r="AM68" s="125" t="n"/>
      <c r="AN68" s="125">
        <f>SQRT(((VLOOKUP($AT$4,$A$4:$R$1021,18,FALSE))-R68)^2)</f>
        <v/>
      </c>
      <c r="AO68" s="125" t="n"/>
      <c r="AP68" s="125" t="n"/>
      <c r="AQ68" s="125" t="inlineStr">
        <is>
          <t>W12X14</t>
        </is>
      </c>
      <c r="BB68" s="125">
        <f>SQRT(($J$1022-J68)^2)</f>
        <v/>
      </c>
      <c r="BC68" s="125">
        <f>SQRT(($R$1022-R68)^2)</f>
        <v/>
      </c>
      <c r="BD68" s="125" t="inlineStr">
        <is>
          <t>W12X14</t>
        </is>
      </c>
      <c r="BI68">
        <f>SQRT(($J$1023-J68)^2)</f>
        <v/>
      </c>
      <c r="BJ68">
        <f>SQRT(($R$1023-R68)^2)</f>
        <v/>
      </c>
      <c r="BK68" s="125" t="inlineStr">
        <is>
          <t>W12X14</t>
        </is>
      </c>
      <c r="BP68">
        <f>SQRT(($J$1024-J68)^2)</f>
        <v/>
      </c>
      <c r="BQ68">
        <f>SQRT(($R$1024-R68)^2)</f>
        <v/>
      </c>
      <c r="BR68" s="125" t="inlineStr">
        <is>
          <t>W12X14</t>
        </is>
      </c>
      <c r="BW68">
        <f>SQRT(($J$1025-J68)^2)</f>
        <v/>
      </c>
      <c r="BX68">
        <f>SQRT(($R$1025-R68)^2)</f>
        <v/>
      </c>
      <c r="BY68" s="125" t="inlineStr">
        <is>
          <t>W12X14</t>
        </is>
      </c>
      <c r="CD68">
        <f>SQRT(($J$1026-J68)^2)</f>
        <v/>
      </c>
      <c r="CE68">
        <f>SQRT(($R$1026-R68)^2)</f>
        <v/>
      </c>
      <c r="CF68" s="125" t="inlineStr">
        <is>
          <t>W12X14</t>
        </is>
      </c>
    </row>
    <row r="69">
      <c r="A69" s="125" t="inlineStr">
        <is>
          <t>W12X16</t>
        </is>
      </c>
      <c r="B69" s="129" t="inlineStr">
        <is>
          <t>AISC</t>
        </is>
      </c>
      <c r="C69" s="125" t="n">
        <v>23.8</v>
      </c>
      <c r="D69" s="125" t="n">
        <v>304.5</v>
      </c>
      <c r="E69" s="125" t="n">
        <v>101.3</v>
      </c>
      <c r="F69" s="125" t="n">
        <v>6.7</v>
      </c>
      <c r="G69" s="125" t="n">
        <v>5.6</v>
      </c>
      <c r="H69" s="125" t="n">
        <v>7.6</v>
      </c>
      <c r="I69" s="125" t="n">
        <v>275.8</v>
      </c>
      <c r="J69" s="125" t="n">
        <v>30.4</v>
      </c>
      <c r="K69" s="125">
        <f>((E69-G69)/2)/F69</f>
        <v/>
      </c>
      <c r="L69" s="125">
        <f>I69/G69</f>
        <v/>
      </c>
      <c r="M69" s="125" t="n">
        <v>0.99</v>
      </c>
      <c r="N69" s="125" t="n">
        <v>4274</v>
      </c>
      <c r="O69" s="125" t="n">
        <v>117</v>
      </c>
      <c r="P69" s="125" t="n">
        <v>11.9</v>
      </c>
      <c r="Q69" s="125" t="n">
        <v>1.96</v>
      </c>
      <c r="R69" s="125" t="n">
        <v>281</v>
      </c>
      <c r="S69" s="125" t="n">
        <v>23.1</v>
      </c>
      <c r="T69" s="125" t="n">
        <v>329</v>
      </c>
      <c r="U69" s="125" t="n">
        <v>37</v>
      </c>
      <c r="X69" s="129">
        <f t="array" ref="X69">_xlfn.IFS((D69/F69) &lt;= (640/SQRT($AT$32)), "Compact", L69 &lt;= ($AT$32*(0.79-(0.002*((E69-G69/2)/(2*F69))*SQRT($AT$32)))), "Non-Compact", L69 &gt; ($AT$32*(0.79-(0.002*((E69-G69/2)/(2*F69))*SQRT($AT$32)))), "Slender")</f>
        <v/>
      </c>
      <c r="Y69" s="129">
        <f t="array" ref="Y69">_xlfn.IFS(K69 &lt;= (65/SQRT($AT$32)), "Compact", K69 &lt;= (95/SQRT($AT$32)), "Non-Compact", K69 &gt; (95/SQRT($AT$32)), "Slender")</f>
        <v/>
      </c>
      <c r="Z69" s="125">
        <f>E69/F69</f>
        <v/>
      </c>
      <c r="AA69" s="125">
        <f>D69/G69</f>
        <v/>
      </c>
      <c r="AB69" s="125">
        <f t="array" ref="AB69">_xlfn.IFS(Z69 &lt;= 9, "1", Z69 &lt;= 12, "2", Z69 &lt;= 15, "3", Z69 &gt; 15, "4")</f>
        <v/>
      </c>
      <c r="AC69" s="125">
        <f t="array" ref="AC69">_xlfn.IFS(AA69 &lt;= 200, "1", L69 &lt;= 300, "2", L69 &lt;= 400, "3", L69 &gt; 400, "4")</f>
        <v/>
      </c>
      <c r="AD69" s="129">
        <f>SQRT((((VLOOKUP($AT$4,$A$4:$D$1021,4,FALSE))-D69)^2)+(((VLOOKUP($AT$4,$A$4:$E$1021,5,FALSE))-E69)^2)+(((VLOOKUP($AT$4,$A$4:$N$1021,14,FALSE))-N69)^2)+(((VLOOKUP($AT$4,$A$4:$O$1021,15,FALSE))-O69)^2))</f>
        <v/>
      </c>
      <c r="AG69" s="129">
        <f>SQRT((((VLOOKUP($AT$4,$A$4:$D$1021,4,FALSE))-D69)^2)+(((VLOOKUP($AT$4,$A$4:$E$1021,5,FALSE))-E69)^2)+(((VLOOKUP($AT$4,$A$4:$R$1021,18,FALSE))-R69)^2)+(((VLOOKUP($AT$4,$A$4:$S$1021,19,FALSE))-S69)^2))</f>
        <v/>
      </c>
      <c r="AJ69" s="125" t="inlineStr">
        <is>
          <t>W12X16</t>
        </is>
      </c>
      <c r="AK69" s="125">
        <f>SQRT(((VLOOKUP($AT$4,$A$4:$J$1021,10,FALSE))-J69)^2)</f>
        <v/>
      </c>
      <c r="AL69" s="125" t="n"/>
      <c r="AM69" s="125" t="n"/>
      <c r="AN69" s="125">
        <f>SQRT(((VLOOKUP($AT$4,$A$4:$R$1021,18,FALSE))-R69)^2)</f>
        <v/>
      </c>
      <c r="AO69" s="125" t="n"/>
      <c r="AP69" s="125" t="n"/>
      <c r="AQ69" s="125" t="inlineStr">
        <is>
          <t>W12X16</t>
        </is>
      </c>
      <c r="BB69" s="125">
        <f>SQRT(($J$1022-J69)^2)</f>
        <v/>
      </c>
      <c r="BC69" s="125">
        <f>SQRT(($R$1022-R69)^2)</f>
        <v/>
      </c>
      <c r="BD69" s="125" t="inlineStr">
        <is>
          <t>W12X16</t>
        </is>
      </c>
      <c r="BI69">
        <f>SQRT(($J$1023-J69)^2)</f>
        <v/>
      </c>
      <c r="BJ69">
        <f>SQRT(($R$1023-R69)^2)</f>
        <v/>
      </c>
      <c r="BK69" s="125" t="inlineStr">
        <is>
          <t>W12X16</t>
        </is>
      </c>
      <c r="BP69">
        <f>SQRT(($J$1024-J69)^2)</f>
        <v/>
      </c>
      <c r="BQ69">
        <f>SQRT(($R$1024-R69)^2)</f>
        <v/>
      </c>
      <c r="BR69" s="125" t="inlineStr">
        <is>
          <t>W12X16</t>
        </is>
      </c>
      <c r="BW69">
        <f>SQRT(($J$1025-J69)^2)</f>
        <v/>
      </c>
      <c r="BX69">
        <f>SQRT(($R$1025-R69)^2)</f>
        <v/>
      </c>
      <c r="BY69" s="125" t="inlineStr">
        <is>
          <t>W12X16</t>
        </is>
      </c>
      <c r="CD69">
        <f>SQRT(($J$1026-J69)^2)</f>
        <v/>
      </c>
      <c r="CE69">
        <f>SQRT(($R$1026-R69)^2)</f>
        <v/>
      </c>
      <c r="CF69" s="125" t="inlineStr">
        <is>
          <t>W12X16</t>
        </is>
      </c>
    </row>
    <row r="70">
      <c r="A70" s="125" t="inlineStr">
        <is>
          <t>W12X16.5</t>
        </is>
      </c>
      <c r="B70" s="129" t="inlineStr">
        <is>
          <t>AISC</t>
        </is>
      </c>
      <c r="C70" s="125" t="n">
        <v>24.8</v>
      </c>
      <c r="D70" s="125" t="n">
        <v>305.1</v>
      </c>
      <c r="E70" s="125" t="n">
        <v>101.6</v>
      </c>
      <c r="F70" s="125" t="n">
        <v>7</v>
      </c>
      <c r="G70" s="125" t="n">
        <v>5.8</v>
      </c>
      <c r="H70" s="125" t="n">
        <v>7.6</v>
      </c>
      <c r="I70" s="125" t="n">
        <v>275.9</v>
      </c>
      <c r="J70" s="125" t="n">
        <v>31.6</v>
      </c>
      <c r="K70" s="125">
        <f>((E70-G70)/2)/F70</f>
        <v/>
      </c>
      <c r="L70" s="125">
        <f>I70/G70</f>
        <v/>
      </c>
      <c r="M70" s="125" t="n">
        <v>0.992</v>
      </c>
      <c r="N70" s="125" t="n">
        <v>4455</v>
      </c>
      <c r="O70" s="125" t="n">
        <v>123</v>
      </c>
      <c r="P70" s="125" t="n">
        <v>11.9</v>
      </c>
      <c r="Q70" s="125" t="n">
        <v>1.97</v>
      </c>
      <c r="R70" s="125" t="n">
        <v>292</v>
      </c>
      <c r="S70" s="125" t="n">
        <v>24.2</v>
      </c>
      <c r="T70" s="125" t="n">
        <v>342</v>
      </c>
      <c r="U70" s="125" t="n">
        <v>38.8</v>
      </c>
      <c r="X70" s="129">
        <f t="array" ref="X70">_xlfn.IFS((D70/F70) &lt;= (640/SQRT($AT$32)), "Compact", L70 &lt;= ($AT$32*(0.79-(0.002*((E70-G70/2)/(2*F70))*SQRT($AT$32)))), "Non-Compact", L70 &gt; ($AT$32*(0.79-(0.002*((E70-G70/2)/(2*F70))*SQRT($AT$32)))), "Slender")</f>
        <v/>
      </c>
      <c r="Y70" s="129">
        <f t="array" ref="Y70">_xlfn.IFS(K70 &lt;= (65/SQRT($AT$32)), "Compact", K70 &lt;= (95/SQRT($AT$32)), "Non-Compact", K70 &gt; (95/SQRT($AT$32)), "Slender")</f>
        <v/>
      </c>
      <c r="Z70" s="125">
        <f>E70/F70</f>
        <v/>
      </c>
      <c r="AA70" s="125">
        <f>D70/G70</f>
        <v/>
      </c>
      <c r="AB70" s="125">
        <f t="array" ref="AB70">_xlfn.IFS(Z70 &lt;= 9, "1", Z70 &lt;= 12, "2", Z70 &lt;= 15, "3", Z70 &gt; 15, "4")</f>
        <v/>
      </c>
      <c r="AC70" s="125">
        <f t="array" ref="AC70">_xlfn.IFS(AA70 &lt;= 200, "1", L70 &lt;= 300, "2", L70 &lt;= 400, "3", L70 &gt; 400, "4")</f>
        <v/>
      </c>
      <c r="AD70" s="129">
        <f>SQRT((((VLOOKUP($AT$4,$A$4:$D$1021,4,FALSE))-D70)^2)+(((VLOOKUP($AT$4,$A$4:$E$1021,5,FALSE))-E70)^2)+(((VLOOKUP($AT$4,$A$4:$N$1021,14,FALSE))-N70)^2)+(((VLOOKUP($AT$4,$A$4:$O$1021,15,FALSE))-O70)^2))</f>
        <v/>
      </c>
      <c r="AG70" s="129">
        <f>SQRT((((VLOOKUP($AT$4,$A$4:$D$1021,4,FALSE))-D70)^2)+(((VLOOKUP($AT$4,$A$4:$E$1021,5,FALSE))-E70)^2)+(((VLOOKUP($AT$4,$A$4:$R$1021,18,FALSE))-R70)^2)+(((VLOOKUP($AT$4,$A$4:$S$1021,19,FALSE))-S70)^2))</f>
        <v/>
      </c>
      <c r="AJ70" s="125" t="inlineStr">
        <is>
          <t>W12X16.5</t>
        </is>
      </c>
      <c r="AK70" s="125">
        <f>SQRT(((VLOOKUP($AT$4,$A$4:$J$1021,10,FALSE))-J70)^2)</f>
        <v/>
      </c>
      <c r="AL70" s="125" t="n"/>
      <c r="AM70" s="125" t="n"/>
      <c r="AN70" s="125">
        <f>SQRT(((VLOOKUP($AT$4,$A$4:$R$1021,18,FALSE))-R70)^2)</f>
        <v/>
      </c>
      <c r="AO70" s="125" t="n"/>
      <c r="AP70" s="125" t="n"/>
      <c r="AQ70" s="125" t="inlineStr">
        <is>
          <t>W12X16.5</t>
        </is>
      </c>
      <c r="BB70" s="125">
        <f>SQRT(($J$1022-J70)^2)</f>
        <v/>
      </c>
      <c r="BC70" s="125">
        <f>SQRT(($R$1022-R70)^2)</f>
        <v/>
      </c>
      <c r="BD70" s="125" t="inlineStr">
        <is>
          <t>W12X16.5</t>
        </is>
      </c>
      <c r="BI70">
        <f>SQRT(($J$1023-J70)^2)</f>
        <v/>
      </c>
      <c r="BJ70">
        <f>SQRT(($R$1023-R70)^2)</f>
        <v/>
      </c>
      <c r="BK70" s="125" t="inlineStr">
        <is>
          <t>W12X16.5</t>
        </is>
      </c>
      <c r="BP70">
        <f>SQRT(($J$1024-J70)^2)</f>
        <v/>
      </c>
      <c r="BQ70">
        <f>SQRT(($R$1024-R70)^2)</f>
        <v/>
      </c>
      <c r="BR70" s="125" t="inlineStr">
        <is>
          <t>W12X16.5</t>
        </is>
      </c>
      <c r="BW70">
        <f>SQRT(($J$1025-J70)^2)</f>
        <v/>
      </c>
      <c r="BX70">
        <f>SQRT(($R$1025-R70)^2)</f>
        <v/>
      </c>
      <c r="BY70" s="125" t="inlineStr">
        <is>
          <t>W12X16.5</t>
        </is>
      </c>
      <c r="CD70">
        <f>SQRT(($J$1026-J70)^2)</f>
        <v/>
      </c>
      <c r="CE70">
        <f>SQRT(($R$1026-R70)^2)</f>
        <v/>
      </c>
      <c r="CF70" s="125" t="inlineStr">
        <is>
          <t>W12X16.5</t>
        </is>
      </c>
    </row>
    <row r="71">
      <c r="A71" s="125" t="inlineStr">
        <is>
          <t>W12X19</t>
        </is>
      </c>
      <c r="B71" s="129" t="inlineStr">
        <is>
          <t>AISC</t>
        </is>
      </c>
      <c r="C71" s="125" t="n">
        <v>28.2</v>
      </c>
      <c r="D71" s="125" t="n">
        <v>308.7</v>
      </c>
      <c r="E71" s="125" t="n">
        <v>101.8</v>
      </c>
      <c r="F71" s="125" t="n">
        <v>8.800000000000001</v>
      </c>
      <c r="G71" s="125" t="n">
        <v>6</v>
      </c>
      <c r="H71" s="125" t="n">
        <v>7.6</v>
      </c>
      <c r="I71" s="125" t="n">
        <v>275.9</v>
      </c>
      <c r="J71" s="125" t="n">
        <v>35.9</v>
      </c>
      <c r="K71" s="125">
        <f>((E71-G71)/2)/F71</f>
        <v/>
      </c>
      <c r="L71" s="125">
        <f>I71/G71</f>
        <v/>
      </c>
      <c r="M71" s="125" t="n">
        <v>1</v>
      </c>
      <c r="N71" s="125" t="n">
        <v>5366</v>
      </c>
      <c r="O71" s="125" t="n">
        <v>155</v>
      </c>
      <c r="P71" s="125" t="n">
        <v>12.2</v>
      </c>
      <c r="Q71" s="125" t="n">
        <v>2.08</v>
      </c>
      <c r="R71" s="125" t="n">
        <v>348</v>
      </c>
      <c r="S71" s="125" t="n">
        <v>30.5</v>
      </c>
      <c r="T71" s="125" t="n">
        <v>403</v>
      </c>
      <c r="U71" s="125" t="n">
        <v>48.5</v>
      </c>
      <c r="X71" s="129">
        <f t="array" ref="X71">_xlfn.IFS((D71/F71) &lt;= (640/SQRT($AT$32)), "Compact", L71 &lt;= ($AT$32*(0.79-(0.002*((E71-G71/2)/(2*F71))*SQRT($AT$32)))), "Non-Compact", L71 &gt; ($AT$32*(0.79-(0.002*((E71-G71/2)/(2*F71))*SQRT($AT$32)))), "Slender")</f>
        <v/>
      </c>
      <c r="Y71" s="129">
        <f t="array" ref="Y71">_xlfn.IFS(K71 &lt;= (65/SQRT($AT$32)), "Compact", K71 &lt;= (95/SQRT($AT$32)), "Non-Compact", K71 &gt; (95/SQRT($AT$32)), "Slender")</f>
        <v/>
      </c>
      <c r="Z71" s="125">
        <f>E71/F71</f>
        <v/>
      </c>
      <c r="AA71" s="125">
        <f>D71/G71</f>
        <v/>
      </c>
      <c r="AB71" s="125">
        <f t="array" ref="AB71">_xlfn.IFS(Z71 &lt;= 9, "1", Z71 &lt;= 12, "2", Z71 &lt;= 15, "3", Z71 &gt; 15, "4")</f>
        <v/>
      </c>
      <c r="AC71" s="125">
        <f t="array" ref="AC71">_xlfn.IFS(AA71 &lt;= 200, "1", L71 &lt;= 300, "2", L71 &lt;= 400, "3", L71 &gt; 400, "4")</f>
        <v/>
      </c>
      <c r="AD71" s="129">
        <f>SQRT((((VLOOKUP($AT$4,$A$4:$D$1021,4,FALSE))-D71)^2)+(((VLOOKUP($AT$4,$A$4:$E$1021,5,FALSE))-E71)^2)+(((VLOOKUP($AT$4,$A$4:$N$1021,14,FALSE))-N71)^2)+(((VLOOKUP($AT$4,$A$4:$O$1021,15,FALSE))-O71)^2))</f>
        <v/>
      </c>
      <c r="AG71" s="129">
        <f>SQRT((((VLOOKUP($AT$4,$A$4:$D$1021,4,FALSE))-D71)^2)+(((VLOOKUP($AT$4,$A$4:$E$1021,5,FALSE))-E71)^2)+(((VLOOKUP($AT$4,$A$4:$R$1021,18,FALSE))-R71)^2)+(((VLOOKUP($AT$4,$A$4:$S$1021,19,FALSE))-S71)^2))</f>
        <v/>
      </c>
      <c r="AJ71" s="125" t="inlineStr">
        <is>
          <t>W12X19</t>
        </is>
      </c>
      <c r="AK71" s="125">
        <f>SQRT(((VLOOKUP($AT$4,$A$4:$J$1021,10,FALSE))-J71)^2)</f>
        <v/>
      </c>
      <c r="AL71" s="125" t="n"/>
      <c r="AM71" s="125" t="n"/>
      <c r="AN71" s="125">
        <f>SQRT(((VLOOKUP($AT$4,$A$4:$R$1021,18,FALSE))-R71)^2)</f>
        <v/>
      </c>
      <c r="AO71" s="125" t="n"/>
      <c r="AP71" s="125" t="n"/>
      <c r="AQ71" s="125" t="inlineStr">
        <is>
          <t>W12X19</t>
        </is>
      </c>
      <c r="BB71" s="125">
        <f>SQRT(($J$1022-J71)^2)</f>
        <v/>
      </c>
      <c r="BC71" s="125">
        <f>SQRT(($R$1022-R71)^2)</f>
        <v/>
      </c>
      <c r="BD71" s="125" t="inlineStr">
        <is>
          <t>W12X19</t>
        </is>
      </c>
      <c r="BI71">
        <f>SQRT(($J$1023-J71)^2)</f>
        <v/>
      </c>
      <c r="BJ71">
        <f>SQRT(($R$1023-R71)^2)</f>
        <v/>
      </c>
      <c r="BK71" s="125" t="inlineStr">
        <is>
          <t>W12X19</t>
        </is>
      </c>
      <c r="BP71">
        <f>SQRT(($J$1024-J71)^2)</f>
        <v/>
      </c>
      <c r="BQ71">
        <f>SQRT(($R$1024-R71)^2)</f>
        <v/>
      </c>
      <c r="BR71" s="125" t="inlineStr">
        <is>
          <t>W12X19</t>
        </is>
      </c>
      <c r="BW71">
        <f>SQRT(($J$1025-J71)^2)</f>
        <v/>
      </c>
      <c r="BX71">
        <f>SQRT(($R$1025-R71)^2)</f>
        <v/>
      </c>
      <c r="BY71" s="125" t="inlineStr">
        <is>
          <t>W12X19</t>
        </is>
      </c>
      <c r="CD71">
        <f>SQRT(($J$1026-J71)^2)</f>
        <v/>
      </c>
      <c r="CE71">
        <f>SQRT(($R$1026-R71)^2)</f>
        <v/>
      </c>
      <c r="CF71" s="125" t="inlineStr">
        <is>
          <t>W12X19</t>
        </is>
      </c>
    </row>
    <row r="72">
      <c r="A72" s="125" t="inlineStr">
        <is>
          <t>W12X22</t>
        </is>
      </c>
      <c r="B72" s="129" t="inlineStr">
        <is>
          <t>AISC</t>
        </is>
      </c>
      <c r="C72" s="125" t="n">
        <v>32.8</v>
      </c>
      <c r="D72" s="125" t="n">
        <v>312.7</v>
      </c>
      <c r="E72" s="125" t="n">
        <v>102.4</v>
      </c>
      <c r="F72" s="125" t="n">
        <v>10.8</v>
      </c>
      <c r="G72" s="125" t="n">
        <v>6.6</v>
      </c>
      <c r="H72" s="125" t="n">
        <v>7.6</v>
      </c>
      <c r="I72" s="125" t="n">
        <v>275.9</v>
      </c>
      <c r="J72" s="125" t="n">
        <v>41.8</v>
      </c>
      <c r="K72" s="125">
        <f>((E72-G72)/2)/F72</f>
        <v/>
      </c>
      <c r="L72" s="125">
        <f>I72/G72</f>
        <v/>
      </c>
      <c r="M72" s="125" t="n">
        <v>1.01</v>
      </c>
      <c r="N72" s="125" t="n">
        <v>6501</v>
      </c>
      <c r="O72" s="125" t="n">
        <v>194</v>
      </c>
      <c r="P72" s="125" t="n">
        <v>12.5</v>
      </c>
      <c r="Q72" s="125" t="n">
        <v>2.15</v>
      </c>
      <c r="R72" s="125" t="n">
        <v>416</v>
      </c>
      <c r="S72" s="125" t="n">
        <v>37.9</v>
      </c>
      <c r="T72" s="125" t="n">
        <v>481</v>
      </c>
      <c r="U72" s="125" t="n">
        <v>60</v>
      </c>
      <c r="X72" s="129">
        <f t="array" ref="X72">_xlfn.IFS((D72/F72) &lt;= (640/SQRT($AT$32)), "Compact", L72 &lt;= ($AT$32*(0.79-(0.002*((E72-G72/2)/(2*F72))*SQRT($AT$32)))), "Non-Compact", L72 &gt; ($AT$32*(0.79-(0.002*((E72-G72/2)/(2*F72))*SQRT($AT$32)))), "Slender")</f>
        <v/>
      </c>
      <c r="Y72" s="129">
        <f t="array" ref="Y72">_xlfn.IFS(K72 &lt;= (65/SQRT($AT$32)), "Compact", K72 &lt;= (95/SQRT($AT$32)), "Non-Compact", K72 &gt; (95/SQRT($AT$32)), "Slender")</f>
        <v/>
      </c>
      <c r="Z72" s="125">
        <f>E72/F72</f>
        <v/>
      </c>
      <c r="AA72" s="125">
        <f>D72/G72</f>
        <v/>
      </c>
      <c r="AB72" s="125">
        <f t="array" ref="AB72">_xlfn.IFS(Z72 &lt;= 9, "1", Z72 &lt;= 12, "2", Z72 &lt;= 15, "3", Z72 &gt; 15, "4")</f>
        <v/>
      </c>
      <c r="AC72" s="125">
        <f t="array" ref="AC72">_xlfn.IFS(AA72 &lt;= 200, "1", L72 &lt;= 300, "2", L72 &lt;= 400, "3", L72 &gt; 400, "4")</f>
        <v/>
      </c>
      <c r="AD72" s="129">
        <f>SQRT((((VLOOKUP($AT$4,$A$4:$D$1021,4,FALSE))-D72)^2)+(((VLOOKUP($AT$4,$A$4:$E$1021,5,FALSE))-E72)^2)+(((VLOOKUP($AT$4,$A$4:$N$1021,14,FALSE))-N72)^2)+(((VLOOKUP($AT$4,$A$4:$O$1021,15,FALSE))-O72)^2))</f>
        <v/>
      </c>
      <c r="AG72" s="129">
        <f>SQRT((((VLOOKUP($AT$4,$A$4:$D$1021,4,FALSE))-D72)^2)+(((VLOOKUP($AT$4,$A$4:$E$1021,5,FALSE))-E72)^2)+(((VLOOKUP($AT$4,$A$4:$R$1021,18,FALSE))-R72)^2)+(((VLOOKUP($AT$4,$A$4:$S$1021,19,FALSE))-S72)^2))</f>
        <v/>
      </c>
      <c r="AJ72" s="125" t="inlineStr">
        <is>
          <t>W12X22</t>
        </is>
      </c>
      <c r="AK72" s="125">
        <f>SQRT(((VLOOKUP($AT$4,$A$4:$J$1021,10,FALSE))-J72)^2)</f>
        <v/>
      </c>
      <c r="AL72" s="125" t="n"/>
      <c r="AM72" s="125" t="n"/>
      <c r="AN72" s="125">
        <f>SQRT(((VLOOKUP($AT$4,$A$4:$R$1021,18,FALSE))-R72)^2)</f>
        <v/>
      </c>
      <c r="AO72" s="125" t="n"/>
      <c r="AP72" s="125" t="n"/>
      <c r="AQ72" s="125" t="inlineStr">
        <is>
          <t>W12X22</t>
        </is>
      </c>
      <c r="BB72" s="125">
        <f>SQRT(($J$1022-J72)^2)</f>
        <v/>
      </c>
      <c r="BC72" s="125">
        <f>SQRT(($R$1022-R72)^2)</f>
        <v/>
      </c>
      <c r="BD72" s="125" t="inlineStr">
        <is>
          <t>W12X22</t>
        </is>
      </c>
      <c r="BI72">
        <f>SQRT(($J$1023-J72)^2)</f>
        <v/>
      </c>
      <c r="BJ72">
        <f>SQRT(($R$1023-R72)^2)</f>
        <v/>
      </c>
      <c r="BK72" s="125" t="inlineStr">
        <is>
          <t>W12X22</t>
        </is>
      </c>
      <c r="BP72">
        <f>SQRT(($J$1024-J72)^2)</f>
        <v/>
      </c>
      <c r="BQ72">
        <f>SQRT(($R$1024-R72)^2)</f>
        <v/>
      </c>
      <c r="BR72" s="125" t="inlineStr">
        <is>
          <t>W12X22</t>
        </is>
      </c>
      <c r="BW72">
        <f>SQRT(($J$1025-J72)^2)</f>
        <v/>
      </c>
      <c r="BX72">
        <f>SQRT(($R$1025-R72)^2)</f>
        <v/>
      </c>
      <c r="BY72" s="125" t="inlineStr">
        <is>
          <t>W12X22</t>
        </is>
      </c>
      <c r="CD72">
        <f>SQRT(($J$1026-J72)^2)</f>
        <v/>
      </c>
      <c r="CE72">
        <f>SQRT(($R$1026-R72)^2)</f>
        <v/>
      </c>
      <c r="CF72" s="125" t="inlineStr">
        <is>
          <t>W12X22</t>
        </is>
      </c>
    </row>
    <row r="73">
      <c r="A73" s="125" t="inlineStr">
        <is>
          <t>W12X25</t>
        </is>
      </c>
      <c r="B73" s="129" t="inlineStr">
        <is>
          <t>AISC</t>
        </is>
      </c>
      <c r="C73" s="125" t="n">
        <v>37</v>
      </c>
      <c r="D73" s="125" t="n">
        <v>304.4</v>
      </c>
      <c r="E73" s="125" t="n">
        <v>123.3</v>
      </c>
      <c r="F73" s="125" t="n">
        <v>10.7</v>
      </c>
      <c r="G73" s="125" t="n">
        <v>7.1</v>
      </c>
      <c r="H73" s="125" t="n">
        <v>8.9</v>
      </c>
      <c r="I73" s="125" t="n">
        <v>265.2</v>
      </c>
      <c r="J73" s="125" t="n">
        <v>47.2</v>
      </c>
      <c r="K73" s="125">
        <f>((E73-G73)/2)/F73</f>
        <v/>
      </c>
      <c r="L73" s="125">
        <f>I73/G73</f>
        <v/>
      </c>
      <c r="M73" s="125" t="n">
        <v>1.07</v>
      </c>
      <c r="N73" s="125" t="n">
        <v>7166</v>
      </c>
      <c r="O73" s="125" t="n">
        <v>335</v>
      </c>
      <c r="P73" s="125" t="n">
        <v>12.3</v>
      </c>
      <c r="Q73" s="125" t="n">
        <v>2.67</v>
      </c>
      <c r="R73" s="125" t="n">
        <v>471</v>
      </c>
      <c r="S73" s="125" t="n">
        <v>54.4</v>
      </c>
      <c r="T73" s="125" t="n">
        <v>539</v>
      </c>
      <c r="U73" s="125" t="n">
        <v>85.3</v>
      </c>
      <c r="X73" s="129">
        <f t="array" ref="X73">_xlfn.IFS((D73/F73) &lt;= (640/SQRT($AT$32)), "Compact", L73 &lt;= ($AT$32*(0.79-(0.002*((E73-G73/2)/(2*F73))*SQRT($AT$32)))), "Non-Compact", L73 &gt; ($AT$32*(0.79-(0.002*((E73-G73/2)/(2*F73))*SQRT($AT$32)))), "Slender")</f>
        <v/>
      </c>
      <c r="Y73" s="129">
        <f t="array" ref="Y73">_xlfn.IFS(K73 &lt;= (65/SQRT($AT$32)), "Compact", K73 &lt;= (95/SQRT($AT$32)), "Non-Compact", K73 &gt; (95/SQRT($AT$32)), "Slender")</f>
        <v/>
      </c>
      <c r="Z73" s="125">
        <f>E73/F73</f>
        <v/>
      </c>
      <c r="AA73" s="125">
        <f>D73/G73</f>
        <v/>
      </c>
      <c r="AB73" s="125">
        <f t="array" ref="AB73">_xlfn.IFS(Z73 &lt;= 9, "1", Z73 &lt;= 12, "2", Z73 &lt;= 15, "3", Z73 &gt; 15, "4")</f>
        <v/>
      </c>
      <c r="AC73" s="125">
        <f t="array" ref="AC73">_xlfn.IFS(AA73 &lt;= 200, "1", L73 &lt;= 300, "2", L73 &lt;= 400, "3", L73 &gt; 400, "4")</f>
        <v/>
      </c>
      <c r="AD73" s="129">
        <f>SQRT((((VLOOKUP($AT$4,$A$4:$D$1021,4,FALSE))-D73)^2)+(((VLOOKUP($AT$4,$A$4:$E$1021,5,FALSE))-E73)^2)+(((VLOOKUP($AT$4,$A$4:$N$1021,14,FALSE))-N73)^2)+(((VLOOKUP($AT$4,$A$4:$O$1021,15,FALSE))-O73)^2))</f>
        <v/>
      </c>
      <c r="AG73" s="129">
        <f>SQRT((((VLOOKUP($AT$4,$A$4:$D$1021,4,FALSE))-D73)^2)+(((VLOOKUP($AT$4,$A$4:$E$1021,5,FALSE))-E73)^2)+(((VLOOKUP($AT$4,$A$4:$R$1021,18,FALSE))-R73)^2)+(((VLOOKUP($AT$4,$A$4:$S$1021,19,FALSE))-S73)^2))</f>
        <v/>
      </c>
      <c r="AJ73" s="125" t="inlineStr">
        <is>
          <t>W12X25</t>
        </is>
      </c>
      <c r="AK73" s="125">
        <f>SQRT(((VLOOKUP($AT$4,$A$4:$J$1021,10,FALSE))-J73)^2)</f>
        <v/>
      </c>
      <c r="AL73" s="125" t="n"/>
      <c r="AM73" s="125" t="n"/>
      <c r="AN73" s="125">
        <f>SQRT(((VLOOKUP($AT$4,$A$4:$R$1021,18,FALSE))-R73)^2)</f>
        <v/>
      </c>
      <c r="AO73" s="125" t="n"/>
      <c r="AP73" s="125" t="n"/>
      <c r="AQ73" s="125" t="inlineStr">
        <is>
          <t>W12X25</t>
        </is>
      </c>
      <c r="BB73" s="125">
        <f>SQRT(($J$1022-J73)^2)</f>
        <v/>
      </c>
      <c r="BC73" s="125">
        <f>SQRT(($R$1022-R73)^2)</f>
        <v/>
      </c>
      <c r="BD73" s="125" t="inlineStr">
        <is>
          <t>W12X25</t>
        </is>
      </c>
      <c r="BI73">
        <f>SQRT(($J$1023-J73)^2)</f>
        <v/>
      </c>
      <c r="BJ73">
        <f>SQRT(($R$1023-R73)^2)</f>
        <v/>
      </c>
      <c r="BK73" s="125" t="inlineStr">
        <is>
          <t>W12X25</t>
        </is>
      </c>
      <c r="BP73">
        <f>SQRT(($J$1024-J73)^2)</f>
        <v/>
      </c>
      <c r="BQ73">
        <f>SQRT(($R$1024-R73)^2)</f>
        <v/>
      </c>
      <c r="BR73" s="125" t="inlineStr">
        <is>
          <t>W12X25</t>
        </is>
      </c>
      <c r="BW73">
        <f>SQRT(($J$1025-J73)^2)</f>
        <v/>
      </c>
      <c r="BX73">
        <f>SQRT(($R$1025-R73)^2)</f>
        <v/>
      </c>
      <c r="BY73" s="125" t="inlineStr">
        <is>
          <t>W12X25</t>
        </is>
      </c>
      <c r="CD73">
        <f>SQRT(($J$1026-J73)^2)</f>
        <v/>
      </c>
      <c r="CE73">
        <f>SQRT(($R$1026-R73)^2)</f>
        <v/>
      </c>
      <c r="CF73" s="125" t="inlineStr">
        <is>
          <t>W12X25</t>
        </is>
      </c>
    </row>
    <row r="74">
      <c r="A74" s="125" t="inlineStr">
        <is>
          <t>W12X28</t>
        </is>
      </c>
      <c r="B74" s="129" t="inlineStr">
        <is>
          <t>AISC</t>
        </is>
      </c>
      <c r="C74" s="125" t="n">
        <v>41.9</v>
      </c>
      <c r="D74" s="125" t="n">
        <v>307.2</v>
      </c>
      <c r="E74" s="125" t="n">
        <v>124.3</v>
      </c>
      <c r="F74" s="125" t="n">
        <v>12.1</v>
      </c>
      <c r="G74" s="125" t="n">
        <v>8</v>
      </c>
      <c r="H74" s="125" t="n">
        <v>8.9</v>
      </c>
      <c r="I74" s="125" t="n">
        <v>265.2</v>
      </c>
      <c r="J74" s="125" t="n">
        <v>53.4</v>
      </c>
      <c r="K74" s="125">
        <f>((E74-G74)/2)/F74</f>
        <v/>
      </c>
      <c r="L74" s="125">
        <f>I74/G74</f>
        <v/>
      </c>
      <c r="M74" s="125" t="n">
        <v>1.08</v>
      </c>
      <c r="N74" s="125" t="n">
        <v>8196</v>
      </c>
      <c r="O74" s="125" t="n">
        <v>389</v>
      </c>
      <c r="P74" s="125" t="n">
        <v>12.4</v>
      </c>
      <c r="Q74" s="125" t="n">
        <v>2.7</v>
      </c>
      <c r="R74" s="125" t="n">
        <v>534</v>
      </c>
      <c r="S74" s="125" t="n">
        <v>62.6</v>
      </c>
      <c r="T74" s="125" t="n">
        <v>614</v>
      </c>
      <c r="U74" s="125" t="n">
        <v>98.40000000000001</v>
      </c>
      <c r="X74" s="129">
        <f t="array" ref="X74">_xlfn.IFS((D74/F74) &lt;= (640/SQRT($AT$32)), "Compact", L74 &lt;= ($AT$32*(0.79-(0.002*((E74-G74/2)/(2*F74))*SQRT($AT$32)))), "Non-Compact", L74 &gt; ($AT$32*(0.79-(0.002*((E74-G74/2)/(2*F74))*SQRT($AT$32)))), "Slender")</f>
        <v/>
      </c>
      <c r="Y74" s="129">
        <f t="array" ref="Y74">_xlfn.IFS(K74 &lt;= (65/SQRT($AT$32)), "Compact", K74 &lt;= (95/SQRT($AT$32)), "Non-Compact", K74 &gt; (95/SQRT($AT$32)), "Slender")</f>
        <v/>
      </c>
      <c r="Z74" s="125">
        <f>E74/F74</f>
        <v/>
      </c>
      <c r="AA74" s="125">
        <f>D74/G74</f>
        <v/>
      </c>
      <c r="AB74" s="125">
        <f t="array" ref="AB74">_xlfn.IFS(Z74 &lt;= 9, "1", Z74 &lt;= 12, "2", Z74 &lt;= 15, "3", Z74 &gt; 15, "4")</f>
        <v/>
      </c>
      <c r="AC74" s="125">
        <f t="array" ref="AC74">_xlfn.IFS(AA74 &lt;= 200, "1", L74 &lt;= 300, "2", L74 &lt;= 400, "3", L74 &gt; 400, "4")</f>
        <v/>
      </c>
      <c r="AD74" s="129">
        <f>SQRT((((VLOOKUP($AT$4,$A$4:$D$1021,4,FALSE))-D74)^2)+(((VLOOKUP($AT$4,$A$4:$E$1021,5,FALSE))-E74)^2)+(((VLOOKUP($AT$4,$A$4:$N$1021,14,FALSE))-N74)^2)+(((VLOOKUP($AT$4,$A$4:$O$1021,15,FALSE))-O74)^2))</f>
        <v/>
      </c>
      <c r="AG74" s="129">
        <f>SQRT((((VLOOKUP($AT$4,$A$4:$D$1021,4,FALSE))-D74)^2)+(((VLOOKUP($AT$4,$A$4:$E$1021,5,FALSE))-E74)^2)+(((VLOOKUP($AT$4,$A$4:$R$1021,18,FALSE))-R74)^2)+(((VLOOKUP($AT$4,$A$4:$S$1021,19,FALSE))-S74)^2))</f>
        <v/>
      </c>
      <c r="AJ74" s="125" t="inlineStr">
        <is>
          <t>W12X28</t>
        </is>
      </c>
      <c r="AK74" s="125">
        <f>SQRT(((VLOOKUP($AT$4,$A$4:$J$1021,10,FALSE))-J74)^2)</f>
        <v/>
      </c>
      <c r="AL74" s="125" t="n"/>
      <c r="AM74" s="125" t="n"/>
      <c r="AN74" s="125">
        <f>SQRT(((VLOOKUP($AT$4,$A$4:$R$1021,18,FALSE))-R74)^2)</f>
        <v/>
      </c>
      <c r="AO74" s="125" t="n"/>
      <c r="AP74" s="125" t="n"/>
      <c r="AQ74" s="125" t="inlineStr">
        <is>
          <t>W12X28</t>
        </is>
      </c>
      <c r="BB74" s="125">
        <f>SQRT(($J$1022-J74)^2)</f>
        <v/>
      </c>
      <c r="BC74" s="125">
        <f>SQRT(($R$1022-R74)^2)</f>
        <v/>
      </c>
      <c r="BD74" s="125" t="inlineStr">
        <is>
          <t>W12X28</t>
        </is>
      </c>
      <c r="BI74">
        <f>SQRT(($J$1023-J74)^2)</f>
        <v/>
      </c>
      <c r="BJ74">
        <f>SQRT(($R$1023-R74)^2)</f>
        <v/>
      </c>
      <c r="BK74" s="125" t="inlineStr">
        <is>
          <t>W12X28</t>
        </is>
      </c>
      <c r="BP74">
        <f>SQRT(($J$1024-J74)^2)</f>
        <v/>
      </c>
      <c r="BQ74">
        <f>SQRT(($R$1024-R74)^2)</f>
        <v/>
      </c>
      <c r="BR74" s="125" t="inlineStr">
        <is>
          <t>W12X28</t>
        </is>
      </c>
      <c r="BW74">
        <f>SQRT(($J$1025-J74)^2)</f>
        <v/>
      </c>
      <c r="BX74">
        <f>SQRT(($R$1025-R74)^2)</f>
        <v/>
      </c>
      <c r="BY74" s="125" t="inlineStr">
        <is>
          <t>W12X28</t>
        </is>
      </c>
      <c r="CD74">
        <f>SQRT(($J$1026-J74)^2)</f>
        <v/>
      </c>
      <c r="CE74">
        <f>SQRT(($R$1026-R74)^2)</f>
        <v/>
      </c>
      <c r="CF74" s="125" t="inlineStr">
        <is>
          <t>W12X28</t>
        </is>
      </c>
    </row>
    <row r="75">
      <c r="A75" s="125" t="inlineStr">
        <is>
          <t>W12X32</t>
        </is>
      </c>
      <c r="B75" s="129" t="inlineStr">
        <is>
          <t>AISC</t>
        </is>
      </c>
      <c r="C75" s="125" t="n">
        <v>48.1</v>
      </c>
      <c r="D75" s="125" t="n">
        <v>311</v>
      </c>
      <c r="E75" s="125" t="n">
        <v>125.3</v>
      </c>
      <c r="F75" s="125" t="n">
        <v>14</v>
      </c>
      <c r="G75" s="125" t="n">
        <v>9</v>
      </c>
      <c r="H75" s="125" t="n">
        <v>8.9</v>
      </c>
      <c r="I75" s="125" t="n">
        <v>265.2</v>
      </c>
      <c r="J75" s="125" t="n">
        <v>61.2</v>
      </c>
      <c r="K75" s="125">
        <f>((E75-G75)/2)/F75</f>
        <v/>
      </c>
      <c r="L75" s="125">
        <f>I75/G75</f>
        <v/>
      </c>
      <c r="M75" s="125" t="n">
        <v>1.09</v>
      </c>
      <c r="N75" s="125" t="n">
        <v>9575</v>
      </c>
      <c r="O75" s="125" t="n">
        <v>461</v>
      </c>
      <c r="P75" s="125" t="n">
        <v>12.5</v>
      </c>
      <c r="Q75" s="125" t="n">
        <v>2.74</v>
      </c>
      <c r="R75" s="125" t="n">
        <v>616</v>
      </c>
      <c r="S75" s="125" t="n">
        <v>73.59999999999999</v>
      </c>
      <c r="T75" s="125" t="n">
        <v>711</v>
      </c>
      <c r="U75" s="125" t="n">
        <v>116</v>
      </c>
      <c r="X75" s="129">
        <f t="array" ref="X75">_xlfn.IFS((D75/F75) &lt;= (640/SQRT($AT$32)), "Compact", L75 &lt;= ($AT$32*(0.79-(0.002*((E75-G75/2)/(2*F75))*SQRT($AT$32)))), "Non-Compact", L75 &gt; ($AT$32*(0.79-(0.002*((E75-G75/2)/(2*F75))*SQRT($AT$32)))), "Slender")</f>
        <v/>
      </c>
      <c r="Y75" s="129">
        <f t="array" ref="Y75">_xlfn.IFS(K75 &lt;= (65/SQRT($AT$32)), "Compact", K75 &lt;= (95/SQRT($AT$32)), "Non-Compact", K75 &gt; (95/SQRT($AT$32)), "Slender")</f>
        <v/>
      </c>
      <c r="Z75" s="125">
        <f>E75/F75</f>
        <v/>
      </c>
      <c r="AA75" s="125">
        <f>D75/G75</f>
        <v/>
      </c>
      <c r="AB75" s="125">
        <f t="array" ref="AB75">_xlfn.IFS(Z75 &lt;= 9, "1", Z75 &lt;= 12, "2", Z75 &lt;= 15, "3", Z75 &gt; 15, "4")</f>
        <v/>
      </c>
      <c r="AC75" s="125">
        <f t="array" ref="AC75">_xlfn.IFS(AA75 &lt;= 200, "1", L75 &lt;= 300, "2", L75 &lt;= 400, "3", L75 &gt; 400, "4")</f>
        <v/>
      </c>
      <c r="AD75" s="129">
        <f>SQRT((((VLOOKUP($AT$4,$A$4:$D$1021,4,FALSE))-D75)^2)+(((VLOOKUP($AT$4,$A$4:$E$1021,5,FALSE))-E75)^2)+(((VLOOKUP($AT$4,$A$4:$N$1021,14,FALSE))-N75)^2)+(((VLOOKUP($AT$4,$A$4:$O$1021,15,FALSE))-O75)^2))</f>
        <v/>
      </c>
      <c r="AG75" s="129">
        <f>SQRT((((VLOOKUP($AT$4,$A$4:$D$1021,4,FALSE))-D75)^2)+(((VLOOKUP($AT$4,$A$4:$E$1021,5,FALSE))-E75)^2)+(((VLOOKUP($AT$4,$A$4:$R$1021,18,FALSE))-R75)^2)+(((VLOOKUP($AT$4,$A$4:$S$1021,19,FALSE))-S75)^2))</f>
        <v/>
      </c>
      <c r="AJ75" s="125" t="inlineStr">
        <is>
          <t>W12X32</t>
        </is>
      </c>
      <c r="AK75" s="125">
        <f>SQRT(((VLOOKUP($AT$4,$A$4:$J$1021,10,FALSE))-J75)^2)</f>
        <v/>
      </c>
      <c r="AL75" s="125" t="n"/>
      <c r="AM75" s="125" t="n"/>
      <c r="AN75" s="125">
        <f>SQRT(((VLOOKUP($AT$4,$A$4:$R$1021,18,FALSE))-R75)^2)</f>
        <v/>
      </c>
      <c r="AO75" s="125" t="n"/>
      <c r="AP75" s="125" t="n"/>
      <c r="AQ75" s="125" t="inlineStr">
        <is>
          <t>W12X32</t>
        </is>
      </c>
      <c r="BB75" s="125">
        <f>SQRT(($J$1022-J75)^2)</f>
        <v/>
      </c>
      <c r="BC75" s="125">
        <f>SQRT(($R$1022-R75)^2)</f>
        <v/>
      </c>
      <c r="BD75" s="125" t="inlineStr">
        <is>
          <t>W12X32</t>
        </is>
      </c>
      <c r="BI75">
        <f>SQRT(($J$1023-J75)^2)</f>
        <v/>
      </c>
      <c r="BJ75">
        <f>SQRT(($R$1023-R75)^2)</f>
        <v/>
      </c>
      <c r="BK75" s="125" t="inlineStr">
        <is>
          <t>W12X32</t>
        </is>
      </c>
      <c r="BP75">
        <f>SQRT(($J$1024-J75)^2)</f>
        <v/>
      </c>
      <c r="BQ75">
        <f>SQRT(($R$1024-R75)^2)</f>
        <v/>
      </c>
      <c r="BR75" s="125" t="inlineStr">
        <is>
          <t>W12X32</t>
        </is>
      </c>
      <c r="BW75">
        <f>SQRT(($J$1025-J75)^2)</f>
        <v/>
      </c>
      <c r="BX75">
        <f>SQRT(($R$1025-R75)^2)</f>
        <v/>
      </c>
      <c r="BY75" s="125" t="inlineStr">
        <is>
          <t>W12X32</t>
        </is>
      </c>
      <c r="CD75">
        <f>SQRT(($J$1026-J75)^2)</f>
        <v/>
      </c>
      <c r="CE75">
        <f>SQRT(($R$1026-R75)^2)</f>
        <v/>
      </c>
      <c r="CF75" s="125" t="inlineStr">
        <is>
          <t>W12X32</t>
        </is>
      </c>
    </row>
    <row r="76">
      <c r="A76" s="125" t="inlineStr">
        <is>
          <t>W12X21</t>
        </is>
      </c>
      <c r="B76" s="129" t="inlineStr">
        <is>
          <t>AISC</t>
        </is>
      </c>
      <c r="C76" s="125" t="n">
        <v>31</v>
      </c>
      <c r="D76" s="125" t="n">
        <v>306</v>
      </c>
      <c r="E76" s="125" t="n">
        <v>164</v>
      </c>
      <c r="F76" s="125" t="n">
        <v>7.4</v>
      </c>
      <c r="G76" s="125" t="n">
        <v>5</v>
      </c>
      <c r="H76" s="125" t="n">
        <v>7.6</v>
      </c>
      <c r="I76" s="125" t="n">
        <v>275.2</v>
      </c>
      <c r="J76" s="125" t="n">
        <v>39.4</v>
      </c>
      <c r="K76" s="125">
        <f>((E76-G76)/2)/F76</f>
        <v/>
      </c>
      <c r="L76" s="125">
        <f>I76/G76</f>
        <v/>
      </c>
      <c r="M76" s="125" t="n">
        <v>1.24</v>
      </c>
      <c r="N76" s="125" t="n">
        <v>6554</v>
      </c>
      <c r="O76" s="125" t="n">
        <v>544</v>
      </c>
      <c r="P76" s="125" t="n">
        <v>12.9</v>
      </c>
      <c r="Q76" s="125" t="n">
        <v>3.72</v>
      </c>
      <c r="R76" s="125" t="n">
        <v>428</v>
      </c>
      <c r="S76" s="125" t="n">
        <v>66.40000000000001</v>
      </c>
      <c r="T76" s="125" t="n">
        <v>476</v>
      </c>
      <c r="U76" s="125" t="n">
        <v>102</v>
      </c>
      <c r="X76" s="129">
        <f t="array" ref="X76">_xlfn.IFS((D76/F76) &lt;= (640/SQRT($AT$32)), "Compact", L76 &lt;= ($AT$32*(0.79-(0.002*((E76-G76/2)/(2*F76))*SQRT($AT$32)))), "Non-Compact", L76 &gt; ($AT$32*(0.79-(0.002*((E76-G76/2)/(2*F76))*SQRT($AT$32)))), "Slender")</f>
        <v/>
      </c>
      <c r="Y76" s="129">
        <f t="array" ref="Y76">_xlfn.IFS(K76 &lt;= (65/SQRT($AT$32)), "Compact", K76 &lt;= (95/SQRT($AT$32)), "Non-Compact", K76 &gt; (95/SQRT($AT$32)), "Slender")</f>
        <v/>
      </c>
      <c r="Z76" s="125">
        <f>E76/F76</f>
        <v/>
      </c>
      <c r="AA76" s="125">
        <f>D76/G76</f>
        <v/>
      </c>
      <c r="AB76" s="125">
        <f t="array" ref="AB76">_xlfn.IFS(Z76 &lt;= 9, "1", Z76 &lt;= 12, "2", Z76 &lt;= 15, "3", Z76 &gt; 15, "4")</f>
        <v/>
      </c>
      <c r="AC76" s="125">
        <f t="array" ref="AC76">_xlfn.IFS(AA76 &lt;= 200, "1", L76 &lt;= 300, "2", L76 &lt;= 400, "3", L76 &gt; 400, "4")</f>
        <v/>
      </c>
      <c r="AD76" s="129">
        <f>SQRT((((VLOOKUP($AT$4,$A$4:$D$1021,4,FALSE))-D76)^2)+(((VLOOKUP($AT$4,$A$4:$E$1021,5,FALSE))-E76)^2)+(((VLOOKUP($AT$4,$A$4:$N$1021,14,FALSE))-N76)^2)+(((VLOOKUP($AT$4,$A$4:$O$1021,15,FALSE))-O76)^2))</f>
        <v/>
      </c>
      <c r="AG76" s="129">
        <f>SQRT((((VLOOKUP($AT$4,$A$4:$D$1021,4,FALSE))-D76)^2)+(((VLOOKUP($AT$4,$A$4:$E$1021,5,FALSE))-E76)^2)+(((VLOOKUP($AT$4,$A$4:$R$1021,18,FALSE))-R76)^2)+(((VLOOKUP($AT$4,$A$4:$S$1021,19,FALSE))-S76)^2))</f>
        <v/>
      </c>
      <c r="AJ76" s="125" t="inlineStr">
        <is>
          <t>W12X21</t>
        </is>
      </c>
      <c r="AK76" s="125">
        <f>SQRT(((VLOOKUP($AT$4,$A$4:$J$1021,10,FALSE))-J76)^2)</f>
        <v/>
      </c>
      <c r="AL76" s="125" t="n"/>
      <c r="AM76" s="125" t="n"/>
      <c r="AN76" s="125">
        <f>SQRT(((VLOOKUP($AT$4,$A$4:$R$1021,18,FALSE))-R76)^2)</f>
        <v/>
      </c>
      <c r="AO76" s="125" t="n"/>
      <c r="AP76" s="125" t="n"/>
      <c r="AQ76" s="125" t="inlineStr">
        <is>
          <t>W12X21</t>
        </is>
      </c>
      <c r="BB76" s="125">
        <f>SQRT(($J$1022-J76)^2)</f>
        <v/>
      </c>
      <c r="BC76" s="125">
        <f>SQRT(($R$1022-R76)^2)</f>
        <v/>
      </c>
      <c r="BD76" s="125" t="inlineStr">
        <is>
          <t>W12X21</t>
        </is>
      </c>
      <c r="BI76">
        <f>SQRT(($J$1023-J76)^2)</f>
        <v/>
      </c>
      <c r="BJ76">
        <f>SQRT(($R$1023-R76)^2)</f>
        <v/>
      </c>
      <c r="BK76" s="125" t="inlineStr">
        <is>
          <t>W12X21</t>
        </is>
      </c>
      <c r="BP76">
        <f>SQRT(($J$1024-J76)^2)</f>
        <v/>
      </c>
      <c r="BQ76">
        <f>SQRT(($R$1024-R76)^2)</f>
        <v/>
      </c>
      <c r="BR76" s="125" t="inlineStr">
        <is>
          <t>W12X21</t>
        </is>
      </c>
      <c r="BW76">
        <f>SQRT(($J$1025-J76)^2)</f>
        <v/>
      </c>
      <c r="BX76">
        <f>SQRT(($R$1025-R76)^2)</f>
        <v/>
      </c>
      <c r="BY76" s="125" t="inlineStr">
        <is>
          <t>W12X21</t>
        </is>
      </c>
      <c r="CD76">
        <f>SQRT(($J$1026-J76)^2)</f>
        <v/>
      </c>
      <c r="CE76">
        <f>SQRT(($R$1026-R76)^2)</f>
        <v/>
      </c>
      <c r="CF76" s="125" t="inlineStr">
        <is>
          <t>W12X21</t>
        </is>
      </c>
    </row>
    <row r="77">
      <c r="A77" s="125" t="inlineStr">
        <is>
          <t>W12X26</t>
        </is>
      </c>
      <c r="B77" s="129" t="inlineStr">
        <is>
          <t>AISC</t>
        </is>
      </c>
      <c r="C77" s="125" t="n">
        <v>38.7</v>
      </c>
      <c r="D77" s="125" t="n">
        <v>310.4</v>
      </c>
      <c r="E77" s="125" t="n">
        <v>164.8</v>
      </c>
      <c r="F77" s="125" t="n">
        <v>9.699999999999999</v>
      </c>
      <c r="G77" s="125" t="n">
        <v>5.8</v>
      </c>
      <c r="H77" s="125" t="n">
        <v>7.6</v>
      </c>
      <c r="I77" s="125" t="n">
        <v>275.9</v>
      </c>
      <c r="J77" s="125" t="n">
        <v>49.3</v>
      </c>
      <c r="K77" s="125">
        <f>((E77-G77)/2)/F77</f>
        <v/>
      </c>
      <c r="L77" s="125">
        <f>I77/G77</f>
        <v/>
      </c>
      <c r="M77" s="125" t="n">
        <v>1.26</v>
      </c>
      <c r="N77" s="125" t="n">
        <v>8498</v>
      </c>
      <c r="O77" s="125" t="n">
        <v>720</v>
      </c>
      <c r="P77" s="125" t="n">
        <v>13.1</v>
      </c>
      <c r="Q77" s="125" t="n">
        <v>3.82</v>
      </c>
      <c r="R77" s="125" t="n">
        <v>548</v>
      </c>
      <c r="S77" s="125" t="n">
        <v>87.40000000000001</v>
      </c>
      <c r="T77" s="125" t="n">
        <v>609</v>
      </c>
      <c r="U77" s="125" t="n">
        <v>134</v>
      </c>
      <c r="X77" s="129">
        <f t="array" ref="X77">_xlfn.IFS((D77/F77) &lt;= (640/SQRT($AT$32)), "Compact", L77 &lt;= ($AT$32*(0.79-(0.002*((E77-G77/2)/(2*F77))*SQRT($AT$32)))), "Non-Compact", L77 &gt; ($AT$32*(0.79-(0.002*((E77-G77/2)/(2*F77))*SQRT($AT$32)))), "Slender")</f>
        <v/>
      </c>
      <c r="Y77" s="129">
        <f t="array" ref="Y77">_xlfn.IFS(K77 &lt;= (65/SQRT($AT$32)), "Compact", K77 &lt;= (95/SQRT($AT$32)), "Non-Compact", K77 &gt; (95/SQRT($AT$32)), "Slender")</f>
        <v/>
      </c>
      <c r="Z77" s="125">
        <f>E77/F77</f>
        <v/>
      </c>
      <c r="AA77" s="125">
        <f>D77/G77</f>
        <v/>
      </c>
      <c r="AB77" s="125">
        <f t="array" ref="AB77">_xlfn.IFS(Z77 &lt;= 9, "1", Z77 &lt;= 12, "2", Z77 &lt;= 15, "3", Z77 &gt; 15, "4")</f>
        <v/>
      </c>
      <c r="AC77" s="125">
        <f t="array" ref="AC77">_xlfn.IFS(AA77 &lt;= 200, "1", L77 &lt;= 300, "2", L77 &lt;= 400, "3", L77 &gt; 400, "4")</f>
        <v/>
      </c>
      <c r="AD77" s="129">
        <f>SQRT((((VLOOKUP($AT$4,$A$4:$D$1021,4,FALSE))-D77)^2)+(((VLOOKUP($AT$4,$A$4:$E$1021,5,FALSE))-E77)^2)+(((VLOOKUP($AT$4,$A$4:$N$1021,14,FALSE))-N77)^2)+(((VLOOKUP($AT$4,$A$4:$O$1021,15,FALSE))-O77)^2))</f>
        <v/>
      </c>
      <c r="AG77" s="129">
        <f>SQRT((((VLOOKUP($AT$4,$A$4:$D$1021,4,FALSE))-D77)^2)+(((VLOOKUP($AT$4,$A$4:$E$1021,5,FALSE))-E77)^2)+(((VLOOKUP($AT$4,$A$4:$R$1021,18,FALSE))-R77)^2)+(((VLOOKUP($AT$4,$A$4:$S$1021,19,FALSE))-S77)^2))</f>
        <v/>
      </c>
      <c r="AJ77" s="125" t="inlineStr">
        <is>
          <t>W12X26</t>
        </is>
      </c>
      <c r="AK77" s="125">
        <f>SQRT(((VLOOKUP($AT$4,$A$4:$J$1021,10,FALSE))-J77)^2)</f>
        <v/>
      </c>
      <c r="AL77" s="125" t="n"/>
      <c r="AM77" s="125" t="n"/>
      <c r="AN77" s="125">
        <f>SQRT(((VLOOKUP($AT$4,$A$4:$R$1021,18,FALSE))-R77)^2)</f>
        <v/>
      </c>
      <c r="AO77" s="125" t="n"/>
      <c r="AP77" s="125" t="n"/>
      <c r="AQ77" s="125" t="inlineStr">
        <is>
          <t>W12X26</t>
        </is>
      </c>
      <c r="BB77" s="125">
        <f>SQRT(($J$1022-J77)^2)</f>
        <v/>
      </c>
      <c r="BC77" s="125">
        <f>SQRT(($R$1022-R77)^2)</f>
        <v/>
      </c>
      <c r="BD77" s="125" t="inlineStr">
        <is>
          <t>W12X26</t>
        </is>
      </c>
      <c r="BI77">
        <f>SQRT(($J$1023-J77)^2)</f>
        <v/>
      </c>
      <c r="BJ77">
        <f>SQRT(($R$1023-R77)^2)</f>
        <v/>
      </c>
      <c r="BK77" s="125" t="inlineStr">
        <is>
          <t>W12X26</t>
        </is>
      </c>
      <c r="BP77">
        <f>SQRT(($J$1024-J77)^2)</f>
        <v/>
      </c>
      <c r="BQ77">
        <f>SQRT(($R$1024-R77)^2)</f>
        <v/>
      </c>
      <c r="BR77" s="125" t="inlineStr">
        <is>
          <t>W12X26</t>
        </is>
      </c>
      <c r="BW77">
        <f>SQRT(($J$1025-J77)^2)</f>
        <v/>
      </c>
      <c r="BX77">
        <f>SQRT(($R$1025-R77)^2)</f>
        <v/>
      </c>
      <c r="BY77" s="125" t="inlineStr">
        <is>
          <t>W12X26</t>
        </is>
      </c>
      <c r="CD77">
        <f>SQRT(($J$1026-J77)^2)</f>
        <v/>
      </c>
      <c r="CE77">
        <f>SQRT(($R$1026-R77)^2)</f>
        <v/>
      </c>
      <c r="CF77" s="125" t="inlineStr">
        <is>
          <t>W12X26</t>
        </is>
      </c>
    </row>
    <row r="78">
      <c r="A78" s="125" t="inlineStr">
        <is>
          <t>W12X27</t>
        </is>
      </c>
      <c r="B78" s="129" t="inlineStr">
        <is>
          <t>AISC</t>
        </is>
      </c>
      <c r="C78" s="125" t="n">
        <v>40.3</v>
      </c>
      <c r="D78" s="125" t="n">
        <v>303.4</v>
      </c>
      <c r="E78" s="125" t="n">
        <v>165</v>
      </c>
      <c r="F78" s="125" t="n">
        <v>10.2</v>
      </c>
      <c r="G78" s="125" t="n">
        <v>6</v>
      </c>
      <c r="H78" s="125" t="n">
        <v>8.9</v>
      </c>
      <c r="I78" s="125" t="n">
        <v>265.2</v>
      </c>
      <c r="J78" s="125" t="n">
        <v>51.3</v>
      </c>
      <c r="K78" s="125">
        <f>((E78-G78)/2)/F78</f>
        <v/>
      </c>
      <c r="L78" s="125">
        <f>I78/G78</f>
        <v/>
      </c>
      <c r="M78" s="125" t="n">
        <v>1.24</v>
      </c>
      <c r="N78" s="125" t="n">
        <v>8503</v>
      </c>
      <c r="O78" s="125" t="n">
        <v>764</v>
      </c>
      <c r="P78" s="125" t="n">
        <v>12.9</v>
      </c>
      <c r="Q78" s="125" t="n">
        <v>3.86</v>
      </c>
      <c r="R78" s="125" t="n">
        <v>560</v>
      </c>
      <c r="S78" s="125" t="n">
        <v>92.7</v>
      </c>
      <c r="T78" s="125" t="n">
        <v>623</v>
      </c>
      <c r="U78" s="125" t="n">
        <v>142</v>
      </c>
      <c r="X78" s="129">
        <f t="array" ref="X78">_xlfn.IFS((D78/F78) &lt;= (640/SQRT($AT$32)), "Compact", L78 &lt;= ($AT$32*(0.79-(0.002*((E78-G78/2)/(2*F78))*SQRT($AT$32)))), "Non-Compact", L78 &gt; ($AT$32*(0.79-(0.002*((E78-G78/2)/(2*F78))*SQRT($AT$32)))), "Slender")</f>
        <v/>
      </c>
      <c r="Y78" s="129">
        <f t="array" ref="Y78">_xlfn.IFS(K78 &lt;= (65/SQRT($AT$32)), "Compact", K78 &lt;= (95/SQRT($AT$32)), "Non-Compact", K78 &gt; (95/SQRT($AT$32)), "Slender")</f>
        <v/>
      </c>
      <c r="Z78" s="125">
        <f>E78/F78</f>
        <v/>
      </c>
      <c r="AA78" s="125">
        <f>D78/G78</f>
        <v/>
      </c>
      <c r="AB78" s="125">
        <f t="array" ref="AB78">_xlfn.IFS(Z78 &lt;= 9, "1", Z78 &lt;= 12, "2", Z78 &lt;= 15, "3", Z78 &gt; 15, "4")</f>
        <v/>
      </c>
      <c r="AC78" s="125">
        <f t="array" ref="AC78">_xlfn.IFS(AA78 &lt;= 200, "1", L78 &lt;= 300, "2", L78 &lt;= 400, "3", L78 &gt; 400, "4")</f>
        <v/>
      </c>
      <c r="AD78" s="129">
        <f>SQRT((((VLOOKUP($AT$4,$A$4:$D$1021,4,FALSE))-D78)^2)+(((VLOOKUP($AT$4,$A$4:$E$1021,5,FALSE))-E78)^2)+(((VLOOKUP($AT$4,$A$4:$N$1021,14,FALSE))-N78)^2)+(((VLOOKUP($AT$4,$A$4:$O$1021,15,FALSE))-O78)^2))</f>
        <v/>
      </c>
      <c r="AG78" s="129">
        <f>SQRT((((VLOOKUP($AT$4,$A$4:$D$1021,4,FALSE))-D78)^2)+(((VLOOKUP($AT$4,$A$4:$E$1021,5,FALSE))-E78)^2)+(((VLOOKUP($AT$4,$A$4:$R$1021,18,FALSE))-R78)^2)+(((VLOOKUP($AT$4,$A$4:$S$1021,19,FALSE))-S78)^2))</f>
        <v/>
      </c>
      <c r="AJ78" s="125" t="inlineStr">
        <is>
          <t>W12X27</t>
        </is>
      </c>
      <c r="AK78" s="125">
        <f>SQRT(((VLOOKUP($AT$4,$A$4:$J$1021,10,FALSE))-J78)^2)</f>
        <v/>
      </c>
      <c r="AL78" s="125" t="n"/>
      <c r="AM78" s="125" t="n"/>
      <c r="AN78" s="125">
        <f>SQRT(((VLOOKUP($AT$4,$A$4:$R$1021,18,FALSE))-R78)^2)</f>
        <v/>
      </c>
      <c r="AO78" s="125" t="n"/>
      <c r="AP78" s="125" t="n"/>
      <c r="AQ78" s="125" t="inlineStr">
        <is>
          <t>W12X27</t>
        </is>
      </c>
      <c r="BB78" s="125">
        <f>SQRT(($J$1022-J78)^2)</f>
        <v/>
      </c>
      <c r="BC78" s="125">
        <f>SQRT(($R$1022-R78)^2)</f>
        <v/>
      </c>
      <c r="BD78" s="125" t="inlineStr">
        <is>
          <t>W12X27</t>
        </is>
      </c>
      <c r="BI78">
        <f>SQRT(($J$1023-J78)^2)</f>
        <v/>
      </c>
      <c r="BJ78">
        <f>SQRT(($R$1023-R78)^2)</f>
        <v/>
      </c>
      <c r="BK78" s="125" t="inlineStr">
        <is>
          <t>W12X27</t>
        </is>
      </c>
      <c r="BP78">
        <f>SQRT(($J$1024-J78)^2)</f>
        <v/>
      </c>
      <c r="BQ78">
        <f>SQRT(($R$1024-R78)^2)</f>
        <v/>
      </c>
      <c r="BR78" s="125" t="inlineStr">
        <is>
          <t>W12X27</t>
        </is>
      </c>
      <c r="BW78">
        <f>SQRT(($J$1025-J78)^2)</f>
        <v/>
      </c>
      <c r="BX78">
        <f>SQRT(($R$1025-R78)^2)</f>
        <v/>
      </c>
      <c r="BY78" s="125" t="inlineStr">
        <is>
          <t>W12X27</t>
        </is>
      </c>
      <c r="CD78">
        <f>SQRT(($J$1026-J78)^2)</f>
        <v/>
      </c>
      <c r="CE78">
        <f>SQRT(($R$1026-R78)^2)</f>
        <v/>
      </c>
      <c r="CF78" s="125" t="inlineStr">
        <is>
          <t>W12X27</t>
        </is>
      </c>
    </row>
    <row r="79">
      <c r="A79" s="125" t="inlineStr">
        <is>
          <t>W12X30</t>
        </is>
      </c>
      <c r="B79" s="129" t="inlineStr">
        <is>
          <t>AISC</t>
        </is>
      </c>
      <c r="C79" s="125" t="n">
        <v>44.6</v>
      </c>
      <c r="D79" s="125" t="n">
        <v>313.4</v>
      </c>
      <c r="E79" s="125" t="n">
        <v>165.6</v>
      </c>
      <c r="F79" s="125" t="n">
        <v>11.1</v>
      </c>
      <c r="G79" s="125" t="n">
        <v>6.6</v>
      </c>
      <c r="H79" s="125" t="n">
        <v>7.6</v>
      </c>
      <c r="I79" s="125" t="n">
        <v>276</v>
      </c>
      <c r="J79" s="125" t="n">
        <v>56.5</v>
      </c>
      <c r="K79" s="125">
        <f>((E79-G79)/2)/F79</f>
        <v/>
      </c>
      <c r="L79" s="125">
        <f>I79/G79</f>
        <v/>
      </c>
      <c r="M79" s="125" t="n">
        <v>1.26</v>
      </c>
      <c r="N79" s="125" t="n">
        <v>9864</v>
      </c>
      <c r="O79" s="125" t="n">
        <v>841</v>
      </c>
      <c r="P79" s="125" t="n">
        <v>13.2</v>
      </c>
      <c r="Q79" s="125" t="n">
        <v>3.86</v>
      </c>
      <c r="R79" s="125" t="n">
        <v>629</v>
      </c>
      <c r="S79" s="125" t="n">
        <v>102</v>
      </c>
      <c r="T79" s="125" t="n">
        <v>703</v>
      </c>
      <c r="U79" s="125" t="n">
        <v>156</v>
      </c>
      <c r="X79" s="129">
        <f t="array" ref="X79">_xlfn.IFS((D79/F79) &lt;= (640/SQRT($AT$32)), "Compact", L79 &lt;= ($AT$32*(0.79-(0.002*((E79-G79/2)/(2*F79))*SQRT($AT$32)))), "Non-Compact", L79 &gt; ($AT$32*(0.79-(0.002*((E79-G79/2)/(2*F79))*SQRT($AT$32)))), "Slender")</f>
        <v/>
      </c>
      <c r="Y79" s="129">
        <f t="array" ref="Y79">_xlfn.IFS(K79 &lt;= (65/SQRT($AT$32)), "Compact", K79 &lt;= (95/SQRT($AT$32)), "Non-Compact", K79 &gt; (95/SQRT($AT$32)), "Slender")</f>
        <v/>
      </c>
      <c r="Z79" s="125">
        <f>E79/F79</f>
        <v/>
      </c>
      <c r="AA79" s="125">
        <f>D79/G79</f>
        <v/>
      </c>
      <c r="AB79" s="125">
        <f t="array" ref="AB79">_xlfn.IFS(Z79 &lt;= 9, "1", Z79 &lt;= 12, "2", Z79 &lt;= 15, "3", Z79 &gt; 15, "4")</f>
        <v/>
      </c>
      <c r="AC79" s="125">
        <f t="array" ref="AC79">_xlfn.IFS(AA79 &lt;= 200, "1", L79 &lt;= 300, "2", L79 &lt;= 400, "3", L79 &gt; 400, "4")</f>
        <v/>
      </c>
      <c r="AD79" s="129">
        <f>SQRT((((VLOOKUP($AT$4,$A$4:$D$1021,4,FALSE))-D79)^2)+(((VLOOKUP($AT$4,$A$4:$E$1021,5,FALSE))-E79)^2)+(((VLOOKUP($AT$4,$A$4:$N$1021,14,FALSE))-N79)^2)+(((VLOOKUP($AT$4,$A$4:$O$1021,15,FALSE))-O79)^2))</f>
        <v/>
      </c>
      <c r="AG79" s="129">
        <f>SQRT((((VLOOKUP($AT$4,$A$4:$D$1021,4,FALSE))-D79)^2)+(((VLOOKUP($AT$4,$A$4:$E$1021,5,FALSE))-E79)^2)+(((VLOOKUP($AT$4,$A$4:$R$1021,18,FALSE))-R79)^2)+(((VLOOKUP($AT$4,$A$4:$S$1021,19,FALSE))-S79)^2))</f>
        <v/>
      </c>
      <c r="AJ79" s="125" t="inlineStr">
        <is>
          <t>W12X30</t>
        </is>
      </c>
      <c r="AK79" s="125">
        <f>SQRT(((VLOOKUP($AT$4,$A$4:$J$1021,10,FALSE))-J79)^2)</f>
        <v/>
      </c>
      <c r="AL79" s="125" t="n"/>
      <c r="AM79" s="125" t="n"/>
      <c r="AN79" s="125">
        <f>SQRT(((VLOOKUP($AT$4,$A$4:$R$1021,18,FALSE))-R79)^2)</f>
        <v/>
      </c>
      <c r="AO79" s="125" t="n"/>
      <c r="AP79" s="125" t="n"/>
      <c r="AQ79" s="125" t="inlineStr">
        <is>
          <t>W12X30</t>
        </is>
      </c>
      <c r="BB79" s="125">
        <f>SQRT(($J$1022-J79)^2)</f>
        <v/>
      </c>
      <c r="BC79" s="125">
        <f>SQRT(($R$1022-R79)^2)</f>
        <v/>
      </c>
      <c r="BD79" s="125" t="inlineStr">
        <is>
          <t>W12X30</t>
        </is>
      </c>
      <c r="BI79">
        <f>SQRT(($J$1023-J79)^2)</f>
        <v/>
      </c>
      <c r="BJ79">
        <f>SQRT(($R$1023-R79)^2)</f>
        <v/>
      </c>
      <c r="BK79" s="125" t="inlineStr">
        <is>
          <t>W12X30</t>
        </is>
      </c>
      <c r="BP79">
        <f>SQRT(($J$1024-J79)^2)</f>
        <v/>
      </c>
      <c r="BQ79">
        <f>SQRT(($R$1024-R79)^2)</f>
        <v/>
      </c>
      <c r="BR79" s="125" t="inlineStr">
        <is>
          <t>W12X30</t>
        </is>
      </c>
      <c r="BW79">
        <f>SQRT(($J$1025-J79)^2)</f>
        <v/>
      </c>
      <c r="BX79">
        <f>SQRT(($R$1025-R79)^2)</f>
        <v/>
      </c>
      <c r="BY79" s="125" t="inlineStr">
        <is>
          <t>W12X30</t>
        </is>
      </c>
      <c r="CD79">
        <f>SQRT(($J$1026-J79)^2)</f>
        <v/>
      </c>
      <c r="CE79">
        <f>SQRT(($R$1026-R79)^2)</f>
        <v/>
      </c>
      <c r="CF79" s="125" t="inlineStr">
        <is>
          <t>W12X30</t>
        </is>
      </c>
    </row>
    <row r="80">
      <c r="A80" s="125" t="inlineStr">
        <is>
          <t>W12X31</t>
        </is>
      </c>
      <c r="B80" s="129" t="inlineStr">
        <is>
          <t>AISC</t>
        </is>
      </c>
      <c r="C80" s="125" t="n">
        <v>46.1</v>
      </c>
      <c r="D80" s="125" t="n">
        <v>306.6</v>
      </c>
      <c r="E80" s="125" t="n">
        <v>165.7</v>
      </c>
      <c r="F80" s="125" t="n">
        <v>11.8</v>
      </c>
      <c r="G80" s="125" t="n">
        <v>6.7</v>
      </c>
      <c r="H80" s="125" t="n">
        <v>8.9</v>
      </c>
      <c r="I80" s="125" t="n">
        <v>265.2</v>
      </c>
      <c r="J80" s="125" t="n">
        <v>58.7</v>
      </c>
      <c r="K80" s="125">
        <f>((E80-G80)/2)/F80</f>
        <v/>
      </c>
      <c r="L80" s="125">
        <f>I80/G80</f>
        <v/>
      </c>
      <c r="M80" s="125" t="n">
        <v>1.25</v>
      </c>
      <c r="N80" s="125" t="n">
        <v>9899</v>
      </c>
      <c r="O80" s="125" t="n">
        <v>896</v>
      </c>
      <c r="P80" s="125" t="n">
        <v>13</v>
      </c>
      <c r="Q80" s="125" t="n">
        <v>3.9</v>
      </c>
      <c r="R80" s="125" t="n">
        <v>646</v>
      </c>
      <c r="S80" s="125" t="n">
        <v>108</v>
      </c>
      <c r="T80" s="125" t="n">
        <v>720</v>
      </c>
      <c r="U80" s="125" t="n">
        <v>166</v>
      </c>
      <c r="X80" s="129">
        <f t="array" ref="X80">_xlfn.IFS((D80/F80) &lt;= (640/SQRT($AT$32)), "Compact", L80 &lt;= ($AT$32*(0.79-(0.002*((E80-G80/2)/(2*F80))*SQRT($AT$32)))), "Non-Compact", L80 &gt; ($AT$32*(0.79-(0.002*((E80-G80/2)/(2*F80))*SQRT($AT$32)))), "Slender")</f>
        <v/>
      </c>
      <c r="Y80" s="129">
        <f t="array" ref="Y80">_xlfn.IFS(K80 &lt;= (65/SQRT($AT$32)), "Compact", K80 &lt;= (95/SQRT($AT$32)), "Non-Compact", K80 &gt; (95/SQRT($AT$32)), "Slender")</f>
        <v/>
      </c>
      <c r="Z80" s="125">
        <f>E80/F80</f>
        <v/>
      </c>
      <c r="AA80" s="125">
        <f>D80/G80</f>
        <v/>
      </c>
      <c r="AB80" s="125">
        <f t="array" ref="AB80">_xlfn.IFS(Z80 &lt;= 9, "1", Z80 &lt;= 12, "2", Z80 &lt;= 15, "3", Z80 &gt; 15, "4")</f>
        <v/>
      </c>
      <c r="AC80" s="125">
        <f t="array" ref="AC80">_xlfn.IFS(AA80 &lt;= 200, "1", L80 &lt;= 300, "2", L80 &lt;= 400, "3", L80 &gt; 400, "4")</f>
        <v/>
      </c>
      <c r="AD80" s="129">
        <f>SQRT((((VLOOKUP($AT$4,$A$4:$D$1021,4,FALSE))-D80)^2)+(((VLOOKUP($AT$4,$A$4:$E$1021,5,FALSE))-E80)^2)+(((VLOOKUP($AT$4,$A$4:$N$1021,14,FALSE))-N80)^2)+(((VLOOKUP($AT$4,$A$4:$O$1021,15,FALSE))-O80)^2))</f>
        <v/>
      </c>
      <c r="AG80" s="129">
        <f>SQRT((((VLOOKUP($AT$4,$A$4:$D$1021,4,FALSE))-D80)^2)+(((VLOOKUP($AT$4,$A$4:$E$1021,5,FALSE))-E80)^2)+(((VLOOKUP($AT$4,$A$4:$R$1021,18,FALSE))-R80)^2)+(((VLOOKUP($AT$4,$A$4:$S$1021,19,FALSE))-S80)^2))</f>
        <v/>
      </c>
      <c r="AJ80" s="125" t="inlineStr">
        <is>
          <t>W12X31</t>
        </is>
      </c>
      <c r="AK80" s="125">
        <f>SQRT(((VLOOKUP($AT$4,$A$4:$J$1021,10,FALSE))-J80)^2)</f>
        <v/>
      </c>
      <c r="AL80" s="125" t="n"/>
      <c r="AM80" s="125" t="n"/>
      <c r="AN80" s="125">
        <f>SQRT(((VLOOKUP($AT$4,$A$4:$R$1021,18,FALSE))-R80)^2)</f>
        <v/>
      </c>
      <c r="AO80" s="125" t="n"/>
      <c r="AP80" s="125" t="n"/>
      <c r="AQ80" s="125" t="inlineStr">
        <is>
          <t>W12X31</t>
        </is>
      </c>
      <c r="BB80" s="125">
        <f>SQRT(($J$1022-J80)^2)</f>
        <v/>
      </c>
      <c r="BC80" s="125">
        <f>SQRT(($R$1022-R80)^2)</f>
        <v/>
      </c>
      <c r="BD80" s="125" t="inlineStr">
        <is>
          <t>W12X31</t>
        </is>
      </c>
      <c r="BI80">
        <f>SQRT(($J$1023-J80)^2)</f>
        <v/>
      </c>
      <c r="BJ80">
        <f>SQRT(($R$1023-R80)^2)</f>
        <v/>
      </c>
      <c r="BK80" s="125" t="inlineStr">
        <is>
          <t>W12X31</t>
        </is>
      </c>
      <c r="BP80">
        <f>SQRT(($J$1024-J80)^2)</f>
        <v/>
      </c>
      <c r="BQ80">
        <f>SQRT(($R$1024-R80)^2)</f>
        <v/>
      </c>
      <c r="BR80" s="125" t="inlineStr">
        <is>
          <t>W12X31</t>
        </is>
      </c>
      <c r="BW80">
        <f>SQRT(($J$1025-J80)^2)</f>
        <v/>
      </c>
      <c r="BX80">
        <f>SQRT(($R$1025-R80)^2)</f>
        <v/>
      </c>
      <c r="BY80" s="125" t="inlineStr">
        <is>
          <t>W12X31</t>
        </is>
      </c>
      <c r="CD80">
        <f>SQRT(($J$1026-J80)^2)</f>
        <v/>
      </c>
      <c r="CE80">
        <f>SQRT(($R$1026-R80)^2)</f>
        <v/>
      </c>
      <c r="CF80" s="125" t="inlineStr">
        <is>
          <t>W12X31</t>
        </is>
      </c>
    </row>
    <row r="81">
      <c r="A81" s="125" t="inlineStr">
        <is>
          <t>W12X35</t>
        </is>
      </c>
      <c r="B81" s="129" t="inlineStr">
        <is>
          <t>AISC</t>
        </is>
      </c>
      <c r="C81" s="125" t="n">
        <v>52.1</v>
      </c>
      <c r="D81" s="125" t="n">
        <v>317.5</v>
      </c>
      <c r="E81" s="125" t="n">
        <v>166.6</v>
      </c>
      <c r="F81" s="125" t="n">
        <v>13.2</v>
      </c>
      <c r="G81" s="125" t="n">
        <v>7.6</v>
      </c>
      <c r="H81" s="125" t="n">
        <v>7.6</v>
      </c>
      <c r="I81" s="125" t="n">
        <v>275.9</v>
      </c>
      <c r="J81" s="125" t="n">
        <v>66.7</v>
      </c>
      <c r="K81" s="125">
        <f>((E81-G81)/2)/F81</f>
        <v/>
      </c>
      <c r="L81" s="125">
        <f>I81/G81</f>
        <v/>
      </c>
      <c r="M81" s="125" t="n">
        <v>1.27</v>
      </c>
      <c r="N81" s="125" t="n">
        <v>11860</v>
      </c>
      <c r="O81" s="125" t="n">
        <v>1019</v>
      </c>
      <c r="P81" s="125" t="n">
        <v>13.3</v>
      </c>
      <c r="Q81" s="125" t="n">
        <v>3.91</v>
      </c>
      <c r="R81" s="125" t="n">
        <v>747</v>
      </c>
      <c r="S81" s="125" t="n">
        <v>122</v>
      </c>
      <c r="T81" s="125" t="n">
        <v>838</v>
      </c>
      <c r="U81" s="125" t="n">
        <v>188</v>
      </c>
      <c r="X81" s="129">
        <f t="array" ref="X81">_xlfn.IFS((D81/F81) &lt;= (640/SQRT($AT$32)), "Compact", L81 &lt;= ($AT$32*(0.79-(0.002*((E81-G81/2)/(2*F81))*SQRT($AT$32)))), "Non-Compact", L81 &gt; ($AT$32*(0.79-(0.002*((E81-G81/2)/(2*F81))*SQRT($AT$32)))), "Slender")</f>
        <v/>
      </c>
      <c r="Y81" s="129">
        <f t="array" ref="Y81">_xlfn.IFS(K81 &lt;= (65/SQRT($AT$32)), "Compact", K81 &lt;= (95/SQRT($AT$32)), "Non-Compact", K81 &gt; (95/SQRT($AT$32)), "Slender")</f>
        <v/>
      </c>
      <c r="Z81" s="125">
        <f>E81/F81</f>
        <v/>
      </c>
      <c r="AA81" s="125">
        <f>D81/G81</f>
        <v/>
      </c>
      <c r="AB81" s="125">
        <f t="array" ref="AB81">_xlfn.IFS(Z81 &lt;= 9, "1", Z81 &lt;= 12, "2", Z81 &lt;= 15, "3", Z81 &gt; 15, "4")</f>
        <v/>
      </c>
      <c r="AC81" s="125">
        <f t="array" ref="AC81">_xlfn.IFS(AA81 &lt;= 200, "1", L81 &lt;= 300, "2", L81 &lt;= 400, "3", L81 &gt; 400, "4")</f>
        <v/>
      </c>
      <c r="AD81" s="129">
        <f>SQRT((((VLOOKUP($AT$4,$A$4:$D$1021,4,FALSE))-D81)^2)+(((VLOOKUP($AT$4,$A$4:$E$1021,5,FALSE))-E81)^2)+(((VLOOKUP($AT$4,$A$4:$N$1021,14,FALSE))-N81)^2)+(((VLOOKUP($AT$4,$A$4:$O$1021,15,FALSE))-O81)^2))</f>
        <v/>
      </c>
      <c r="AG81" s="129">
        <f>SQRT((((VLOOKUP($AT$4,$A$4:$D$1021,4,FALSE))-D81)^2)+(((VLOOKUP($AT$4,$A$4:$E$1021,5,FALSE))-E81)^2)+(((VLOOKUP($AT$4,$A$4:$R$1021,18,FALSE))-R81)^2)+(((VLOOKUP($AT$4,$A$4:$S$1021,19,FALSE))-S81)^2))</f>
        <v/>
      </c>
      <c r="AJ81" s="125" t="inlineStr">
        <is>
          <t>W12X35</t>
        </is>
      </c>
      <c r="AK81" s="125">
        <f>SQRT(((VLOOKUP($AT$4,$A$4:$J$1021,10,FALSE))-J81)^2)</f>
        <v/>
      </c>
      <c r="AL81" s="125" t="n"/>
      <c r="AM81" s="125" t="n"/>
      <c r="AN81" s="125">
        <f>SQRT(((VLOOKUP($AT$4,$A$4:$R$1021,18,FALSE))-R81)^2)</f>
        <v/>
      </c>
      <c r="AO81" s="125" t="n"/>
      <c r="AP81" s="125" t="n"/>
      <c r="AQ81" s="125" t="inlineStr">
        <is>
          <t>W12X35</t>
        </is>
      </c>
      <c r="BB81" s="125">
        <f>SQRT(($J$1022-J81)^2)</f>
        <v/>
      </c>
      <c r="BC81" s="125">
        <f>SQRT(($R$1022-R81)^2)</f>
        <v/>
      </c>
      <c r="BD81" s="125" t="inlineStr">
        <is>
          <t>W12X35</t>
        </is>
      </c>
      <c r="BI81">
        <f>SQRT(($J$1023-J81)^2)</f>
        <v/>
      </c>
      <c r="BJ81">
        <f>SQRT(($R$1023-R81)^2)</f>
        <v/>
      </c>
      <c r="BK81" s="125" t="inlineStr">
        <is>
          <t>W12X35</t>
        </is>
      </c>
      <c r="BP81">
        <f>SQRT(($J$1024-J81)^2)</f>
        <v/>
      </c>
      <c r="BQ81">
        <f>SQRT(($R$1024-R81)^2)</f>
        <v/>
      </c>
      <c r="BR81" s="125" t="inlineStr">
        <is>
          <t>W12X35</t>
        </is>
      </c>
      <c r="BW81">
        <f>SQRT(($J$1025-J81)^2)</f>
        <v/>
      </c>
      <c r="BX81">
        <f>SQRT(($R$1025-R81)^2)</f>
        <v/>
      </c>
      <c r="BY81" s="125" t="inlineStr">
        <is>
          <t>W12X35</t>
        </is>
      </c>
      <c r="CD81">
        <f>SQRT(($J$1026-J81)^2)</f>
        <v/>
      </c>
      <c r="CE81">
        <f>SQRT(($R$1026-R81)^2)</f>
        <v/>
      </c>
      <c r="CF81" s="125" t="inlineStr">
        <is>
          <t>W12X35</t>
        </is>
      </c>
    </row>
    <row r="82">
      <c r="A82" s="125" t="inlineStr">
        <is>
          <t>W12X36</t>
        </is>
      </c>
      <c r="B82" s="129" t="inlineStr">
        <is>
          <t>AISC</t>
        </is>
      </c>
      <c r="C82" s="125" t="n">
        <v>54</v>
      </c>
      <c r="D82" s="125" t="n">
        <v>310.4</v>
      </c>
      <c r="E82" s="125" t="n">
        <v>166.9</v>
      </c>
      <c r="F82" s="125" t="n">
        <v>13.7</v>
      </c>
      <c r="G82" s="125" t="n">
        <v>7.9</v>
      </c>
      <c r="H82" s="125" t="n">
        <v>8.9</v>
      </c>
      <c r="I82" s="125" t="n">
        <v>265.2</v>
      </c>
      <c r="J82" s="125" t="n">
        <v>68.8</v>
      </c>
      <c r="K82" s="125">
        <f>((E82-G82)/2)/F82</f>
        <v/>
      </c>
      <c r="L82" s="125">
        <f>I82/G82</f>
        <v/>
      </c>
      <c r="M82" s="125" t="n">
        <v>1.26</v>
      </c>
      <c r="N82" s="125" t="n">
        <v>11700</v>
      </c>
      <c r="O82" s="125" t="n">
        <v>1063</v>
      </c>
      <c r="P82" s="125" t="n">
        <v>13</v>
      </c>
      <c r="Q82" s="125" t="n">
        <v>3.93</v>
      </c>
      <c r="R82" s="125" t="n">
        <v>754</v>
      </c>
      <c r="S82" s="125" t="n">
        <v>127</v>
      </c>
      <c r="T82" s="125" t="n">
        <v>846</v>
      </c>
      <c r="U82" s="125" t="n">
        <v>196</v>
      </c>
      <c r="X82" s="129">
        <f t="array" ref="X82">_xlfn.IFS((D82/F82) &lt;= (640/SQRT($AT$32)), "Compact", L82 &lt;= ($AT$32*(0.79-(0.002*((E82-G82/2)/(2*F82))*SQRT($AT$32)))), "Non-Compact", L82 &gt; ($AT$32*(0.79-(0.002*((E82-G82/2)/(2*F82))*SQRT($AT$32)))), "Slender")</f>
        <v/>
      </c>
      <c r="Y82" s="129">
        <f t="array" ref="Y82">_xlfn.IFS(K82 &lt;= (65/SQRT($AT$32)), "Compact", K82 &lt;= (95/SQRT($AT$32)), "Non-Compact", K82 &gt; (95/SQRT($AT$32)), "Slender")</f>
        <v/>
      </c>
      <c r="Z82" s="125">
        <f>E82/F82</f>
        <v/>
      </c>
      <c r="AA82" s="125">
        <f>D82/G82</f>
        <v/>
      </c>
      <c r="AB82" s="125">
        <f t="array" ref="AB82">_xlfn.IFS(Z82 &lt;= 9, "1", Z82 &lt;= 12, "2", Z82 &lt;= 15, "3", Z82 &gt; 15, "4")</f>
        <v/>
      </c>
      <c r="AC82" s="125">
        <f t="array" ref="AC82">_xlfn.IFS(AA82 &lt;= 200, "1", L82 &lt;= 300, "2", L82 &lt;= 400, "3", L82 &gt; 400, "4")</f>
        <v/>
      </c>
      <c r="AD82" s="129">
        <f>SQRT((((VLOOKUP($AT$4,$A$4:$D$1021,4,FALSE))-D82)^2)+(((VLOOKUP($AT$4,$A$4:$E$1021,5,FALSE))-E82)^2)+(((VLOOKUP($AT$4,$A$4:$N$1021,14,FALSE))-N82)^2)+(((VLOOKUP($AT$4,$A$4:$O$1021,15,FALSE))-O82)^2))</f>
        <v/>
      </c>
      <c r="AG82" s="129">
        <f>SQRT((((VLOOKUP($AT$4,$A$4:$D$1021,4,FALSE))-D82)^2)+(((VLOOKUP($AT$4,$A$4:$E$1021,5,FALSE))-E82)^2)+(((VLOOKUP($AT$4,$A$4:$R$1021,18,FALSE))-R82)^2)+(((VLOOKUP($AT$4,$A$4:$S$1021,19,FALSE))-S82)^2))</f>
        <v/>
      </c>
      <c r="AJ82" s="125" t="inlineStr">
        <is>
          <t>W12X36</t>
        </is>
      </c>
      <c r="AK82" s="125">
        <f>SQRT(((VLOOKUP($AT$4,$A$4:$J$1021,10,FALSE))-J82)^2)</f>
        <v/>
      </c>
      <c r="AL82" s="125" t="n"/>
      <c r="AM82" s="125" t="n"/>
      <c r="AN82" s="125">
        <f>SQRT(((VLOOKUP($AT$4,$A$4:$R$1021,18,FALSE))-R82)^2)</f>
        <v/>
      </c>
      <c r="AO82" s="125" t="n"/>
      <c r="AP82" s="125" t="n"/>
      <c r="AQ82" s="125" t="inlineStr">
        <is>
          <t>W12X36</t>
        </is>
      </c>
      <c r="BB82" s="125">
        <f>SQRT(($J$1022-J82)^2)</f>
        <v/>
      </c>
      <c r="BC82" s="125">
        <f>SQRT(($R$1022-R82)^2)</f>
        <v/>
      </c>
      <c r="BD82" s="125" t="inlineStr">
        <is>
          <t>W12X36</t>
        </is>
      </c>
      <c r="BI82">
        <f>SQRT(($J$1023-J82)^2)</f>
        <v/>
      </c>
      <c r="BJ82">
        <f>SQRT(($R$1023-R82)^2)</f>
        <v/>
      </c>
      <c r="BK82" s="125" t="inlineStr">
        <is>
          <t>W12X36</t>
        </is>
      </c>
      <c r="BP82">
        <f>SQRT(($J$1024-J82)^2)</f>
        <v/>
      </c>
      <c r="BQ82">
        <f>SQRT(($R$1024-R82)^2)</f>
        <v/>
      </c>
      <c r="BR82" s="125" t="inlineStr">
        <is>
          <t>W12X36</t>
        </is>
      </c>
      <c r="BW82">
        <f>SQRT(($J$1025-J82)^2)</f>
        <v/>
      </c>
      <c r="BX82">
        <f>SQRT(($R$1025-R82)^2)</f>
        <v/>
      </c>
      <c r="BY82" s="125" t="inlineStr">
        <is>
          <t>W12X36</t>
        </is>
      </c>
      <c r="CD82">
        <f>SQRT(($J$1026-J82)^2)</f>
        <v/>
      </c>
      <c r="CE82">
        <f>SQRT(($R$1026-R82)^2)</f>
        <v/>
      </c>
      <c r="CF82" s="125" t="inlineStr">
        <is>
          <t>W12X36</t>
        </is>
      </c>
    </row>
    <row r="83">
      <c r="A83" s="125" t="inlineStr">
        <is>
          <t>W12X40</t>
        </is>
      </c>
      <c r="B83" s="129" t="inlineStr">
        <is>
          <t>AISC</t>
        </is>
      </c>
      <c r="C83" s="125" t="n">
        <v>59.5</v>
      </c>
      <c r="D83" s="125" t="n">
        <v>303.3</v>
      </c>
      <c r="E83" s="125" t="n">
        <v>203.3</v>
      </c>
      <c r="F83" s="125" t="n">
        <v>13</v>
      </c>
      <c r="G83" s="125" t="n">
        <v>8.5</v>
      </c>
      <c r="H83" s="125" t="n">
        <v>15.2</v>
      </c>
      <c r="I83" s="125" t="n">
        <v>246.9</v>
      </c>
      <c r="J83" s="125" t="n">
        <v>75.59999999999999</v>
      </c>
      <c r="K83" s="125">
        <f>((E83-G83)/2)/F83</f>
        <v/>
      </c>
      <c r="L83" s="125">
        <f>I83/G83</f>
        <v/>
      </c>
      <c r="M83" s="125" t="n">
        <v>1.38</v>
      </c>
      <c r="N83" s="125" t="n">
        <v>12840</v>
      </c>
      <c r="O83" s="125" t="n">
        <v>1823</v>
      </c>
      <c r="P83" s="125" t="n">
        <v>13</v>
      </c>
      <c r="Q83" s="125" t="n">
        <v>4.91</v>
      </c>
      <c r="R83" s="125" t="n">
        <v>847</v>
      </c>
      <c r="S83" s="125" t="n">
        <v>179</v>
      </c>
      <c r="T83" s="125" t="n">
        <v>938</v>
      </c>
      <c r="U83" s="125" t="n">
        <v>274</v>
      </c>
      <c r="X83" s="129">
        <f t="array" ref="X83">_xlfn.IFS((D83/F83) &lt;= (640/SQRT($AT$32)), "Compact", L83 &lt;= ($AT$32*(0.79-(0.002*((E83-G83/2)/(2*F83))*SQRT($AT$32)))), "Non-Compact", L83 &gt; ($AT$32*(0.79-(0.002*((E83-G83/2)/(2*F83))*SQRT($AT$32)))), "Slender")</f>
        <v/>
      </c>
      <c r="Y83" s="129">
        <f t="array" ref="Y83">_xlfn.IFS(K83 &lt;= (65/SQRT($AT$32)), "Compact", K83 &lt;= (95/SQRT($AT$32)), "Non-Compact", K83 &gt; (95/SQRT($AT$32)), "Slender")</f>
        <v/>
      </c>
      <c r="Z83" s="125">
        <f>E83/F83</f>
        <v/>
      </c>
      <c r="AA83" s="125">
        <f>D83/G83</f>
        <v/>
      </c>
      <c r="AB83" s="125">
        <f t="array" ref="AB83">_xlfn.IFS(Z83 &lt;= 9, "1", Z83 &lt;= 12, "2", Z83 &lt;= 15, "3", Z83 &gt; 15, "4")</f>
        <v/>
      </c>
      <c r="AC83" s="125">
        <f t="array" ref="AC83">_xlfn.IFS(AA83 &lt;= 200, "1", L83 &lt;= 300, "2", L83 &lt;= 400, "3", L83 &gt; 400, "4")</f>
        <v/>
      </c>
      <c r="AD83" s="129">
        <f>SQRT((((VLOOKUP($AT$4,$A$4:$D$1021,4,FALSE))-D83)^2)+(((VLOOKUP($AT$4,$A$4:$E$1021,5,FALSE))-E83)^2)+(((VLOOKUP($AT$4,$A$4:$N$1021,14,FALSE))-N83)^2)+(((VLOOKUP($AT$4,$A$4:$O$1021,15,FALSE))-O83)^2))</f>
        <v/>
      </c>
      <c r="AG83" s="129">
        <f>SQRT((((VLOOKUP($AT$4,$A$4:$D$1021,4,FALSE))-D83)^2)+(((VLOOKUP($AT$4,$A$4:$E$1021,5,FALSE))-E83)^2)+(((VLOOKUP($AT$4,$A$4:$R$1021,18,FALSE))-R83)^2)+(((VLOOKUP($AT$4,$A$4:$S$1021,19,FALSE))-S83)^2))</f>
        <v/>
      </c>
      <c r="AJ83" s="125" t="inlineStr">
        <is>
          <t>W12X40</t>
        </is>
      </c>
      <c r="AK83" s="125">
        <f>SQRT(((VLOOKUP($AT$4,$A$4:$J$1021,10,FALSE))-J83)^2)</f>
        <v/>
      </c>
      <c r="AL83" s="125" t="n"/>
      <c r="AM83" s="125" t="n"/>
      <c r="AN83" s="125">
        <f>SQRT(((VLOOKUP($AT$4,$A$4:$R$1021,18,FALSE))-R83)^2)</f>
        <v/>
      </c>
      <c r="AO83" s="125" t="n"/>
      <c r="AP83" s="125" t="n"/>
      <c r="AQ83" s="125" t="inlineStr">
        <is>
          <t>W12X40</t>
        </is>
      </c>
      <c r="BB83" s="125">
        <f>SQRT(($J$1022-J83)^2)</f>
        <v/>
      </c>
      <c r="BC83" s="125">
        <f>SQRT(($R$1022-R83)^2)</f>
        <v/>
      </c>
      <c r="BD83" s="125" t="inlineStr">
        <is>
          <t>W12X40</t>
        </is>
      </c>
      <c r="BI83">
        <f>SQRT(($J$1023-J83)^2)</f>
        <v/>
      </c>
      <c r="BJ83">
        <f>SQRT(($R$1023-R83)^2)</f>
        <v/>
      </c>
      <c r="BK83" s="125" t="inlineStr">
        <is>
          <t>W12X40</t>
        </is>
      </c>
      <c r="BP83">
        <f>SQRT(($J$1024-J83)^2)</f>
        <v/>
      </c>
      <c r="BQ83">
        <f>SQRT(($R$1024-R83)^2)</f>
        <v/>
      </c>
      <c r="BR83" s="125" t="inlineStr">
        <is>
          <t>W12X40</t>
        </is>
      </c>
      <c r="BW83">
        <f>SQRT(($J$1025-J83)^2)</f>
        <v/>
      </c>
      <c r="BX83">
        <f>SQRT(($R$1025-R83)^2)</f>
        <v/>
      </c>
      <c r="BY83" s="125" t="inlineStr">
        <is>
          <t>W12X40</t>
        </is>
      </c>
      <c r="CD83">
        <f>SQRT(($J$1026-J83)^2)</f>
        <v/>
      </c>
      <c r="CE83">
        <f>SQRT(($R$1026-R83)^2)</f>
        <v/>
      </c>
      <c r="CF83" s="125" t="inlineStr">
        <is>
          <t>W12X40</t>
        </is>
      </c>
    </row>
    <row r="84">
      <c r="A84" s="125" t="inlineStr">
        <is>
          <t>W12X45</t>
        </is>
      </c>
      <c r="B84" s="129" t="inlineStr">
        <is>
          <t>AISC</t>
        </is>
      </c>
      <c r="C84" s="125" t="n">
        <v>67</v>
      </c>
      <c r="D84" s="125" t="n">
        <v>306.3</v>
      </c>
      <c r="E84" s="125" t="n">
        <v>204.3</v>
      </c>
      <c r="F84" s="125" t="n">
        <v>14.6</v>
      </c>
      <c r="G84" s="125" t="n">
        <v>8.5</v>
      </c>
      <c r="H84" s="125" t="n">
        <v>15.2</v>
      </c>
      <c r="I84" s="125" t="n">
        <v>246.7</v>
      </c>
      <c r="J84" s="125" t="n">
        <v>85.2</v>
      </c>
      <c r="K84" s="125">
        <f>((E84-G84)/2)/F84</f>
        <v/>
      </c>
      <c r="L84" s="125">
        <f>I84/G84</f>
        <v/>
      </c>
      <c r="M84" s="125" t="n">
        <v>1.39</v>
      </c>
      <c r="N84" s="125" t="n">
        <v>14570</v>
      </c>
      <c r="O84" s="125" t="n">
        <v>2078</v>
      </c>
      <c r="P84" s="125" t="n">
        <v>13.1</v>
      </c>
      <c r="Q84" s="125" t="n">
        <v>4.94</v>
      </c>
      <c r="R84" s="125" t="n">
        <v>952</v>
      </c>
      <c r="S84" s="125" t="n">
        <v>203</v>
      </c>
      <c r="T84" s="125" t="n">
        <v>1060</v>
      </c>
      <c r="U84" s="125" t="n">
        <v>311</v>
      </c>
      <c r="X84" s="129">
        <f t="array" ref="X84">_xlfn.IFS((D84/F84) &lt;= (640/SQRT($AT$32)), "Compact", L84 &lt;= ($AT$32*(0.79-(0.002*((E84-G84/2)/(2*F84))*SQRT($AT$32)))), "Non-Compact", L84 &gt; ($AT$32*(0.79-(0.002*((E84-G84/2)/(2*F84))*SQRT($AT$32)))), "Slender")</f>
        <v/>
      </c>
      <c r="Y84" s="129">
        <f t="array" ref="Y84">_xlfn.IFS(K84 &lt;= (65/SQRT($AT$32)), "Compact", K84 &lt;= (95/SQRT($AT$32)), "Non-Compact", K84 &gt; (95/SQRT($AT$32)), "Slender")</f>
        <v/>
      </c>
      <c r="Z84" s="125">
        <f>E84/F84</f>
        <v/>
      </c>
      <c r="AA84" s="125">
        <f>D84/G84</f>
        <v/>
      </c>
      <c r="AB84" s="125">
        <f t="array" ref="AB84">_xlfn.IFS(Z84 &lt;= 9, "1", Z84 &lt;= 12, "2", Z84 &lt;= 15, "3", Z84 &gt; 15, "4")</f>
        <v/>
      </c>
      <c r="AC84" s="125">
        <f t="array" ref="AC84">_xlfn.IFS(AA84 &lt;= 200, "1", L84 &lt;= 300, "2", L84 &lt;= 400, "3", L84 &gt; 400, "4")</f>
        <v/>
      </c>
      <c r="AD84" s="129">
        <f>SQRT((((VLOOKUP($AT$4,$A$4:$D$1021,4,FALSE))-D84)^2)+(((VLOOKUP($AT$4,$A$4:$E$1021,5,FALSE))-E84)^2)+(((VLOOKUP($AT$4,$A$4:$N$1021,14,FALSE))-N84)^2)+(((VLOOKUP($AT$4,$A$4:$O$1021,15,FALSE))-O84)^2))</f>
        <v/>
      </c>
      <c r="AG84" s="129">
        <f>SQRT((((VLOOKUP($AT$4,$A$4:$D$1021,4,FALSE))-D84)^2)+(((VLOOKUP($AT$4,$A$4:$E$1021,5,FALSE))-E84)^2)+(((VLOOKUP($AT$4,$A$4:$R$1021,18,FALSE))-R84)^2)+(((VLOOKUP($AT$4,$A$4:$S$1021,19,FALSE))-S84)^2))</f>
        <v/>
      </c>
      <c r="AJ84" s="125" t="inlineStr">
        <is>
          <t>W12X45</t>
        </is>
      </c>
      <c r="AK84" s="125">
        <f>SQRT(((VLOOKUP($AT$4,$A$4:$J$1021,10,FALSE))-J84)^2)</f>
        <v/>
      </c>
      <c r="AL84" s="125" t="n"/>
      <c r="AM84" s="125" t="n"/>
      <c r="AN84" s="125">
        <f>SQRT(((VLOOKUP($AT$4,$A$4:$R$1021,18,FALSE))-R84)^2)</f>
        <v/>
      </c>
      <c r="AO84" s="125" t="n"/>
      <c r="AP84" s="125" t="n"/>
      <c r="AQ84" s="125" t="inlineStr">
        <is>
          <t>W12X45</t>
        </is>
      </c>
      <c r="BB84" s="125">
        <f>SQRT(($J$1022-J84)^2)</f>
        <v/>
      </c>
      <c r="BC84" s="125">
        <f>SQRT(($R$1022-R84)^2)</f>
        <v/>
      </c>
      <c r="BD84" s="125" t="inlineStr">
        <is>
          <t>W12X45</t>
        </is>
      </c>
      <c r="BI84">
        <f>SQRT(($J$1023-J84)^2)</f>
        <v/>
      </c>
      <c r="BJ84">
        <f>SQRT(($R$1023-R84)^2)</f>
        <v/>
      </c>
      <c r="BK84" s="125" t="inlineStr">
        <is>
          <t>W12X45</t>
        </is>
      </c>
      <c r="BP84">
        <f>SQRT(($J$1024-J84)^2)</f>
        <v/>
      </c>
      <c r="BQ84">
        <f>SQRT(($R$1024-R84)^2)</f>
        <v/>
      </c>
      <c r="BR84" s="125" t="inlineStr">
        <is>
          <t>W12X45</t>
        </is>
      </c>
      <c r="BW84">
        <f>SQRT(($J$1025-J84)^2)</f>
        <v/>
      </c>
      <c r="BX84">
        <f>SQRT(($R$1025-R84)^2)</f>
        <v/>
      </c>
      <c r="BY84" s="125" t="inlineStr">
        <is>
          <t>W12X45</t>
        </is>
      </c>
      <c r="CD84">
        <f>SQRT(($J$1026-J84)^2)</f>
        <v/>
      </c>
      <c r="CE84">
        <f>SQRT(($R$1026-R84)^2)</f>
        <v/>
      </c>
      <c r="CF84" s="125" t="inlineStr">
        <is>
          <t>W12X45</t>
        </is>
      </c>
    </row>
    <row r="85">
      <c r="A85" s="125" t="inlineStr">
        <is>
          <t>W12X50</t>
        </is>
      </c>
      <c r="B85" s="129" t="inlineStr">
        <is>
          <t>AISC</t>
        </is>
      </c>
      <c r="C85" s="125" t="n">
        <v>74.40000000000001</v>
      </c>
      <c r="D85" s="125" t="n">
        <v>309.6</v>
      </c>
      <c r="E85" s="125" t="n">
        <v>205.2</v>
      </c>
      <c r="F85" s="125" t="n">
        <v>16.2</v>
      </c>
      <c r="G85" s="125" t="n">
        <v>9.4</v>
      </c>
      <c r="H85" s="125" t="n">
        <v>15.2</v>
      </c>
      <c r="I85" s="125" t="n">
        <v>246.8</v>
      </c>
      <c r="J85" s="125" t="n">
        <v>94.5</v>
      </c>
      <c r="K85" s="125">
        <f>((E85-G85)/2)/F85</f>
        <v/>
      </c>
      <c r="L85" s="125">
        <f>I85/G85</f>
        <v/>
      </c>
      <c r="M85" s="125" t="n">
        <v>1.4</v>
      </c>
      <c r="N85" s="125" t="n">
        <v>16350</v>
      </c>
      <c r="O85" s="125" t="n">
        <v>2337</v>
      </c>
      <c r="P85" s="125" t="n">
        <v>13.2</v>
      </c>
      <c r="Q85" s="125" t="n">
        <v>4.97</v>
      </c>
      <c r="R85" s="125" t="n">
        <v>1056</v>
      </c>
      <c r="S85" s="125" t="n">
        <v>228</v>
      </c>
      <c r="T85" s="125" t="n">
        <v>1183</v>
      </c>
      <c r="U85" s="125" t="n">
        <v>349</v>
      </c>
      <c r="X85" s="129">
        <f t="array" ref="X85">_xlfn.IFS((D85/F85) &lt;= (640/SQRT($AT$32)), "Compact", L85 &lt;= ($AT$32*(0.79-(0.002*((E85-G85/2)/(2*F85))*SQRT($AT$32)))), "Non-Compact", L85 &gt; ($AT$32*(0.79-(0.002*((E85-G85/2)/(2*F85))*SQRT($AT$32)))), "Slender")</f>
        <v/>
      </c>
      <c r="Y85" s="129">
        <f t="array" ref="Y85">_xlfn.IFS(K85 &lt;= (65/SQRT($AT$32)), "Compact", K85 &lt;= (95/SQRT($AT$32)), "Non-Compact", K85 &gt; (95/SQRT($AT$32)), "Slender")</f>
        <v/>
      </c>
      <c r="Z85" s="125">
        <f>E85/F85</f>
        <v/>
      </c>
      <c r="AA85" s="125">
        <f>D85/G85</f>
        <v/>
      </c>
      <c r="AB85" s="125">
        <f t="array" ref="AB85">_xlfn.IFS(Z85 &lt;= 9, "1", Z85 &lt;= 12, "2", Z85 &lt;= 15, "3", Z85 &gt; 15, "4")</f>
        <v/>
      </c>
      <c r="AC85" s="125">
        <f t="array" ref="AC85">_xlfn.IFS(AA85 &lt;= 200, "1", L85 &lt;= 300, "2", L85 &lt;= 400, "3", L85 &gt; 400, "4")</f>
        <v/>
      </c>
      <c r="AD85" s="129">
        <f>SQRT((((VLOOKUP($AT$4,$A$4:$D$1021,4,FALSE))-D85)^2)+(((VLOOKUP($AT$4,$A$4:$E$1021,5,FALSE))-E85)^2)+(((VLOOKUP($AT$4,$A$4:$N$1021,14,FALSE))-N85)^2)+(((VLOOKUP($AT$4,$A$4:$O$1021,15,FALSE))-O85)^2))</f>
        <v/>
      </c>
      <c r="AG85" s="129">
        <f>SQRT((((VLOOKUP($AT$4,$A$4:$D$1021,4,FALSE))-D85)^2)+(((VLOOKUP($AT$4,$A$4:$E$1021,5,FALSE))-E85)^2)+(((VLOOKUP($AT$4,$A$4:$R$1021,18,FALSE))-R85)^2)+(((VLOOKUP($AT$4,$A$4:$S$1021,19,FALSE))-S85)^2))</f>
        <v/>
      </c>
      <c r="AJ85" s="125" t="inlineStr">
        <is>
          <t>W12X50</t>
        </is>
      </c>
      <c r="AK85" s="125">
        <f>SQRT(((VLOOKUP($AT$4,$A$4:$J$1021,10,FALSE))-J85)^2)</f>
        <v/>
      </c>
      <c r="AL85" s="125" t="n"/>
      <c r="AM85" s="125" t="n"/>
      <c r="AN85" s="125">
        <f>SQRT(((VLOOKUP($AT$4,$A$4:$R$1021,18,FALSE))-R85)^2)</f>
        <v/>
      </c>
      <c r="AO85" s="125" t="n"/>
      <c r="AP85" s="125" t="n"/>
      <c r="AQ85" s="125" t="inlineStr">
        <is>
          <t>W12X50</t>
        </is>
      </c>
      <c r="BB85" s="125">
        <f>SQRT(($J$1022-J85)^2)</f>
        <v/>
      </c>
      <c r="BC85" s="125">
        <f>SQRT(($R$1022-R85)^2)</f>
        <v/>
      </c>
      <c r="BD85" s="125" t="inlineStr">
        <is>
          <t>W12X50</t>
        </is>
      </c>
      <c r="BI85">
        <f>SQRT(($J$1023-J85)^2)</f>
        <v/>
      </c>
      <c r="BJ85">
        <f>SQRT(($R$1023-R85)^2)</f>
        <v/>
      </c>
      <c r="BK85" s="125" t="inlineStr">
        <is>
          <t>W12X50</t>
        </is>
      </c>
      <c r="BP85">
        <f>SQRT(($J$1024-J85)^2)</f>
        <v/>
      </c>
      <c r="BQ85">
        <f>SQRT(($R$1024-R85)^2)</f>
        <v/>
      </c>
      <c r="BR85" s="125" t="inlineStr">
        <is>
          <t>W12X50</t>
        </is>
      </c>
      <c r="BW85">
        <f>SQRT(($J$1025-J85)^2)</f>
        <v/>
      </c>
      <c r="BX85">
        <f>SQRT(($R$1025-R85)^2)</f>
        <v/>
      </c>
      <c r="BY85" s="125" t="inlineStr">
        <is>
          <t>W12X50</t>
        </is>
      </c>
      <c r="CD85">
        <f>SQRT(($J$1026-J85)^2)</f>
        <v/>
      </c>
      <c r="CE85">
        <f>SQRT(($R$1026-R85)^2)</f>
        <v/>
      </c>
      <c r="CF85" s="125" t="inlineStr">
        <is>
          <t>W12X50</t>
        </is>
      </c>
    </row>
    <row r="86">
      <c r="A86" s="125" t="inlineStr">
        <is>
          <t>W12X53</t>
        </is>
      </c>
      <c r="B86" s="129" t="inlineStr">
        <is>
          <t>AISC</t>
        </is>
      </c>
      <c r="C86" s="125" t="n">
        <v>78.90000000000001</v>
      </c>
      <c r="D86" s="125" t="n">
        <v>306.3</v>
      </c>
      <c r="E86" s="125" t="n">
        <v>253.9</v>
      </c>
      <c r="F86" s="125" t="n">
        <v>14.6</v>
      </c>
      <c r="G86" s="125" t="n">
        <v>8.800000000000001</v>
      </c>
      <c r="H86" s="125" t="n">
        <v>15.2</v>
      </c>
      <c r="I86" s="125" t="n">
        <v>246.7</v>
      </c>
      <c r="J86" s="125" t="n">
        <v>100</v>
      </c>
      <c r="K86" s="125">
        <f>((E86-G86)/2)/F86</f>
        <v/>
      </c>
      <c r="L86" s="125">
        <f>I86/G86</f>
        <v/>
      </c>
      <c r="M86" s="125" t="n">
        <v>1.58</v>
      </c>
      <c r="N86" s="125" t="n">
        <v>17700</v>
      </c>
      <c r="O86" s="125" t="n">
        <v>3986</v>
      </c>
      <c r="P86" s="125" t="n">
        <v>13.3</v>
      </c>
      <c r="Q86" s="125" t="n">
        <v>6.3</v>
      </c>
      <c r="R86" s="125" t="n">
        <v>1156</v>
      </c>
      <c r="S86" s="125" t="n">
        <v>314</v>
      </c>
      <c r="T86" s="125" t="n">
        <v>1276</v>
      </c>
      <c r="U86" s="125" t="n">
        <v>477</v>
      </c>
      <c r="X86" s="129">
        <f t="array" ref="X86">_xlfn.IFS((D86/F86) &lt;= (640/SQRT($AT$32)), "Compact", L86 &lt;= ($AT$32*(0.79-(0.002*((E86-G86/2)/(2*F86))*SQRT($AT$32)))), "Non-Compact", L86 &gt; ($AT$32*(0.79-(0.002*((E86-G86/2)/(2*F86))*SQRT($AT$32)))), "Slender")</f>
        <v/>
      </c>
      <c r="Y86" s="129">
        <f t="array" ref="Y86">_xlfn.IFS(K86 &lt;= (65/SQRT($AT$32)), "Compact", K86 &lt;= (95/SQRT($AT$32)), "Non-Compact", K86 &gt; (95/SQRT($AT$32)), "Slender")</f>
        <v/>
      </c>
      <c r="Z86" s="125">
        <f>E86/F86</f>
        <v/>
      </c>
      <c r="AA86" s="125">
        <f>D86/G86</f>
        <v/>
      </c>
      <c r="AB86" s="125">
        <f t="array" ref="AB86">_xlfn.IFS(Z86 &lt;= 9, "1", Z86 &lt;= 12, "2", Z86 &lt;= 15, "3", Z86 &gt; 15, "4")</f>
        <v/>
      </c>
      <c r="AC86" s="125">
        <f t="array" ref="AC86">_xlfn.IFS(AA86 &lt;= 200, "1", L86 &lt;= 300, "2", L86 &lt;= 400, "3", L86 &gt; 400, "4")</f>
        <v/>
      </c>
      <c r="AD86" s="129">
        <f>SQRT((((VLOOKUP($AT$4,$A$4:$D$1021,4,FALSE))-D86)^2)+(((VLOOKUP($AT$4,$A$4:$E$1021,5,FALSE))-E86)^2)+(((VLOOKUP($AT$4,$A$4:$N$1021,14,FALSE))-N86)^2)+(((VLOOKUP($AT$4,$A$4:$O$1021,15,FALSE))-O86)^2))</f>
        <v/>
      </c>
      <c r="AG86" s="129">
        <f>SQRT((((VLOOKUP($AT$4,$A$4:$D$1021,4,FALSE))-D86)^2)+(((VLOOKUP($AT$4,$A$4:$E$1021,5,FALSE))-E86)^2)+(((VLOOKUP($AT$4,$A$4:$R$1021,18,FALSE))-R86)^2)+(((VLOOKUP($AT$4,$A$4:$S$1021,19,FALSE))-S86)^2))</f>
        <v/>
      </c>
      <c r="AJ86" s="125" t="inlineStr">
        <is>
          <t>W12X53</t>
        </is>
      </c>
      <c r="AK86" s="125">
        <f>SQRT(((VLOOKUP($AT$4,$A$4:$J$1021,10,FALSE))-J86)^2)</f>
        <v/>
      </c>
      <c r="AL86" s="125" t="n"/>
      <c r="AM86" s="125" t="n"/>
      <c r="AN86" s="125">
        <f>SQRT(((VLOOKUP($AT$4,$A$4:$R$1021,18,FALSE))-R86)^2)</f>
        <v/>
      </c>
      <c r="AO86" s="125" t="n"/>
      <c r="AP86" s="125" t="n"/>
      <c r="AQ86" s="125" t="inlineStr">
        <is>
          <t>W12X53</t>
        </is>
      </c>
      <c r="BB86" s="125">
        <f>SQRT(($J$1022-J86)^2)</f>
        <v/>
      </c>
      <c r="BC86" s="125">
        <f>SQRT(($R$1022-R86)^2)</f>
        <v/>
      </c>
      <c r="BD86" s="125" t="inlineStr">
        <is>
          <t>W12X53</t>
        </is>
      </c>
      <c r="BI86">
        <f>SQRT(($J$1023-J86)^2)</f>
        <v/>
      </c>
      <c r="BJ86">
        <f>SQRT(($R$1023-R86)^2)</f>
        <v/>
      </c>
      <c r="BK86" s="125" t="inlineStr">
        <is>
          <t>W12X53</t>
        </is>
      </c>
      <c r="BP86">
        <f>SQRT(($J$1024-J86)^2)</f>
        <v/>
      </c>
      <c r="BQ86">
        <f>SQRT(($R$1024-R86)^2)</f>
        <v/>
      </c>
      <c r="BR86" s="125" t="inlineStr">
        <is>
          <t>W12X53</t>
        </is>
      </c>
      <c r="BW86">
        <f>SQRT(($J$1025-J86)^2)</f>
        <v/>
      </c>
      <c r="BX86">
        <f>SQRT(($R$1025-R86)^2)</f>
        <v/>
      </c>
      <c r="BY86" s="125" t="inlineStr">
        <is>
          <t>W12X53</t>
        </is>
      </c>
      <c r="CD86">
        <f>SQRT(($J$1026-J86)^2)</f>
        <v/>
      </c>
      <c r="CE86">
        <f>SQRT(($R$1026-R86)^2)</f>
        <v/>
      </c>
      <c r="CF86" s="125" t="inlineStr">
        <is>
          <t>W12X53</t>
        </is>
      </c>
    </row>
    <row r="87">
      <c r="A87" s="125" t="inlineStr">
        <is>
          <t>W12X58</t>
        </is>
      </c>
      <c r="B87" s="129" t="inlineStr">
        <is>
          <t>AISC</t>
        </is>
      </c>
      <c r="C87" s="125" t="n">
        <v>86.3</v>
      </c>
      <c r="D87" s="125" t="n">
        <v>309.6</v>
      </c>
      <c r="E87" s="125" t="n">
        <v>254.3</v>
      </c>
      <c r="F87" s="125" t="n">
        <v>16.2</v>
      </c>
      <c r="G87" s="125" t="n">
        <v>9.1</v>
      </c>
      <c r="H87" s="125" t="n">
        <v>15.2</v>
      </c>
      <c r="I87" s="125" t="n">
        <v>246.8</v>
      </c>
      <c r="J87" s="125" t="n">
        <v>110</v>
      </c>
      <c r="K87" s="125">
        <f>((E87-G87)/2)/F87</f>
        <v/>
      </c>
      <c r="L87" s="125">
        <f>I87/G87</f>
        <v/>
      </c>
      <c r="M87" s="125" t="n">
        <v>1.59</v>
      </c>
      <c r="N87" s="125" t="n">
        <v>19740</v>
      </c>
      <c r="O87" s="125" t="n">
        <v>4444</v>
      </c>
      <c r="P87" s="125" t="n">
        <v>13.4</v>
      </c>
      <c r="Q87" s="125" t="n">
        <v>6.36</v>
      </c>
      <c r="R87" s="125" t="n">
        <v>1275</v>
      </c>
      <c r="S87" s="125" t="n">
        <v>349</v>
      </c>
      <c r="T87" s="125" t="n">
        <v>1411</v>
      </c>
      <c r="U87" s="125" t="n">
        <v>531</v>
      </c>
      <c r="X87" s="129">
        <f t="array" ref="X87">_xlfn.IFS((D87/F87) &lt;= (640/SQRT($AT$32)), "Compact", L87 &lt;= ($AT$32*(0.79-(0.002*((E87-G87/2)/(2*F87))*SQRT($AT$32)))), "Non-Compact", L87 &gt; ($AT$32*(0.79-(0.002*((E87-G87/2)/(2*F87))*SQRT($AT$32)))), "Slender")</f>
        <v/>
      </c>
      <c r="Y87" s="129">
        <f t="array" ref="Y87">_xlfn.IFS(K87 &lt;= (65/SQRT($AT$32)), "Compact", K87 &lt;= (95/SQRT($AT$32)), "Non-Compact", K87 &gt; (95/SQRT($AT$32)), "Slender")</f>
        <v/>
      </c>
      <c r="Z87" s="125">
        <f>E87/F87</f>
        <v/>
      </c>
      <c r="AA87" s="125">
        <f>D87/G87</f>
        <v/>
      </c>
      <c r="AB87" s="125">
        <f t="array" ref="AB87">_xlfn.IFS(Z87 &lt;= 9, "1", Z87 &lt;= 12, "2", Z87 &lt;= 15, "3", Z87 &gt; 15, "4")</f>
        <v/>
      </c>
      <c r="AC87" s="125">
        <f t="array" ref="AC87">_xlfn.IFS(AA87 &lt;= 200, "1", L87 &lt;= 300, "2", L87 &lt;= 400, "3", L87 &gt; 400, "4")</f>
        <v/>
      </c>
      <c r="AD87" s="129">
        <f>SQRT((((VLOOKUP($AT$4,$A$4:$D$1021,4,FALSE))-D87)^2)+(((VLOOKUP($AT$4,$A$4:$E$1021,5,FALSE))-E87)^2)+(((VLOOKUP($AT$4,$A$4:$N$1021,14,FALSE))-N87)^2)+(((VLOOKUP($AT$4,$A$4:$O$1021,15,FALSE))-O87)^2))</f>
        <v/>
      </c>
      <c r="AG87" s="129">
        <f>SQRT((((VLOOKUP($AT$4,$A$4:$D$1021,4,FALSE))-D87)^2)+(((VLOOKUP($AT$4,$A$4:$E$1021,5,FALSE))-E87)^2)+(((VLOOKUP($AT$4,$A$4:$R$1021,18,FALSE))-R87)^2)+(((VLOOKUP($AT$4,$A$4:$S$1021,19,FALSE))-S87)^2))</f>
        <v/>
      </c>
      <c r="AJ87" s="125" t="inlineStr">
        <is>
          <t>W12X58</t>
        </is>
      </c>
      <c r="AK87" s="125">
        <f>SQRT(((VLOOKUP($AT$4,$A$4:$J$1021,10,FALSE))-J87)^2)</f>
        <v/>
      </c>
      <c r="AL87" s="125" t="n"/>
      <c r="AM87" s="125" t="n"/>
      <c r="AN87" s="125">
        <f>SQRT(((VLOOKUP($AT$4,$A$4:$R$1021,18,FALSE))-R87)^2)</f>
        <v/>
      </c>
      <c r="AO87" s="125" t="n"/>
      <c r="AP87" s="125" t="n"/>
      <c r="AQ87" s="125" t="inlineStr">
        <is>
          <t>W12X58</t>
        </is>
      </c>
      <c r="BB87" s="125">
        <f>SQRT(($J$1022-J87)^2)</f>
        <v/>
      </c>
      <c r="BC87" s="125">
        <f>SQRT(($R$1022-R87)^2)</f>
        <v/>
      </c>
      <c r="BD87" s="125" t="inlineStr">
        <is>
          <t>W12X58</t>
        </is>
      </c>
      <c r="BI87">
        <f>SQRT(($J$1023-J87)^2)</f>
        <v/>
      </c>
      <c r="BJ87">
        <f>SQRT(($R$1023-R87)^2)</f>
        <v/>
      </c>
      <c r="BK87" s="125" t="inlineStr">
        <is>
          <t>W12X58</t>
        </is>
      </c>
      <c r="BP87">
        <f>SQRT(($J$1024-J87)^2)</f>
        <v/>
      </c>
      <c r="BQ87">
        <f>SQRT(($R$1024-R87)^2)</f>
        <v/>
      </c>
      <c r="BR87" s="125" t="inlineStr">
        <is>
          <t>W12X58</t>
        </is>
      </c>
      <c r="BW87">
        <f>SQRT(($J$1025-J87)^2)</f>
        <v/>
      </c>
      <c r="BX87">
        <f>SQRT(($R$1025-R87)^2)</f>
        <v/>
      </c>
      <c r="BY87" s="125" t="inlineStr">
        <is>
          <t>W12X58</t>
        </is>
      </c>
      <c r="CD87">
        <f>SQRT(($J$1026-J87)^2)</f>
        <v/>
      </c>
      <c r="CE87">
        <f>SQRT(($R$1026-R87)^2)</f>
        <v/>
      </c>
      <c r="CF87" s="125" t="inlineStr">
        <is>
          <t>W12X58</t>
        </is>
      </c>
    </row>
    <row r="88">
      <c r="A88" s="125" t="inlineStr">
        <is>
          <t>W12X65</t>
        </is>
      </c>
      <c r="B88" s="129" t="inlineStr">
        <is>
          <t>AISC</t>
        </is>
      </c>
      <c r="C88" s="125" t="n">
        <v>96.90000000000001</v>
      </c>
      <c r="D88" s="125" t="n">
        <v>307.9</v>
      </c>
      <c r="E88" s="125" t="n">
        <v>305.3</v>
      </c>
      <c r="F88" s="125" t="n">
        <v>15.4</v>
      </c>
      <c r="G88" s="125" t="n">
        <v>9.9</v>
      </c>
      <c r="H88" s="125" t="n">
        <v>15.2</v>
      </c>
      <c r="I88" s="125" t="n">
        <v>246.7</v>
      </c>
      <c r="J88" s="125" t="n">
        <v>123</v>
      </c>
      <c r="K88" s="125">
        <f>((E88-G88)/2)/F88</f>
        <v/>
      </c>
      <c r="L88" s="125">
        <f>I88/G88</f>
        <v/>
      </c>
      <c r="M88" s="125" t="n">
        <v>1.79</v>
      </c>
      <c r="N88" s="125" t="n">
        <v>22250</v>
      </c>
      <c r="O88" s="125" t="n">
        <v>7308</v>
      </c>
      <c r="P88" s="125" t="n">
        <v>13.4</v>
      </c>
      <c r="Q88" s="125" t="n">
        <v>7.69</v>
      </c>
      <c r="R88" s="125" t="n">
        <v>1445</v>
      </c>
      <c r="S88" s="125" t="n">
        <v>479</v>
      </c>
      <c r="T88" s="125" t="n">
        <v>1592</v>
      </c>
      <c r="U88" s="125" t="n">
        <v>726</v>
      </c>
      <c r="X88" s="129">
        <f t="array" ref="X88">_xlfn.IFS((D88/F88) &lt;= (640/SQRT($AT$32)), "Compact", L88 &lt;= ($AT$32*(0.79-(0.002*((E88-G88/2)/(2*F88))*SQRT($AT$32)))), "Non-Compact", L88 &gt; ($AT$32*(0.79-(0.002*((E88-G88/2)/(2*F88))*SQRT($AT$32)))), "Slender")</f>
        <v/>
      </c>
      <c r="Y88" s="129">
        <f t="array" ref="Y88">_xlfn.IFS(K88 &lt;= (65/SQRT($AT$32)), "Compact", K88 &lt;= (95/SQRT($AT$32)), "Non-Compact", K88 &gt; (95/SQRT($AT$32)), "Slender")</f>
        <v/>
      </c>
      <c r="Z88" s="125">
        <f>E88/F88</f>
        <v/>
      </c>
      <c r="AA88" s="125">
        <f>D88/G88</f>
        <v/>
      </c>
      <c r="AB88" s="125">
        <f t="array" ref="AB88">_xlfn.IFS(Z88 &lt;= 9, "1", Z88 &lt;= 12, "2", Z88 &lt;= 15, "3", Z88 &gt; 15, "4")</f>
        <v/>
      </c>
      <c r="AC88" s="125">
        <f t="array" ref="AC88">_xlfn.IFS(AA88 &lt;= 200, "1", L88 &lt;= 300, "2", L88 &lt;= 400, "3", L88 &gt; 400, "4")</f>
        <v/>
      </c>
      <c r="AD88" s="129">
        <f>SQRT((((VLOOKUP($AT$4,$A$4:$D$1021,4,FALSE))-D88)^2)+(((VLOOKUP($AT$4,$A$4:$E$1021,5,FALSE))-E88)^2)+(((VLOOKUP($AT$4,$A$4:$N$1021,14,FALSE))-N88)^2)+(((VLOOKUP($AT$4,$A$4:$O$1021,15,FALSE))-O88)^2))</f>
        <v/>
      </c>
      <c r="AG88" s="129">
        <f>SQRT((((VLOOKUP($AT$4,$A$4:$D$1021,4,FALSE))-D88)^2)+(((VLOOKUP($AT$4,$A$4:$E$1021,5,FALSE))-E88)^2)+(((VLOOKUP($AT$4,$A$4:$R$1021,18,FALSE))-R88)^2)+(((VLOOKUP($AT$4,$A$4:$S$1021,19,FALSE))-S88)^2))</f>
        <v/>
      </c>
      <c r="AJ88" s="125" t="inlineStr">
        <is>
          <t>W12X65</t>
        </is>
      </c>
      <c r="AK88" s="125">
        <f>SQRT(((VLOOKUP($AT$4,$A$4:$J$1021,10,FALSE))-J88)^2)</f>
        <v/>
      </c>
      <c r="AL88" s="125" t="n"/>
      <c r="AM88" s="125" t="n"/>
      <c r="AN88" s="125">
        <f>SQRT(((VLOOKUP($AT$4,$A$4:$R$1021,18,FALSE))-R88)^2)</f>
        <v/>
      </c>
      <c r="AO88" s="125" t="n"/>
      <c r="AP88" s="125" t="n"/>
      <c r="AQ88" s="125" t="inlineStr">
        <is>
          <t>W12X65</t>
        </is>
      </c>
      <c r="BB88" s="125">
        <f>SQRT(($J$1022-J88)^2)</f>
        <v/>
      </c>
      <c r="BC88" s="125">
        <f>SQRT(($R$1022-R88)^2)</f>
        <v/>
      </c>
      <c r="BD88" s="125" t="inlineStr">
        <is>
          <t>W12X65</t>
        </is>
      </c>
      <c r="BI88">
        <f>SQRT(($J$1023-J88)^2)</f>
        <v/>
      </c>
      <c r="BJ88">
        <f>SQRT(($R$1023-R88)^2)</f>
        <v/>
      </c>
      <c r="BK88" s="125" t="inlineStr">
        <is>
          <t>W12X65</t>
        </is>
      </c>
      <c r="BP88">
        <f>SQRT(($J$1024-J88)^2)</f>
        <v/>
      </c>
      <c r="BQ88">
        <f>SQRT(($R$1024-R88)^2)</f>
        <v/>
      </c>
      <c r="BR88" s="125" t="inlineStr">
        <is>
          <t>W12X65</t>
        </is>
      </c>
      <c r="BW88">
        <f>SQRT(($J$1025-J88)^2)</f>
        <v/>
      </c>
      <c r="BX88">
        <f>SQRT(($R$1025-R88)^2)</f>
        <v/>
      </c>
      <c r="BY88" s="125" t="inlineStr">
        <is>
          <t>W12X65</t>
        </is>
      </c>
      <c r="CD88">
        <f>SQRT(($J$1026-J88)^2)</f>
        <v/>
      </c>
      <c r="CE88">
        <f>SQRT(($R$1026-R88)^2)</f>
        <v/>
      </c>
      <c r="CF88" s="125" t="inlineStr">
        <is>
          <t>W12X65</t>
        </is>
      </c>
    </row>
    <row r="89">
      <c r="A89" s="125" t="inlineStr">
        <is>
          <t>W12X72</t>
        </is>
      </c>
      <c r="B89" s="129" t="inlineStr">
        <is>
          <t>AISC</t>
        </is>
      </c>
      <c r="C89" s="125" t="n">
        <v>107.1</v>
      </c>
      <c r="D89" s="125" t="n">
        <v>311.1</v>
      </c>
      <c r="E89" s="125" t="n">
        <v>305.8</v>
      </c>
      <c r="F89" s="125" t="n">
        <v>17</v>
      </c>
      <c r="G89" s="125" t="n">
        <v>10.9</v>
      </c>
      <c r="H89" s="125" t="n">
        <v>15.2</v>
      </c>
      <c r="I89" s="125" t="n">
        <v>246.7</v>
      </c>
      <c r="J89" s="125" t="n">
        <v>136</v>
      </c>
      <c r="K89" s="125">
        <f>((E89-G89)/2)/F89</f>
        <v/>
      </c>
      <c r="L89" s="125">
        <f>I89/G89</f>
        <v/>
      </c>
      <c r="M89" s="125" t="n">
        <v>1.8</v>
      </c>
      <c r="N89" s="125" t="n">
        <v>24830</v>
      </c>
      <c r="O89" s="125" t="n">
        <v>8117</v>
      </c>
      <c r="P89" s="125" t="n">
        <v>13.5</v>
      </c>
      <c r="Q89" s="125" t="n">
        <v>7.72</v>
      </c>
      <c r="R89" s="125" t="n">
        <v>1596</v>
      </c>
      <c r="S89" s="125" t="n">
        <v>531</v>
      </c>
      <c r="T89" s="125" t="n">
        <v>1767</v>
      </c>
      <c r="U89" s="125" t="n">
        <v>806</v>
      </c>
      <c r="X89" s="129">
        <f t="array" ref="X89">_xlfn.IFS((D89/F89) &lt;= (640/SQRT($AT$32)), "Compact", L89 &lt;= ($AT$32*(0.79-(0.002*((E89-G89/2)/(2*F89))*SQRT($AT$32)))), "Non-Compact", L89 &gt; ($AT$32*(0.79-(0.002*((E89-G89/2)/(2*F89))*SQRT($AT$32)))), "Slender")</f>
        <v/>
      </c>
      <c r="Y89" s="129">
        <f t="array" ref="Y89">_xlfn.IFS(K89 &lt;= (65/SQRT($AT$32)), "Compact", K89 &lt;= (95/SQRT($AT$32)), "Non-Compact", K89 &gt; (95/SQRT($AT$32)), "Slender")</f>
        <v/>
      </c>
      <c r="Z89" s="125">
        <f>E89/F89</f>
        <v/>
      </c>
      <c r="AA89" s="125">
        <f>D89/G89</f>
        <v/>
      </c>
      <c r="AB89" s="125">
        <f t="array" ref="AB89">_xlfn.IFS(Z89 &lt;= 9, "1", Z89 &lt;= 12, "2", Z89 &lt;= 15, "3", Z89 &gt; 15, "4")</f>
        <v/>
      </c>
      <c r="AC89" s="125">
        <f t="array" ref="AC89">_xlfn.IFS(AA89 &lt;= 200, "1", L89 &lt;= 300, "2", L89 &lt;= 400, "3", L89 &gt; 400, "4")</f>
        <v/>
      </c>
      <c r="AD89" s="129">
        <f>SQRT((((VLOOKUP($AT$4,$A$4:$D$1021,4,FALSE))-D89)^2)+(((VLOOKUP($AT$4,$A$4:$E$1021,5,FALSE))-E89)^2)+(((VLOOKUP($AT$4,$A$4:$N$1021,14,FALSE))-N89)^2)+(((VLOOKUP($AT$4,$A$4:$O$1021,15,FALSE))-O89)^2))</f>
        <v/>
      </c>
      <c r="AG89" s="129">
        <f>SQRT((((VLOOKUP($AT$4,$A$4:$D$1021,4,FALSE))-D89)^2)+(((VLOOKUP($AT$4,$A$4:$E$1021,5,FALSE))-E89)^2)+(((VLOOKUP($AT$4,$A$4:$R$1021,18,FALSE))-R89)^2)+(((VLOOKUP($AT$4,$A$4:$S$1021,19,FALSE))-S89)^2))</f>
        <v/>
      </c>
      <c r="AJ89" s="125" t="inlineStr">
        <is>
          <t>W12X72</t>
        </is>
      </c>
      <c r="AK89" s="125">
        <f>SQRT(((VLOOKUP($AT$4,$A$4:$J$1021,10,FALSE))-J89)^2)</f>
        <v/>
      </c>
      <c r="AL89" s="125" t="n"/>
      <c r="AM89" s="125" t="n"/>
      <c r="AN89" s="125">
        <f>SQRT(((VLOOKUP($AT$4,$A$4:$R$1021,18,FALSE))-R89)^2)</f>
        <v/>
      </c>
      <c r="AO89" s="125" t="n"/>
      <c r="AP89" s="125" t="n"/>
      <c r="AQ89" s="125" t="inlineStr">
        <is>
          <t>W12X72</t>
        </is>
      </c>
      <c r="BB89" s="125">
        <f>SQRT(($J$1022-J89)^2)</f>
        <v/>
      </c>
      <c r="BC89" s="125">
        <f>SQRT(($R$1022-R89)^2)</f>
        <v/>
      </c>
      <c r="BD89" s="125" t="inlineStr">
        <is>
          <t>W12X72</t>
        </is>
      </c>
      <c r="BI89">
        <f>SQRT(($J$1023-J89)^2)</f>
        <v/>
      </c>
      <c r="BJ89">
        <f>SQRT(($R$1023-R89)^2)</f>
        <v/>
      </c>
      <c r="BK89" s="125" t="inlineStr">
        <is>
          <t>W12X72</t>
        </is>
      </c>
      <c r="BP89">
        <f>SQRT(($J$1024-J89)^2)</f>
        <v/>
      </c>
      <c r="BQ89">
        <f>SQRT(($R$1024-R89)^2)</f>
        <v/>
      </c>
      <c r="BR89" s="125" t="inlineStr">
        <is>
          <t>W12X72</t>
        </is>
      </c>
      <c r="BW89">
        <f>SQRT(($J$1025-J89)^2)</f>
        <v/>
      </c>
      <c r="BX89">
        <f>SQRT(($R$1025-R89)^2)</f>
        <v/>
      </c>
      <c r="BY89" s="125" t="inlineStr">
        <is>
          <t>W12X72</t>
        </is>
      </c>
      <c r="CD89">
        <f>SQRT(($J$1026-J89)^2)</f>
        <v/>
      </c>
      <c r="CE89">
        <f>SQRT(($R$1026-R89)^2)</f>
        <v/>
      </c>
      <c r="CF89" s="125" t="inlineStr">
        <is>
          <t>W12X72</t>
        </is>
      </c>
    </row>
    <row r="90">
      <c r="A90" s="125" t="inlineStr">
        <is>
          <t>W12X79</t>
        </is>
      </c>
      <c r="B90" s="129" t="inlineStr">
        <is>
          <t>AISC</t>
        </is>
      </c>
      <c r="C90" s="125" t="n">
        <v>117.9</v>
      </c>
      <c r="D90" s="125" t="n">
        <v>314.5</v>
      </c>
      <c r="E90" s="125" t="n">
        <v>307.4</v>
      </c>
      <c r="F90" s="125" t="n">
        <v>18.7</v>
      </c>
      <c r="G90" s="125" t="n">
        <v>12</v>
      </c>
      <c r="H90" s="125" t="n">
        <v>15.2</v>
      </c>
      <c r="I90" s="125" t="n">
        <v>246.7</v>
      </c>
      <c r="J90" s="125" t="n">
        <v>150</v>
      </c>
      <c r="K90" s="125">
        <f>((E90-G90)/2)/F90</f>
        <v/>
      </c>
      <c r="L90" s="125">
        <f>I90/G90</f>
        <v/>
      </c>
      <c r="M90" s="125" t="n">
        <v>1.81</v>
      </c>
      <c r="N90" s="125" t="n">
        <v>27670</v>
      </c>
      <c r="O90" s="125" t="n">
        <v>9060</v>
      </c>
      <c r="P90" s="125" t="n">
        <v>13.6</v>
      </c>
      <c r="Q90" s="125" t="n">
        <v>7.77</v>
      </c>
      <c r="R90" s="125" t="n">
        <v>1760</v>
      </c>
      <c r="S90" s="125" t="n">
        <v>589</v>
      </c>
      <c r="T90" s="125" t="n">
        <v>1958</v>
      </c>
      <c r="U90" s="125" t="n">
        <v>895</v>
      </c>
      <c r="X90" s="129">
        <f t="array" ref="X90">_xlfn.IFS((D90/F90) &lt;= (640/SQRT($AT$32)), "Compact", L90 &lt;= ($AT$32*(0.79-(0.002*((E90-G90/2)/(2*F90))*SQRT($AT$32)))), "Non-Compact", L90 &gt; ($AT$32*(0.79-(0.002*((E90-G90/2)/(2*F90))*SQRT($AT$32)))), "Slender")</f>
        <v/>
      </c>
      <c r="Y90" s="129">
        <f t="array" ref="Y90">_xlfn.IFS(K90 &lt;= (65/SQRT($AT$32)), "Compact", K90 &lt;= (95/SQRT($AT$32)), "Non-Compact", K90 &gt; (95/SQRT($AT$32)), "Slender")</f>
        <v/>
      </c>
      <c r="Z90" s="125">
        <f>E90/F90</f>
        <v/>
      </c>
      <c r="AA90" s="125">
        <f>D90/G90</f>
        <v/>
      </c>
      <c r="AB90" s="125">
        <f t="array" ref="AB90">_xlfn.IFS(Z90 &lt;= 9, "1", Z90 &lt;= 12, "2", Z90 &lt;= 15, "3", Z90 &gt; 15, "4")</f>
        <v/>
      </c>
      <c r="AC90" s="125">
        <f t="array" ref="AC90">_xlfn.IFS(AA90 &lt;= 200, "1", L90 &lt;= 300, "2", L90 &lt;= 400, "3", L90 &gt; 400, "4")</f>
        <v/>
      </c>
      <c r="AD90" s="129">
        <f>SQRT((((VLOOKUP($AT$4,$A$4:$D$1021,4,FALSE))-D90)^2)+(((VLOOKUP($AT$4,$A$4:$E$1021,5,FALSE))-E90)^2)+(((VLOOKUP($AT$4,$A$4:$N$1021,14,FALSE))-N90)^2)+(((VLOOKUP($AT$4,$A$4:$O$1021,15,FALSE))-O90)^2))</f>
        <v/>
      </c>
      <c r="AG90" s="129">
        <f>SQRT((((VLOOKUP($AT$4,$A$4:$D$1021,4,FALSE))-D90)^2)+(((VLOOKUP($AT$4,$A$4:$E$1021,5,FALSE))-E90)^2)+(((VLOOKUP($AT$4,$A$4:$R$1021,18,FALSE))-R90)^2)+(((VLOOKUP($AT$4,$A$4:$S$1021,19,FALSE))-S90)^2))</f>
        <v/>
      </c>
      <c r="AJ90" s="125" t="inlineStr">
        <is>
          <t>W12X79</t>
        </is>
      </c>
      <c r="AK90" s="125">
        <f>SQRT(((VLOOKUP($AT$4,$A$4:$J$1021,10,FALSE))-J90)^2)</f>
        <v/>
      </c>
      <c r="AL90" s="125" t="n"/>
      <c r="AM90" s="125" t="n"/>
      <c r="AN90" s="125">
        <f>SQRT(((VLOOKUP($AT$4,$A$4:$R$1021,18,FALSE))-R90)^2)</f>
        <v/>
      </c>
      <c r="AO90" s="125" t="n"/>
      <c r="AP90" s="125" t="n"/>
      <c r="AQ90" s="125" t="inlineStr">
        <is>
          <t>W12X79</t>
        </is>
      </c>
      <c r="BB90" s="125">
        <f>SQRT(($J$1022-J90)^2)</f>
        <v/>
      </c>
      <c r="BC90" s="125">
        <f>SQRT(($R$1022-R90)^2)</f>
        <v/>
      </c>
      <c r="BD90" s="125" t="inlineStr">
        <is>
          <t>W12X79</t>
        </is>
      </c>
      <c r="BI90">
        <f>SQRT(($J$1023-J90)^2)</f>
        <v/>
      </c>
      <c r="BJ90">
        <f>SQRT(($R$1023-R90)^2)</f>
        <v/>
      </c>
      <c r="BK90" s="125" t="inlineStr">
        <is>
          <t>W12X79</t>
        </is>
      </c>
      <c r="BP90">
        <f>SQRT(($J$1024-J90)^2)</f>
        <v/>
      </c>
      <c r="BQ90">
        <f>SQRT(($R$1024-R90)^2)</f>
        <v/>
      </c>
      <c r="BR90" s="125" t="inlineStr">
        <is>
          <t>W12X79</t>
        </is>
      </c>
      <c r="BW90">
        <f>SQRT(($J$1025-J90)^2)</f>
        <v/>
      </c>
      <c r="BX90">
        <f>SQRT(($R$1025-R90)^2)</f>
        <v/>
      </c>
      <c r="BY90" s="125" t="inlineStr">
        <is>
          <t>W12X79</t>
        </is>
      </c>
      <c r="CD90">
        <f>SQRT(($J$1026-J90)^2)</f>
        <v/>
      </c>
      <c r="CE90">
        <f>SQRT(($R$1026-R90)^2)</f>
        <v/>
      </c>
      <c r="CF90" s="125" t="inlineStr">
        <is>
          <t>W12X79</t>
        </is>
      </c>
    </row>
    <row r="91">
      <c r="A91" s="125" t="inlineStr">
        <is>
          <t>W12X87</t>
        </is>
      </c>
      <c r="B91" s="129" t="inlineStr">
        <is>
          <t>AISC</t>
        </is>
      </c>
      <c r="C91" s="125" t="n">
        <v>129.5</v>
      </c>
      <c r="D91" s="125" t="n">
        <v>318.3</v>
      </c>
      <c r="E91" s="125" t="n">
        <v>308</v>
      </c>
      <c r="F91" s="125" t="n">
        <v>20.6</v>
      </c>
      <c r="G91" s="125" t="n">
        <v>13.1</v>
      </c>
      <c r="H91" s="125" t="n">
        <v>15.2</v>
      </c>
      <c r="I91" s="125" t="n">
        <v>246.8</v>
      </c>
      <c r="J91" s="125" t="n">
        <v>165</v>
      </c>
      <c r="K91" s="125">
        <f>((E91-G91)/2)/F91</f>
        <v/>
      </c>
      <c r="L91" s="125">
        <f>I91/G91</f>
        <v/>
      </c>
      <c r="M91" s="125" t="n">
        <v>1.82</v>
      </c>
      <c r="N91" s="125" t="n">
        <v>30810</v>
      </c>
      <c r="O91" s="125" t="n">
        <v>10030</v>
      </c>
      <c r="P91" s="125" t="n">
        <v>13.7</v>
      </c>
      <c r="Q91" s="125" t="n">
        <v>7.8</v>
      </c>
      <c r="R91" s="125" t="n">
        <v>1936</v>
      </c>
      <c r="S91" s="125" t="n">
        <v>651</v>
      </c>
      <c r="T91" s="125" t="n">
        <v>2164</v>
      </c>
      <c r="U91" s="125" t="n">
        <v>990</v>
      </c>
      <c r="X91" s="129">
        <f t="array" ref="X91">_xlfn.IFS((D91/F91) &lt;= (640/SQRT($AT$32)), "Compact", L91 &lt;= ($AT$32*(0.79-(0.002*((E91-G91/2)/(2*F91))*SQRT($AT$32)))), "Non-Compact", L91 &gt; ($AT$32*(0.79-(0.002*((E91-G91/2)/(2*F91))*SQRT($AT$32)))), "Slender")</f>
        <v/>
      </c>
      <c r="Y91" s="129">
        <f t="array" ref="Y91">_xlfn.IFS(K91 &lt;= (65/SQRT($AT$32)), "Compact", K91 &lt;= (95/SQRT($AT$32)), "Non-Compact", K91 &gt; (95/SQRT($AT$32)), "Slender")</f>
        <v/>
      </c>
      <c r="Z91" s="125">
        <f>E91/F91</f>
        <v/>
      </c>
      <c r="AA91" s="125">
        <f>D91/G91</f>
        <v/>
      </c>
      <c r="AB91" s="125">
        <f t="array" ref="AB91">_xlfn.IFS(Z91 &lt;= 9, "1", Z91 &lt;= 12, "2", Z91 &lt;= 15, "3", Z91 &gt; 15, "4")</f>
        <v/>
      </c>
      <c r="AC91" s="125">
        <f t="array" ref="AC91">_xlfn.IFS(AA91 &lt;= 200, "1", L91 &lt;= 300, "2", L91 &lt;= 400, "3", L91 &gt; 400, "4")</f>
        <v/>
      </c>
      <c r="AD91" s="129">
        <f>SQRT((((VLOOKUP($AT$4,$A$4:$D$1021,4,FALSE))-D91)^2)+(((VLOOKUP($AT$4,$A$4:$E$1021,5,FALSE))-E91)^2)+(((VLOOKUP($AT$4,$A$4:$N$1021,14,FALSE))-N91)^2)+(((VLOOKUP($AT$4,$A$4:$O$1021,15,FALSE))-O91)^2))</f>
        <v/>
      </c>
      <c r="AG91" s="129">
        <f>SQRT((((VLOOKUP($AT$4,$A$4:$D$1021,4,FALSE))-D91)^2)+(((VLOOKUP($AT$4,$A$4:$E$1021,5,FALSE))-E91)^2)+(((VLOOKUP($AT$4,$A$4:$R$1021,18,FALSE))-R91)^2)+(((VLOOKUP($AT$4,$A$4:$S$1021,19,FALSE))-S91)^2))</f>
        <v/>
      </c>
      <c r="AJ91" s="125" t="inlineStr">
        <is>
          <t>W12X87</t>
        </is>
      </c>
      <c r="AK91" s="125">
        <f>SQRT(((VLOOKUP($AT$4,$A$4:$J$1021,10,FALSE))-J91)^2)</f>
        <v/>
      </c>
      <c r="AL91" s="125" t="n"/>
      <c r="AM91" s="125" t="n"/>
      <c r="AN91" s="125">
        <f>SQRT(((VLOOKUP($AT$4,$A$4:$R$1021,18,FALSE))-R91)^2)</f>
        <v/>
      </c>
      <c r="AO91" s="125" t="n"/>
      <c r="AP91" s="125" t="n"/>
      <c r="AQ91" s="125" t="inlineStr">
        <is>
          <t>W12X87</t>
        </is>
      </c>
      <c r="BB91" s="125">
        <f>SQRT(($J$1022-J91)^2)</f>
        <v/>
      </c>
      <c r="BC91" s="125">
        <f>SQRT(($R$1022-R91)^2)</f>
        <v/>
      </c>
      <c r="BD91" s="125" t="inlineStr">
        <is>
          <t>W12X87</t>
        </is>
      </c>
      <c r="BI91">
        <f>SQRT(($J$1023-J91)^2)</f>
        <v/>
      </c>
      <c r="BJ91">
        <f>SQRT(($R$1023-R91)^2)</f>
        <v/>
      </c>
      <c r="BK91" s="125" t="inlineStr">
        <is>
          <t>W12X87</t>
        </is>
      </c>
      <c r="BP91">
        <f>SQRT(($J$1024-J91)^2)</f>
        <v/>
      </c>
      <c r="BQ91">
        <f>SQRT(($R$1024-R91)^2)</f>
        <v/>
      </c>
      <c r="BR91" s="125" t="inlineStr">
        <is>
          <t>W12X87</t>
        </is>
      </c>
      <c r="BW91">
        <f>SQRT(($J$1025-J91)^2)</f>
        <v/>
      </c>
      <c r="BX91">
        <f>SQRT(($R$1025-R91)^2)</f>
        <v/>
      </c>
      <c r="BY91" s="125" t="inlineStr">
        <is>
          <t>W12X87</t>
        </is>
      </c>
      <c r="CD91">
        <f>SQRT(($J$1026-J91)^2)</f>
        <v/>
      </c>
      <c r="CE91">
        <f>SQRT(($R$1026-R91)^2)</f>
        <v/>
      </c>
      <c r="CF91" s="125" t="inlineStr">
        <is>
          <t>W12X87</t>
        </is>
      </c>
    </row>
    <row r="92">
      <c r="A92" s="125" t="inlineStr">
        <is>
          <t>W12X92</t>
        </is>
      </c>
      <c r="B92" s="129" t="inlineStr">
        <is>
          <t>AISC</t>
        </is>
      </c>
      <c r="C92" s="125" t="n">
        <v>136.9</v>
      </c>
      <c r="D92" s="125" t="n">
        <v>320.5</v>
      </c>
      <c r="E92" s="125" t="n">
        <v>309.2</v>
      </c>
      <c r="F92" s="125" t="n">
        <v>21.7</v>
      </c>
      <c r="G92" s="125" t="n">
        <v>13.8</v>
      </c>
      <c r="H92" s="125" t="n">
        <v>15.2</v>
      </c>
      <c r="I92" s="125" t="n">
        <v>246.7</v>
      </c>
      <c r="J92" s="125" t="n">
        <v>174</v>
      </c>
      <c r="K92" s="125">
        <f>((E92-G92)/2)/F92</f>
        <v/>
      </c>
      <c r="L92" s="125">
        <f>I92/G92</f>
        <v/>
      </c>
      <c r="M92" s="125" t="n">
        <v>1.82</v>
      </c>
      <c r="N92" s="125" t="n">
        <v>32820</v>
      </c>
      <c r="O92" s="125" t="n">
        <v>10700</v>
      </c>
      <c r="P92" s="125" t="n">
        <v>13.7</v>
      </c>
      <c r="Q92" s="125" t="n">
        <v>7.83</v>
      </c>
      <c r="R92" s="125" t="n">
        <v>2048</v>
      </c>
      <c r="S92" s="125" t="n">
        <v>692</v>
      </c>
      <c r="T92" s="125" t="n">
        <v>2297</v>
      </c>
      <c r="U92" s="125" t="n">
        <v>1053</v>
      </c>
      <c r="X92" s="129">
        <f t="array" ref="X92">_xlfn.IFS((D92/F92) &lt;= (640/SQRT($AT$32)), "Compact", L92 &lt;= ($AT$32*(0.79-(0.002*((E92-G92/2)/(2*F92))*SQRT($AT$32)))), "Non-Compact", L92 &gt; ($AT$32*(0.79-(0.002*((E92-G92/2)/(2*F92))*SQRT($AT$32)))), "Slender")</f>
        <v/>
      </c>
      <c r="Y92" s="129">
        <f t="array" ref="Y92">_xlfn.IFS(K92 &lt;= (65/SQRT($AT$32)), "Compact", K92 &lt;= (95/SQRT($AT$32)), "Non-Compact", K92 &gt; (95/SQRT($AT$32)), "Slender")</f>
        <v/>
      </c>
      <c r="Z92" s="125">
        <f>E92/F92</f>
        <v/>
      </c>
      <c r="AA92" s="125">
        <f>D92/G92</f>
        <v/>
      </c>
      <c r="AB92" s="125">
        <f t="array" ref="AB92">_xlfn.IFS(Z92 &lt;= 9, "1", Z92 &lt;= 12, "2", Z92 &lt;= 15, "3", Z92 &gt; 15, "4")</f>
        <v/>
      </c>
      <c r="AC92" s="125">
        <f t="array" ref="AC92">_xlfn.IFS(AA92 &lt;= 200, "1", L92 &lt;= 300, "2", L92 &lt;= 400, "3", L92 &gt; 400, "4")</f>
        <v/>
      </c>
      <c r="AD92" s="129">
        <f>SQRT((((VLOOKUP($AT$4,$A$4:$D$1021,4,FALSE))-D92)^2)+(((VLOOKUP($AT$4,$A$4:$E$1021,5,FALSE))-E92)^2)+(((VLOOKUP($AT$4,$A$4:$N$1021,14,FALSE))-N92)^2)+(((VLOOKUP($AT$4,$A$4:$O$1021,15,FALSE))-O92)^2))</f>
        <v/>
      </c>
      <c r="AG92" s="129">
        <f>SQRT((((VLOOKUP($AT$4,$A$4:$D$1021,4,FALSE))-D92)^2)+(((VLOOKUP($AT$4,$A$4:$E$1021,5,FALSE))-E92)^2)+(((VLOOKUP($AT$4,$A$4:$R$1021,18,FALSE))-R92)^2)+(((VLOOKUP($AT$4,$A$4:$S$1021,19,FALSE))-S92)^2))</f>
        <v/>
      </c>
      <c r="AJ92" s="125" t="inlineStr">
        <is>
          <t>W12X92</t>
        </is>
      </c>
      <c r="AK92" s="125">
        <f>SQRT(((VLOOKUP($AT$4,$A$4:$J$1021,10,FALSE))-J92)^2)</f>
        <v/>
      </c>
      <c r="AL92" s="125" t="n"/>
      <c r="AM92" s="125" t="n"/>
      <c r="AN92" s="125">
        <f>SQRT(((VLOOKUP($AT$4,$A$4:$R$1021,18,FALSE))-R92)^2)</f>
        <v/>
      </c>
      <c r="AO92" s="125" t="n"/>
      <c r="AP92" s="125" t="n"/>
      <c r="AQ92" s="125" t="inlineStr">
        <is>
          <t>W12X92</t>
        </is>
      </c>
      <c r="BB92" s="125">
        <f>SQRT(($J$1022-J92)^2)</f>
        <v/>
      </c>
      <c r="BC92" s="125">
        <f>SQRT(($R$1022-R92)^2)</f>
        <v/>
      </c>
      <c r="BD92" s="125" t="inlineStr">
        <is>
          <t>W12X92</t>
        </is>
      </c>
      <c r="BI92">
        <f>SQRT(($J$1023-J92)^2)</f>
        <v/>
      </c>
      <c r="BJ92">
        <f>SQRT(($R$1023-R92)^2)</f>
        <v/>
      </c>
      <c r="BK92" s="125" t="inlineStr">
        <is>
          <t>W12X92</t>
        </is>
      </c>
      <c r="BP92">
        <f>SQRT(($J$1024-J92)^2)</f>
        <v/>
      </c>
      <c r="BQ92">
        <f>SQRT(($R$1024-R92)^2)</f>
        <v/>
      </c>
      <c r="BR92" s="125" t="inlineStr">
        <is>
          <t>W12X92</t>
        </is>
      </c>
      <c r="BW92">
        <f>SQRT(($J$1025-J92)^2)</f>
        <v/>
      </c>
      <c r="BX92">
        <f>SQRT(($R$1025-R92)^2)</f>
        <v/>
      </c>
      <c r="BY92" s="125" t="inlineStr">
        <is>
          <t>W12X92</t>
        </is>
      </c>
      <c r="CD92">
        <f>SQRT(($J$1026-J92)^2)</f>
        <v/>
      </c>
      <c r="CE92">
        <f>SQRT(($R$1026-R92)^2)</f>
        <v/>
      </c>
      <c r="CF92" s="125" t="inlineStr">
        <is>
          <t>W12X92</t>
        </is>
      </c>
    </row>
    <row r="93">
      <c r="A93" s="125" t="inlineStr">
        <is>
          <t>W12X96</t>
        </is>
      </c>
      <c r="B93" s="129" t="inlineStr">
        <is>
          <t>AISC</t>
        </is>
      </c>
      <c r="C93" s="125" t="n">
        <v>142.8</v>
      </c>
      <c r="D93" s="125" t="n">
        <v>322.8</v>
      </c>
      <c r="E93" s="125" t="n">
        <v>308.9</v>
      </c>
      <c r="F93" s="125" t="n">
        <v>22.9</v>
      </c>
      <c r="G93" s="125" t="n">
        <v>14</v>
      </c>
      <c r="H93" s="125" t="n">
        <v>15.2</v>
      </c>
      <c r="I93" s="125" t="n">
        <v>246.7</v>
      </c>
      <c r="J93" s="125" t="n">
        <v>182</v>
      </c>
      <c r="K93" s="125">
        <f>((E93-G93)/2)/F93</f>
        <v/>
      </c>
      <c r="L93" s="125">
        <f>I93/G93</f>
        <v/>
      </c>
      <c r="M93" s="125" t="n">
        <v>1.83</v>
      </c>
      <c r="N93" s="125" t="n">
        <v>34670</v>
      </c>
      <c r="O93" s="125" t="n">
        <v>11240</v>
      </c>
      <c r="P93" s="125" t="n">
        <v>13.8</v>
      </c>
      <c r="Q93" s="125" t="n">
        <v>7.86</v>
      </c>
      <c r="R93" s="125" t="n">
        <v>2148</v>
      </c>
      <c r="S93" s="125" t="n">
        <v>728</v>
      </c>
      <c r="T93" s="125" t="n">
        <v>2413</v>
      </c>
      <c r="U93" s="125" t="n">
        <v>1106</v>
      </c>
      <c r="X93" s="129">
        <f t="array" ref="X93">_xlfn.IFS((D93/F93) &lt;= (640/SQRT($AT$32)), "Compact", L93 &lt;= ($AT$32*(0.79-(0.002*((E93-G93/2)/(2*F93))*SQRT($AT$32)))), "Non-Compact", L93 &gt; ($AT$32*(0.79-(0.002*((E93-G93/2)/(2*F93))*SQRT($AT$32)))), "Slender")</f>
        <v/>
      </c>
      <c r="Y93" s="129">
        <f t="array" ref="Y93">_xlfn.IFS(K93 &lt;= (65/SQRT($AT$32)), "Compact", K93 &lt;= (95/SQRT($AT$32)), "Non-Compact", K93 &gt; (95/SQRT($AT$32)), "Slender")</f>
        <v/>
      </c>
      <c r="Z93" s="125">
        <f>E93/F93</f>
        <v/>
      </c>
      <c r="AA93" s="125">
        <f>D93/G93</f>
        <v/>
      </c>
      <c r="AB93" s="125">
        <f t="array" ref="AB93">_xlfn.IFS(Z93 &lt;= 9, "1", Z93 &lt;= 12, "2", Z93 &lt;= 15, "3", Z93 &gt; 15, "4")</f>
        <v/>
      </c>
      <c r="AC93" s="125">
        <f t="array" ref="AC93">_xlfn.IFS(AA93 &lt;= 200, "1", L93 &lt;= 300, "2", L93 &lt;= 400, "3", L93 &gt; 400, "4")</f>
        <v/>
      </c>
      <c r="AD93" s="129">
        <f>SQRT((((VLOOKUP($AT$4,$A$4:$D$1021,4,FALSE))-D93)^2)+(((VLOOKUP($AT$4,$A$4:$E$1021,5,FALSE))-E93)^2)+(((VLOOKUP($AT$4,$A$4:$N$1021,14,FALSE))-N93)^2)+(((VLOOKUP($AT$4,$A$4:$O$1021,15,FALSE))-O93)^2))</f>
        <v/>
      </c>
      <c r="AG93" s="129">
        <f>SQRT((((VLOOKUP($AT$4,$A$4:$D$1021,4,FALSE))-D93)^2)+(((VLOOKUP($AT$4,$A$4:$E$1021,5,FALSE))-E93)^2)+(((VLOOKUP($AT$4,$A$4:$R$1021,18,FALSE))-R93)^2)+(((VLOOKUP($AT$4,$A$4:$S$1021,19,FALSE))-S93)^2))</f>
        <v/>
      </c>
      <c r="AJ93" s="125" t="inlineStr">
        <is>
          <t>W12X96</t>
        </is>
      </c>
      <c r="AK93" s="125">
        <f>SQRT(((VLOOKUP($AT$4,$A$4:$J$1021,10,FALSE))-J93)^2)</f>
        <v/>
      </c>
      <c r="AL93" s="125" t="n"/>
      <c r="AM93" s="125" t="n"/>
      <c r="AN93" s="125">
        <f>SQRT(((VLOOKUP($AT$4,$A$4:$R$1021,18,FALSE))-R93)^2)</f>
        <v/>
      </c>
      <c r="AO93" s="125" t="n"/>
      <c r="AP93" s="125" t="n"/>
      <c r="AQ93" s="125" t="inlineStr">
        <is>
          <t>W12X96</t>
        </is>
      </c>
      <c r="BB93" s="125">
        <f>SQRT(($J$1022-J93)^2)</f>
        <v/>
      </c>
      <c r="BC93" s="125">
        <f>SQRT(($R$1022-R93)^2)</f>
        <v/>
      </c>
      <c r="BD93" s="125" t="inlineStr">
        <is>
          <t>W12X96</t>
        </is>
      </c>
      <c r="BI93">
        <f>SQRT(($J$1023-J93)^2)</f>
        <v/>
      </c>
      <c r="BJ93">
        <f>SQRT(($R$1023-R93)^2)</f>
        <v/>
      </c>
      <c r="BK93" s="125" t="inlineStr">
        <is>
          <t>W12X96</t>
        </is>
      </c>
      <c r="BP93">
        <f>SQRT(($J$1024-J93)^2)</f>
        <v/>
      </c>
      <c r="BQ93">
        <f>SQRT(($R$1024-R93)^2)</f>
        <v/>
      </c>
      <c r="BR93" s="125" t="inlineStr">
        <is>
          <t>W12X96</t>
        </is>
      </c>
      <c r="BW93">
        <f>SQRT(($J$1025-J93)^2)</f>
        <v/>
      </c>
      <c r="BX93">
        <f>SQRT(($R$1025-R93)^2)</f>
        <v/>
      </c>
      <c r="BY93" s="125" t="inlineStr">
        <is>
          <t>W12X96</t>
        </is>
      </c>
      <c r="CD93">
        <f>SQRT(($J$1026-J93)^2)</f>
        <v/>
      </c>
      <c r="CE93">
        <f>SQRT(($R$1026-R93)^2)</f>
        <v/>
      </c>
      <c r="CF93" s="125" t="inlineStr">
        <is>
          <t>W12X96</t>
        </is>
      </c>
    </row>
    <row r="94">
      <c r="A94" s="125" t="inlineStr">
        <is>
          <t>W12X106</t>
        </is>
      </c>
      <c r="B94" s="129" t="inlineStr">
        <is>
          <t>AISC</t>
        </is>
      </c>
      <c r="C94" s="125" t="n">
        <v>158.1</v>
      </c>
      <c r="D94" s="125" t="n">
        <v>327.1</v>
      </c>
      <c r="E94" s="125" t="n">
        <v>311.2</v>
      </c>
      <c r="F94" s="125" t="n">
        <v>25</v>
      </c>
      <c r="G94" s="125" t="n">
        <v>15.8</v>
      </c>
      <c r="H94" s="125" t="n">
        <v>15.2</v>
      </c>
      <c r="I94" s="125" t="n">
        <v>246.7</v>
      </c>
      <c r="J94" s="125" t="n">
        <v>201</v>
      </c>
      <c r="K94" s="125">
        <f>((E94-G94)/2)/F94</f>
        <v/>
      </c>
      <c r="L94" s="125">
        <f>I94/G94</f>
        <v/>
      </c>
      <c r="M94" s="125" t="n">
        <v>1.84</v>
      </c>
      <c r="N94" s="125" t="n">
        <v>38750</v>
      </c>
      <c r="O94" s="125" t="n">
        <v>12570</v>
      </c>
      <c r="P94" s="125" t="n">
        <v>13.9</v>
      </c>
      <c r="Q94" s="125" t="n">
        <v>7.9</v>
      </c>
      <c r="R94" s="125" t="n">
        <v>2369</v>
      </c>
      <c r="S94" s="125" t="n">
        <v>808</v>
      </c>
      <c r="T94" s="125" t="n">
        <v>2680</v>
      </c>
      <c r="U94" s="125" t="n">
        <v>1230</v>
      </c>
      <c r="X94" s="129">
        <f t="array" ref="X94">_xlfn.IFS((D94/F94) &lt;= (640/SQRT($AT$32)), "Compact", L94 &lt;= ($AT$32*(0.79-(0.002*((E94-G94/2)/(2*F94))*SQRT($AT$32)))), "Non-Compact", L94 &gt; ($AT$32*(0.79-(0.002*((E94-G94/2)/(2*F94))*SQRT($AT$32)))), "Slender")</f>
        <v/>
      </c>
      <c r="Y94" s="129">
        <f t="array" ref="Y94">_xlfn.IFS(K94 &lt;= (65/SQRT($AT$32)), "Compact", K94 &lt;= (95/SQRT($AT$32)), "Non-Compact", K94 &gt; (95/SQRT($AT$32)), "Slender")</f>
        <v/>
      </c>
      <c r="Z94" s="125">
        <f>E94/F94</f>
        <v/>
      </c>
      <c r="AA94" s="125">
        <f>D94/G94</f>
        <v/>
      </c>
      <c r="AB94" s="125">
        <f t="array" ref="AB94">_xlfn.IFS(Z94 &lt;= 9, "1", Z94 &lt;= 12, "2", Z94 &lt;= 15, "3", Z94 &gt; 15, "4")</f>
        <v/>
      </c>
      <c r="AC94" s="125">
        <f t="array" ref="AC94">_xlfn.IFS(AA94 &lt;= 200, "1", L94 &lt;= 300, "2", L94 &lt;= 400, "3", L94 &gt; 400, "4")</f>
        <v/>
      </c>
      <c r="AD94" s="129">
        <f>SQRT((((VLOOKUP($AT$4,$A$4:$D$1021,4,FALSE))-D94)^2)+(((VLOOKUP($AT$4,$A$4:$E$1021,5,FALSE))-E94)^2)+(((VLOOKUP($AT$4,$A$4:$N$1021,14,FALSE))-N94)^2)+(((VLOOKUP($AT$4,$A$4:$O$1021,15,FALSE))-O94)^2))</f>
        <v/>
      </c>
      <c r="AG94" s="129">
        <f>SQRT((((VLOOKUP($AT$4,$A$4:$D$1021,4,FALSE))-D94)^2)+(((VLOOKUP($AT$4,$A$4:$E$1021,5,FALSE))-E94)^2)+(((VLOOKUP($AT$4,$A$4:$R$1021,18,FALSE))-R94)^2)+(((VLOOKUP($AT$4,$A$4:$S$1021,19,FALSE))-S94)^2))</f>
        <v/>
      </c>
      <c r="AJ94" s="125" t="inlineStr">
        <is>
          <t>W12X106</t>
        </is>
      </c>
      <c r="AK94" s="125">
        <f>SQRT(((VLOOKUP($AT$4,$A$4:$J$1021,10,FALSE))-J94)^2)</f>
        <v/>
      </c>
      <c r="AL94" s="125" t="n"/>
      <c r="AM94" s="125" t="n"/>
      <c r="AN94" s="125">
        <f>SQRT(((VLOOKUP($AT$4,$A$4:$R$1021,18,FALSE))-R94)^2)</f>
        <v/>
      </c>
      <c r="AO94" s="125" t="n"/>
      <c r="AP94" s="125" t="n"/>
      <c r="AQ94" s="125" t="inlineStr">
        <is>
          <t>W12X106</t>
        </is>
      </c>
      <c r="BB94" s="125">
        <f>SQRT(($J$1022-J94)^2)</f>
        <v/>
      </c>
      <c r="BC94" s="125">
        <f>SQRT(($R$1022-R94)^2)</f>
        <v/>
      </c>
      <c r="BD94" s="125" t="inlineStr">
        <is>
          <t>W12X106</t>
        </is>
      </c>
      <c r="BI94">
        <f>SQRT(($J$1023-J94)^2)</f>
        <v/>
      </c>
      <c r="BJ94">
        <f>SQRT(($R$1023-R94)^2)</f>
        <v/>
      </c>
      <c r="BK94" s="125" t="inlineStr">
        <is>
          <t>W12X106</t>
        </is>
      </c>
      <c r="BP94">
        <f>SQRT(($J$1024-J94)^2)</f>
        <v/>
      </c>
      <c r="BQ94">
        <f>SQRT(($R$1024-R94)^2)</f>
        <v/>
      </c>
      <c r="BR94" s="125" t="inlineStr">
        <is>
          <t>W12X106</t>
        </is>
      </c>
      <c r="BW94">
        <f>SQRT(($J$1025-J94)^2)</f>
        <v/>
      </c>
      <c r="BX94">
        <f>SQRT(($R$1025-R94)^2)</f>
        <v/>
      </c>
      <c r="BY94" s="125" t="inlineStr">
        <is>
          <t>W12X106</t>
        </is>
      </c>
      <c r="CD94">
        <f>SQRT(($J$1026-J94)^2)</f>
        <v/>
      </c>
      <c r="CE94">
        <f>SQRT(($R$1026-R94)^2)</f>
        <v/>
      </c>
      <c r="CF94" s="125" t="inlineStr">
        <is>
          <t>W12X106</t>
        </is>
      </c>
    </row>
    <row r="95">
      <c r="A95" s="125" t="inlineStr">
        <is>
          <t>W12X120</t>
        </is>
      </c>
      <c r="B95" s="129" t="inlineStr">
        <is>
          <t>AISC</t>
        </is>
      </c>
      <c r="C95" s="125" t="n">
        <v>178.6</v>
      </c>
      <c r="D95" s="125" t="n">
        <v>333.2</v>
      </c>
      <c r="E95" s="125" t="n">
        <v>312.9</v>
      </c>
      <c r="F95" s="125" t="n">
        <v>28.1</v>
      </c>
      <c r="G95" s="125" t="n">
        <v>18</v>
      </c>
      <c r="H95" s="125" t="n">
        <v>15.2</v>
      </c>
      <c r="I95" s="125" t="n">
        <v>246.7</v>
      </c>
      <c r="J95" s="125" t="n">
        <v>228</v>
      </c>
      <c r="K95" s="125">
        <f>((E95-G95)/2)/F95</f>
        <v/>
      </c>
      <c r="L95" s="125">
        <f>I95/G95</f>
        <v/>
      </c>
      <c r="M95" s="125" t="n">
        <v>1.86</v>
      </c>
      <c r="N95" s="125" t="n">
        <v>44560</v>
      </c>
      <c r="O95" s="125" t="n">
        <v>14350</v>
      </c>
      <c r="P95" s="125" t="n">
        <v>14</v>
      </c>
      <c r="Q95" s="125" t="n">
        <v>7.94</v>
      </c>
      <c r="R95" s="125" t="n">
        <v>2675</v>
      </c>
      <c r="S95" s="125" t="n">
        <v>917</v>
      </c>
      <c r="T95" s="125" t="n">
        <v>3053</v>
      </c>
      <c r="U95" s="125" t="n">
        <v>1399</v>
      </c>
      <c r="X95" s="129">
        <f t="array" ref="X95">_xlfn.IFS((D95/F95) &lt;= (640/SQRT($AT$32)), "Compact", L95 &lt;= ($AT$32*(0.79-(0.002*((E95-G95/2)/(2*F95))*SQRT($AT$32)))), "Non-Compact", L95 &gt; ($AT$32*(0.79-(0.002*((E95-G95/2)/(2*F95))*SQRT($AT$32)))), "Slender")</f>
        <v/>
      </c>
      <c r="Y95" s="129">
        <f t="array" ref="Y95">_xlfn.IFS(K95 &lt;= (65/SQRT($AT$32)), "Compact", K95 &lt;= (95/SQRT($AT$32)), "Non-Compact", K95 &gt; (95/SQRT($AT$32)), "Slender")</f>
        <v/>
      </c>
      <c r="Z95" s="125">
        <f>E95/F95</f>
        <v/>
      </c>
      <c r="AA95" s="125">
        <f>D95/G95</f>
        <v/>
      </c>
      <c r="AB95" s="125">
        <f t="array" ref="AB95">_xlfn.IFS(Z95 &lt;= 9, "1", Z95 &lt;= 12, "2", Z95 &lt;= 15, "3", Z95 &gt; 15, "4")</f>
        <v/>
      </c>
      <c r="AC95" s="125">
        <f t="array" ref="AC95">_xlfn.IFS(AA95 &lt;= 200, "1", L95 &lt;= 300, "2", L95 &lt;= 400, "3", L95 &gt; 400, "4")</f>
        <v/>
      </c>
      <c r="AD95" s="129">
        <f>SQRT((((VLOOKUP($AT$4,$A$4:$D$1021,4,FALSE))-D95)^2)+(((VLOOKUP($AT$4,$A$4:$E$1021,5,FALSE))-E95)^2)+(((VLOOKUP($AT$4,$A$4:$N$1021,14,FALSE))-N95)^2)+(((VLOOKUP($AT$4,$A$4:$O$1021,15,FALSE))-O95)^2))</f>
        <v/>
      </c>
      <c r="AG95" s="129">
        <f>SQRT((((VLOOKUP($AT$4,$A$4:$D$1021,4,FALSE))-D95)^2)+(((VLOOKUP($AT$4,$A$4:$E$1021,5,FALSE))-E95)^2)+(((VLOOKUP($AT$4,$A$4:$R$1021,18,FALSE))-R95)^2)+(((VLOOKUP($AT$4,$A$4:$S$1021,19,FALSE))-S95)^2))</f>
        <v/>
      </c>
      <c r="AJ95" s="125" t="inlineStr">
        <is>
          <t>W12X120</t>
        </is>
      </c>
      <c r="AK95" s="125">
        <f>SQRT(((VLOOKUP($AT$4,$A$4:$J$1021,10,FALSE))-J95)^2)</f>
        <v/>
      </c>
      <c r="AL95" s="125" t="n"/>
      <c r="AM95" s="125" t="n"/>
      <c r="AN95" s="125">
        <f>SQRT(((VLOOKUP($AT$4,$A$4:$R$1021,18,FALSE))-R95)^2)</f>
        <v/>
      </c>
      <c r="AO95" s="125" t="n"/>
      <c r="AP95" s="125" t="n"/>
      <c r="AQ95" s="125" t="inlineStr">
        <is>
          <t>W12X120</t>
        </is>
      </c>
      <c r="BB95" s="125">
        <f>SQRT(($J$1022-J95)^2)</f>
        <v/>
      </c>
      <c r="BC95" s="125">
        <f>SQRT(($R$1022-R95)^2)</f>
        <v/>
      </c>
      <c r="BD95" s="125" t="inlineStr">
        <is>
          <t>W12X120</t>
        </is>
      </c>
      <c r="BI95">
        <f>SQRT(($J$1023-J95)^2)</f>
        <v/>
      </c>
      <c r="BJ95">
        <f>SQRT(($R$1023-R95)^2)</f>
        <v/>
      </c>
      <c r="BK95" s="125" t="inlineStr">
        <is>
          <t>W12X120</t>
        </is>
      </c>
      <c r="BP95">
        <f>SQRT(($J$1024-J95)^2)</f>
        <v/>
      </c>
      <c r="BQ95">
        <f>SQRT(($R$1024-R95)^2)</f>
        <v/>
      </c>
      <c r="BR95" s="125" t="inlineStr">
        <is>
          <t>W12X120</t>
        </is>
      </c>
      <c r="BW95">
        <f>SQRT(($J$1025-J95)^2)</f>
        <v/>
      </c>
      <c r="BX95">
        <f>SQRT(($R$1025-R95)^2)</f>
        <v/>
      </c>
      <c r="BY95" s="125" t="inlineStr">
        <is>
          <t>W12X120</t>
        </is>
      </c>
      <c r="CD95">
        <f>SQRT(($J$1026-J95)^2)</f>
        <v/>
      </c>
      <c r="CE95">
        <f>SQRT(($R$1026-R95)^2)</f>
        <v/>
      </c>
      <c r="CF95" s="125" t="inlineStr">
        <is>
          <t>W12X120</t>
        </is>
      </c>
    </row>
    <row r="96">
      <c r="A96" s="125" t="inlineStr">
        <is>
          <t>W12X133</t>
        </is>
      </c>
      <c r="B96" s="129" t="inlineStr">
        <is>
          <t>AISC</t>
        </is>
      </c>
      <c r="C96" s="125" t="n">
        <v>198.1</v>
      </c>
      <c r="D96" s="125" t="n">
        <v>339.9</v>
      </c>
      <c r="E96" s="125" t="n">
        <v>314.5</v>
      </c>
      <c r="F96" s="125" t="n">
        <v>31.4</v>
      </c>
      <c r="G96" s="125" t="n">
        <v>19.1</v>
      </c>
      <c r="H96" s="125" t="n">
        <v>15.2</v>
      </c>
      <c r="I96" s="125" t="n">
        <v>246.7</v>
      </c>
      <c r="J96" s="125" t="n">
        <v>252</v>
      </c>
      <c r="K96" s="125">
        <f>((E96-G96)/2)/F96</f>
        <v/>
      </c>
      <c r="L96" s="125">
        <f>I96/G96</f>
        <v/>
      </c>
      <c r="M96" s="125" t="n">
        <v>1.87</v>
      </c>
      <c r="N96" s="125" t="n">
        <v>50900</v>
      </c>
      <c r="O96" s="125" t="n">
        <v>16300</v>
      </c>
      <c r="P96" s="125" t="n">
        <v>14.2</v>
      </c>
      <c r="Q96" s="125" t="n">
        <v>8.039999999999999</v>
      </c>
      <c r="R96" s="125" t="n">
        <v>2995</v>
      </c>
      <c r="S96" s="125" t="n">
        <v>1037</v>
      </c>
      <c r="T96" s="125" t="n">
        <v>3440</v>
      </c>
      <c r="U96" s="125" t="n">
        <v>1581</v>
      </c>
      <c r="X96" s="129">
        <f t="array" ref="X96">_xlfn.IFS((D96/F96) &lt;= (640/SQRT($AT$32)), "Compact", L96 &lt;= ($AT$32*(0.79-(0.002*((E96-G96/2)/(2*F96))*SQRT($AT$32)))), "Non-Compact", L96 &gt; ($AT$32*(0.79-(0.002*((E96-G96/2)/(2*F96))*SQRT($AT$32)))), "Slender")</f>
        <v/>
      </c>
      <c r="Y96" s="129">
        <f t="array" ref="Y96">_xlfn.IFS(K96 &lt;= (65/SQRT($AT$32)), "Compact", K96 &lt;= (95/SQRT($AT$32)), "Non-Compact", K96 &gt; (95/SQRT($AT$32)), "Slender")</f>
        <v/>
      </c>
      <c r="Z96" s="125">
        <f>E96/F96</f>
        <v/>
      </c>
      <c r="AA96" s="125">
        <f>D96/G96</f>
        <v/>
      </c>
      <c r="AB96" s="125">
        <f t="array" ref="AB96">_xlfn.IFS(Z96 &lt;= 9, "1", Z96 &lt;= 12, "2", Z96 &lt;= 15, "3", Z96 &gt; 15, "4")</f>
        <v/>
      </c>
      <c r="AC96" s="125">
        <f t="array" ref="AC96">_xlfn.IFS(AA96 &lt;= 200, "1", L96 &lt;= 300, "2", L96 &lt;= 400, "3", L96 &gt; 400, "4")</f>
        <v/>
      </c>
      <c r="AD96" s="129">
        <f>SQRT((((VLOOKUP($AT$4,$A$4:$D$1021,4,FALSE))-D96)^2)+(((VLOOKUP($AT$4,$A$4:$E$1021,5,FALSE))-E96)^2)+(((VLOOKUP($AT$4,$A$4:$N$1021,14,FALSE))-N96)^2)+(((VLOOKUP($AT$4,$A$4:$O$1021,15,FALSE))-O96)^2))</f>
        <v/>
      </c>
      <c r="AG96" s="129">
        <f>SQRT((((VLOOKUP($AT$4,$A$4:$D$1021,4,FALSE))-D96)^2)+(((VLOOKUP($AT$4,$A$4:$E$1021,5,FALSE))-E96)^2)+(((VLOOKUP($AT$4,$A$4:$R$1021,18,FALSE))-R96)^2)+(((VLOOKUP($AT$4,$A$4:$S$1021,19,FALSE))-S96)^2))</f>
        <v/>
      </c>
      <c r="AH96" s="4" t="n"/>
      <c r="AI96" s="4" t="n"/>
      <c r="AJ96" s="125" t="inlineStr">
        <is>
          <t>W12X133</t>
        </is>
      </c>
      <c r="AK96" s="125">
        <f>SQRT(((VLOOKUP($AT$4,$A$4:$J$1021,10,FALSE))-J96)^2)</f>
        <v/>
      </c>
      <c r="AL96" s="125" t="n"/>
      <c r="AM96" s="125" t="n"/>
      <c r="AN96" s="125">
        <f>SQRT(((VLOOKUP($AT$4,$A$4:$R$1021,18,FALSE))-R96)^2)</f>
        <v/>
      </c>
      <c r="AO96" s="125" t="n"/>
      <c r="AP96" s="125" t="n"/>
      <c r="AQ96" s="125" t="inlineStr">
        <is>
          <t>W12X133</t>
        </is>
      </c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125">
        <f>SQRT(($J$1022-J96)^2)</f>
        <v/>
      </c>
      <c r="BC96" s="125">
        <f>SQRT(($R$1022-R96)^2)</f>
        <v/>
      </c>
      <c r="BD96" s="125" t="inlineStr">
        <is>
          <t>W12X133</t>
        </is>
      </c>
      <c r="BI96">
        <f>SQRT(($J$1023-J96)^2)</f>
        <v/>
      </c>
      <c r="BJ96">
        <f>SQRT(($R$1023-R96)^2)</f>
        <v/>
      </c>
      <c r="BK96" s="125" t="inlineStr">
        <is>
          <t>W12X133</t>
        </is>
      </c>
      <c r="BP96">
        <f>SQRT(($J$1024-J96)^2)</f>
        <v/>
      </c>
      <c r="BQ96">
        <f>SQRT(($R$1024-R96)^2)</f>
        <v/>
      </c>
      <c r="BR96" s="125" t="inlineStr">
        <is>
          <t>W12X133</t>
        </is>
      </c>
      <c r="BW96">
        <f>SQRT(($J$1025-J96)^2)</f>
        <v/>
      </c>
      <c r="BX96">
        <f>SQRT(($R$1025-R96)^2)</f>
        <v/>
      </c>
      <c r="BY96" s="125" t="inlineStr">
        <is>
          <t>W12X133</t>
        </is>
      </c>
      <c r="CD96">
        <f>SQRT(($J$1026-J96)^2)</f>
        <v/>
      </c>
      <c r="CE96">
        <f>SQRT(($R$1026-R96)^2)</f>
        <v/>
      </c>
      <c r="CF96" s="125" t="inlineStr">
        <is>
          <t>W12X133</t>
        </is>
      </c>
    </row>
    <row r="97">
      <c r="A97" s="125" t="inlineStr">
        <is>
          <t>W12X136</t>
        </is>
      </c>
      <c r="B97" s="129" t="inlineStr">
        <is>
          <t>AISC</t>
        </is>
      </c>
      <c r="C97" s="125" t="n">
        <v>202.4</v>
      </c>
      <c r="D97" s="125" t="n">
        <v>340.6</v>
      </c>
      <c r="E97" s="125" t="n">
        <v>315</v>
      </c>
      <c r="F97" s="125" t="n">
        <v>31.8</v>
      </c>
      <c r="G97" s="125" t="n">
        <v>20.1</v>
      </c>
      <c r="H97" s="125" t="n">
        <v>15.2</v>
      </c>
      <c r="I97" s="125" t="n">
        <v>246.7</v>
      </c>
      <c r="J97" s="125" t="n">
        <v>258</v>
      </c>
      <c r="K97" s="125">
        <f>((E97-G97)/2)/F97</f>
        <v/>
      </c>
      <c r="L97" s="125">
        <f>I97/G97</f>
        <v/>
      </c>
      <c r="M97" s="125" t="n">
        <v>1.87</v>
      </c>
      <c r="N97" s="125" t="n">
        <v>51790</v>
      </c>
      <c r="O97" s="125" t="n">
        <v>16560</v>
      </c>
      <c r="P97" s="125" t="n">
        <v>14.2</v>
      </c>
      <c r="Q97" s="125" t="n">
        <v>8.02</v>
      </c>
      <c r="R97" s="125" t="n">
        <v>3041</v>
      </c>
      <c r="S97" s="125" t="n">
        <v>1052</v>
      </c>
      <c r="T97" s="125" t="n">
        <v>3501</v>
      </c>
      <c r="U97" s="125" t="n">
        <v>1606</v>
      </c>
      <c r="X97" s="129">
        <f t="array" ref="X97">_xlfn.IFS((D97/F97) &lt;= (640/SQRT($AT$32)), "Compact", L97 &lt;= ($AT$32*(0.79-(0.002*((E97-G97/2)/(2*F97))*SQRT($AT$32)))), "Non-Compact", L97 &gt; ($AT$32*(0.79-(0.002*((E97-G97/2)/(2*F97))*SQRT($AT$32)))), "Slender")</f>
        <v/>
      </c>
      <c r="Y97" s="129">
        <f t="array" ref="Y97">_xlfn.IFS(K97 &lt;= (65/SQRT($AT$32)), "Compact", K97 &lt;= (95/SQRT($AT$32)), "Non-Compact", K97 &gt; (95/SQRT($AT$32)), "Slender")</f>
        <v/>
      </c>
      <c r="Z97" s="125">
        <f>E97/F97</f>
        <v/>
      </c>
      <c r="AA97" s="125">
        <f>D97/G97</f>
        <v/>
      </c>
      <c r="AB97" s="125">
        <f t="array" ref="AB97">_xlfn.IFS(Z97 &lt;= 9, "1", Z97 &lt;= 12, "2", Z97 &lt;= 15, "3", Z97 &gt; 15, "4")</f>
        <v/>
      </c>
      <c r="AC97" s="125">
        <f t="array" ref="AC97">_xlfn.IFS(AA97 &lt;= 200, "1", L97 &lt;= 300, "2", L97 &lt;= 400, "3", L97 &gt; 400, "4")</f>
        <v/>
      </c>
      <c r="AD97" s="129">
        <f>SQRT((((VLOOKUP($AT$4,$A$4:$D$1021,4,FALSE))-D97)^2)+(((VLOOKUP($AT$4,$A$4:$E$1021,5,FALSE))-E97)^2)+(((VLOOKUP($AT$4,$A$4:$N$1021,14,FALSE))-N97)^2)+(((VLOOKUP($AT$4,$A$4:$O$1021,15,FALSE))-O97)^2))</f>
        <v/>
      </c>
      <c r="AG97" s="129">
        <f>SQRT((((VLOOKUP($AT$4,$A$4:$D$1021,4,FALSE))-D97)^2)+(((VLOOKUP($AT$4,$A$4:$E$1021,5,FALSE))-E97)^2)+(((VLOOKUP($AT$4,$A$4:$R$1021,18,FALSE))-R97)^2)+(((VLOOKUP($AT$4,$A$4:$S$1021,19,FALSE))-S97)^2))</f>
        <v/>
      </c>
      <c r="AH97" s="4" t="n"/>
      <c r="AI97" s="4" t="n"/>
      <c r="AJ97" s="125" t="inlineStr">
        <is>
          <t>W12X136</t>
        </is>
      </c>
      <c r="AK97" s="125">
        <f>SQRT(((VLOOKUP($AT$4,$A$4:$J$1021,10,FALSE))-J97)^2)</f>
        <v/>
      </c>
      <c r="AL97" s="125" t="n"/>
      <c r="AM97" s="125" t="n"/>
      <c r="AN97" s="125">
        <f>SQRT(((VLOOKUP($AT$4,$A$4:$R$1021,18,FALSE))-R97)^2)</f>
        <v/>
      </c>
      <c r="AO97" s="125" t="n"/>
      <c r="AP97" s="125" t="n"/>
      <c r="AQ97" s="125" t="inlineStr">
        <is>
          <t>W12X136</t>
        </is>
      </c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125">
        <f>SQRT(($J$1022-J97)^2)</f>
        <v/>
      </c>
      <c r="BC97" s="125">
        <f>SQRT(($R$1022-R97)^2)</f>
        <v/>
      </c>
      <c r="BD97" s="125" t="inlineStr">
        <is>
          <t>W12X136</t>
        </is>
      </c>
      <c r="BI97">
        <f>SQRT(($J$1023-J97)^2)</f>
        <v/>
      </c>
      <c r="BJ97">
        <f>SQRT(($R$1023-R97)^2)</f>
        <v/>
      </c>
      <c r="BK97" s="125" t="inlineStr">
        <is>
          <t>W12X136</t>
        </is>
      </c>
      <c r="BP97">
        <f>SQRT(($J$1024-J97)^2)</f>
        <v/>
      </c>
      <c r="BQ97">
        <f>SQRT(($R$1024-R97)^2)</f>
        <v/>
      </c>
      <c r="BR97" s="125" t="inlineStr">
        <is>
          <t>W12X136</t>
        </is>
      </c>
      <c r="BW97">
        <f>SQRT(($J$1025-J97)^2)</f>
        <v/>
      </c>
      <c r="BX97">
        <f>SQRT(($R$1025-R97)^2)</f>
        <v/>
      </c>
      <c r="BY97" s="125" t="inlineStr">
        <is>
          <t>W12X136</t>
        </is>
      </c>
      <c r="CD97">
        <f>SQRT(($J$1026-J97)^2)</f>
        <v/>
      </c>
      <c r="CE97">
        <f>SQRT(($R$1026-R97)^2)</f>
        <v/>
      </c>
      <c r="CF97" s="125" t="inlineStr">
        <is>
          <t>W12X136</t>
        </is>
      </c>
    </row>
    <row r="98">
      <c r="A98" s="125" t="inlineStr">
        <is>
          <t>W12X152</t>
        </is>
      </c>
      <c r="B98" s="129" t="inlineStr">
        <is>
          <t>AISC</t>
        </is>
      </c>
      <c r="C98" s="125" t="n">
        <v>226.2</v>
      </c>
      <c r="D98" s="125" t="n">
        <v>348.2</v>
      </c>
      <c r="E98" s="125" t="n">
        <v>317</v>
      </c>
      <c r="F98" s="125" t="n">
        <v>35.6</v>
      </c>
      <c r="G98" s="125" t="n">
        <v>22.1</v>
      </c>
      <c r="H98" s="125" t="n">
        <v>15.2</v>
      </c>
      <c r="I98" s="125" t="n">
        <v>246.7</v>
      </c>
      <c r="J98" s="125" t="n">
        <v>289</v>
      </c>
      <c r="K98" s="125">
        <f>((E98-G98)/2)/F98</f>
        <v/>
      </c>
      <c r="L98" s="125">
        <f>I98/G98</f>
        <v/>
      </c>
      <c r="M98" s="125" t="n">
        <v>1.89</v>
      </c>
      <c r="N98" s="125" t="n">
        <v>59610</v>
      </c>
      <c r="O98" s="125" t="n">
        <v>18910</v>
      </c>
      <c r="P98" s="125" t="n">
        <v>14.4</v>
      </c>
      <c r="Q98" s="125" t="n">
        <v>8.09</v>
      </c>
      <c r="R98" s="125" t="n">
        <v>3424</v>
      </c>
      <c r="S98" s="125" t="n">
        <v>1193</v>
      </c>
      <c r="T98" s="125" t="n">
        <v>3975</v>
      </c>
      <c r="U98" s="125" t="n">
        <v>1823</v>
      </c>
      <c r="X98" s="129">
        <f t="array" ref="X98">_xlfn.IFS((D98/F98) &lt;= (640/SQRT($AT$32)), "Compact", L98 &lt;= ($AT$32*(0.79-(0.002*((E98-G98/2)/(2*F98))*SQRT($AT$32)))), "Non-Compact", L98 &gt; ($AT$32*(0.79-(0.002*((E98-G98/2)/(2*F98))*SQRT($AT$32)))), "Slender")</f>
        <v/>
      </c>
      <c r="Y98" s="129">
        <f t="array" ref="Y98">_xlfn.IFS(K98 &lt;= (65/SQRT($AT$32)), "Compact", K98 &lt;= (95/SQRT($AT$32)), "Non-Compact", K98 &gt; (95/SQRT($AT$32)), "Slender")</f>
        <v/>
      </c>
      <c r="Z98" s="125">
        <f>E98/F98</f>
        <v/>
      </c>
      <c r="AA98" s="125">
        <f>D98/G98</f>
        <v/>
      </c>
      <c r="AB98" s="125">
        <f t="array" ref="AB98">_xlfn.IFS(Z98 &lt;= 9, "1", Z98 &lt;= 12, "2", Z98 &lt;= 15, "3", Z98 &gt; 15, "4")</f>
        <v/>
      </c>
      <c r="AC98" s="125">
        <f t="array" ref="AC98">_xlfn.IFS(AA98 &lt;= 200, "1", L98 &lt;= 300, "2", L98 &lt;= 400, "3", L98 &gt; 400, "4")</f>
        <v/>
      </c>
      <c r="AD98" s="129">
        <f>SQRT((((VLOOKUP($AT$4,$A$4:$D$1021,4,FALSE))-D98)^2)+(((VLOOKUP($AT$4,$A$4:$E$1021,5,FALSE))-E98)^2)+(((VLOOKUP($AT$4,$A$4:$N$1021,14,FALSE))-N98)^2)+(((VLOOKUP($AT$4,$A$4:$O$1021,15,FALSE))-O98)^2))</f>
        <v/>
      </c>
      <c r="AG98" s="129">
        <f>SQRT((((VLOOKUP($AT$4,$A$4:$D$1021,4,FALSE))-D98)^2)+(((VLOOKUP($AT$4,$A$4:$E$1021,5,FALSE))-E98)^2)+(((VLOOKUP($AT$4,$A$4:$R$1021,18,FALSE))-R98)^2)+(((VLOOKUP($AT$4,$A$4:$S$1021,19,FALSE))-S98)^2))</f>
        <v/>
      </c>
      <c r="AH98" s="4" t="n"/>
      <c r="AI98" s="4" t="n"/>
      <c r="AJ98" s="125" t="inlineStr">
        <is>
          <t>W12X152</t>
        </is>
      </c>
      <c r="AK98" s="125">
        <f>SQRT(((VLOOKUP($AT$4,$A$4:$J$1021,10,FALSE))-J98)^2)</f>
        <v/>
      </c>
      <c r="AL98" s="125" t="n"/>
      <c r="AM98" s="125" t="n"/>
      <c r="AN98" s="125">
        <f>SQRT(((VLOOKUP($AT$4,$A$4:$R$1021,18,FALSE))-R98)^2)</f>
        <v/>
      </c>
      <c r="AO98" s="125" t="n"/>
      <c r="AP98" s="125" t="n"/>
      <c r="AQ98" s="125" t="inlineStr">
        <is>
          <t>W12X152</t>
        </is>
      </c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125">
        <f>SQRT(($J$1022-J98)^2)</f>
        <v/>
      </c>
      <c r="BC98" s="125">
        <f>SQRT(($R$1022-R98)^2)</f>
        <v/>
      </c>
      <c r="BD98" s="125" t="inlineStr">
        <is>
          <t>W12X152</t>
        </is>
      </c>
      <c r="BI98">
        <f>SQRT(($J$1023-J98)^2)</f>
        <v/>
      </c>
      <c r="BJ98">
        <f>SQRT(($R$1023-R98)^2)</f>
        <v/>
      </c>
      <c r="BK98" s="125" t="inlineStr">
        <is>
          <t>W12X152</t>
        </is>
      </c>
      <c r="BP98">
        <f>SQRT(($J$1024-J98)^2)</f>
        <v/>
      </c>
      <c r="BQ98">
        <f>SQRT(($R$1024-R98)^2)</f>
        <v/>
      </c>
      <c r="BR98" s="125" t="inlineStr">
        <is>
          <t>W12X152</t>
        </is>
      </c>
      <c r="BW98">
        <f>SQRT(($J$1025-J98)^2)</f>
        <v/>
      </c>
      <c r="BX98">
        <f>SQRT(($R$1025-R98)^2)</f>
        <v/>
      </c>
      <c r="BY98" s="125" t="inlineStr">
        <is>
          <t>W12X152</t>
        </is>
      </c>
      <c r="CD98">
        <f>SQRT(($J$1026-J98)^2)</f>
        <v/>
      </c>
      <c r="CE98">
        <f>SQRT(($R$1026-R98)^2)</f>
        <v/>
      </c>
      <c r="CF98" s="125" t="inlineStr">
        <is>
          <t>W12X152</t>
        </is>
      </c>
    </row>
    <row r="99">
      <c r="A99" s="125" t="inlineStr">
        <is>
          <t>W12X161</t>
        </is>
      </c>
      <c r="B99" s="129" t="inlineStr">
        <is>
          <t>AISC</t>
        </is>
      </c>
      <c r="C99" s="125" t="n">
        <v>240</v>
      </c>
      <c r="D99" s="125" t="n">
        <v>352.5</v>
      </c>
      <c r="E99" s="125" t="n">
        <v>318.4</v>
      </c>
      <c r="F99" s="125" t="n">
        <v>37.7</v>
      </c>
      <c r="G99" s="125" t="n">
        <v>23</v>
      </c>
      <c r="H99" s="125" t="n">
        <v>15.2</v>
      </c>
      <c r="I99" s="125" t="n">
        <v>246.7</v>
      </c>
      <c r="J99" s="125" t="n">
        <v>306</v>
      </c>
      <c r="K99" s="125">
        <f>((E99-G99)/2)/F99</f>
        <v/>
      </c>
      <c r="L99" s="125">
        <f>I99/G99</f>
        <v/>
      </c>
      <c r="M99" s="125" t="n">
        <v>1.91</v>
      </c>
      <c r="N99" s="125" t="n">
        <v>64200</v>
      </c>
      <c r="O99" s="125" t="n">
        <v>20320</v>
      </c>
      <c r="P99" s="125" t="n">
        <v>14.5</v>
      </c>
      <c r="Q99" s="125" t="n">
        <v>8.15</v>
      </c>
      <c r="R99" s="125" t="n">
        <v>3643</v>
      </c>
      <c r="S99" s="125" t="n">
        <v>1276</v>
      </c>
      <c r="T99" s="125" t="n">
        <v>4247</v>
      </c>
      <c r="U99" s="125" t="n">
        <v>1951</v>
      </c>
      <c r="X99" s="129">
        <f t="array" ref="X99">_xlfn.IFS((D99/F99) &lt;= (640/SQRT($AT$32)), "Compact", L99 &lt;= ($AT$32*(0.79-(0.002*((E99-G99/2)/(2*F99))*SQRT($AT$32)))), "Non-Compact", L99 &gt; ($AT$32*(0.79-(0.002*((E99-G99/2)/(2*F99))*SQRT($AT$32)))), "Slender")</f>
        <v/>
      </c>
      <c r="Y99" s="129">
        <f t="array" ref="Y99">_xlfn.IFS(K99 &lt;= (65/SQRT($AT$32)), "Compact", K99 &lt;= (95/SQRT($AT$32)), "Non-Compact", K99 &gt; (95/SQRT($AT$32)), "Slender")</f>
        <v/>
      </c>
      <c r="Z99" s="125">
        <f>E99/F99</f>
        <v/>
      </c>
      <c r="AA99" s="125">
        <f>D99/G99</f>
        <v/>
      </c>
      <c r="AB99" s="125">
        <f t="array" ref="AB99">_xlfn.IFS(Z99 &lt;= 9, "1", Z99 &lt;= 12, "2", Z99 &lt;= 15, "3", Z99 &gt; 15, "4")</f>
        <v/>
      </c>
      <c r="AC99" s="125">
        <f t="array" ref="AC99">_xlfn.IFS(AA99 &lt;= 200, "1", L99 &lt;= 300, "2", L99 &lt;= 400, "3", L99 &gt; 400, "4")</f>
        <v/>
      </c>
      <c r="AD99" s="129">
        <f>SQRT((((VLOOKUP($AT$4,$A$4:$D$1021,4,FALSE))-D99)^2)+(((VLOOKUP($AT$4,$A$4:$E$1021,5,FALSE))-E99)^2)+(((VLOOKUP($AT$4,$A$4:$N$1021,14,FALSE))-N99)^2)+(((VLOOKUP($AT$4,$A$4:$O$1021,15,FALSE))-O99)^2))</f>
        <v/>
      </c>
      <c r="AG99" s="129">
        <f>SQRT((((VLOOKUP($AT$4,$A$4:$D$1021,4,FALSE))-D99)^2)+(((VLOOKUP($AT$4,$A$4:$E$1021,5,FALSE))-E99)^2)+(((VLOOKUP($AT$4,$A$4:$R$1021,18,FALSE))-R99)^2)+(((VLOOKUP($AT$4,$A$4:$S$1021,19,FALSE))-S99)^2))</f>
        <v/>
      </c>
      <c r="AH99" s="4" t="n"/>
      <c r="AI99" s="4" t="n"/>
      <c r="AJ99" s="125" t="inlineStr">
        <is>
          <t>W12X161</t>
        </is>
      </c>
      <c r="AK99" s="125">
        <f>SQRT(((VLOOKUP($AT$4,$A$4:$J$1021,10,FALSE))-J99)^2)</f>
        <v/>
      </c>
      <c r="AL99" s="125" t="n"/>
      <c r="AM99" s="125" t="n"/>
      <c r="AN99" s="125">
        <f>SQRT(((VLOOKUP($AT$4,$A$4:$R$1021,18,FALSE))-R99)^2)</f>
        <v/>
      </c>
      <c r="AO99" s="125" t="n"/>
      <c r="AP99" s="125" t="n"/>
      <c r="AQ99" s="125" t="inlineStr">
        <is>
          <t>W12X161</t>
        </is>
      </c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125">
        <f>SQRT(($J$1022-J99)^2)</f>
        <v/>
      </c>
      <c r="BC99" s="125">
        <f>SQRT(($R$1022-R99)^2)</f>
        <v/>
      </c>
      <c r="BD99" s="125" t="inlineStr">
        <is>
          <t>W12X161</t>
        </is>
      </c>
      <c r="BI99">
        <f>SQRT(($J$1023-J99)^2)</f>
        <v/>
      </c>
      <c r="BJ99">
        <f>SQRT(($R$1023-R99)^2)</f>
        <v/>
      </c>
      <c r="BK99" s="125" t="inlineStr">
        <is>
          <t>W12X161</t>
        </is>
      </c>
      <c r="BP99">
        <f>SQRT(($J$1024-J99)^2)</f>
        <v/>
      </c>
      <c r="BQ99">
        <f>SQRT(($R$1024-R99)^2)</f>
        <v/>
      </c>
      <c r="BR99" s="125" t="inlineStr">
        <is>
          <t>W12X161</t>
        </is>
      </c>
      <c r="BW99">
        <f>SQRT(($J$1025-J99)^2)</f>
        <v/>
      </c>
      <c r="BX99">
        <f>SQRT(($R$1025-R99)^2)</f>
        <v/>
      </c>
      <c r="BY99" s="125" t="inlineStr">
        <is>
          <t>W12X161</t>
        </is>
      </c>
      <c r="CD99">
        <f>SQRT(($J$1026-J99)^2)</f>
        <v/>
      </c>
      <c r="CE99">
        <f>SQRT(($R$1026-R99)^2)</f>
        <v/>
      </c>
      <c r="CF99" s="125" t="inlineStr">
        <is>
          <t>W12X161</t>
        </is>
      </c>
    </row>
    <row r="100">
      <c r="A100" s="125" t="inlineStr">
        <is>
          <t>W12X170</t>
        </is>
      </c>
      <c r="B100" s="129" t="inlineStr">
        <is>
          <t>AISC</t>
        </is>
      </c>
      <c r="C100" s="125" t="n">
        <v>253</v>
      </c>
      <c r="D100" s="125" t="n">
        <v>356.4</v>
      </c>
      <c r="E100" s="125" t="n">
        <v>319.3</v>
      </c>
      <c r="F100" s="125" t="n">
        <v>39.6</v>
      </c>
      <c r="G100" s="125" t="n">
        <v>24.4</v>
      </c>
      <c r="H100" s="125" t="n">
        <v>15.2</v>
      </c>
      <c r="I100" s="125" t="n">
        <v>246.8</v>
      </c>
      <c r="J100" s="125" t="n">
        <v>323</v>
      </c>
      <c r="K100" s="125">
        <f>((E100-G100)/2)/F100</f>
        <v/>
      </c>
      <c r="L100" s="125">
        <f>I100/G100</f>
        <v/>
      </c>
      <c r="M100" s="125" t="n">
        <v>1.92</v>
      </c>
      <c r="N100" s="125" t="n">
        <v>68490</v>
      </c>
      <c r="O100" s="125" t="n">
        <v>21540</v>
      </c>
      <c r="P100" s="125" t="n">
        <v>14.6</v>
      </c>
      <c r="Q100" s="125" t="n">
        <v>8.17</v>
      </c>
      <c r="R100" s="125" t="n">
        <v>3844</v>
      </c>
      <c r="S100" s="125" t="n">
        <v>1349</v>
      </c>
      <c r="T100" s="125" t="n">
        <v>4502</v>
      </c>
      <c r="U100" s="125" t="n">
        <v>2064</v>
      </c>
      <c r="X100" s="129">
        <f t="array" ref="X100">_xlfn.IFS((D100/F100) &lt;= (640/SQRT($AT$32)), "Compact", L100 &lt;= ($AT$32*(0.79-(0.002*((E100-G100/2)/(2*F100))*SQRT($AT$32)))), "Non-Compact", L100 &gt; ($AT$32*(0.79-(0.002*((E100-G100/2)/(2*F100))*SQRT($AT$32)))), "Slender")</f>
        <v/>
      </c>
      <c r="Y100" s="129">
        <f t="array" ref="Y100">_xlfn.IFS(K100 &lt;= (65/SQRT($AT$32)), "Compact", K100 &lt;= (95/SQRT($AT$32)), "Non-Compact", K100 &gt; (95/SQRT($AT$32)), "Slender")</f>
        <v/>
      </c>
      <c r="Z100" s="125">
        <f>E100/F100</f>
        <v/>
      </c>
      <c r="AA100" s="125">
        <f>D100/G100</f>
        <v/>
      </c>
      <c r="AB100" s="125">
        <f t="array" ref="AB100">_xlfn.IFS(Z100 &lt;= 9, "1", Z100 &lt;= 12, "2", Z100 &lt;= 15, "3", Z100 &gt; 15, "4")</f>
        <v/>
      </c>
      <c r="AC100" s="125">
        <f t="array" ref="AC100">_xlfn.IFS(AA100 &lt;= 200, "1", L100 &lt;= 300, "2", L100 &lt;= 400, "3", L100 &gt; 400, "4")</f>
        <v/>
      </c>
      <c r="AD100" s="129">
        <f>SQRT((((VLOOKUP($AT$4,$A$4:$D$1021,4,FALSE))-D100)^2)+(((VLOOKUP($AT$4,$A$4:$E$1021,5,FALSE))-E100)^2)+(((VLOOKUP($AT$4,$A$4:$N$1021,14,FALSE))-N100)^2)+(((VLOOKUP($AT$4,$A$4:$O$1021,15,FALSE))-O100)^2))</f>
        <v/>
      </c>
      <c r="AG100" s="129">
        <f>SQRT((((VLOOKUP($AT$4,$A$4:$D$1021,4,FALSE))-D100)^2)+(((VLOOKUP($AT$4,$A$4:$E$1021,5,FALSE))-E100)^2)+(((VLOOKUP($AT$4,$A$4:$R$1021,18,FALSE))-R100)^2)+(((VLOOKUP($AT$4,$A$4:$S$1021,19,FALSE))-S100)^2))</f>
        <v/>
      </c>
      <c r="AH100" s="4" t="n"/>
      <c r="AI100" s="4" t="n"/>
      <c r="AJ100" s="125" t="inlineStr">
        <is>
          <t>W12X170</t>
        </is>
      </c>
      <c r="AK100" s="125">
        <f>SQRT(((VLOOKUP($AT$4,$A$4:$J$1021,10,FALSE))-J100)^2)</f>
        <v/>
      </c>
      <c r="AL100" s="125" t="n"/>
      <c r="AM100" s="125" t="n"/>
      <c r="AN100" s="125">
        <f>SQRT(((VLOOKUP($AT$4,$A$4:$R$1021,18,FALSE))-R100)^2)</f>
        <v/>
      </c>
      <c r="AO100" s="125" t="n"/>
      <c r="AP100" s="125" t="n"/>
      <c r="AQ100" s="125" t="inlineStr">
        <is>
          <t>W12X170</t>
        </is>
      </c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125">
        <f>SQRT(($J$1022-J100)^2)</f>
        <v/>
      </c>
      <c r="BC100" s="125">
        <f>SQRT(($R$1022-R100)^2)</f>
        <v/>
      </c>
      <c r="BD100" s="125" t="inlineStr">
        <is>
          <t>W12X170</t>
        </is>
      </c>
      <c r="BI100">
        <f>SQRT(($J$1023-J100)^2)</f>
        <v/>
      </c>
      <c r="BJ100">
        <f>SQRT(($R$1023-R100)^2)</f>
        <v/>
      </c>
      <c r="BK100" s="125" t="inlineStr">
        <is>
          <t>W12X170</t>
        </is>
      </c>
      <c r="BP100">
        <f>SQRT(($J$1024-J100)^2)</f>
        <v/>
      </c>
      <c r="BQ100">
        <f>SQRT(($R$1024-R100)^2)</f>
        <v/>
      </c>
      <c r="BR100" s="125" t="inlineStr">
        <is>
          <t>W12X170</t>
        </is>
      </c>
      <c r="BW100">
        <f>SQRT(($J$1025-J100)^2)</f>
        <v/>
      </c>
      <c r="BX100">
        <f>SQRT(($R$1025-R100)^2)</f>
        <v/>
      </c>
      <c r="BY100" s="125" t="inlineStr">
        <is>
          <t>W12X170</t>
        </is>
      </c>
      <c r="CD100">
        <f>SQRT(($J$1026-J100)^2)</f>
        <v/>
      </c>
      <c r="CE100">
        <f>SQRT(($R$1026-R100)^2)</f>
        <v/>
      </c>
      <c r="CF100" s="125" t="inlineStr">
        <is>
          <t>W12X170</t>
        </is>
      </c>
    </row>
    <row r="101">
      <c r="A101" s="125" t="inlineStr">
        <is>
          <t>W12X190</t>
        </is>
      </c>
      <c r="B101" s="129" t="inlineStr">
        <is>
          <t>AISC</t>
        </is>
      </c>
      <c r="C101" s="125" t="n">
        <v>282.9</v>
      </c>
      <c r="D101" s="125" t="n">
        <v>365.3</v>
      </c>
      <c r="E101" s="125" t="n">
        <v>322.2</v>
      </c>
      <c r="F101" s="125" t="n">
        <v>44.1</v>
      </c>
      <c r="G101" s="125" t="n">
        <v>26.8</v>
      </c>
      <c r="H101" s="125" t="n">
        <v>15.2</v>
      </c>
      <c r="I101" s="125" t="n">
        <v>246.7</v>
      </c>
      <c r="J101" s="125" t="n">
        <v>360</v>
      </c>
      <c r="K101" s="125">
        <f>((E101-G101)/2)/F101</f>
        <v/>
      </c>
      <c r="L101" s="125">
        <f>I101/G101</f>
        <v/>
      </c>
      <c r="M101" s="125" t="n">
        <v>1.94</v>
      </c>
      <c r="N101" s="125" t="n">
        <v>78870</v>
      </c>
      <c r="O101" s="125" t="n">
        <v>24640</v>
      </c>
      <c r="P101" s="125" t="n">
        <v>14.8</v>
      </c>
      <c r="Q101" s="125" t="n">
        <v>8.27</v>
      </c>
      <c r="R101" s="125" t="n">
        <v>4318</v>
      </c>
      <c r="S101" s="125" t="n">
        <v>1529</v>
      </c>
      <c r="T101" s="125" t="n">
        <v>5105</v>
      </c>
      <c r="U101" s="125" t="n">
        <v>2342</v>
      </c>
      <c r="X101" s="129">
        <f t="array" ref="X101">_xlfn.IFS((D101/F101) &lt;= (640/SQRT($AT$32)), "Compact", L101 &lt;= ($AT$32*(0.79-(0.002*((E101-G101/2)/(2*F101))*SQRT($AT$32)))), "Non-Compact", L101 &gt; ($AT$32*(0.79-(0.002*((E101-G101/2)/(2*F101))*SQRT($AT$32)))), "Slender")</f>
        <v/>
      </c>
      <c r="Y101" s="129">
        <f t="array" ref="Y101">_xlfn.IFS(K101 &lt;= (65/SQRT($AT$32)), "Compact", K101 &lt;= (95/SQRT($AT$32)), "Non-Compact", K101 &gt; (95/SQRT($AT$32)), "Slender")</f>
        <v/>
      </c>
      <c r="Z101" s="125">
        <f>E101/F101</f>
        <v/>
      </c>
      <c r="AA101" s="125">
        <f>D101/G101</f>
        <v/>
      </c>
      <c r="AB101" s="125">
        <f t="array" ref="AB101">_xlfn.IFS(Z101 &lt;= 9, "1", Z101 &lt;= 12, "2", Z101 &lt;= 15, "3", Z101 &gt; 15, "4")</f>
        <v/>
      </c>
      <c r="AC101" s="125">
        <f t="array" ref="AC101">_xlfn.IFS(AA101 &lt;= 200, "1", L101 &lt;= 300, "2", L101 &lt;= 400, "3", L101 &gt; 400, "4")</f>
        <v/>
      </c>
      <c r="AD101" s="129">
        <f>SQRT((((VLOOKUP($AT$4,$A$4:$D$1021,4,FALSE))-D101)^2)+(((VLOOKUP($AT$4,$A$4:$E$1021,5,FALSE))-E101)^2)+(((VLOOKUP($AT$4,$A$4:$N$1021,14,FALSE))-N101)^2)+(((VLOOKUP($AT$4,$A$4:$O$1021,15,FALSE))-O101)^2))</f>
        <v/>
      </c>
      <c r="AG101" s="129">
        <f>SQRT((((VLOOKUP($AT$4,$A$4:$D$1021,4,FALSE))-D101)^2)+(((VLOOKUP($AT$4,$A$4:$E$1021,5,FALSE))-E101)^2)+(((VLOOKUP($AT$4,$A$4:$R$1021,18,FALSE))-R101)^2)+(((VLOOKUP($AT$4,$A$4:$S$1021,19,FALSE))-S101)^2))</f>
        <v/>
      </c>
      <c r="AH101" s="4" t="n"/>
      <c r="AI101" s="4" t="n"/>
      <c r="AJ101" s="125" t="inlineStr">
        <is>
          <t>W12X190</t>
        </is>
      </c>
      <c r="AK101" s="125">
        <f>SQRT(((VLOOKUP($AT$4,$A$4:$J$1021,10,FALSE))-J101)^2)</f>
        <v/>
      </c>
      <c r="AL101" s="125" t="n"/>
      <c r="AM101" s="125" t="n"/>
      <c r="AN101" s="125">
        <f>SQRT(((VLOOKUP($AT$4,$A$4:$R$1021,18,FALSE))-R101)^2)</f>
        <v/>
      </c>
      <c r="AO101" s="125" t="n"/>
      <c r="AP101" s="125" t="n"/>
      <c r="AQ101" s="125" t="inlineStr">
        <is>
          <t>W12X190</t>
        </is>
      </c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125">
        <f>SQRT(($J$1022-J101)^2)</f>
        <v/>
      </c>
      <c r="BC101" s="125">
        <f>SQRT(($R$1022-R101)^2)</f>
        <v/>
      </c>
      <c r="BD101" s="125" t="inlineStr">
        <is>
          <t>W12X190</t>
        </is>
      </c>
      <c r="BI101">
        <f>SQRT(($J$1023-J101)^2)</f>
        <v/>
      </c>
      <c r="BJ101">
        <f>SQRT(($R$1023-R101)^2)</f>
        <v/>
      </c>
      <c r="BK101" s="125" t="inlineStr">
        <is>
          <t>W12X190</t>
        </is>
      </c>
      <c r="BP101">
        <f>SQRT(($J$1024-J101)^2)</f>
        <v/>
      </c>
      <c r="BQ101">
        <f>SQRT(($R$1024-R101)^2)</f>
        <v/>
      </c>
      <c r="BR101" s="125" t="inlineStr">
        <is>
          <t>W12X190</t>
        </is>
      </c>
      <c r="BW101">
        <f>SQRT(($J$1025-J101)^2)</f>
        <v/>
      </c>
      <c r="BX101">
        <f>SQRT(($R$1025-R101)^2)</f>
        <v/>
      </c>
      <c r="BY101" s="125" t="inlineStr">
        <is>
          <t>W12X190</t>
        </is>
      </c>
      <c r="CD101">
        <f>SQRT(($J$1026-J101)^2)</f>
        <v/>
      </c>
      <c r="CE101">
        <f>SQRT(($R$1026-R101)^2)</f>
        <v/>
      </c>
      <c r="CF101" s="125" t="inlineStr">
        <is>
          <t>W12X190</t>
        </is>
      </c>
    </row>
    <row r="102">
      <c r="A102" s="125" t="inlineStr">
        <is>
          <t>W12X210</t>
        </is>
      </c>
      <c r="B102" s="129" t="inlineStr">
        <is>
          <t>AISC</t>
        </is>
      </c>
      <c r="C102" s="125" t="n">
        <v>312.5</v>
      </c>
      <c r="D102" s="125" t="n">
        <v>373.6</v>
      </c>
      <c r="E102" s="125" t="n">
        <v>324.9</v>
      </c>
      <c r="F102" s="125" t="n">
        <v>48.3</v>
      </c>
      <c r="G102" s="125" t="n">
        <v>30</v>
      </c>
      <c r="H102" s="125" t="n">
        <v>15.2</v>
      </c>
      <c r="I102" s="125" t="n">
        <v>246.7</v>
      </c>
      <c r="J102" s="125" t="n">
        <v>399</v>
      </c>
      <c r="K102" s="125">
        <f>((E102-G102)/2)/F102</f>
        <v/>
      </c>
      <c r="L102" s="125">
        <f>I102/G102</f>
        <v/>
      </c>
      <c r="M102" s="125" t="n">
        <v>1.96</v>
      </c>
      <c r="N102" s="125" t="n">
        <v>89270</v>
      </c>
      <c r="O102" s="125" t="n">
        <v>27660</v>
      </c>
      <c r="P102" s="125" t="n">
        <v>15</v>
      </c>
      <c r="Q102" s="125" t="n">
        <v>8.33</v>
      </c>
      <c r="R102" s="125" t="n">
        <v>4779</v>
      </c>
      <c r="S102" s="125" t="n">
        <v>1702</v>
      </c>
      <c r="T102" s="125" t="n">
        <v>5703</v>
      </c>
      <c r="U102" s="125" t="n">
        <v>2613</v>
      </c>
      <c r="X102" s="129">
        <f t="array" ref="X102">_xlfn.IFS((D102/F102) &lt;= (640/SQRT($AT$32)), "Compact", L102 &lt;= ($AT$32*(0.79-(0.002*((E102-G102/2)/(2*F102))*SQRT($AT$32)))), "Non-Compact", L102 &gt; ($AT$32*(0.79-(0.002*((E102-G102/2)/(2*F102))*SQRT($AT$32)))), "Slender")</f>
        <v/>
      </c>
      <c r="Y102" s="129">
        <f t="array" ref="Y102">_xlfn.IFS(K102 &lt;= (65/SQRT($AT$32)), "Compact", K102 &lt;= (95/SQRT($AT$32)), "Non-Compact", K102 &gt; (95/SQRT($AT$32)), "Slender")</f>
        <v/>
      </c>
      <c r="Z102" s="125">
        <f>E102/F102</f>
        <v/>
      </c>
      <c r="AA102" s="125">
        <f>D102/G102</f>
        <v/>
      </c>
      <c r="AB102" s="125">
        <f t="array" ref="AB102">_xlfn.IFS(Z102 &lt;= 9, "1", Z102 &lt;= 12, "2", Z102 &lt;= 15, "3", Z102 &gt; 15, "4")</f>
        <v/>
      </c>
      <c r="AC102" s="125">
        <f t="array" ref="AC102">_xlfn.IFS(AA102 &lt;= 200, "1", L102 &lt;= 300, "2", L102 &lt;= 400, "3", L102 &gt; 400, "4")</f>
        <v/>
      </c>
      <c r="AD102" s="129">
        <f>SQRT((((VLOOKUP($AT$4,$A$4:$D$1021,4,FALSE))-D102)^2)+(((VLOOKUP($AT$4,$A$4:$E$1021,5,FALSE))-E102)^2)+(((VLOOKUP($AT$4,$A$4:$N$1021,14,FALSE))-N102)^2)+(((VLOOKUP($AT$4,$A$4:$O$1021,15,FALSE))-O102)^2))</f>
        <v/>
      </c>
      <c r="AG102" s="129">
        <f>SQRT((((VLOOKUP($AT$4,$A$4:$D$1021,4,FALSE))-D102)^2)+(((VLOOKUP($AT$4,$A$4:$E$1021,5,FALSE))-E102)^2)+(((VLOOKUP($AT$4,$A$4:$R$1021,18,FALSE))-R102)^2)+(((VLOOKUP($AT$4,$A$4:$S$1021,19,FALSE))-S102)^2))</f>
        <v/>
      </c>
      <c r="AH102" s="4" t="n"/>
      <c r="AI102" s="4" t="n"/>
      <c r="AJ102" s="125" t="inlineStr">
        <is>
          <t>W12X210</t>
        </is>
      </c>
      <c r="AK102" s="125">
        <f>SQRT(((VLOOKUP($AT$4,$A$4:$J$1021,10,FALSE))-J102)^2)</f>
        <v/>
      </c>
      <c r="AL102" s="125" t="n"/>
      <c r="AM102" s="125" t="n"/>
      <c r="AN102" s="125">
        <f>SQRT(((VLOOKUP($AT$4,$A$4:$R$1021,18,FALSE))-R102)^2)</f>
        <v/>
      </c>
      <c r="AO102" s="125" t="n"/>
      <c r="AP102" s="125" t="n"/>
      <c r="AQ102" s="125" t="inlineStr">
        <is>
          <t>W12X210</t>
        </is>
      </c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125">
        <f>SQRT(($J$1022-J102)^2)</f>
        <v/>
      </c>
      <c r="BC102" s="125">
        <f>SQRT(($R$1022-R102)^2)</f>
        <v/>
      </c>
      <c r="BD102" s="125" t="inlineStr">
        <is>
          <t>W12X210</t>
        </is>
      </c>
      <c r="BI102">
        <f>SQRT(($J$1023-J102)^2)</f>
        <v/>
      </c>
      <c r="BJ102">
        <f>SQRT(($R$1023-R102)^2)</f>
        <v/>
      </c>
      <c r="BK102" s="125" t="inlineStr">
        <is>
          <t>W12X210</t>
        </is>
      </c>
      <c r="BP102">
        <f>SQRT(($J$1024-J102)^2)</f>
        <v/>
      </c>
      <c r="BQ102">
        <f>SQRT(($R$1024-R102)^2)</f>
        <v/>
      </c>
      <c r="BR102" s="125" t="inlineStr">
        <is>
          <t>W12X210</t>
        </is>
      </c>
      <c r="BW102">
        <f>SQRT(($J$1025-J102)^2)</f>
        <v/>
      </c>
      <c r="BX102">
        <f>SQRT(($R$1025-R102)^2)</f>
        <v/>
      </c>
      <c r="BY102" s="125" t="inlineStr">
        <is>
          <t>W12X210</t>
        </is>
      </c>
      <c r="CD102">
        <f>SQRT(($J$1026-J102)^2)</f>
        <v/>
      </c>
      <c r="CE102">
        <f>SQRT(($R$1026-R102)^2)</f>
        <v/>
      </c>
      <c r="CF102" s="125" t="inlineStr">
        <is>
          <t>W12X210</t>
        </is>
      </c>
    </row>
    <row r="103">
      <c r="A103" s="125" t="inlineStr">
        <is>
          <t>W12X230</t>
        </is>
      </c>
      <c r="B103" s="129" t="inlineStr">
        <is>
          <t>AISC</t>
        </is>
      </c>
      <c r="C103" s="125" t="n">
        <v>342</v>
      </c>
      <c r="D103" s="125" t="n">
        <v>382.3</v>
      </c>
      <c r="E103" s="125" t="n">
        <v>327.5</v>
      </c>
      <c r="F103" s="125" t="n">
        <v>52.6</v>
      </c>
      <c r="G103" s="125" t="n">
        <v>32.6</v>
      </c>
      <c r="H103" s="125" t="n">
        <v>15.2</v>
      </c>
      <c r="I103" s="125" t="n">
        <v>246.7</v>
      </c>
      <c r="J103" s="125" t="n">
        <v>437</v>
      </c>
      <c r="K103" s="125">
        <f>((E103-G103)/2)/F103</f>
        <v/>
      </c>
      <c r="L103" s="125">
        <f>I103/G103</f>
        <v/>
      </c>
      <c r="M103" s="125" t="n">
        <v>1.98</v>
      </c>
      <c r="N103" s="125" t="n">
        <v>100600</v>
      </c>
      <c r="O103" s="125" t="n">
        <v>30880</v>
      </c>
      <c r="P103" s="125" t="n">
        <v>15.2</v>
      </c>
      <c r="Q103" s="125" t="n">
        <v>8.41</v>
      </c>
      <c r="R103" s="125" t="n">
        <v>5261</v>
      </c>
      <c r="S103" s="125" t="n">
        <v>1886</v>
      </c>
      <c r="T103" s="125" t="n">
        <v>6332</v>
      </c>
      <c r="U103" s="125" t="n">
        <v>2898</v>
      </c>
      <c r="X103" s="129">
        <f t="array" ref="X103">_xlfn.IFS((D103/F103) &lt;= (640/SQRT($AT$32)), "Compact", L103 &lt;= ($AT$32*(0.79-(0.002*((E103-G103/2)/(2*F103))*SQRT($AT$32)))), "Non-Compact", L103 &gt; ($AT$32*(0.79-(0.002*((E103-G103/2)/(2*F103))*SQRT($AT$32)))), "Slender")</f>
        <v/>
      </c>
      <c r="Y103" s="129">
        <f t="array" ref="Y103">_xlfn.IFS(K103 &lt;= (65/SQRT($AT$32)), "Compact", K103 &lt;= (95/SQRT($AT$32)), "Non-Compact", K103 &gt; (95/SQRT($AT$32)), "Slender")</f>
        <v/>
      </c>
      <c r="Z103" s="125">
        <f>E103/F103</f>
        <v/>
      </c>
      <c r="AA103" s="125">
        <f>D103/G103</f>
        <v/>
      </c>
      <c r="AB103" s="125">
        <f t="array" ref="AB103">_xlfn.IFS(Z103 &lt;= 9, "1", Z103 &lt;= 12, "2", Z103 &lt;= 15, "3", Z103 &gt; 15, "4")</f>
        <v/>
      </c>
      <c r="AC103" s="125">
        <f t="array" ref="AC103">_xlfn.IFS(AA103 &lt;= 200, "1", L103 &lt;= 300, "2", L103 &lt;= 400, "3", L103 &gt; 400, "4")</f>
        <v/>
      </c>
      <c r="AD103" s="129">
        <f>SQRT((((VLOOKUP($AT$4,$A$4:$D$1021,4,FALSE))-D103)^2)+(((VLOOKUP($AT$4,$A$4:$E$1021,5,FALSE))-E103)^2)+(((VLOOKUP($AT$4,$A$4:$N$1021,14,FALSE))-N103)^2)+(((VLOOKUP($AT$4,$A$4:$O$1021,15,FALSE))-O103)^2))</f>
        <v/>
      </c>
      <c r="AG103" s="129">
        <f>SQRT((((VLOOKUP($AT$4,$A$4:$D$1021,4,FALSE))-D103)^2)+(((VLOOKUP($AT$4,$A$4:$E$1021,5,FALSE))-E103)^2)+(((VLOOKUP($AT$4,$A$4:$R$1021,18,FALSE))-R103)^2)+(((VLOOKUP($AT$4,$A$4:$S$1021,19,FALSE))-S103)^2))</f>
        <v/>
      </c>
      <c r="AH103" s="4" t="n"/>
      <c r="AI103" s="4" t="n"/>
      <c r="AJ103" s="125" t="inlineStr">
        <is>
          <t>W12X230</t>
        </is>
      </c>
      <c r="AK103" s="125">
        <f>SQRT(((VLOOKUP($AT$4,$A$4:$J$1021,10,FALSE))-J103)^2)</f>
        <v/>
      </c>
      <c r="AL103" s="125" t="n"/>
      <c r="AM103" s="125" t="n"/>
      <c r="AN103" s="125">
        <f>SQRT(((VLOOKUP($AT$4,$A$4:$R$1021,18,FALSE))-R103)^2)</f>
        <v/>
      </c>
      <c r="AO103" s="125" t="n"/>
      <c r="AP103" s="125" t="n"/>
      <c r="AQ103" s="125" t="inlineStr">
        <is>
          <t>W12X230</t>
        </is>
      </c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125">
        <f>SQRT(($J$1022-J103)^2)</f>
        <v/>
      </c>
      <c r="BC103" s="125">
        <f>SQRT(($R$1022-R103)^2)</f>
        <v/>
      </c>
      <c r="BD103" s="125" t="inlineStr">
        <is>
          <t>W12X230</t>
        </is>
      </c>
      <c r="BI103">
        <f>SQRT(($J$1023-J103)^2)</f>
        <v/>
      </c>
      <c r="BJ103">
        <f>SQRT(($R$1023-R103)^2)</f>
        <v/>
      </c>
      <c r="BK103" s="125" t="inlineStr">
        <is>
          <t>W12X230</t>
        </is>
      </c>
      <c r="BP103">
        <f>SQRT(($J$1024-J103)^2)</f>
        <v/>
      </c>
      <c r="BQ103">
        <f>SQRT(($R$1024-R103)^2)</f>
        <v/>
      </c>
      <c r="BR103" s="125" t="inlineStr">
        <is>
          <t>W12X230</t>
        </is>
      </c>
      <c r="BW103">
        <f>SQRT(($J$1025-J103)^2)</f>
        <v/>
      </c>
      <c r="BX103">
        <f>SQRT(($R$1025-R103)^2)</f>
        <v/>
      </c>
      <c r="BY103" s="125" t="inlineStr">
        <is>
          <t>W12X230</t>
        </is>
      </c>
      <c r="CD103">
        <f>SQRT(($J$1026-J103)^2)</f>
        <v/>
      </c>
      <c r="CE103">
        <f>SQRT(($R$1026-R103)^2)</f>
        <v/>
      </c>
      <c r="CF103" s="125" t="inlineStr">
        <is>
          <t>W12X230</t>
        </is>
      </c>
    </row>
    <row r="104">
      <c r="A104" s="125" t="inlineStr">
        <is>
          <t>W12X252</t>
        </is>
      </c>
      <c r="B104" s="129" t="inlineStr">
        <is>
          <t>AISC</t>
        </is>
      </c>
      <c r="C104" s="125" t="n">
        <v>375</v>
      </c>
      <c r="D104" s="125" t="n">
        <v>391.4</v>
      </c>
      <c r="E104" s="125" t="n">
        <v>330.3</v>
      </c>
      <c r="F104" s="125" t="n">
        <v>57.2</v>
      </c>
      <c r="G104" s="125" t="n">
        <v>35.4</v>
      </c>
      <c r="H104" s="125" t="n">
        <v>15.2</v>
      </c>
      <c r="I104" s="125" t="n">
        <v>246.6</v>
      </c>
      <c r="J104" s="125" t="n">
        <v>478</v>
      </c>
      <c r="K104" s="125">
        <f>((E104-G104)/2)/F104</f>
        <v/>
      </c>
      <c r="L104" s="125">
        <f>I104/G104</f>
        <v/>
      </c>
      <c r="M104" s="125" t="n">
        <v>2.01</v>
      </c>
      <c r="N104" s="125" t="n">
        <v>113200</v>
      </c>
      <c r="O104" s="125" t="n">
        <v>34470</v>
      </c>
      <c r="P104" s="125" t="n">
        <v>15.4</v>
      </c>
      <c r="Q104" s="125" t="n">
        <v>8.49</v>
      </c>
      <c r="R104" s="125" t="n">
        <v>5783</v>
      </c>
      <c r="S104" s="125" t="n">
        <v>2087</v>
      </c>
      <c r="T104" s="125" t="n">
        <v>7020</v>
      </c>
      <c r="U104" s="125" t="n">
        <v>3211</v>
      </c>
      <c r="X104" s="129">
        <f t="array" ref="X104">_xlfn.IFS((D104/F104) &lt;= (640/SQRT($AT$32)), "Compact", L104 &lt;= ($AT$32*(0.79-(0.002*((E104-G104/2)/(2*F104))*SQRT($AT$32)))), "Non-Compact", L104 &gt; ($AT$32*(0.79-(0.002*((E104-G104/2)/(2*F104))*SQRT($AT$32)))), "Slender")</f>
        <v/>
      </c>
      <c r="Y104" s="129">
        <f t="array" ref="Y104">_xlfn.IFS(K104 &lt;= (65/SQRT($AT$32)), "Compact", K104 &lt;= (95/SQRT($AT$32)), "Non-Compact", K104 &gt; (95/SQRT($AT$32)), "Slender")</f>
        <v/>
      </c>
      <c r="Z104" s="125">
        <f>E104/F104</f>
        <v/>
      </c>
      <c r="AA104" s="125">
        <f>D104/G104</f>
        <v/>
      </c>
      <c r="AB104" s="125">
        <f t="array" ref="AB104">_xlfn.IFS(Z104 &lt;= 9, "1", Z104 &lt;= 12, "2", Z104 &lt;= 15, "3", Z104 &gt; 15, "4")</f>
        <v/>
      </c>
      <c r="AC104" s="125">
        <f t="array" ref="AC104">_xlfn.IFS(AA104 &lt;= 200, "1", L104 &lt;= 300, "2", L104 &lt;= 400, "3", L104 &gt; 400, "4")</f>
        <v/>
      </c>
      <c r="AD104" s="129">
        <f>SQRT((((VLOOKUP($AT$4,$A$4:$D$1021,4,FALSE))-D104)^2)+(((VLOOKUP($AT$4,$A$4:$E$1021,5,FALSE))-E104)^2)+(((VLOOKUP($AT$4,$A$4:$N$1021,14,FALSE))-N104)^2)+(((VLOOKUP($AT$4,$A$4:$O$1021,15,FALSE))-O104)^2))</f>
        <v/>
      </c>
      <c r="AG104" s="129">
        <f>SQRT((((VLOOKUP($AT$4,$A$4:$D$1021,4,FALSE))-D104)^2)+(((VLOOKUP($AT$4,$A$4:$E$1021,5,FALSE))-E104)^2)+(((VLOOKUP($AT$4,$A$4:$R$1021,18,FALSE))-R104)^2)+(((VLOOKUP($AT$4,$A$4:$S$1021,19,FALSE))-S104)^2))</f>
        <v/>
      </c>
      <c r="AH104" s="4" t="n"/>
      <c r="AI104" s="4" t="n"/>
      <c r="AJ104" s="125" t="inlineStr">
        <is>
          <t>W12X252</t>
        </is>
      </c>
      <c r="AK104" s="125">
        <f>SQRT(((VLOOKUP($AT$4,$A$4:$J$1021,10,FALSE))-J104)^2)</f>
        <v/>
      </c>
      <c r="AL104" s="125" t="n"/>
      <c r="AM104" s="125" t="n"/>
      <c r="AN104" s="125">
        <f>SQRT(((VLOOKUP($AT$4,$A$4:$R$1021,18,FALSE))-R104)^2)</f>
        <v/>
      </c>
      <c r="AO104" s="125" t="n"/>
      <c r="AP104" s="125" t="n"/>
      <c r="AQ104" s="125" t="inlineStr">
        <is>
          <t>W12X252</t>
        </is>
      </c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125">
        <f>SQRT(($J$1022-J104)^2)</f>
        <v/>
      </c>
      <c r="BC104" s="125">
        <f>SQRT(($R$1022-R104)^2)</f>
        <v/>
      </c>
      <c r="BD104" s="125" t="inlineStr">
        <is>
          <t>W12X252</t>
        </is>
      </c>
      <c r="BI104">
        <f>SQRT(($J$1023-J104)^2)</f>
        <v/>
      </c>
      <c r="BJ104">
        <f>SQRT(($R$1023-R104)^2)</f>
        <v/>
      </c>
      <c r="BK104" s="125" t="inlineStr">
        <is>
          <t>W12X252</t>
        </is>
      </c>
      <c r="BP104">
        <f>SQRT(($J$1024-J104)^2)</f>
        <v/>
      </c>
      <c r="BQ104">
        <f>SQRT(($R$1024-R104)^2)</f>
        <v/>
      </c>
      <c r="BR104" s="125" t="inlineStr">
        <is>
          <t>W12X252</t>
        </is>
      </c>
      <c r="BW104">
        <f>SQRT(($J$1025-J104)^2)</f>
        <v/>
      </c>
      <c r="BX104">
        <f>SQRT(($R$1025-R104)^2)</f>
        <v/>
      </c>
      <c r="BY104" s="125" t="inlineStr">
        <is>
          <t>W12X252</t>
        </is>
      </c>
      <c r="CD104">
        <f>SQRT(($J$1026-J104)^2)</f>
        <v/>
      </c>
      <c r="CE104">
        <f>SQRT(($R$1026-R104)^2)</f>
        <v/>
      </c>
      <c r="CF104" s="125" t="inlineStr">
        <is>
          <t>W12X252</t>
        </is>
      </c>
    </row>
    <row r="105">
      <c r="A105" s="125" t="inlineStr">
        <is>
          <t>W12X278</t>
        </is>
      </c>
      <c r="B105" s="129" t="inlineStr">
        <is>
          <t>AISC</t>
        </is>
      </c>
      <c r="C105" s="125" t="n">
        <v>413.7</v>
      </c>
      <c r="D105" s="125" t="n">
        <v>402.6</v>
      </c>
      <c r="E105" s="125" t="n">
        <v>333.8</v>
      </c>
      <c r="F105" s="125" t="n">
        <v>62.7</v>
      </c>
      <c r="G105" s="125" t="n">
        <v>38.9</v>
      </c>
      <c r="H105" s="125" t="n">
        <v>15.2</v>
      </c>
      <c r="I105" s="125" t="n">
        <v>246.7</v>
      </c>
      <c r="J105" s="125" t="n">
        <v>529</v>
      </c>
      <c r="K105" s="125">
        <f>((E105-G105)/2)/F105</f>
        <v/>
      </c>
      <c r="L105" s="125">
        <f>I105/G105</f>
        <v/>
      </c>
      <c r="M105" s="125" t="n">
        <v>2.04</v>
      </c>
      <c r="N105" s="125" t="n">
        <v>129600</v>
      </c>
      <c r="O105" s="125" t="n">
        <v>39040</v>
      </c>
      <c r="P105" s="125" t="n">
        <v>15.7</v>
      </c>
      <c r="Q105" s="125" t="n">
        <v>8.59</v>
      </c>
      <c r="R105" s="125" t="n">
        <v>6437</v>
      </c>
      <c r="S105" s="125" t="n">
        <v>2339</v>
      </c>
      <c r="T105" s="125" t="n">
        <v>7890</v>
      </c>
      <c r="U105" s="125" t="n">
        <v>3604</v>
      </c>
      <c r="X105" s="129">
        <f t="array" ref="X105">_xlfn.IFS((D105/F105) &lt;= (640/SQRT($AT$32)), "Compact", L105 &lt;= ($AT$32*(0.79-(0.002*((E105-G105/2)/(2*F105))*SQRT($AT$32)))), "Non-Compact", L105 &gt; ($AT$32*(0.79-(0.002*((E105-G105/2)/(2*F105))*SQRT($AT$32)))), "Slender")</f>
        <v/>
      </c>
      <c r="Y105" s="129">
        <f t="array" ref="Y105">_xlfn.IFS(K105 &lt;= (65/SQRT($AT$32)), "Compact", K105 &lt;= (95/SQRT($AT$32)), "Non-Compact", K105 &gt; (95/SQRT($AT$32)), "Slender")</f>
        <v/>
      </c>
      <c r="Z105" s="125">
        <f>E105/F105</f>
        <v/>
      </c>
      <c r="AA105" s="125">
        <f>D105/G105</f>
        <v/>
      </c>
      <c r="AB105" s="125">
        <f t="array" ref="AB105">_xlfn.IFS(Z105 &lt;= 9, "1", Z105 &lt;= 12, "2", Z105 &lt;= 15, "3", Z105 &gt; 15, "4")</f>
        <v/>
      </c>
      <c r="AC105" s="125">
        <f t="array" ref="AC105">_xlfn.IFS(AA105 &lt;= 200, "1", L105 &lt;= 300, "2", L105 &lt;= 400, "3", L105 &gt; 400, "4")</f>
        <v/>
      </c>
      <c r="AD105" s="129">
        <f>SQRT((((VLOOKUP($AT$4,$A$4:$D$1021,4,FALSE))-D105)^2)+(((VLOOKUP($AT$4,$A$4:$E$1021,5,FALSE))-E105)^2)+(((VLOOKUP($AT$4,$A$4:$N$1021,14,FALSE))-N105)^2)+(((VLOOKUP($AT$4,$A$4:$O$1021,15,FALSE))-O105)^2))</f>
        <v/>
      </c>
      <c r="AG105" s="129">
        <f>SQRT((((VLOOKUP($AT$4,$A$4:$D$1021,4,FALSE))-D105)^2)+(((VLOOKUP($AT$4,$A$4:$E$1021,5,FALSE))-E105)^2)+(((VLOOKUP($AT$4,$A$4:$R$1021,18,FALSE))-R105)^2)+(((VLOOKUP($AT$4,$A$4:$S$1021,19,FALSE))-S105)^2))</f>
        <v/>
      </c>
      <c r="AH105" s="4" t="n"/>
      <c r="AI105" s="4" t="n"/>
      <c r="AJ105" s="125" t="inlineStr">
        <is>
          <t>W12X278</t>
        </is>
      </c>
      <c r="AK105" s="125">
        <f>SQRT(((VLOOKUP($AT$4,$A$4:$J$1021,10,FALSE))-J105)^2)</f>
        <v/>
      </c>
      <c r="AL105" s="125" t="n"/>
      <c r="AM105" s="125" t="n"/>
      <c r="AN105" s="125">
        <f>SQRT(((VLOOKUP($AT$4,$A$4:$R$1021,18,FALSE))-R105)^2)</f>
        <v/>
      </c>
      <c r="AO105" s="125" t="n"/>
      <c r="AP105" s="125" t="n"/>
      <c r="AQ105" s="125" t="inlineStr">
        <is>
          <t>W12X278</t>
        </is>
      </c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125">
        <f>SQRT(($J$1022-J105)^2)</f>
        <v/>
      </c>
      <c r="BC105" s="125">
        <f>SQRT(($R$1022-R105)^2)</f>
        <v/>
      </c>
      <c r="BD105" s="125" t="inlineStr">
        <is>
          <t>W12X278</t>
        </is>
      </c>
      <c r="BI105">
        <f>SQRT(($J$1023-J105)^2)</f>
        <v/>
      </c>
      <c r="BJ105">
        <f>SQRT(($R$1023-R105)^2)</f>
        <v/>
      </c>
      <c r="BK105" s="125" t="inlineStr">
        <is>
          <t>W12X278</t>
        </is>
      </c>
      <c r="BP105">
        <f>SQRT(($J$1024-J105)^2)</f>
        <v/>
      </c>
      <c r="BQ105">
        <f>SQRT(($R$1024-R105)^2)</f>
        <v/>
      </c>
      <c r="BR105" s="125" t="inlineStr">
        <is>
          <t>W12X278</t>
        </is>
      </c>
      <c r="BW105">
        <f>SQRT(($J$1025-J105)^2)</f>
        <v/>
      </c>
      <c r="BX105">
        <f>SQRT(($R$1025-R105)^2)</f>
        <v/>
      </c>
      <c r="BY105" s="125" t="inlineStr">
        <is>
          <t>W12X278</t>
        </is>
      </c>
      <c r="CD105">
        <f>SQRT(($J$1026-J105)^2)</f>
        <v/>
      </c>
      <c r="CE105">
        <f>SQRT(($R$1026-R105)^2)</f>
        <v/>
      </c>
      <c r="CF105" s="125" t="inlineStr">
        <is>
          <t>W12X278</t>
        </is>
      </c>
    </row>
    <row r="106">
      <c r="A106" s="125" t="inlineStr">
        <is>
          <t>W12X279</t>
        </is>
      </c>
      <c r="B106" s="129" t="inlineStr">
        <is>
          <t>AISC</t>
        </is>
      </c>
      <c r="C106" s="125" t="n">
        <v>415</v>
      </c>
      <c r="D106" s="125" t="n">
        <v>402.6</v>
      </c>
      <c r="E106" s="125" t="n">
        <v>333.8</v>
      </c>
      <c r="F106" s="125" t="n">
        <v>62.7</v>
      </c>
      <c r="G106" s="125" t="n">
        <v>38.9</v>
      </c>
      <c r="H106" s="125" t="n">
        <v>15.2</v>
      </c>
      <c r="I106" s="125" t="n">
        <v>246.8</v>
      </c>
      <c r="J106" s="125" t="n">
        <v>528</v>
      </c>
      <c r="K106" s="125">
        <f>((E106-G106)/2)/F106</f>
        <v/>
      </c>
      <c r="L106" s="125">
        <f>I106/G106</f>
        <v/>
      </c>
      <c r="M106" s="125" t="n">
        <v>2.04</v>
      </c>
      <c r="N106" s="125" t="n">
        <v>129500</v>
      </c>
      <c r="O106" s="125" t="n">
        <v>39010</v>
      </c>
      <c r="P106" s="125" t="n">
        <v>15.7</v>
      </c>
      <c r="Q106" s="125" t="n">
        <v>8.59</v>
      </c>
      <c r="R106" s="125" t="n">
        <v>6435</v>
      </c>
      <c r="S106" s="125" t="n">
        <v>2338</v>
      </c>
      <c r="T106" s="125" t="n">
        <v>7888</v>
      </c>
      <c r="U106" s="125" t="n">
        <v>3602</v>
      </c>
      <c r="X106" s="129">
        <f t="array" ref="X106">_xlfn.IFS((D106/F106) &lt;= (640/SQRT($AT$32)), "Compact", L106 &lt;= ($AT$32*(0.79-(0.002*((E106-G106/2)/(2*F106))*SQRT($AT$32)))), "Non-Compact", L106 &gt; ($AT$32*(0.79-(0.002*((E106-G106/2)/(2*F106))*SQRT($AT$32)))), "Slender")</f>
        <v/>
      </c>
      <c r="Y106" s="129">
        <f t="array" ref="Y106">_xlfn.IFS(K106 &lt;= (65/SQRT($AT$32)), "Compact", K106 &lt;= (95/SQRT($AT$32)), "Non-Compact", K106 &gt; (95/SQRT($AT$32)), "Slender")</f>
        <v/>
      </c>
      <c r="Z106" s="125">
        <f>E106/F106</f>
        <v/>
      </c>
      <c r="AA106" s="125">
        <f>D106/G106</f>
        <v/>
      </c>
      <c r="AB106" s="125">
        <f t="array" ref="AB106">_xlfn.IFS(Z106 &lt;= 9, "1", Z106 &lt;= 12, "2", Z106 &lt;= 15, "3", Z106 &gt; 15, "4")</f>
        <v/>
      </c>
      <c r="AC106" s="125">
        <f t="array" ref="AC106">_xlfn.IFS(AA106 &lt;= 200, "1", L106 &lt;= 300, "2", L106 &lt;= 400, "3", L106 &gt; 400, "4")</f>
        <v/>
      </c>
      <c r="AD106" s="129">
        <f>SQRT((((VLOOKUP($AT$4,$A$4:$D$1021,4,FALSE))-D106)^2)+(((VLOOKUP($AT$4,$A$4:$E$1021,5,FALSE))-E106)^2)+(((VLOOKUP($AT$4,$A$4:$N$1021,14,FALSE))-N106)^2)+(((VLOOKUP($AT$4,$A$4:$O$1021,15,FALSE))-O106)^2))</f>
        <v/>
      </c>
      <c r="AG106" s="129">
        <f>SQRT((((VLOOKUP($AT$4,$A$4:$D$1021,4,FALSE))-D106)^2)+(((VLOOKUP($AT$4,$A$4:$E$1021,5,FALSE))-E106)^2)+(((VLOOKUP($AT$4,$A$4:$R$1021,18,FALSE))-R106)^2)+(((VLOOKUP($AT$4,$A$4:$S$1021,19,FALSE))-S106)^2))</f>
        <v/>
      </c>
      <c r="AJ106" s="125" t="inlineStr">
        <is>
          <t>W12X279</t>
        </is>
      </c>
      <c r="AK106" s="125">
        <f>SQRT(((VLOOKUP($AT$4,$A$4:$J$1021,10,FALSE))-J106)^2)</f>
        <v/>
      </c>
      <c r="AL106" s="125" t="n"/>
      <c r="AM106" s="125" t="n"/>
      <c r="AN106" s="125">
        <f>SQRT(((VLOOKUP($AT$4,$A$4:$R$1021,18,FALSE))-R106)^2)</f>
        <v/>
      </c>
      <c r="AO106" s="125" t="n"/>
      <c r="AP106" s="125" t="n"/>
      <c r="AQ106" s="125" t="inlineStr">
        <is>
          <t>W12X279</t>
        </is>
      </c>
      <c r="BB106" s="125">
        <f>SQRT(($J$1022-J106)^2)</f>
        <v/>
      </c>
      <c r="BC106" s="125">
        <f>SQRT(($R$1022-R106)^2)</f>
        <v/>
      </c>
      <c r="BD106" s="125" t="inlineStr">
        <is>
          <t>W12X279</t>
        </is>
      </c>
      <c r="BI106">
        <f>SQRT(($J$1023-J106)^2)</f>
        <v/>
      </c>
      <c r="BJ106">
        <f>SQRT(($R$1023-R106)^2)</f>
        <v/>
      </c>
      <c r="BK106" s="125" t="inlineStr">
        <is>
          <t>W12X279</t>
        </is>
      </c>
      <c r="BP106">
        <f>SQRT(($J$1024-J106)^2)</f>
        <v/>
      </c>
      <c r="BQ106">
        <f>SQRT(($R$1024-R106)^2)</f>
        <v/>
      </c>
      <c r="BR106" s="125" t="inlineStr">
        <is>
          <t>W12X279</t>
        </is>
      </c>
      <c r="BW106">
        <f>SQRT(($J$1025-J106)^2)</f>
        <v/>
      </c>
      <c r="BX106">
        <f>SQRT(($R$1025-R106)^2)</f>
        <v/>
      </c>
      <c r="BY106" s="125" t="inlineStr">
        <is>
          <t>W12X279</t>
        </is>
      </c>
      <c r="CD106">
        <f>SQRT(($J$1026-J106)^2)</f>
        <v/>
      </c>
      <c r="CE106">
        <f>SQRT(($R$1026-R106)^2)</f>
        <v/>
      </c>
      <c r="CF106" s="125" t="inlineStr">
        <is>
          <t>W12X279</t>
        </is>
      </c>
    </row>
    <row r="107">
      <c r="A107" s="125" t="inlineStr">
        <is>
          <t>W12X305</t>
        </is>
      </c>
      <c r="B107" s="129" t="inlineStr">
        <is>
          <t>AISC</t>
        </is>
      </c>
      <c r="C107" s="125" t="n">
        <v>454</v>
      </c>
      <c r="D107" s="125" t="n">
        <v>414.5</v>
      </c>
      <c r="E107" s="125" t="n">
        <v>336.2</v>
      </c>
      <c r="F107" s="125" t="n">
        <v>68.7</v>
      </c>
      <c r="G107" s="125" t="n">
        <v>41.3</v>
      </c>
      <c r="H107" s="125" t="n">
        <v>15.2</v>
      </c>
      <c r="I107" s="125" t="n">
        <v>246.7</v>
      </c>
      <c r="J107" s="125" t="n">
        <v>578</v>
      </c>
      <c r="K107" s="125">
        <f>((E107-G107)/2)/F107</f>
        <v/>
      </c>
      <c r="L107" s="125">
        <f>I107/G107</f>
        <v/>
      </c>
      <c r="M107" s="125" t="n">
        <v>2.07</v>
      </c>
      <c r="N107" s="125" t="n">
        <v>147600</v>
      </c>
      <c r="O107" s="125" t="n">
        <v>43690</v>
      </c>
      <c r="P107" s="125" t="n">
        <v>16</v>
      </c>
      <c r="Q107" s="125" t="n">
        <v>8.69</v>
      </c>
      <c r="R107" s="125" t="n">
        <v>7122</v>
      </c>
      <c r="S107" s="125" t="n">
        <v>2599</v>
      </c>
      <c r="T107" s="125" t="n">
        <v>8807</v>
      </c>
      <c r="U107" s="125" t="n">
        <v>4006</v>
      </c>
      <c r="X107" s="129">
        <f t="array" ref="X107">_xlfn.IFS((D107/F107) &lt;= (640/SQRT($AT$32)), "Compact", L107 &lt;= ($AT$32*(0.79-(0.002*((E107-G107/2)/(2*F107))*SQRT($AT$32)))), "Non-Compact", L107 &gt; ($AT$32*(0.79-(0.002*((E107-G107/2)/(2*F107))*SQRT($AT$32)))), "Slender")</f>
        <v/>
      </c>
      <c r="Y107" s="129">
        <f t="array" ref="Y107">_xlfn.IFS(K107 &lt;= (65/SQRT($AT$32)), "Compact", K107 &lt;= (95/SQRT($AT$32)), "Non-Compact", K107 &gt; (95/SQRT($AT$32)), "Slender")</f>
        <v/>
      </c>
      <c r="Z107" s="125">
        <f>E107/F107</f>
        <v/>
      </c>
      <c r="AA107" s="125">
        <f>D107/G107</f>
        <v/>
      </c>
      <c r="AB107" s="125">
        <f t="array" ref="AB107">_xlfn.IFS(Z107 &lt;= 9, "1", Z107 &lt;= 12, "2", Z107 &lt;= 15, "3", Z107 &gt; 15, "4")</f>
        <v/>
      </c>
      <c r="AC107" s="125">
        <f t="array" ref="AC107">_xlfn.IFS(AA107 &lt;= 200, "1", L107 &lt;= 300, "2", L107 &lt;= 400, "3", L107 &gt; 400, "4")</f>
        <v/>
      </c>
      <c r="AD107" s="129">
        <f>SQRT((((VLOOKUP($AT$4,$A$4:$D$1021,4,FALSE))-D107)^2)+(((VLOOKUP($AT$4,$A$4:$E$1021,5,FALSE))-E107)^2)+(((VLOOKUP($AT$4,$A$4:$N$1021,14,FALSE))-N107)^2)+(((VLOOKUP($AT$4,$A$4:$O$1021,15,FALSE))-O107)^2))</f>
        <v/>
      </c>
      <c r="AG107" s="129">
        <f>SQRT((((VLOOKUP($AT$4,$A$4:$D$1021,4,FALSE))-D107)^2)+(((VLOOKUP($AT$4,$A$4:$E$1021,5,FALSE))-E107)^2)+(((VLOOKUP($AT$4,$A$4:$R$1021,18,FALSE))-R107)^2)+(((VLOOKUP($AT$4,$A$4:$S$1021,19,FALSE))-S107)^2))</f>
        <v/>
      </c>
      <c r="AJ107" s="125" t="inlineStr">
        <is>
          <t>W12X305</t>
        </is>
      </c>
      <c r="AK107" s="125">
        <f>SQRT(((VLOOKUP($AT$4,$A$4:$J$1021,10,FALSE))-J107)^2)</f>
        <v/>
      </c>
      <c r="AL107" s="125" t="n"/>
      <c r="AM107" s="125" t="n"/>
      <c r="AN107" s="125">
        <f>SQRT(((VLOOKUP($AT$4,$A$4:$R$1021,18,FALSE))-R107)^2)</f>
        <v/>
      </c>
      <c r="AO107" s="125" t="n"/>
      <c r="AP107" s="125" t="n"/>
      <c r="AQ107" s="125" t="inlineStr">
        <is>
          <t>W12X305</t>
        </is>
      </c>
      <c r="BB107" s="125">
        <f>SQRT(($J$1022-J107)^2)</f>
        <v/>
      </c>
      <c r="BC107" s="125">
        <f>SQRT(($R$1022-R107)^2)</f>
        <v/>
      </c>
      <c r="BD107" s="125" t="inlineStr">
        <is>
          <t>W12X305</t>
        </is>
      </c>
      <c r="BI107">
        <f>SQRT(($J$1023-J107)^2)</f>
        <v/>
      </c>
      <c r="BJ107">
        <f>SQRT(($R$1023-R107)^2)</f>
        <v/>
      </c>
      <c r="BK107" s="125" t="inlineStr">
        <is>
          <t>W12X305</t>
        </is>
      </c>
      <c r="BP107">
        <f>SQRT(($J$1024-J107)^2)</f>
        <v/>
      </c>
      <c r="BQ107">
        <f>SQRT(($R$1024-R107)^2)</f>
        <v/>
      </c>
      <c r="BR107" s="125" t="inlineStr">
        <is>
          <t>W12X305</t>
        </is>
      </c>
      <c r="BW107">
        <f>SQRT(($J$1025-J107)^2)</f>
        <v/>
      </c>
      <c r="BX107">
        <f>SQRT(($R$1025-R107)^2)</f>
        <v/>
      </c>
      <c r="BY107" s="125" t="inlineStr">
        <is>
          <t>W12X305</t>
        </is>
      </c>
      <c r="CD107">
        <f>SQRT(($J$1026-J107)^2)</f>
        <v/>
      </c>
      <c r="CE107">
        <f>SQRT(($R$1026-R107)^2)</f>
        <v/>
      </c>
      <c r="CF107" s="125" t="inlineStr">
        <is>
          <t>W12X305</t>
        </is>
      </c>
    </row>
    <row r="108">
      <c r="A108" s="125" t="inlineStr">
        <is>
          <t>W12X336</t>
        </is>
      </c>
      <c r="B108" s="129" t="inlineStr">
        <is>
          <t>AISC</t>
        </is>
      </c>
      <c r="C108" s="125" t="n">
        <v>500</v>
      </c>
      <c r="D108" s="125" t="n">
        <v>427.2</v>
      </c>
      <c r="E108" s="125" t="n">
        <v>340</v>
      </c>
      <c r="F108" s="125" t="n">
        <v>75.09999999999999</v>
      </c>
      <c r="G108" s="125" t="n">
        <v>45.1</v>
      </c>
      <c r="H108" s="125" t="n">
        <v>15.2</v>
      </c>
      <c r="I108" s="125" t="n">
        <v>246.6</v>
      </c>
      <c r="J108" s="125" t="n">
        <v>638</v>
      </c>
      <c r="K108" s="125">
        <f>((E108-G108)/2)/F108</f>
        <v/>
      </c>
      <c r="L108" s="125">
        <f>I108/G108</f>
        <v/>
      </c>
      <c r="M108" s="125" t="n">
        <v>2.1</v>
      </c>
      <c r="N108" s="125" t="n">
        <v>169000</v>
      </c>
      <c r="O108" s="125" t="n">
        <v>49420</v>
      </c>
      <c r="P108" s="125" t="n">
        <v>16.3</v>
      </c>
      <c r="Q108" s="125" t="n">
        <v>8.800000000000001</v>
      </c>
      <c r="R108" s="125" t="n">
        <v>7913</v>
      </c>
      <c r="S108" s="125" t="n">
        <v>2907</v>
      </c>
      <c r="T108" s="125" t="n">
        <v>9882</v>
      </c>
      <c r="U108" s="125" t="n">
        <v>4487</v>
      </c>
      <c r="X108" s="129">
        <f t="array" ref="X108">_xlfn.IFS((D108/F108) &lt;= (640/SQRT($AT$32)), "Compact", L108 &lt;= ($AT$32*(0.79-(0.002*((E108-G108/2)/(2*F108))*SQRT($AT$32)))), "Non-Compact", L108 &gt; ($AT$32*(0.79-(0.002*((E108-G108/2)/(2*F108))*SQRT($AT$32)))), "Slender")</f>
        <v/>
      </c>
      <c r="Y108" s="129">
        <f t="array" ref="Y108">_xlfn.IFS(K108 &lt;= (65/SQRT($AT$32)), "Compact", K108 &lt;= (95/SQRT($AT$32)), "Non-Compact", K108 &gt; (95/SQRT($AT$32)), "Slender")</f>
        <v/>
      </c>
      <c r="Z108" s="125">
        <f>E108/F108</f>
        <v/>
      </c>
      <c r="AA108" s="125">
        <f>D108/G108</f>
        <v/>
      </c>
      <c r="AB108" s="125">
        <f t="array" ref="AB108">_xlfn.IFS(Z108 &lt;= 9, "1", Z108 &lt;= 12, "2", Z108 &lt;= 15, "3", Z108 &gt; 15, "4")</f>
        <v/>
      </c>
      <c r="AC108" s="125">
        <f t="array" ref="AC108">_xlfn.IFS(AA108 &lt;= 200, "1", L108 &lt;= 300, "2", L108 &lt;= 400, "3", L108 &gt; 400, "4")</f>
        <v/>
      </c>
      <c r="AD108" s="129">
        <f>SQRT((((VLOOKUP($AT$4,$A$4:$D$1021,4,FALSE))-D108)^2)+(((VLOOKUP($AT$4,$A$4:$E$1021,5,FALSE))-E108)^2)+(((VLOOKUP($AT$4,$A$4:$N$1021,14,FALSE))-N108)^2)+(((VLOOKUP($AT$4,$A$4:$O$1021,15,FALSE))-O108)^2))</f>
        <v/>
      </c>
      <c r="AG108" s="129">
        <f>SQRT((((VLOOKUP($AT$4,$A$4:$D$1021,4,FALSE))-D108)^2)+(((VLOOKUP($AT$4,$A$4:$E$1021,5,FALSE))-E108)^2)+(((VLOOKUP($AT$4,$A$4:$R$1021,18,FALSE))-R108)^2)+(((VLOOKUP($AT$4,$A$4:$S$1021,19,FALSE))-S108)^2))</f>
        <v/>
      </c>
      <c r="AJ108" s="125" t="inlineStr">
        <is>
          <t>W12X336</t>
        </is>
      </c>
      <c r="AK108" s="125">
        <f>SQRT(((VLOOKUP($AT$4,$A$4:$J$1021,10,FALSE))-J108)^2)</f>
        <v/>
      </c>
      <c r="AL108" s="125" t="n"/>
      <c r="AM108" s="125" t="n"/>
      <c r="AN108" s="125">
        <f>SQRT(((VLOOKUP($AT$4,$A$4:$R$1021,18,FALSE))-R108)^2)</f>
        <v/>
      </c>
      <c r="AO108" s="125" t="n"/>
      <c r="AP108" s="125" t="n"/>
      <c r="AQ108" s="125" t="inlineStr">
        <is>
          <t>W12X336</t>
        </is>
      </c>
      <c r="BB108" s="125">
        <f>SQRT(($J$1022-J108)^2)</f>
        <v/>
      </c>
      <c r="BC108" s="125">
        <f>SQRT(($R$1022-R108)^2)</f>
        <v/>
      </c>
      <c r="BD108" s="125" t="inlineStr">
        <is>
          <t>W12X336</t>
        </is>
      </c>
      <c r="BI108">
        <f>SQRT(($J$1023-J108)^2)</f>
        <v/>
      </c>
      <c r="BJ108">
        <f>SQRT(($R$1023-R108)^2)</f>
        <v/>
      </c>
      <c r="BK108" s="125" t="inlineStr">
        <is>
          <t>W12X336</t>
        </is>
      </c>
      <c r="BP108">
        <f>SQRT(($J$1024-J108)^2)</f>
        <v/>
      </c>
      <c r="BQ108">
        <f>SQRT(($R$1024-R108)^2)</f>
        <v/>
      </c>
      <c r="BR108" s="125" t="inlineStr">
        <is>
          <t>W12X336</t>
        </is>
      </c>
      <c r="BW108">
        <f>SQRT(($J$1025-J108)^2)</f>
        <v/>
      </c>
      <c r="BX108">
        <f>SQRT(($R$1025-R108)^2)</f>
        <v/>
      </c>
      <c r="BY108" s="125" t="inlineStr">
        <is>
          <t>W12X336</t>
        </is>
      </c>
      <c r="CD108">
        <f>SQRT(($J$1026-J108)^2)</f>
        <v/>
      </c>
      <c r="CE108">
        <f>SQRT(($R$1026-R108)^2)</f>
        <v/>
      </c>
      <c r="CF108" s="125" t="inlineStr">
        <is>
          <t>W12X336</t>
        </is>
      </c>
    </row>
    <row r="109">
      <c r="A109" s="125" t="inlineStr">
        <is>
          <t>W14X22</t>
        </is>
      </c>
      <c r="B109" s="129" t="inlineStr">
        <is>
          <t>AISC</t>
        </is>
      </c>
      <c r="C109" s="125" t="n">
        <v>33.1</v>
      </c>
      <c r="D109" s="125" t="n">
        <v>349</v>
      </c>
      <c r="E109" s="125" t="n">
        <v>125.4</v>
      </c>
      <c r="F109" s="125" t="n">
        <v>8.5</v>
      </c>
      <c r="G109" s="125" t="n">
        <v>6</v>
      </c>
      <c r="H109" s="125" t="n">
        <v>10.2</v>
      </c>
      <c r="I109" s="125" t="n">
        <v>311.6</v>
      </c>
      <c r="J109" s="125" t="n">
        <v>42.1</v>
      </c>
      <c r="K109" s="125">
        <f>((E109-G109)/2)/F109</f>
        <v/>
      </c>
      <c r="L109" s="125">
        <f>I109/G109</f>
        <v/>
      </c>
      <c r="M109" s="125" t="n">
        <v>1.17</v>
      </c>
      <c r="N109" s="125" t="n">
        <v>8250</v>
      </c>
      <c r="O109" s="125" t="n">
        <v>280</v>
      </c>
      <c r="P109" s="125" t="n">
        <v>14</v>
      </c>
      <c r="Q109" s="125" t="n">
        <v>2.58</v>
      </c>
      <c r="R109" s="125" t="n">
        <v>473</v>
      </c>
      <c r="S109" s="125" t="n">
        <v>44.7</v>
      </c>
      <c r="T109" s="125" t="n">
        <v>543</v>
      </c>
      <c r="U109" s="125" t="n">
        <v>70.3</v>
      </c>
      <c r="X109" s="129">
        <f t="array" ref="X109">_xlfn.IFS((D109/F109) &lt;= (640/SQRT($AT$32)), "Compact", L109 &lt;= ($AT$32*(0.79-(0.002*((E109-G109/2)/(2*F109))*SQRT($AT$32)))), "Non-Compact", L109 &gt; ($AT$32*(0.79-(0.002*((E109-G109/2)/(2*F109))*SQRT($AT$32)))), "Slender")</f>
        <v/>
      </c>
      <c r="Y109" s="129">
        <f t="array" ref="Y109">_xlfn.IFS(K109 &lt;= (65/SQRT($AT$32)), "Compact", K109 &lt;= (95/SQRT($AT$32)), "Non-Compact", K109 &gt; (95/SQRT($AT$32)), "Slender")</f>
        <v/>
      </c>
      <c r="Z109" s="125">
        <f>E109/F109</f>
        <v/>
      </c>
      <c r="AA109" s="125">
        <f>D109/G109</f>
        <v/>
      </c>
      <c r="AB109" s="125">
        <f t="array" ref="AB109">_xlfn.IFS(Z109 &lt;= 9, "1", Z109 &lt;= 12, "2", Z109 &lt;= 15, "3", Z109 &gt; 15, "4")</f>
        <v/>
      </c>
      <c r="AC109" s="125">
        <f t="array" ref="AC109">_xlfn.IFS(AA109 &lt;= 200, "1", L109 &lt;= 300, "2", L109 &lt;= 400, "3", L109 &gt; 400, "4")</f>
        <v/>
      </c>
      <c r="AD109" s="129">
        <f>SQRT((((VLOOKUP($AT$4,$A$4:$D$1021,4,FALSE))-D109)^2)+(((VLOOKUP($AT$4,$A$4:$E$1021,5,FALSE))-E109)^2)+(((VLOOKUP($AT$4,$A$4:$N$1021,14,FALSE))-N109)^2)+(((VLOOKUP($AT$4,$A$4:$O$1021,15,FALSE))-O109)^2))</f>
        <v/>
      </c>
      <c r="AG109" s="129">
        <f>SQRT((((VLOOKUP($AT$4,$A$4:$D$1021,4,FALSE))-D109)^2)+(((VLOOKUP($AT$4,$A$4:$E$1021,5,FALSE))-E109)^2)+(((VLOOKUP($AT$4,$A$4:$R$1021,18,FALSE))-R109)^2)+(((VLOOKUP($AT$4,$A$4:$S$1021,19,FALSE))-S109)^2))</f>
        <v/>
      </c>
      <c r="AJ109" s="125" t="inlineStr">
        <is>
          <t>W14X22</t>
        </is>
      </c>
      <c r="AK109" s="125">
        <f>SQRT(((VLOOKUP($AT$4,$A$4:$J$1021,10,FALSE))-J109)^2)</f>
        <v/>
      </c>
      <c r="AL109" s="125" t="n"/>
      <c r="AM109" s="125" t="n"/>
      <c r="AN109" s="125">
        <f>SQRT(((VLOOKUP($AT$4,$A$4:$R$1021,18,FALSE))-R109)^2)</f>
        <v/>
      </c>
      <c r="AO109" s="125" t="n"/>
      <c r="AP109" s="125" t="n"/>
      <c r="AQ109" s="125" t="inlineStr">
        <is>
          <t>W14X22</t>
        </is>
      </c>
      <c r="BB109" s="125">
        <f>SQRT(($J$1022-J109)^2)</f>
        <v/>
      </c>
      <c r="BC109" s="125">
        <f>SQRT(($R$1022-R109)^2)</f>
        <v/>
      </c>
      <c r="BD109" s="125" t="inlineStr">
        <is>
          <t>W14X22</t>
        </is>
      </c>
      <c r="BI109">
        <f>SQRT(($J$1023-J109)^2)</f>
        <v/>
      </c>
      <c r="BJ109">
        <f>SQRT(($R$1023-R109)^2)</f>
        <v/>
      </c>
      <c r="BK109" s="125" t="inlineStr">
        <is>
          <t>W14X22</t>
        </is>
      </c>
      <c r="BP109">
        <f>SQRT(($J$1024-J109)^2)</f>
        <v/>
      </c>
      <c r="BQ109">
        <f>SQRT(($R$1024-R109)^2)</f>
        <v/>
      </c>
      <c r="BR109" s="125" t="inlineStr">
        <is>
          <t>W14X22</t>
        </is>
      </c>
      <c r="BW109">
        <f>SQRT(($J$1025-J109)^2)</f>
        <v/>
      </c>
      <c r="BX109">
        <f>SQRT(($R$1025-R109)^2)</f>
        <v/>
      </c>
      <c r="BY109" s="125" t="inlineStr">
        <is>
          <t>W14X22</t>
        </is>
      </c>
      <c r="CD109">
        <f>SQRT(($J$1026-J109)^2)</f>
        <v/>
      </c>
      <c r="CE109">
        <f>SQRT(($R$1026-R109)^2)</f>
        <v/>
      </c>
      <c r="CF109" s="125" t="inlineStr">
        <is>
          <t>W14X22</t>
        </is>
      </c>
    </row>
    <row r="110">
      <c r="A110" s="125" t="inlineStr">
        <is>
          <t>W14X26</t>
        </is>
      </c>
      <c r="B110" s="129" t="inlineStr">
        <is>
          <t>AISC</t>
        </is>
      </c>
      <c r="C110" s="125" t="n">
        <v>39.1</v>
      </c>
      <c r="D110" s="125" t="n">
        <v>353.4</v>
      </c>
      <c r="E110" s="125" t="n">
        <v>126</v>
      </c>
      <c r="F110" s="125" t="n">
        <v>10.7</v>
      </c>
      <c r="G110" s="125" t="n">
        <v>6.6</v>
      </c>
      <c r="H110" s="125" t="n">
        <v>10.2</v>
      </c>
      <c r="I110" s="125" t="n">
        <v>311.6</v>
      </c>
      <c r="J110" s="125" t="n">
        <v>49.8</v>
      </c>
      <c r="K110" s="125">
        <f>((E110-G110)/2)/F110</f>
        <v/>
      </c>
      <c r="L110" s="125">
        <f>I110/G110</f>
        <v/>
      </c>
      <c r="M110" s="125" t="n">
        <v>1.18</v>
      </c>
      <c r="N110" s="125" t="n">
        <v>10170</v>
      </c>
      <c r="O110" s="125" t="n">
        <v>358</v>
      </c>
      <c r="P110" s="125" t="n">
        <v>14.3</v>
      </c>
      <c r="Q110" s="125" t="n">
        <v>2.68</v>
      </c>
      <c r="R110" s="125" t="n">
        <v>576</v>
      </c>
      <c r="S110" s="125" t="n">
        <v>56.8</v>
      </c>
      <c r="T110" s="125" t="n">
        <v>659</v>
      </c>
      <c r="U110" s="125" t="n">
        <v>89.09999999999999</v>
      </c>
      <c r="X110" s="129">
        <f t="array" ref="X110">_xlfn.IFS((D110/F110) &lt;= (640/SQRT($AT$32)), "Compact", L110 &lt;= ($AT$32*(0.79-(0.002*((E110-G110/2)/(2*F110))*SQRT($AT$32)))), "Non-Compact", L110 &gt; ($AT$32*(0.79-(0.002*((E110-G110/2)/(2*F110))*SQRT($AT$32)))), "Slender")</f>
        <v/>
      </c>
      <c r="Y110" s="129">
        <f t="array" ref="Y110">_xlfn.IFS(K110 &lt;= (65/SQRT($AT$32)), "Compact", K110 &lt;= (95/SQRT($AT$32)), "Non-Compact", K110 &gt; (95/SQRT($AT$32)), "Slender")</f>
        <v/>
      </c>
      <c r="Z110" s="125">
        <f>E110/F110</f>
        <v/>
      </c>
      <c r="AA110" s="125">
        <f>D110/G110</f>
        <v/>
      </c>
      <c r="AB110" s="125">
        <f t="array" ref="AB110">_xlfn.IFS(Z110 &lt;= 9, "1", Z110 &lt;= 12, "2", Z110 &lt;= 15, "3", Z110 &gt; 15, "4")</f>
        <v/>
      </c>
      <c r="AC110" s="125">
        <f t="array" ref="AC110">_xlfn.IFS(AA110 &lt;= 200, "1", L110 &lt;= 300, "2", L110 &lt;= 400, "3", L110 &gt; 400, "4")</f>
        <v/>
      </c>
      <c r="AD110" s="129">
        <f>SQRT((((VLOOKUP($AT$4,$A$4:$D$1021,4,FALSE))-D110)^2)+(((VLOOKUP($AT$4,$A$4:$E$1021,5,FALSE))-E110)^2)+(((VLOOKUP($AT$4,$A$4:$N$1021,14,FALSE))-N110)^2)+(((VLOOKUP($AT$4,$A$4:$O$1021,15,FALSE))-O110)^2))</f>
        <v/>
      </c>
      <c r="AG110" s="129">
        <f>SQRT((((VLOOKUP($AT$4,$A$4:$D$1021,4,FALSE))-D110)^2)+(((VLOOKUP($AT$4,$A$4:$E$1021,5,FALSE))-E110)^2)+(((VLOOKUP($AT$4,$A$4:$R$1021,18,FALSE))-R110)^2)+(((VLOOKUP($AT$4,$A$4:$S$1021,19,FALSE))-S110)^2))</f>
        <v/>
      </c>
      <c r="AJ110" s="125" t="inlineStr">
        <is>
          <t>W14X26</t>
        </is>
      </c>
      <c r="AK110" s="125">
        <f>SQRT(((VLOOKUP($AT$4,$A$4:$J$1021,10,FALSE))-J110)^2)</f>
        <v/>
      </c>
      <c r="AL110" s="125" t="n"/>
      <c r="AM110" s="125" t="n"/>
      <c r="AN110" s="125">
        <f>SQRT(((VLOOKUP($AT$4,$A$4:$R$1021,18,FALSE))-R110)^2)</f>
        <v/>
      </c>
      <c r="AO110" s="125" t="n"/>
      <c r="AP110" s="125" t="n"/>
      <c r="AQ110" s="125" t="inlineStr">
        <is>
          <t>W14X26</t>
        </is>
      </c>
      <c r="BB110" s="125">
        <f>SQRT(($J$1022-J110)^2)</f>
        <v/>
      </c>
      <c r="BC110" s="125">
        <f>SQRT(($R$1022-R110)^2)</f>
        <v/>
      </c>
      <c r="BD110" s="125" t="inlineStr">
        <is>
          <t>W14X26</t>
        </is>
      </c>
      <c r="BI110">
        <f>SQRT(($J$1023-J110)^2)</f>
        <v/>
      </c>
      <c r="BJ110">
        <f>SQRT(($R$1023-R110)^2)</f>
        <v/>
      </c>
      <c r="BK110" s="125" t="inlineStr">
        <is>
          <t>W14X26</t>
        </is>
      </c>
      <c r="BP110">
        <f>SQRT(($J$1024-J110)^2)</f>
        <v/>
      </c>
      <c r="BQ110">
        <f>SQRT(($R$1024-R110)^2)</f>
        <v/>
      </c>
      <c r="BR110" s="125" t="inlineStr">
        <is>
          <t>W14X26</t>
        </is>
      </c>
      <c r="BW110">
        <f>SQRT(($J$1025-J110)^2)</f>
        <v/>
      </c>
      <c r="BX110">
        <f>SQRT(($R$1025-R110)^2)</f>
        <v/>
      </c>
      <c r="BY110" s="125" t="inlineStr">
        <is>
          <t>W14X26</t>
        </is>
      </c>
      <c r="CD110">
        <f>SQRT(($J$1026-J110)^2)</f>
        <v/>
      </c>
      <c r="CE110">
        <f>SQRT(($R$1026-R110)^2)</f>
        <v/>
      </c>
      <c r="CF110" s="125" t="inlineStr">
        <is>
          <t>W14X26</t>
        </is>
      </c>
    </row>
    <row r="111">
      <c r="A111" s="125" t="inlineStr">
        <is>
          <t>W14X30</t>
        </is>
      </c>
      <c r="B111" s="129" t="inlineStr">
        <is>
          <t>AISC</t>
        </is>
      </c>
      <c r="C111" s="125" t="n">
        <v>45</v>
      </c>
      <c r="D111" s="125" t="n">
        <v>351.4</v>
      </c>
      <c r="E111" s="125" t="n">
        <v>171.1</v>
      </c>
      <c r="F111" s="125" t="n">
        <v>9.699999999999999</v>
      </c>
      <c r="G111" s="125" t="n">
        <v>7</v>
      </c>
      <c r="H111" s="125" t="n">
        <v>10.2</v>
      </c>
      <c r="I111" s="125" t="n">
        <v>311.6</v>
      </c>
      <c r="J111" s="125" t="n">
        <v>57.3</v>
      </c>
      <c r="K111" s="125">
        <f>((E111-G111)/2)/F111</f>
        <v/>
      </c>
      <c r="L111" s="125">
        <f>I111/G111</f>
        <v/>
      </c>
      <c r="M111" s="125" t="n">
        <v>1.36</v>
      </c>
      <c r="N111" s="125" t="n">
        <v>12070</v>
      </c>
      <c r="O111" s="125" t="n">
        <v>811</v>
      </c>
      <c r="P111" s="125" t="n">
        <v>14.5</v>
      </c>
      <c r="Q111" s="125" t="n">
        <v>3.76</v>
      </c>
      <c r="R111" s="125" t="n">
        <v>687</v>
      </c>
      <c r="S111" s="125" t="n">
        <v>94.8</v>
      </c>
      <c r="T111" s="125" t="n">
        <v>775</v>
      </c>
      <c r="U111" s="125" t="n">
        <v>147</v>
      </c>
      <c r="X111" s="129">
        <f t="array" ref="X111">_xlfn.IFS((D111/F111) &lt;= (640/SQRT($AT$32)), "Compact", L111 &lt;= ($AT$32*(0.79-(0.002*((E111-G111/2)/(2*F111))*SQRT($AT$32)))), "Non-Compact", L111 &gt; ($AT$32*(0.79-(0.002*((E111-G111/2)/(2*F111))*SQRT($AT$32)))), "Slender")</f>
        <v/>
      </c>
      <c r="Y111" s="129">
        <f t="array" ref="Y111">_xlfn.IFS(K111 &lt;= (65/SQRT($AT$32)), "Compact", K111 &lt;= (95/SQRT($AT$32)), "Non-Compact", K111 &gt; (95/SQRT($AT$32)), "Slender")</f>
        <v/>
      </c>
      <c r="Z111" s="125">
        <f>E111/F111</f>
        <v/>
      </c>
      <c r="AA111" s="125">
        <f>D111/G111</f>
        <v/>
      </c>
      <c r="AB111" s="125">
        <f t="array" ref="AB111">_xlfn.IFS(Z111 &lt;= 9, "1", Z111 &lt;= 12, "2", Z111 &lt;= 15, "3", Z111 &gt; 15, "4")</f>
        <v/>
      </c>
      <c r="AC111" s="125">
        <f t="array" ref="AC111">_xlfn.IFS(AA111 &lt;= 200, "1", L111 &lt;= 300, "2", L111 &lt;= 400, "3", L111 &gt; 400, "4")</f>
        <v/>
      </c>
      <c r="AD111" s="129">
        <f>SQRT((((VLOOKUP($AT$4,$A$4:$D$1021,4,FALSE))-D111)^2)+(((VLOOKUP($AT$4,$A$4:$E$1021,5,FALSE))-E111)^2)+(((VLOOKUP($AT$4,$A$4:$N$1021,14,FALSE))-N111)^2)+(((VLOOKUP($AT$4,$A$4:$O$1021,15,FALSE))-O111)^2))</f>
        <v/>
      </c>
      <c r="AG111" s="129">
        <f>SQRT((((VLOOKUP($AT$4,$A$4:$D$1021,4,FALSE))-D111)^2)+(((VLOOKUP($AT$4,$A$4:$E$1021,5,FALSE))-E111)^2)+(((VLOOKUP($AT$4,$A$4:$R$1021,18,FALSE))-R111)^2)+(((VLOOKUP($AT$4,$A$4:$S$1021,19,FALSE))-S111)^2))</f>
        <v/>
      </c>
      <c r="AJ111" s="125" t="inlineStr">
        <is>
          <t>W14X30</t>
        </is>
      </c>
      <c r="AK111" s="125">
        <f>SQRT(((VLOOKUP($AT$4,$A$4:$J$1021,10,FALSE))-J111)^2)</f>
        <v/>
      </c>
      <c r="AL111" s="125" t="n"/>
      <c r="AM111" s="125" t="n"/>
      <c r="AN111" s="125">
        <f>SQRT(((VLOOKUP($AT$4,$A$4:$R$1021,18,FALSE))-R111)^2)</f>
        <v/>
      </c>
      <c r="AO111" s="125" t="n"/>
      <c r="AP111" s="125" t="n"/>
      <c r="AQ111" s="125" t="inlineStr">
        <is>
          <t>W14X30</t>
        </is>
      </c>
      <c r="BB111" s="125">
        <f>SQRT(($J$1022-J111)^2)</f>
        <v/>
      </c>
      <c r="BC111" s="125">
        <f>SQRT(($R$1022-R111)^2)</f>
        <v/>
      </c>
      <c r="BD111" s="125" t="inlineStr">
        <is>
          <t>W14X30</t>
        </is>
      </c>
      <c r="BI111">
        <f>SQRT(($J$1023-J111)^2)</f>
        <v/>
      </c>
      <c r="BJ111">
        <f>SQRT(($R$1023-R111)^2)</f>
        <v/>
      </c>
      <c r="BK111" s="125" t="inlineStr">
        <is>
          <t>W14X30</t>
        </is>
      </c>
      <c r="BP111">
        <f>SQRT(($J$1024-J111)^2)</f>
        <v/>
      </c>
      <c r="BQ111">
        <f>SQRT(($R$1024-R111)^2)</f>
        <v/>
      </c>
      <c r="BR111" s="125" t="inlineStr">
        <is>
          <t>W14X30</t>
        </is>
      </c>
      <c r="BW111">
        <f>SQRT(($J$1025-J111)^2)</f>
        <v/>
      </c>
      <c r="BX111">
        <f>SQRT(($R$1025-R111)^2)</f>
        <v/>
      </c>
      <c r="BY111" s="125" t="inlineStr">
        <is>
          <t>W14X30</t>
        </is>
      </c>
      <c r="CD111">
        <f>SQRT(($J$1026-J111)^2)</f>
        <v/>
      </c>
      <c r="CE111">
        <f>SQRT(($R$1026-R111)^2)</f>
        <v/>
      </c>
      <c r="CF111" s="125" t="inlineStr">
        <is>
          <t>W14X30</t>
        </is>
      </c>
    </row>
    <row r="112">
      <c r="A112" s="125" t="inlineStr">
        <is>
          <t>W14X34</t>
        </is>
      </c>
      <c r="B112" s="129" t="inlineStr">
        <is>
          <t>AISC</t>
        </is>
      </c>
      <c r="C112" s="125" t="n">
        <v>51</v>
      </c>
      <c r="D112" s="125" t="n">
        <v>355</v>
      </c>
      <c r="E112" s="125" t="n">
        <v>171.5</v>
      </c>
      <c r="F112" s="125" t="n">
        <v>11.5</v>
      </c>
      <c r="G112" s="125" t="n">
        <v>7.4</v>
      </c>
      <c r="H112" s="125" t="n">
        <v>10.2</v>
      </c>
      <c r="I112" s="125" t="n">
        <v>311.6</v>
      </c>
      <c r="J112" s="125" t="n">
        <v>64.90000000000001</v>
      </c>
      <c r="K112" s="125">
        <f>((E112-G112)/2)/F112</f>
        <v/>
      </c>
      <c r="L112" s="125">
        <f>I112/G112</f>
        <v/>
      </c>
      <c r="M112" s="125" t="n">
        <v>1.36</v>
      </c>
      <c r="N112" s="125" t="n">
        <v>14140</v>
      </c>
      <c r="O112" s="125" t="n">
        <v>968</v>
      </c>
      <c r="P112" s="125" t="n">
        <v>14.8</v>
      </c>
      <c r="Q112" s="125" t="n">
        <v>3.86</v>
      </c>
      <c r="R112" s="125" t="n">
        <v>796</v>
      </c>
      <c r="S112" s="125" t="n">
        <v>113</v>
      </c>
      <c r="T112" s="125" t="n">
        <v>896</v>
      </c>
      <c r="U112" s="125" t="n">
        <v>174</v>
      </c>
      <c r="X112" s="129">
        <f t="array" ref="X112">_xlfn.IFS((D112/F112) &lt;= (640/SQRT($AT$32)), "Compact", L112 &lt;= ($AT$32*(0.79-(0.002*((E112-G112/2)/(2*F112))*SQRT($AT$32)))), "Non-Compact", L112 &gt; ($AT$32*(0.79-(0.002*((E112-G112/2)/(2*F112))*SQRT($AT$32)))), "Slender")</f>
        <v/>
      </c>
      <c r="Y112" s="129">
        <f t="array" ref="Y112">_xlfn.IFS(K112 &lt;= (65/SQRT($AT$32)), "Compact", K112 &lt;= (95/SQRT($AT$32)), "Non-Compact", K112 &gt; (95/SQRT($AT$32)), "Slender")</f>
        <v/>
      </c>
      <c r="Z112" s="125">
        <f>E112/F112</f>
        <v/>
      </c>
      <c r="AA112" s="125">
        <f>D112/G112</f>
        <v/>
      </c>
      <c r="AB112" s="125">
        <f t="array" ref="AB112">_xlfn.IFS(Z112 &lt;= 9, "1", Z112 &lt;= 12, "2", Z112 &lt;= 15, "3", Z112 &gt; 15, "4")</f>
        <v/>
      </c>
      <c r="AC112" s="125">
        <f t="array" ref="AC112">_xlfn.IFS(AA112 &lt;= 200, "1", L112 &lt;= 300, "2", L112 &lt;= 400, "3", L112 &gt; 400, "4")</f>
        <v/>
      </c>
      <c r="AD112" s="129">
        <f>SQRT((((VLOOKUP($AT$4,$A$4:$D$1021,4,FALSE))-D112)^2)+(((VLOOKUP($AT$4,$A$4:$E$1021,5,FALSE))-E112)^2)+(((VLOOKUP($AT$4,$A$4:$N$1021,14,FALSE))-N112)^2)+(((VLOOKUP($AT$4,$A$4:$O$1021,15,FALSE))-O112)^2))</f>
        <v/>
      </c>
      <c r="AG112" s="129">
        <f>SQRT((((VLOOKUP($AT$4,$A$4:$D$1021,4,FALSE))-D112)^2)+(((VLOOKUP($AT$4,$A$4:$E$1021,5,FALSE))-E112)^2)+(((VLOOKUP($AT$4,$A$4:$R$1021,18,FALSE))-R112)^2)+(((VLOOKUP($AT$4,$A$4:$S$1021,19,FALSE))-S112)^2))</f>
        <v/>
      </c>
      <c r="AJ112" s="125" t="inlineStr">
        <is>
          <t>W14X34</t>
        </is>
      </c>
      <c r="AK112" s="125">
        <f>SQRT(((VLOOKUP($AT$4,$A$4:$J$1021,10,FALSE))-J112)^2)</f>
        <v/>
      </c>
      <c r="AL112" s="125" t="n"/>
      <c r="AM112" s="125" t="n"/>
      <c r="AN112" s="125">
        <f>SQRT(((VLOOKUP($AT$4,$A$4:$R$1021,18,FALSE))-R112)^2)</f>
        <v/>
      </c>
      <c r="AO112" s="125" t="n"/>
      <c r="AP112" s="125" t="n"/>
      <c r="AQ112" s="125" t="inlineStr">
        <is>
          <t>W14X34</t>
        </is>
      </c>
      <c r="BB112" s="125">
        <f>SQRT(($J$1022-J112)^2)</f>
        <v/>
      </c>
      <c r="BC112" s="125">
        <f>SQRT(($R$1022-R112)^2)</f>
        <v/>
      </c>
      <c r="BD112" s="125" t="inlineStr">
        <is>
          <t>W14X34</t>
        </is>
      </c>
      <c r="BI112">
        <f>SQRT(($J$1023-J112)^2)</f>
        <v/>
      </c>
      <c r="BJ112">
        <f>SQRT(($R$1023-R112)^2)</f>
        <v/>
      </c>
      <c r="BK112" s="125" t="inlineStr">
        <is>
          <t>W14X34</t>
        </is>
      </c>
      <c r="BP112">
        <f>SQRT(($J$1024-J112)^2)</f>
        <v/>
      </c>
      <c r="BQ112">
        <f>SQRT(($R$1024-R112)^2)</f>
        <v/>
      </c>
      <c r="BR112" s="125" t="inlineStr">
        <is>
          <t>W14X34</t>
        </is>
      </c>
      <c r="BW112">
        <f>SQRT(($J$1025-J112)^2)</f>
        <v/>
      </c>
      <c r="BX112">
        <f>SQRT(($R$1025-R112)^2)</f>
        <v/>
      </c>
      <c r="BY112" s="125" t="inlineStr">
        <is>
          <t>W14X34</t>
        </is>
      </c>
      <c r="CD112">
        <f>SQRT(($J$1026-J112)^2)</f>
        <v/>
      </c>
      <c r="CE112">
        <f>SQRT(($R$1026-R112)^2)</f>
        <v/>
      </c>
      <c r="CF112" s="125" t="inlineStr">
        <is>
          <t>W14X34</t>
        </is>
      </c>
    </row>
    <row r="113">
      <c r="A113" s="125" t="inlineStr">
        <is>
          <t>W14X38</t>
        </is>
      </c>
      <c r="B113" s="129" t="inlineStr">
        <is>
          <t>AISC</t>
        </is>
      </c>
      <c r="C113" s="125" t="n">
        <v>57</v>
      </c>
      <c r="D113" s="125" t="n">
        <v>358</v>
      </c>
      <c r="E113" s="125" t="n">
        <v>172.2</v>
      </c>
      <c r="F113" s="125" t="n">
        <v>13</v>
      </c>
      <c r="G113" s="125" t="n">
        <v>8.1</v>
      </c>
      <c r="H113" s="125" t="n">
        <v>10.2</v>
      </c>
      <c r="I113" s="125" t="n">
        <v>311.6</v>
      </c>
      <c r="J113" s="125" t="n">
        <v>72.59999999999999</v>
      </c>
      <c r="K113" s="125">
        <f>((E113-G113)/2)/F113</f>
        <v/>
      </c>
      <c r="L113" s="125">
        <f>I113/G113</f>
        <v/>
      </c>
      <c r="M113" s="125" t="n">
        <v>1.37</v>
      </c>
      <c r="N113" s="125" t="n">
        <v>16040</v>
      </c>
      <c r="O113" s="125" t="n">
        <v>1108</v>
      </c>
      <c r="P113" s="125" t="n">
        <v>14.9</v>
      </c>
      <c r="Q113" s="125" t="n">
        <v>3.91</v>
      </c>
      <c r="R113" s="125" t="n">
        <v>896</v>
      </c>
      <c r="S113" s="125" t="n">
        <v>129</v>
      </c>
      <c r="T113" s="125" t="n">
        <v>1010</v>
      </c>
      <c r="U113" s="125" t="n">
        <v>199</v>
      </c>
      <c r="X113" s="129">
        <f t="array" ref="X113">_xlfn.IFS((D113/F113) &lt;= (640/SQRT($AT$32)), "Compact", L113 &lt;= ($AT$32*(0.79-(0.002*((E113-G113/2)/(2*F113))*SQRT($AT$32)))), "Non-Compact", L113 &gt; ($AT$32*(0.79-(0.002*((E113-G113/2)/(2*F113))*SQRT($AT$32)))), "Slender")</f>
        <v/>
      </c>
      <c r="Y113" s="129">
        <f t="array" ref="Y113">_xlfn.IFS(K113 &lt;= (65/SQRT($AT$32)), "Compact", K113 &lt;= (95/SQRT($AT$32)), "Non-Compact", K113 &gt; (95/SQRT($AT$32)), "Slender")</f>
        <v/>
      </c>
      <c r="Z113" s="125">
        <f>E113/F113</f>
        <v/>
      </c>
      <c r="AA113" s="125">
        <f>D113/G113</f>
        <v/>
      </c>
      <c r="AB113" s="125">
        <f t="array" ref="AB113">_xlfn.IFS(Z113 &lt;= 9, "1", Z113 &lt;= 12, "2", Z113 &lt;= 15, "3", Z113 &gt; 15, "4")</f>
        <v/>
      </c>
      <c r="AC113" s="125">
        <f t="array" ref="AC113">_xlfn.IFS(AA113 &lt;= 200, "1", L113 &lt;= 300, "2", L113 &lt;= 400, "3", L113 &gt; 400, "4")</f>
        <v/>
      </c>
      <c r="AD113" s="129">
        <f>SQRT((((VLOOKUP($AT$4,$A$4:$D$1021,4,FALSE))-D113)^2)+(((VLOOKUP($AT$4,$A$4:$E$1021,5,FALSE))-E113)^2)+(((VLOOKUP($AT$4,$A$4:$N$1021,14,FALSE))-N113)^2)+(((VLOOKUP($AT$4,$A$4:$O$1021,15,FALSE))-O113)^2))</f>
        <v/>
      </c>
      <c r="AG113" s="129">
        <f>SQRT((((VLOOKUP($AT$4,$A$4:$D$1021,4,FALSE))-D113)^2)+(((VLOOKUP($AT$4,$A$4:$E$1021,5,FALSE))-E113)^2)+(((VLOOKUP($AT$4,$A$4:$R$1021,18,FALSE))-R113)^2)+(((VLOOKUP($AT$4,$A$4:$S$1021,19,FALSE))-S113)^2))</f>
        <v/>
      </c>
      <c r="AJ113" s="125" t="inlineStr">
        <is>
          <t>W14X38</t>
        </is>
      </c>
      <c r="AK113" s="125">
        <f>SQRT(((VLOOKUP($AT$4,$A$4:$J$1021,10,FALSE))-J113)^2)</f>
        <v/>
      </c>
      <c r="AL113" s="125" t="n"/>
      <c r="AM113" s="125" t="n"/>
      <c r="AN113" s="125">
        <f>SQRT(((VLOOKUP($AT$4,$A$4:$R$1021,18,FALSE))-R113)^2)</f>
        <v/>
      </c>
      <c r="AO113" s="125" t="n"/>
      <c r="AP113" s="125" t="n"/>
      <c r="AQ113" s="125" t="inlineStr">
        <is>
          <t>W14X38</t>
        </is>
      </c>
      <c r="BB113" s="125">
        <f>SQRT(($J$1022-J113)^2)</f>
        <v/>
      </c>
      <c r="BC113" s="125">
        <f>SQRT(($R$1022-R113)^2)</f>
        <v/>
      </c>
      <c r="BD113" s="125" t="inlineStr">
        <is>
          <t>W14X38</t>
        </is>
      </c>
      <c r="BI113">
        <f>SQRT(($J$1023-J113)^2)</f>
        <v/>
      </c>
      <c r="BJ113">
        <f>SQRT(($R$1023-R113)^2)</f>
        <v/>
      </c>
      <c r="BK113" s="125" t="inlineStr">
        <is>
          <t>W14X38</t>
        </is>
      </c>
      <c r="BP113">
        <f>SQRT(($J$1024-J113)^2)</f>
        <v/>
      </c>
      <c r="BQ113">
        <f>SQRT(($R$1024-R113)^2)</f>
        <v/>
      </c>
      <c r="BR113" s="125" t="inlineStr">
        <is>
          <t>W14X38</t>
        </is>
      </c>
      <c r="BW113">
        <f>SQRT(($J$1025-J113)^2)</f>
        <v/>
      </c>
      <c r="BX113">
        <f>SQRT(($R$1025-R113)^2)</f>
        <v/>
      </c>
      <c r="BY113" s="125" t="inlineStr">
        <is>
          <t>W14X38</t>
        </is>
      </c>
      <c r="CD113">
        <f>SQRT(($J$1026-J113)^2)</f>
        <v/>
      </c>
      <c r="CE113">
        <f>SQRT(($R$1026-R113)^2)</f>
        <v/>
      </c>
      <c r="CF113" s="125" t="inlineStr">
        <is>
          <t>W14X38</t>
        </is>
      </c>
    </row>
    <row r="114">
      <c r="A114" s="125" t="inlineStr">
        <is>
          <t>W14X45</t>
        </is>
      </c>
      <c r="B114" s="129" t="inlineStr">
        <is>
          <t>AISC</t>
        </is>
      </c>
      <c r="C114" s="125" t="n">
        <v>67.09999999999999</v>
      </c>
      <c r="D114" s="125" t="n">
        <v>363.4</v>
      </c>
      <c r="E114" s="125" t="n">
        <v>173.2</v>
      </c>
      <c r="F114" s="125" t="n">
        <v>15.7</v>
      </c>
      <c r="G114" s="125" t="n">
        <v>9.1</v>
      </c>
      <c r="H114" s="125" t="n">
        <v>10.2</v>
      </c>
      <c r="I114" s="125" t="n">
        <v>311.6</v>
      </c>
      <c r="J114" s="125" t="n">
        <v>85.5</v>
      </c>
      <c r="K114" s="125">
        <f>((E114-G114)/2)/F114</f>
        <v/>
      </c>
      <c r="L114" s="125">
        <f>I114/G114</f>
        <v/>
      </c>
      <c r="M114" s="125" t="n">
        <v>1.38</v>
      </c>
      <c r="N114" s="125" t="n">
        <v>19460</v>
      </c>
      <c r="O114" s="125" t="n">
        <v>1362</v>
      </c>
      <c r="P114" s="125" t="n">
        <v>15.1</v>
      </c>
      <c r="Q114" s="125" t="n">
        <v>3.99</v>
      </c>
      <c r="R114" s="125" t="n">
        <v>1071</v>
      </c>
      <c r="S114" s="125" t="n">
        <v>157</v>
      </c>
      <c r="T114" s="125" t="n">
        <v>1211</v>
      </c>
      <c r="U114" s="125" t="n">
        <v>243</v>
      </c>
      <c r="X114" s="129">
        <f t="array" ref="X114">_xlfn.IFS((D114/F114) &lt;= (640/SQRT($AT$32)), "Compact", L114 &lt;= ($AT$32*(0.79-(0.002*((E114-G114/2)/(2*F114))*SQRT($AT$32)))), "Non-Compact", L114 &gt; ($AT$32*(0.79-(0.002*((E114-G114/2)/(2*F114))*SQRT($AT$32)))), "Slender")</f>
        <v/>
      </c>
      <c r="Y114" s="129">
        <f t="array" ref="Y114">_xlfn.IFS(K114 &lt;= (65/SQRT($AT$32)), "Compact", K114 &lt;= (95/SQRT($AT$32)), "Non-Compact", K114 &gt; (95/SQRT($AT$32)), "Slender")</f>
        <v/>
      </c>
      <c r="Z114" s="125">
        <f>E114/F114</f>
        <v/>
      </c>
      <c r="AA114" s="125">
        <f>D114/G114</f>
        <v/>
      </c>
      <c r="AB114" s="125">
        <f t="array" ref="AB114">_xlfn.IFS(Z114 &lt;= 9, "1", Z114 &lt;= 12, "2", Z114 &lt;= 15, "3", Z114 &gt; 15, "4")</f>
        <v/>
      </c>
      <c r="AC114" s="125">
        <f t="array" ref="AC114">_xlfn.IFS(AA114 &lt;= 200, "1", L114 &lt;= 300, "2", L114 &lt;= 400, "3", L114 &gt; 400, "4")</f>
        <v/>
      </c>
      <c r="AD114" s="129">
        <f>SQRT((((VLOOKUP($AT$4,$A$4:$D$1021,4,FALSE))-D114)^2)+(((VLOOKUP($AT$4,$A$4:$E$1021,5,FALSE))-E114)^2)+(((VLOOKUP($AT$4,$A$4:$N$1021,14,FALSE))-N114)^2)+(((VLOOKUP($AT$4,$A$4:$O$1021,15,FALSE))-O114)^2))</f>
        <v/>
      </c>
      <c r="AG114" s="129">
        <f>SQRT((((VLOOKUP($AT$4,$A$4:$D$1021,4,FALSE))-D114)^2)+(((VLOOKUP($AT$4,$A$4:$E$1021,5,FALSE))-E114)^2)+(((VLOOKUP($AT$4,$A$4:$R$1021,18,FALSE))-R114)^2)+(((VLOOKUP($AT$4,$A$4:$S$1021,19,FALSE))-S114)^2))</f>
        <v/>
      </c>
      <c r="AJ114" s="125" t="inlineStr">
        <is>
          <t>W14X45</t>
        </is>
      </c>
      <c r="AK114" s="125">
        <f>SQRT(((VLOOKUP($AT$4,$A$4:$J$1021,10,FALSE))-J114)^2)</f>
        <v/>
      </c>
      <c r="AL114" s="125" t="n"/>
      <c r="AM114" s="125" t="n"/>
      <c r="AN114" s="125">
        <f>SQRT(((VLOOKUP($AT$4,$A$4:$R$1021,18,FALSE))-R114)^2)</f>
        <v/>
      </c>
      <c r="AO114" s="125" t="n"/>
      <c r="AP114" s="125" t="n"/>
      <c r="AQ114" s="125" t="inlineStr">
        <is>
          <t>W14X45</t>
        </is>
      </c>
      <c r="BB114" s="125">
        <f>SQRT(($J$1022-J114)^2)</f>
        <v/>
      </c>
      <c r="BC114" s="125">
        <f>SQRT(($R$1022-R114)^2)</f>
        <v/>
      </c>
      <c r="BD114" s="125" t="inlineStr">
        <is>
          <t>W14X45</t>
        </is>
      </c>
      <c r="BI114">
        <f>SQRT(($J$1023-J114)^2)</f>
        <v/>
      </c>
      <c r="BJ114">
        <f>SQRT(($R$1023-R114)^2)</f>
        <v/>
      </c>
      <c r="BK114" s="125" t="inlineStr">
        <is>
          <t>W14X45</t>
        </is>
      </c>
      <c r="BP114">
        <f>SQRT(($J$1024-J114)^2)</f>
        <v/>
      </c>
      <c r="BQ114">
        <f>SQRT(($R$1024-R114)^2)</f>
        <v/>
      </c>
      <c r="BR114" s="125" t="inlineStr">
        <is>
          <t>W14X45</t>
        </is>
      </c>
      <c r="BW114">
        <f>SQRT(($J$1025-J114)^2)</f>
        <v/>
      </c>
      <c r="BX114">
        <f>SQRT(($R$1025-R114)^2)</f>
        <v/>
      </c>
      <c r="BY114" s="125" t="inlineStr">
        <is>
          <t>W14X45</t>
        </is>
      </c>
      <c r="CD114">
        <f>SQRT(($J$1026-J114)^2)</f>
        <v/>
      </c>
      <c r="CE114">
        <f>SQRT(($R$1026-R114)^2)</f>
        <v/>
      </c>
      <c r="CF114" s="125" t="inlineStr">
        <is>
          <t>W14X45</t>
        </is>
      </c>
    </row>
    <row r="115">
      <c r="A115" s="125" t="inlineStr">
        <is>
          <t>W14X43</t>
        </is>
      </c>
      <c r="B115" s="129" t="inlineStr">
        <is>
          <t>AISC</t>
        </is>
      </c>
      <c r="C115" s="125" t="n">
        <v>64</v>
      </c>
      <c r="D115" s="125" t="n">
        <v>347</v>
      </c>
      <c r="E115" s="125" t="n">
        <v>203.1</v>
      </c>
      <c r="F115" s="125" t="n">
        <v>13.4</v>
      </c>
      <c r="G115" s="125" t="n">
        <v>7.8</v>
      </c>
      <c r="H115" s="125" t="n">
        <v>15.2</v>
      </c>
      <c r="I115" s="125" t="n">
        <v>289.8</v>
      </c>
      <c r="J115" s="125" t="n">
        <v>81.2</v>
      </c>
      <c r="K115" s="125">
        <f>((E115-G115)/2)/F115</f>
        <v/>
      </c>
      <c r="L115" s="125">
        <f>I115/G115</f>
        <v/>
      </c>
      <c r="M115" s="125" t="n">
        <v>1.46</v>
      </c>
      <c r="N115" s="125" t="n">
        <v>17760</v>
      </c>
      <c r="O115" s="125" t="n">
        <v>1874</v>
      </c>
      <c r="P115" s="125" t="n">
        <v>14.8</v>
      </c>
      <c r="Q115" s="125" t="n">
        <v>4.8</v>
      </c>
      <c r="R115" s="125" t="n">
        <v>1024</v>
      </c>
      <c r="S115" s="125" t="n">
        <v>185</v>
      </c>
      <c r="T115" s="125" t="n">
        <v>1138</v>
      </c>
      <c r="U115" s="125" t="n">
        <v>283</v>
      </c>
      <c r="X115" s="129">
        <f t="array" ref="X115">_xlfn.IFS((D115/F115) &lt;= (640/SQRT($AT$32)), "Compact", L115 &lt;= ($AT$32*(0.79-(0.002*((E115-G115/2)/(2*F115))*SQRT($AT$32)))), "Non-Compact", L115 &gt; ($AT$32*(0.79-(0.002*((E115-G115/2)/(2*F115))*SQRT($AT$32)))), "Slender")</f>
        <v/>
      </c>
      <c r="Y115" s="129">
        <f t="array" ref="Y115">_xlfn.IFS(K115 &lt;= (65/SQRT($AT$32)), "Compact", K115 &lt;= (95/SQRT($AT$32)), "Non-Compact", K115 &gt; (95/SQRT($AT$32)), "Slender")</f>
        <v/>
      </c>
      <c r="Z115" s="125">
        <f>E115/F115</f>
        <v/>
      </c>
      <c r="AA115" s="125">
        <f>D115/G115</f>
        <v/>
      </c>
      <c r="AB115" s="125">
        <f t="array" ref="AB115">_xlfn.IFS(Z115 &lt;= 9, "1", Z115 &lt;= 12, "2", Z115 &lt;= 15, "3", Z115 &gt; 15, "4")</f>
        <v/>
      </c>
      <c r="AC115" s="125">
        <f t="array" ref="AC115">_xlfn.IFS(AA115 &lt;= 200, "1", L115 &lt;= 300, "2", L115 &lt;= 400, "3", L115 &gt; 400, "4")</f>
        <v/>
      </c>
      <c r="AD115" s="129">
        <f>SQRT((((VLOOKUP($AT$4,$A$4:$D$1021,4,FALSE))-D115)^2)+(((VLOOKUP($AT$4,$A$4:$E$1021,5,FALSE))-E115)^2)+(((VLOOKUP($AT$4,$A$4:$N$1021,14,FALSE))-N115)^2)+(((VLOOKUP($AT$4,$A$4:$O$1021,15,FALSE))-O115)^2))</f>
        <v/>
      </c>
      <c r="AG115" s="129">
        <f>SQRT((((VLOOKUP($AT$4,$A$4:$D$1021,4,FALSE))-D115)^2)+(((VLOOKUP($AT$4,$A$4:$E$1021,5,FALSE))-E115)^2)+(((VLOOKUP($AT$4,$A$4:$R$1021,18,FALSE))-R115)^2)+(((VLOOKUP($AT$4,$A$4:$S$1021,19,FALSE))-S115)^2))</f>
        <v/>
      </c>
      <c r="AJ115" s="125" t="inlineStr">
        <is>
          <t>W14X43</t>
        </is>
      </c>
      <c r="AK115" s="125">
        <f>SQRT(((VLOOKUP($AT$4,$A$4:$J$1021,10,FALSE))-J115)^2)</f>
        <v/>
      </c>
      <c r="AL115" s="125" t="n"/>
      <c r="AM115" s="125" t="n"/>
      <c r="AN115" s="125">
        <f>SQRT(((VLOOKUP($AT$4,$A$4:$R$1021,18,FALSE))-R115)^2)</f>
        <v/>
      </c>
      <c r="AO115" s="125" t="n"/>
      <c r="AP115" s="125" t="n"/>
      <c r="AQ115" s="125" t="inlineStr">
        <is>
          <t>W14X43</t>
        </is>
      </c>
      <c r="BB115" s="125">
        <f>SQRT(($J$1022-J115)^2)</f>
        <v/>
      </c>
      <c r="BC115" s="125">
        <f>SQRT(($R$1022-R115)^2)</f>
        <v/>
      </c>
      <c r="BD115" s="125" t="inlineStr">
        <is>
          <t>W14X43</t>
        </is>
      </c>
      <c r="BI115">
        <f>SQRT(($J$1023-J115)^2)</f>
        <v/>
      </c>
      <c r="BJ115">
        <f>SQRT(($R$1023-R115)^2)</f>
        <v/>
      </c>
      <c r="BK115" s="125" t="inlineStr">
        <is>
          <t>W14X43</t>
        </is>
      </c>
      <c r="BP115">
        <f>SQRT(($J$1024-J115)^2)</f>
        <v/>
      </c>
      <c r="BQ115">
        <f>SQRT(($R$1024-R115)^2)</f>
        <v/>
      </c>
      <c r="BR115" s="125" t="inlineStr">
        <is>
          <t>W14X43</t>
        </is>
      </c>
      <c r="BW115">
        <f>SQRT(($J$1025-J115)^2)</f>
        <v/>
      </c>
      <c r="BX115">
        <f>SQRT(($R$1025-R115)^2)</f>
        <v/>
      </c>
      <c r="BY115" s="125" t="inlineStr">
        <is>
          <t>W14X43</t>
        </is>
      </c>
      <c r="CD115">
        <f>SQRT(($J$1026-J115)^2)</f>
        <v/>
      </c>
      <c r="CE115">
        <f>SQRT(($R$1026-R115)^2)</f>
        <v/>
      </c>
      <c r="CF115" s="125" t="inlineStr">
        <is>
          <t>W14X43</t>
        </is>
      </c>
    </row>
    <row r="116">
      <c r="A116" s="125" t="inlineStr">
        <is>
          <t>W14X48</t>
        </is>
      </c>
      <c r="B116" s="129" t="inlineStr">
        <is>
          <t>AISC</t>
        </is>
      </c>
      <c r="C116" s="125" t="n">
        <v>71.40000000000001</v>
      </c>
      <c r="D116" s="125" t="n">
        <v>350.3</v>
      </c>
      <c r="E116" s="125" t="n">
        <v>204</v>
      </c>
      <c r="F116" s="125" t="n">
        <v>15.1</v>
      </c>
      <c r="G116" s="125" t="n">
        <v>8.6</v>
      </c>
      <c r="H116" s="125" t="n">
        <v>15.2</v>
      </c>
      <c r="I116" s="125" t="n">
        <v>289.7</v>
      </c>
      <c r="J116" s="125" t="n">
        <v>91.2</v>
      </c>
      <c r="K116" s="125">
        <f>((E116-G116)/2)/F116</f>
        <v/>
      </c>
      <c r="L116" s="125">
        <f>I116/G116</f>
        <v/>
      </c>
      <c r="M116" s="125" t="n">
        <v>1.47</v>
      </c>
      <c r="N116" s="125" t="n">
        <v>20170</v>
      </c>
      <c r="O116" s="125" t="n">
        <v>2140</v>
      </c>
      <c r="P116" s="125" t="n">
        <v>14.9</v>
      </c>
      <c r="Q116" s="125" t="n">
        <v>4.84</v>
      </c>
      <c r="R116" s="125" t="n">
        <v>1151</v>
      </c>
      <c r="S116" s="125" t="n">
        <v>210</v>
      </c>
      <c r="T116" s="125" t="n">
        <v>1285</v>
      </c>
      <c r="U116" s="125" t="n">
        <v>322</v>
      </c>
      <c r="X116" s="129">
        <f t="array" ref="X116">_xlfn.IFS((D116/F116) &lt;= (640/SQRT($AT$32)), "Compact", L116 &lt;= ($AT$32*(0.79-(0.002*((E116-G116/2)/(2*F116))*SQRT($AT$32)))), "Non-Compact", L116 &gt; ($AT$32*(0.79-(0.002*((E116-G116/2)/(2*F116))*SQRT($AT$32)))), "Slender")</f>
        <v/>
      </c>
      <c r="Y116" s="129">
        <f t="array" ref="Y116">_xlfn.IFS(K116 &lt;= (65/SQRT($AT$32)), "Compact", K116 &lt;= (95/SQRT($AT$32)), "Non-Compact", K116 &gt; (95/SQRT($AT$32)), "Slender")</f>
        <v/>
      </c>
      <c r="Z116" s="125">
        <f>E116/F116</f>
        <v/>
      </c>
      <c r="AA116" s="125">
        <f>D116/G116</f>
        <v/>
      </c>
      <c r="AB116" s="125">
        <f t="array" ref="AB116">_xlfn.IFS(Z116 &lt;= 9, "1", Z116 &lt;= 12, "2", Z116 &lt;= 15, "3", Z116 &gt; 15, "4")</f>
        <v/>
      </c>
      <c r="AC116" s="125">
        <f t="array" ref="AC116">_xlfn.IFS(AA116 &lt;= 200, "1", L116 &lt;= 300, "2", L116 &lt;= 400, "3", L116 &gt; 400, "4")</f>
        <v/>
      </c>
      <c r="AD116" s="129">
        <f>SQRT((((VLOOKUP($AT$4,$A$4:$D$1021,4,FALSE))-D116)^2)+(((VLOOKUP($AT$4,$A$4:$E$1021,5,FALSE))-E116)^2)+(((VLOOKUP($AT$4,$A$4:$N$1021,14,FALSE))-N116)^2)+(((VLOOKUP($AT$4,$A$4:$O$1021,15,FALSE))-O116)^2))</f>
        <v/>
      </c>
      <c r="AG116" s="129">
        <f>SQRT((((VLOOKUP($AT$4,$A$4:$D$1021,4,FALSE))-D116)^2)+(((VLOOKUP($AT$4,$A$4:$E$1021,5,FALSE))-E116)^2)+(((VLOOKUP($AT$4,$A$4:$R$1021,18,FALSE))-R116)^2)+(((VLOOKUP($AT$4,$A$4:$S$1021,19,FALSE))-S116)^2))</f>
        <v/>
      </c>
      <c r="AJ116" s="125" t="inlineStr">
        <is>
          <t>W14X48</t>
        </is>
      </c>
      <c r="AK116" s="125">
        <f>SQRT(((VLOOKUP($AT$4,$A$4:$J$1021,10,FALSE))-J116)^2)</f>
        <v/>
      </c>
      <c r="AL116" s="125" t="n"/>
      <c r="AM116" s="125" t="n"/>
      <c r="AN116" s="125">
        <f>SQRT(((VLOOKUP($AT$4,$A$4:$R$1021,18,FALSE))-R116)^2)</f>
        <v/>
      </c>
      <c r="AO116" s="125" t="n"/>
      <c r="AP116" s="125" t="n"/>
      <c r="AQ116" s="125" t="inlineStr">
        <is>
          <t>W14X48</t>
        </is>
      </c>
      <c r="BB116" s="125">
        <f>SQRT(($J$1022-J116)^2)</f>
        <v/>
      </c>
      <c r="BC116" s="125">
        <f>SQRT(($R$1022-R116)^2)</f>
        <v/>
      </c>
      <c r="BD116" s="125" t="inlineStr">
        <is>
          <t>W14X48</t>
        </is>
      </c>
      <c r="BI116">
        <f>SQRT(($J$1023-J116)^2)</f>
        <v/>
      </c>
      <c r="BJ116">
        <f>SQRT(($R$1023-R116)^2)</f>
        <v/>
      </c>
      <c r="BK116" s="125" t="inlineStr">
        <is>
          <t>W14X48</t>
        </is>
      </c>
      <c r="BP116">
        <f>SQRT(($J$1024-J116)^2)</f>
        <v/>
      </c>
      <c r="BQ116">
        <f>SQRT(($R$1024-R116)^2)</f>
        <v/>
      </c>
      <c r="BR116" s="125" t="inlineStr">
        <is>
          <t>W14X48</t>
        </is>
      </c>
      <c r="BW116">
        <f>SQRT(($J$1025-J116)^2)</f>
        <v/>
      </c>
      <c r="BX116">
        <f>SQRT(($R$1025-R116)^2)</f>
        <v/>
      </c>
      <c r="BY116" s="125" t="inlineStr">
        <is>
          <t>W14X48</t>
        </is>
      </c>
      <c r="CD116">
        <f>SQRT(($J$1026-J116)^2)</f>
        <v/>
      </c>
      <c r="CE116">
        <f>SQRT(($R$1026-R116)^2)</f>
        <v/>
      </c>
      <c r="CF116" s="125" t="inlineStr">
        <is>
          <t>W14X48</t>
        </is>
      </c>
    </row>
    <row r="117">
      <c r="A117" s="125" t="inlineStr">
        <is>
          <t>W14X53</t>
        </is>
      </c>
      <c r="B117" s="129" t="inlineStr">
        <is>
          <t>AISC</t>
        </is>
      </c>
      <c r="C117" s="125" t="n">
        <v>78.90000000000001</v>
      </c>
      <c r="D117" s="125" t="n">
        <v>353.6</v>
      </c>
      <c r="E117" s="125" t="n">
        <v>204.7</v>
      </c>
      <c r="F117" s="125" t="n">
        <v>16.7</v>
      </c>
      <c r="G117" s="125" t="n">
        <v>9.4</v>
      </c>
      <c r="H117" s="125" t="n">
        <v>15.2</v>
      </c>
      <c r="I117" s="125" t="n">
        <v>289.8</v>
      </c>
      <c r="J117" s="125" t="n">
        <v>100</v>
      </c>
      <c r="K117" s="125">
        <f>((E117-G117)/2)/F117</f>
        <v/>
      </c>
      <c r="L117" s="125">
        <f>I117/G117</f>
        <v/>
      </c>
      <c r="M117" s="125" t="n">
        <v>1.48</v>
      </c>
      <c r="N117" s="125" t="n">
        <v>22480</v>
      </c>
      <c r="O117" s="125" t="n">
        <v>2391</v>
      </c>
      <c r="P117" s="125" t="n">
        <v>15</v>
      </c>
      <c r="Q117" s="125" t="n">
        <v>4.88</v>
      </c>
      <c r="R117" s="125" t="n">
        <v>1271</v>
      </c>
      <c r="S117" s="125" t="n">
        <v>234</v>
      </c>
      <c r="T117" s="125" t="n">
        <v>1424</v>
      </c>
      <c r="U117" s="125" t="n">
        <v>359</v>
      </c>
      <c r="X117" s="129">
        <f t="array" ref="X117">_xlfn.IFS((D117/F117) &lt;= (640/SQRT($AT$32)), "Compact", L117 &lt;= ($AT$32*(0.79-(0.002*((E117-G117/2)/(2*F117))*SQRT($AT$32)))), "Non-Compact", L117 &gt; ($AT$32*(0.79-(0.002*((E117-G117/2)/(2*F117))*SQRT($AT$32)))), "Slender")</f>
        <v/>
      </c>
      <c r="Y117" s="129">
        <f t="array" ref="Y117">_xlfn.IFS(K117 &lt;= (65/SQRT($AT$32)), "Compact", K117 &lt;= (95/SQRT($AT$32)), "Non-Compact", K117 &gt; (95/SQRT($AT$32)), "Slender")</f>
        <v/>
      </c>
      <c r="Z117" s="125">
        <f>E117/F117</f>
        <v/>
      </c>
      <c r="AA117" s="125">
        <f>D117/G117</f>
        <v/>
      </c>
      <c r="AB117" s="125">
        <f t="array" ref="AB117">_xlfn.IFS(Z117 &lt;= 9, "1", Z117 &lt;= 12, "2", Z117 &lt;= 15, "3", Z117 &gt; 15, "4")</f>
        <v/>
      </c>
      <c r="AC117" s="125">
        <f t="array" ref="AC117">_xlfn.IFS(AA117 &lt;= 200, "1", L117 &lt;= 300, "2", L117 &lt;= 400, "3", L117 &gt; 400, "4")</f>
        <v/>
      </c>
      <c r="AD117" s="129">
        <f>SQRT((((VLOOKUP($AT$4,$A$4:$D$1021,4,FALSE))-D117)^2)+(((VLOOKUP($AT$4,$A$4:$E$1021,5,FALSE))-E117)^2)+(((VLOOKUP($AT$4,$A$4:$N$1021,14,FALSE))-N117)^2)+(((VLOOKUP($AT$4,$A$4:$O$1021,15,FALSE))-O117)^2))</f>
        <v/>
      </c>
      <c r="AG117" s="129">
        <f>SQRT((((VLOOKUP($AT$4,$A$4:$D$1021,4,FALSE))-D117)^2)+(((VLOOKUP($AT$4,$A$4:$E$1021,5,FALSE))-E117)^2)+(((VLOOKUP($AT$4,$A$4:$R$1021,18,FALSE))-R117)^2)+(((VLOOKUP($AT$4,$A$4:$S$1021,19,FALSE))-S117)^2))</f>
        <v/>
      </c>
      <c r="AJ117" s="125" t="inlineStr">
        <is>
          <t>W14X53</t>
        </is>
      </c>
      <c r="AK117" s="125">
        <f>SQRT(((VLOOKUP($AT$4,$A$4:$J$1021,10,FALSE))-J117)^2)</f>
        <v/>
      </c>
      <c r="AL117" s="125" t="n"/>
      <c r="AM117" s="125" t="n"/>
      <c r="AN117" s="125">
        <f>SQRT(((VLOOKUP($AT$4,$A$4:$R$1021,18,FALSE))-R117)^2)</f>
        <v/>
      </c>
      <c r="AO117" s="125" t="n"/>
      <c r="AP117" s="125" t="n"/>
      <c r="AQ117" s="125" t="inlineStr">
        <is>
          <t>W14X53</t>
        </is>
      </c>
      <c r="BB117" s="125">
        <f>SQRT(($J$1022-J117)^2)</f>
        <v/>
      </c>
      <c r="BC117" s="125">
        <f>SQRT(($R$1022-R117)^2)</f>
        <v/>
      </c>
      <c r="BD117" s="125" t="inlineStr">
        <is>
          <t>W14X53</t>
        </is>
      </c>
      <c r="BI117">
        <f>SQRT(($J$1023-J117)^2)</f>
        <v/>
      </c>
      <c r="BJ117">
        <f>SQRT(($R$1023-R117)^2)</f>
        <v/>
      </c>
      <c r="BK117" s="125" t="inlineStr">
        <is>
          <t>W14X53</t>
        </is>
      </c>
      <c r="BP117">
        <f>SQRT(($J$1024-J117)^2)</f>
        <v/>
      </c>
      <c r="BQ117">
        <f>SQRT(($R$1024-R117)^2)</f>
        <v/>
      </c>
      <c r="BR117" s="125" t="inlineStr">
        <is>
          <t>W14X53</t>
        </is>
      </c>
      <c r="BW117">
        <f>SQRT(($J$1025-J117)^2)</f>
        <v/>
      </c>
      <c r="BX117">
        <f>SQRT(($R$1025-R117)^2)</f>
        <v/>
      </c>
      <c r="BY117" s="125" t="inlineStr">
        <is>
          <t>W14X53</t>
        </is>
      </c>
      <c r="CD117">
        <f>SQRT(($J$1026-J117)^2)</f>
        <v/>
      </c>
      <c r="CE117">
        <f>SQRT(($R$1026-R117)^2)</f>
        <v/>
      </c>
      <c r="CF117" s="125" t="inlineStr">
        <is>
          <t>W14X53</t>
        </is>
      </c>
    </row>
    <row r="118">
      <c r="A118" s="125" t="inlineStr">
        <is>
          <t>W14X61</t>
        </is>
      </c>
      <c r="B118" s="129" t="inlineStr">
        <is>
          <t>AISC</t>
        </is>
      </c>
      <c r="C118" s="125" t="n">
        <v>90.8</v>
      </c>
      <c r="D118" s="125" t="n">
        <v>352.8</v>
      </c>
      <c r="E118" s="125" t="n">
        <v>253.9</v>
      </c>
      <c r="F118" s="125" t="n">
        <v>16.3</v>
      </c>
      <c r="G118" s="125" t="n">
        <v>9.5</v>
      </c>
      <c r="H118" s="125" t="n">
        <v>15.2</v>
      </c>
      <c r="I118" s="125" t="n">
        <v>289.8</v>
      </c>
      <c r="J118" s="125" t="n">
        <v>115</v>
      </c>
      <c r="K118" s="125">
        <f>((E118-G118)/2)/F118</f>
        <v/>
      </c>
      <c r="L118" s="125">
        <f>I118/G118</f>
        <v/>
      </c>
      <c r="M118" s="125" t="n">
        <v>1.68</v>
      </c>
      <c r="N118" s="125" t="n">
        <v>26540</v>
      </c>
      <c r="O118" s="125" t="n">
        <v>4451</v>
      </c>
      <c r="P118" s="125" t="n">
        <v>15.2</v>
      </c>
      <c r="Q118" s="125" t="n">
        <v>6.21</v>
      </c>
      <c r="R118" s="125" t="n">
        <v>1505</v>
      </c>
      <c r="S118" s="125" t="n">
        <v>351</v>
      </c>
      <c r="T118" s="125" t="n">
        <v>1668</v>
      </c>
      <c r="U118" s="125" t="n">
        <v>534</v>
      </c>
      <c r="X118" s="129">
        <f t="array" ref="X118">_xlfn.IFS((D118/F118) &lt;= (640/SQRT($AT$32)), "Compact", L118 &lt;= ($AT$32*(0.79-(0.002*((E118-G118/2)/(2*F118))*SQRT($AT$32)))), "Non-Compact", L118 &gt; ($AT$32*(0.79-(0.002*((E118-G118/2)/(2*F118))*SQRT($AT$32)))), "Slender")</f>
        <v/>
      </c>
      <c r="Y118" s="129">
        <f t="array" ref="Y118">_xlfn.IFS(K118 &lt;= (65/SQRT($AT$32)), "Compact", K118 &lt;= (95/SQRT($AT$32)), "Non-Compact", K118 &gt; (95/SQRT($AT$32)), "Slender")</f>
        <v/>
      </c>
      <c r="Z118" s="125">
        <f>E118/F118</f>
        <v/>
      </c>
      <c r="AA118" s="125">
        <f>D118/G118</f>
        <v/>
      </c>
      <c r="AB118" s="125">
        <f t="array" ref="AB118">_xlfn.IFS(Z118 &lt;= 9, "1", Z118 &lt;= 12, "2", Z118 &lt;= 15, "3", Z118 &gt; 15, "4")</f>
        <v/>
      </c>
      <c r="AC118" s="125">
        <f t="array" ref="AC118">_xlfn.IFS(AA118 &lt;= 200, "1", L118 &lt;= 300, "2", L118 &lt;= 400, "3", L118 &gt; 400, "4")</f>
        <v/>
      </c>
      <c r="AD118" s="129">
        <f>SQRT((((VLOOKUP($AT$4,$A$4:$D$1021,4,FALSE))-D118)^2)+(((VLOOKUP($AT$4,$A$4:$E$1021,5,FALSE))-E118)^2)+(((VLOOKUP($AT$4,$A$4:$N$1021,14,FALSE))-N118)^2)+(((VLOOKUP($AT$4,$A$4:$O$1021,15,FALSE))-O118)^2))</f>
        <v/>
      </c>
      <c r="AG118" s="129">
        <f>SQRT((((VLOOKUP($AT$4,$A$4:$D$1021,4,FALSE))-D118)^2)+(((VLOOKUP($AT$4,$A$4:$E$1021,5,FALSE))-E118)^2)+(((VLOOKUP($AT$4,$A$4:$R$1021,18,FALSE))-R118)^2)+(((VLOOKUP($AT$4,$A$4:$S$1021,19,FALSE))-S118)^2))</f>
        <v/>
      </c>
      <c r="AJ118" s="125" t="inlineStr">
        <is>
          <t>W14X61</t>
        </is>
      </c>
      <c r="AK118" s="125">
        <f>SQRT(((VLOOKUP($AT$4,$A$4:$J$1021,10,FALSE))-J118)^2)</f>
        <v/>
      </c>
      <c r="AL118" s="125" t="n"/>
      <c r="AM118" s="125" t="n"/>
      <c r="AN118" s="125">
        <f>SQRT(((VLOOKUP($AT$4,$A$4:$R$1021,18,FALSE))-R118)^2)</f>
        <v/>
      </c>
      <c r="AO118" s="125" t="n"/>
      <c r="AP118" s="125" t="n"/>
      <c r="AQ118" s="125" t="inlineStr">
        <is>
          <t>W14X61</t>
        </is>
      </c>
      <c r="BB118" s="125">
        <f>SQRT(($J$1022-J118)^2)</f>
        <v/>
      </c>
      <c r="BC118" s="125">
        <f>SQRT(($R$1022-R118)^2)</f>
        <v/>
      </c>
      <c r="BD118" s="125" t="inlineStr">
        <is>
          <t>W14X61</t>
        </is>
      </c>
      <c r="BI118">
        <f>SQRT(($J$1023-J118)^2)</f>
        <v/>
      </c>
      <c r="BJ118">
        <f>SQRT(($R$1023-R118)^2)</f>
        <v/>
      </c>
      <c r="BK118" s="125" t="inlineStr">
        <is>
          <t>W14X61</t>
        </is>
      </c>
      <c r="BP118">
        <f>SQRT(($J$1024-J118)^2)</f>
        <v/>
      </c>
      <c r="BQ118">
        <f>SQRT(($R$1024-R118)^2)</f>
        <v/>
      </c>
      <c r="BR118" s="125" t="inlineStr">
        <is>
          <t>W14X61</t>
        </is>
      </c>
      <c r="BW118">
        <f>SQRT(($J$1025-J118)^2)</f>
        <v/>
      </c>
      <c r="BX118">
        <f>SQRT(($R$1025-R118)^2)</f>
        <v/>
      </c>
      <c r="BY118" s="125" t="inlineStr">
        <is>
          <t>W14X61</t>
        </is>
      </c>
      <c r="CD118">
        <f>SQRT(($J$1026-J118)^2)</f>
        <v/>
      </c>
      <c r="CE118">
        <f>SQRT(($R$1026-R118)^2)</f>
        <v/>
      </c>
      <c r="CF118" s="125" t="inlineStr">
        <is>
          <t>W14X61</t>
        </is>
      </c>
    </row>
    <row r="119">
      <c r="A119" s="125" t="inlineStr">
        <is>
          <t>W14X68</t>
        </is>
      </c>
      <c r="B119" s="129" t="inlineStr">
        <is>
          <t>AISC</t>
        </is>
      </c>
      <c r="C119" s="125" t="n">
        <v>101.2</v>
      </c>
      <c r="D119" s="125" t="n">
        <v>356.6</v>
      </c>
      <c r="E119" s="125" t="n">
        <v>254.8</v>
      </c>
      <c r="F119" s="125" t="n">
        <v>18.3</v>
      </c>
      <c r="G119" s="125" t="n">
        <v>10.5</v>
      </c>
      <c r="H119" s="125" t="n">
        <v>15.2</v>
      </c>
      <c r="I119" s="125" t="n">
        <v>289.6</v>
      </c>
      <c r="J119" s="125" t="n">
        <v>129</v>
      </c>
      <c r="K119" s="125">
        <f>((E119-G119)/2)/F119</f>
        <v/>
      </c>
      <c r="L119" s="125">
        <f>I119/G119</f>
        <v/>
      </c>
      <c r="M119" s="125" t="n">
        <v>1.69</v>
      </c>
      <c r="N119" s="125" t="n">
        <v>30060</v>
      </c>
      <c r="O119" s="125" t="n">
        <v>5048</v>
      </c>
      <c r="P119" s="125" t="n">
        <v>15.3</v>
      </c>
      <c r="Q119" s="125" t="n">
        <v>6.26</v>
      </c>
      <c r="R119" s="125" t="n">
        <v>1686</v>
      </c>
      <c r="S119" s="125" t="n">
        <v>396</v>
      </c>
      <c r="T119" s="125" t="n">
        <v>1878</v>
      </c>
      <c r="U119" s="125" t="n">
        <v>604</v>
      </c>
      <c r="X119" s="129">
        <f t="array" ref="X119">_xlfn.IFS((D119/F119) &lt;= (640/SQRT($AT$32)), "Compact", L119 &lt;= ($AT$32*(0.79-(0.002*((E119-G119/2)/(2*F119))*SQRT($AT$32)))), "Non-Compact", L119 &gt; ($AT$32*(0.79-(0.002*((E119-G119/2)/(2*F119))*SQRT($AT$32)))), "Slender")</f>
        <v/>
      </c>
      <c r="Y119" s="129">
        <f t="array" ref="Y119">_xlfn.IFS(K119 &lt;= (65/SQRT($AT$32)), "Compact", K119 &lt;= (95/SQRT($AT$32)), "Non-Compact", K119 &gt; (95/SQRT($AT$32)), "Slender")</f>
        <v/>
      </c>
      <c r="Z119" s="125">
        <f>E119/F119</f>
        <v/>
      </c>
      <c r="AA119" s="125">
        <f>D119/G119</f>
        <v/>
      </c>
      <c r="AB119" s="125">
        <f t="array" ref="AB119">_xlfn.IFS(Z119 &lt;= 9, "1", Z119 &lt;= 12, "2", Z119 &lt;= 15, "3", Z119 &gt; 15, "4")</f>
        <v/>
      </c>
      <c r="AC119" s="125">
        <f t="array" ref="AC119">_xlfn.IFS(AA119 &lt;= 200, "1", L119 &lt;= 300, "2", L119 &lt;= 400, "3", L119 &gt; 400, "4")</f>
        <v/>
      </c>
      <c r="AD119" s="129">
        <f>SQRT((((VLOOKUP($AT$4,$A$4:$D$1021,4,FALSE))-D119)^2)+(((VLOOKUP($AT$4,$A$4:$E$1021,5,FALSE))-E119)^2)+(((VLOOKUP($AT$4,$A$4:$N$1021,14,FALSE))-N119)^2)+(((VLOOKUP($AT$4,$A$4:$O$1021,15,FALSE))-O119)^2))</f>
        <v/>
      </c>
      <c r="AG119" s="129">
        <f>SQRT((((VLOOKUP($AT$4,$A$4:$D$1021,4,FALSE))-D119)^2)+(((VLOOKUP($AT$4,$A$4:$E$1021,5,FALSE))-E119)^2)+(((VLOOKUP($AT$4,$A$4:$R$1021,18,FALSE))-R119)^2)+(((VLOOKUP($AT$4,$A$4:$S$1021,19,FALSE))-S119)^2))</f>
        <v/>
      </c>
      <c r="AJ119" s="125" t="inlineStr">
        <is>
          <t>W14X68</t>
        </is>
      </c>
      <c r="AK119" s="125">
        <f>SQRT(((VLOOKUP($AT$4,$A$4:$J$1021,10,FALSE))-J119)^2)</f>
        <v/>
      </c>
      <c r="AL119" s="125" t="n"/>
      <c r="AM119" s="125" t="n"/>
      <c r="AN119" s="125">
        <f>SQRT(((VLOOKUP($AT$4,$A$4:$R$1021,18,FALSE))-R119)^2)</f>
        <v/>
      </c>
      <c r="AO119" s="125" t="n"/>
      <c r="AP119" s="125" t="n"/>
      <c r="AQ119" s="125" t="inlineStr">
        <is>
          <t>W14X68</t>
        </is>
      </c>
      <c r="BB119" s="125">
        <f>SQRT(($J$1022-J119)^2)</f>
        <v/>
      </c>
      <c r="BC119" s="125">
        <f>SQRT(($R$1022-R119)^2)</f>
        <v/>
      </c>
      <c r="BD119" s="125" t="inlineStr">
        <is>
          <t>W14X68</t>
        </is>
      </c>
      <c r="BI119">
        <f>SQRT(($J$1023-J119)^2)</f>
        <v/>
      </c>
      <c r="BJ119">
        <f>SQRT(($R$1023-R119)^2)</f>
        <v/>
      </c>
      <c r="BK119" s="125" t="inlineStr">
        <is>
          <t>W14X68</t>
        </is>
      </c>
      <c r="BP119">
        <f>SQRT(($J$1024-J119)^2)</f>
        <v/>
      </c>
      <c r="BQ119">
        <f>SQRT(($R$1024-R119)^2)</f>
        <v/>
      </c>
      <c r="BR119" s="125" t="inlineStr">
        <is>
          <t>W14X68</t>
        </is>
      </c>
      <c r="BW119">
        <f>SQRT(($J$1025-J119)^2)</f>
        <v/>
      </c>
      <c r="BX119">
        <f>SQRT(($R$1025-R119)^2)</f>
        <v/>
      </c>
      <c r="BY119" s="125" t="inlineStr">
        <is>
          <t>W14X68</t>
        </is>
      </c>
      <c r="CD119">
        <f>SQRT(($J$1026-J119)^2)</f>
        <v/>
      </c>
      <c r="CE119">
        <f>SQRT(($R$1026-R119)^2)</f>
        <v/>
      </c>
      <c r="CF119" s="125" t="inlineStr">
        <is>
          <t>W14X68</t>
        </is>
      </c>
    </row>
    <row r="120">
      <c r="A120" s="125" t="inlineStr">
        <is>
          <t>W14X74</t>
        </is>
      </c>
      <c r="B120" s="129" t="inlineStr">
        <is>
          <t>AISC</t>
        </is>
      </c>
      <c r="C120" s="125" t="n">
        <v>110.1</v>
      </c>
      <c r="D120" s="125" t="n">
        <v>359.9</v>
      </c>
      <c r="E120" s="125" t="n">
        <v>255.8</v>
      </c>
      <c r="F120" s="125" t="n">
        <v>19.9</v>
      </c>
      <c r="G120" s="125" t="n">
        <v>11.4</v>
      </c>
      <c r="H120" s="125" t="n">
        <v>15.2</v>
      </c>
      <c r="I120" s="125" t="n">
        <v>289.6</v>
      </c>
      <c r="J120" s="125" t="n">
        <v>141</v>
      </c>
      <c r="K120" s="125">
        <f>((E120-G120)/2)/F120</f>
        <v/>
      </c>
      <c r="L120" s="125">
        <f>I120/G120</f>
        <v/>
      </c>
      <c r="M120" s="125" t="n">
        <v>1.69</v>
      </c>
      <c r="N120" s="125" t="n">
        <v>33120</v>
      </c>
      <c r="O120" s="125" t="n">
        <v>5569</v>
      </c>
      <c r="P120" s="125" t="n">
        <v>15.3</v>
      </c>
      <c r="Q120" s="125" t="n">
        <v>6.29</v>
      </c>
      <c r="R120" s="125" t="n">
        <v>1840</v>
      </c>
      <c r="S120" s="125" t="n">
        <v>435</v>
      </c>
      <c r="T120" s="125" t="n">
        <v>2058</v>
      </c>
      <c r="U120" s="125" t="n">
        <v>665</v>
      </c>
      <c r="X120" s="129">
        <f t="array" ref="X120">_xlfn.IFS((D120/F120) &lt;= (640/SQRT($AT$32)), "Compact", L120 &lt;= ($AT$32*(0.79-(0.002*((E120-G120/2)/(2*F120))*SQRT($AT$32)))), "Non-Compact", L120 &gt; ($AT$32*(0.79-(0.002*((E120-G120/2)/(2*F120))*SQRT($AT$32)))), "Slender")</f>
        <v/>
      </c>
      <c r="Y120" s="129">
        <f t="array" ref="Y120">_xlfn.IFS(K120 &lt;= (65/SQRT($AT$32)), "Compact", K120 &lt;= (95/SQRT($AT$32)), "Non-Compact", K120 &gt; (95/SQRT($AT$32)), "Slender")</f>
        <v/>
      </c>
      <c r="Z120" s="125">
        <f>E120/F120</f>
        <v/>
      </c>
      <c r="AA120" s="125">
        <f>D120/G120</f>
        <v/>
      </c>
      <c r="AB120" s="125">
        <f t="array" ref="AB120">_xlfn.IFS(Z120 &lt;= 9, "1", Z120 &lt;= 12, "2", Z120 &lt;= 15, "3", Z120 &gt; 15, "4")</f>
        <v/>
      </c>
      <c r="AC120" s="125">
        <f t="array" ref="AC120">_xlfn.IFS(AA120 &lt;= 200, "1", L120 &lt;= 300, "2", L120 &lt;= 400, "3", L120 &gt; 400, "4")</f>
        <v/>
      </c>
      <c r="AD120" s="129">
        <f>SQRT((((VLOOKUP($AT$4,$A$4:$D$1021,4,FALSE))-D120)^2)+(((VLOOKUP($AT$4,$A$4:$E$1021,5,FALSE))-E120)^2)+(((VLOOKUP($AT$4,$A$4:$N$1021,14,FALSE))-N120)^2)+(((VLOOKUP($AT$4,$A$4:$O$1021,15,FALSE))-O120)^2))</f>
        <v/>
      </c>
      <c r="AG120" s="129">
        <f>SQRT((((VLOOKUP($AT$4,$A$4:$D$1021,4,FALSE))-D120)^2)+(((VLOOKUP($AT$4,$A$4:$E$1021,5,FALSE))-E120)^2)+(((VLOOKUP($AT$4,$A$4:$R$1021,18,FALSE))-R120)^2)+(((VLOOKUP($AT$4,$A$4:$S$1021,19,FALSE))-S120)^2))</f>
        <v/>
      </c>
      <c r="AJ120" s="125" t="inlineStr">
        <is>
          <t>W14X74</t>
        </is>
      </c>
      <c r="AK120" s="125">
        <f>SQRT(((VLOOKUP($AT$4,$A$4:$J$1021,10,FALSE))-J120)^2)</f>
        <v/>
      </c>
      <c r="AL120" s="125" t="n"/>
      <c r="AM120" s="125" t="n"/>
      <c r="AN120" s="125">
        <f>SQRT(((VLOOKUP($AT$4,$A$4:$R$1021,18,FALSE))-R120)^2)</f>
        <v/>
      </c>
      <c r="AO120" s="125" t="n"/>
      <c r="AP120" s="125" t="n"/>
      <c r="AQ120" s="125" t="inlineStr">
        <is>
          <t>W14X74</t>
        </is>
      </c>
      <c r="BB120" s="125">
        <f>SQRT(($J$1022-J120)^2)</f>
        <v/>
      </c>
      <c r="BC120" s="125">
        <f>SQRT(($R$1022-R120)^2)</f>
        <v/>
      </c>
      <c r="BD120" s="125" t="inlineStr">
        <is>
          <t>W14X74</t>
        </is>
      </c>
      <c r="BI120">
        <f>SQRT(($J$1023-J120)^2)</f>
        <v/>
      </c>
      <c r="BJ120">
        <f>SQRT(($R$1023-R120)^2)</f>
        <v/>
      </c>
      <c r="BK120" s="125" t="inlineStr">
        <is>
          <t>W14X74</t>
        </is>
      </c>
      <c r="BP120">
        <f>SQRT(($J$1024-J120)^2)</f>
        <v/>
      </c>
      <c r="BQ120">
        <f>SQRT(($R$1024-R120)^2)</f>
        <v/>
      </c>
      <c r="BR120" s="125" t="inlineStr">
        <is>
          <t>W14X74</t>
        </is>
      </c>
      <c r="BW120">
        <f>SQRT(($J$1025-J120)^2)</f>
        <v/>
      </c>
      <c r="BX120">
        <f>SQRT(($R$1025-R120)^2)</f>
        <v/>
      </c>
      <c r="BY120" s="125" t="inlineStr">
        <is>
          <t>W14X74</t>
        </is>
      </c>
      <c r="CD120">
        <f>SQRT(($J$1026-J120)^2)</f>
        <v/>
      </c>
      <c r="CE120">
        <f>SQRT(($R$1026-R120)^2)</f>
        <v/>
      </c>
      <c r="CF120" s="125" t="inlineStr">
        <is>
          <t>W14X74</t>
        </is>
      </c>
    </row>
    <row r="121">
      <c r="A121" s="125" t="inlineStr">
        <is>
          <t>W14X82</t>
        </is>
      </c>
      <c r="B121" s="129" t="inlineStr">
        <is>
          <t>AISC</t>
        </is>
      </c>
      <c r="C121" s="125" t="n">
        <v>122</v>
      </c>
      <c r="D121" s="125" t="n">
        <v>363.5</v>
      </c>
      <c r="E121" s="125" t="n">
        <v>257.3</v>
      </c>
      <c r="F121" s="125" t="n">
        <v>21.7</v>
      </c>
      <c r="G121" s="125" t="n">
        <v>12.9</v>
      </c>
      <c r="H121" s="125" t="n">
        <v>15.2</v>
      </c>
      <c r="I121" s="125" t="n">
        <v>289.7</v>
      </c>
      <c r="J121" s="125" t="n">
        <v>155</v>
      </c>
      <c r="K121" s="125">
        <f>((E121-G121)/2)/F121</f>
        <v/>
      </c>
      <c r="L121" s="125">
        <f>I121/G121</f>
        <v/>
      </c>
      <c r="M121" s="125" t="n">
        <v>1.7</v>
      </c>
      <c r="N121" s="125" t="n">
        <v>36680</v>
      </c>
      <c r="O121" s="125" t="n">
        <v>6175</v>
      </c>
      <c r="P121" s="125" t="n">
        <v>15.4</v>
      </c>
      <c r="Q121" s="125" t="n">
        <v>6.31</v>
      </c>
      <c r="R121" s="125" t="n">
        <v>2018</v>
      </c>
      <c r="S121" s="125" t="n">
        <v>480</v>
      </c>
      <c r="T121" s="125" t="n">
        <v>2270</v>
      </c>
      <c r="U121" s="125" t="n">
        <v>734</v>
      </c>
      <c r="X121" s="129">
        <f t="array" ref="X121">_xlfn.IFS((D121/F121) &lt;= (640/SQRT($AT$32)), "Compact", L121 &lt;= ($AT$32*(0.79-(0.002*((E121-G121/2)/(2*F121))*SQRT($AT$32)))), "Non-Compact", L121 &gt; ($AT$32*(0.79-(0.002*((E121-G121/2)/(2*F121))*SQRT($AT$32)))), "Slender")</f>
        <v/>
      </c>
      <c r="Y121" s="129">
        <f t="array" ref="Y121">_xlfn.IFS(K121 &lt;= (65/SQRT($AT$32)), "Compact", K121 &lt;= (95/SQRT($AT$32)), "Non-Compact", K121 &gt; (95/SQRT($AT$32)), "Slender")</f>
        <v/>
      </c>
      <c r="Z121" s="125">
        <f>E121/F121</f>
        <v/>
      </c>
      <c r="AA121" s="125">
        <f>D121/G121</f>
        <v/>
      </c>
      <c r="AB121" s="125">
        <f t="array" ref="AB121">_xlfn.IFS(Z121 &lt;= 9, "1", Z121 &lt;= 12, "2", Z121 &lt;= 15, "3", Z121 &gt; 15, "4")</f>
        <v/>
      </c>
      <c r="AC121" s="125">
        <f t="array" ref="AC121">_xlfn.IFS(AA121 &lt;= 200, "1", L121 &lt;= 300, "2", L121 &lt;= 400, "3", L121 &gt; 400, "4")</f>
        <v/>
      </c>
      <c r="AD121" s="129">
        <f>SQRT((((VLOOKUP($AT$4,$A$4:$D$1021,4,FALSE))-D121)^2)+(((VLOOKUP($AT$4,$A$4:$E$1021,5,FALSE))-E121)^2)+(((VLOOKUP($AT$4,$A$4:$N$1021,14,FALSE))-N121)^2)+(((VLOOKUP($AT$4,$A$4:$O$1021,15,FALSE))-O121)^2))</f>
        <v/>
      </c>
      <c r="AG121" s="129">
        <f>SQRT((((VLOOKUP($AT$4,$A$4:$D$1021,4,FALSE))-D121)^2)+(((VLOOKUP($AT$4,$A$4:$E$1021,5,FALSE))-E121)^2)+(((VLOOKUP($AT$4,$A$4:$R$1021,18,FALSE))-R121)^2)+(((VLOOKUP($AT$4,$A$4:$S$1021,19,FALSE))-S121)^2))</f>
        <v/>
      </c>
      <c r="AJ121" s="125" t="inlineStr">
        <is>
          <t>W14X82</t>
        </is>
      </c>
      <c r="AK121" s="125">
        <f>SQRT(((VLOOKUP($AT$4,$A$4:$J$1021,10,FALSE))-J121)^2)</f>
        <v/>
      </c>
      <c r="AL121" s="125" t="n"/>
      <c r="AM121" s="125" t="n"/>
      <c r="AN121" s="125">
        <f>SQRT(((VLOOKUP($AT$4,$A$4:$R$1021,18,FALSE))-R121)^2)</f>
        <v/>
      </c>
      <c r="AO121" s="125" t="n"/>
      <c r="AP121" s="125" t="n"/>
      <c r="AQ121" s="125" t="inlineStr">
        <is>
          <t>W14X82</t>
        </is>
      </c>
      <c r="BB121" s="125">
        <f>SQRT(($J$1022-J121)^2)</f>
        <v/>
      </c>
      <c r="BC121" s="125">
        <f>SQRT(($R$1022-R121)^2)</f>
        <v/>
      </c>
      <c r="BD121" s="125" t="inlineStr">
        <is>
          <t>W14X82</t>
        </is>
      </c>
      <c r="BI121">
        <f>SQRT(($J$1023-J121)^2)</f>
        <v/>
      </c>
      <c r="BJ121">
        <f>SQRT(($R$1023-R121)^2)</f>
        <v/>
      </c>
      <c r="BK121" s="125" t="inlineStr">
        <is>
          <t>W14X82</t>
        </is>
      </c>
      <c r="BP121">
        <f>SQRT(($J$1024-J121)^2)</f>
        <v/>
      </c>
      <c r="BQ121">
        <f>SQRT(($R$1024-R121)^2)</f>
        <v/>
      </c>
      <c r="BR121" s="125" t="inlineStr">
        <is>
          <t>W14X82</t>
        </is>
      </c>
      <c r="BW121">
        <f>SQRT(($J$1025-J121)^2)</f>
        <v/>
      </c>
      <c r="BX121">
        <f>SQRT(($R$1025-R121)^2)</f>
        <v/>
      </c>
      <c r="BY121" s="125" t="inlineStr">
        <is>
          <t>W14X82</t>
        </is>
      </c>
      <c r="CD121">
        <f>SQRT(($J$1026-J121)^2)</f>
        <v/>
      </c>
      <c r="CE121">
        <f>SQRT(($R$1026-R121)^2)</f>
        <v/>
      </c>
      <c r="CF121" s="125" t="inlineStr">
        <is>
          <t>W14X82</t>
        </is>
      </c>
    </row>
    <row r="122">
      <c r="A122" s="125" t="inlineStr">
        <is>
          <t>W14X87</t>
        </is>
      </c>
      <c r="B122" s="129" t="inlineStr">
        <is>
          <t>AISC</t>
        </is>
      </c>
      <c r="C122" s="125" t="n">
        <v>129</v>
      </c>
      <c r="D122" s="125" t="n">
        <v>355.6</v>
      </c>
      <c r="E122" s="125" t="n">
        <v>368.6</v>
      </c>
      <c r="F122" s="125" t="n">
        <v>17.5</v>
      </c>
      <c r="G122" s="125" t="n">
        <v>10.4</v>
      </c>
      <c r="H122" s="125" t="n">
        <v>15.2</v>
      </c>
      <c r="I122" s="125" t="n">
        <v>290.2</v>
      </c>
      <c r="J122" s="125" t="n">
        <v>164</v>
      </c>
      <c r="K122" s="125">
        <f>((E122-G122)/2)/F122</f>
        <v/>
      </c>
      <c r="L122" s="125">
        <f>I122/G122</f>
        <v/>
      </c>
      <c r="M122" s="125" t="n">
        <v>2.14</v>
      </c>
      <c r="N122" s="125" t="n">
        <v>40250</v>
      </c>
      <c r="O122" s="125" t="n">
        <v>14610</v>
      </c>
      <c r="P122" s="125" t="n">
        <v>15.6</v>
      </c>
      <c r="Q122" s="125" t="n">
        <v>9.43</v>
      </c>
      <c r="R122" s="125" t="n">
        <v>2264</v>
      </c>
      <c r="S122" s="125" t="n">
        <v>793</v>
      </c>
      <c r="T122" s="125" t="n">
        <v>2479</v>
      </c>
      <c r="U122" s="125" t="n">
        <v>1199</v>
      </c>
      <c r="X122" s="129">
        <f t="array" ref="X122">_xlfn.IFS((D122/F122) &lt;= (640/SQRT($AT$32)), "Compact", L122 &lt;= ($AT$32*(0.79-(0.002*((E122-G122/2)/(2*F122))*SQRT($AT$32)))), "Non-Compact", L122 &gt; ($AT$32*(0.79-(0.002*((E122-G122/2)/(2*F122))*SQRT($AT$32)))), "Slender")</f>
        <v/>
      </c>
      <c r="Y122" s="129">
        <f t="array" ref="Y122">_xlfn.IFS(K122 &lt;= (65/SQRT($AT$32)), "Compact", K122 &lt;= (95/SQRT($AT$32)), "Non-Compact", K122 &gt; (95/SQRT($AT$32)), "Slender")</f>
        <v/>
      </c>
      <c r="Z122" s="125">
        <f>E122/F122</f>
        <v/>
      </c>
      <c r="AA122" s="125">
        <f>D122/G122</f>
        <v/>
      </c>
      <c r="AB122" s="125">
        <f t="array" ref="AB122">_xlfn.IFS(Z122 &lt;= 9, "1", Z122 &lt;= 12, "2", Z122 &lt;= 15, "3", Z122 &gt; 15, "4")</f>
        <v/>
      </c>
      <c r="AC122" s="125">
        <f t="array" ref="AC122">_xlfn.IFS(AA122 &lt;= 200, "1", L122 &lt;= 300, "2", L122 &lt;= 400, "3", L122 &gt; 400, "4")</f>
        <v/>
      </c>
      <c r="AD122" s="129">
        <f>SQRT((((VLOOKUP($AT$4,$A$4:$D$1021,4,FALSE))-D122)^2)+(((VLOOKUP($AT$4,$A$4:$E$1021,5,FALSE))-E122)^2)+(((VLOOKUP($AT$4,$A$4:$N$1021,14,FALSE))-N122)^2)+(((VLOOKUP($AT$4,$A$4:$O$1021,15,FALSE))-O122)^2))</f>
        <v/>
      </c>
      <c r="AG122" s="129">
        <f>SQRT((((VLOOKUP($AT$4,$A$4:$D$1021,4,FALSE))-D122)^2)+(((VLOOKUP($AT$4,$A$4:$E$1021,5,FALSE))-E122)^2)+(((VLOOKUP($AT$4,$A$4:$R$1021,18,FALSE))-R122)^2)+(((VLOOKUP($AT$4,$A$4:$S$1021,19,FALSE))-S122)^2))</f>
        <v/>
      </c>
      <c r="AJ122" s="125" t="inlineStr">
        <is>
          <t>W14X87</t>
        </is>
      </c>
      <c r="AK122" s="125">
        <f>SQRT(((VLOOKUP($AT$4,$A$4:$J$1021,10,FALSE))-J122)^2)</f>
        <v/>
      </c>
      <c r="AL122" s="125" t="n"/>
      <c r="AM122" s="125" t="n"/>
      <c r="AN122" s="125">
        <f>SQRT(((VLOOKUP($AT$4,$A$4:$R$1021,18,FALSE))-R122)^2)</f>
        <v/>
      </c>
      <c r="AO122" s="125" t="n"/>
      <c r="AP122" s="125" t="n"/>
      <c r="AQ122" s="125" t="inlineStr">
        <is>
          <t>W14X87</t>
        </is>
      </c>
      <c r="BB122" s="125">
        <f>SQRT(($J$1022-J122)^2)</f>
        <v/>
      </c>
      <c r="BC122" s="125">
        <f>SQRT(($R$1022-R122)^2)</f>
        <v/>
      </c>
      <c r="BD122" s="125" t="inlineStr">
        <is>
          <t>W14X87</t>
        </is>
      </c>
      <c r="BI122">
        <f>SQRT(($J$1023-J122)^2)</f>
        <v/>
      </c>
      <c r="BJ122">
        <f>SQRT(($R$1023-R122)^2)</f>
        <v/>
      </c>
      <c r="BK122" s="125" t="inlineStr">
        <is>
          <t>W14X87</t>
        </is>
      </c>
      <c r="BP122">
        <f>SQRT(($J$1024-J122)^2)</f>
        <v/>
      </c>
      <c r="BQ122">
        <f>SQRT(($R$1024-R122)^2)</f>
        <v/>
      </c>
      <c r="BR122" s="125" t="inlineStr">
        <is>
          <t>W14X87</t>
        </is>
      </c>
      <c r="BW122">
        <f>SQRT(($J$1025-J122)^2)</f>
        <v/>
      </c>
      <c r="BX122">
        <f>SQRT(($R$1025-R122)^2)</f>
        <v/>
      </c>
      <c r="BY122" s="125" t="inlineStr">
        <is>
          <t>W14X87</t>
        </is>
      </c>
      <c r="CD122">
        <f>SQRT(($J$1026-J122)^2)</f>
        <v/>
      </c>
      <c r="CE122">
        <f>SQRT(($R$1026-R122)^2)</f>
        <v/>
      </c>
      <c r="CF122" s="125" t="inlineStr">
        <is>
          <t>W14X87</t>
        </is>
      </c>
    </row>
    <row r="123">
      <c r="A123" s="125" t="inlineStr">
        <is>
          <t>W14X90</t>
        </is>
      </c>
      <c r="B123" s="129" t="inlineStr">
        <is>
          <t>AISC</t>
        </is>
      </c>
      <c r="C123" s="125" t="n">
        <v>133.9</v>
      </c>
      <c r="D123" s="125" t="n">
        <v>356.1</v>
      </c>
      <c r="E123" s="125" t="n">
        <v>368.8</v>
      </c>
      <c r="F123" s="125" t="n">
        <v>18</v>
      </c>
      <c r="G123" s="125" t="n">
        <v>11.2</v>
      </c>
      <c r="H123" s="125" t="n">
        <v>15.2</v>
      </c>
      <c r="I123" s="125" t="n">
        <v>289.6</v>
      </c>
      <c r="J123" s="125" t="n">
        <v>171</v>
      </c>
      <c r="K123" s="125">
        <f>((E123-G123)/2)/F123</f>
        <v/>
      </c>
      <c r="L123" s="125">
        <f>I123/G123</f>
        <v/>
      </c>
      <c r="M123" s="125" t="n">
        <v>2.14</v>
      </c>
      <c r="N123" s="125" t="n">
        <v>41580</v>
      </c>
      <c r="O123" s="125" t="n">
        <v>15080</v>
      </c>
      <c r="P123" s="125" t="n">
        <v>15.6</v>
      </c>
      <c r="Q123" s="125" t="n">
        <v>9.4</v>
      </c>
      <c r="R123" s="125" t="n">
        <v>2335</v>
      </c>
      <c r="S123" s="125" t="n">
        <v>818</v>
      </c>
      <c r="T123" s="125" t="n">
        <v>2565</v>
      </c>
      <c r="U123" s="125" t="n">
        <v>1238</v>
      </c>
      <c r="X123" s="129">
        <f t="array" ref="X123">_xlfn.IFS((D123/F123) &lt;= (640/SQRT($AT$32)), "Compact", L123 &lt;= ($AT$32*(0.79-(0.002*((E123-G123/2)/(2*F123))*SQRT($AT$32)))), "Non-Compact", L123 &gt; ($AT$32*(0.79-(0.002*((E123-G123/2)/(2*F123))*SQRT($AT$32)))), "Slender")</f>
        <v/>
      </c>
      <c r="Y123" s="129">
        <f t="array" ref="Y123">_xlfn.IFS(K123 &lt;= (65/SQRT($AT$32)), "Compact", K123 &lt;= (95/SQRT($AT$32)), "Non-Compact", K123 &gt; (95/SQRT($AT$32)), "Slender")</f>
        <v/>
      </c>
      <c r="Z123" s="125">
        <f>E123/F123</f>
        <v/>
      </c>
      <c r="AA123" s="125">
        <f>D123/G123</f>
        <v/>
      </c>
      <c r="AB123" s="125">
        <f t="array" ref="AB123">_xlfn.IFS(Z123 &lt;= 9, "1", Z123 &lt;= 12, "2", Z123 &lt;= 15, "3", Z123 &gt; 15, "4")</f>
        <v/>
      </c>
      <c r="AC123" s="125">
        <f t="array" ref="AC123">_xlfn.IFS(AA123 &lt;= 200, "1", L123 &lt;= 300, "2", L123 &lt;= 400, "3", L123 &gt; 400, "4")</f>
        <v/>
      </c>
      <c r="AD123" s="129">
        <f>SQRT((((VLOOKUP($AT$4,$A$4:$D$1021,4,FALSE))-D123)^2)+(((VLOOKUP($AT$4,$A$4:$E$1021,5,FALSE))-E123)^2)+(((VLOOKUP($AT$4,$A$4:$N$1021,14,FALSE))-N123)^2)+(((VLOOKUP($AT$4,$A$4:$O$1021,15,FALSE))-O123)^2))</f>
        <v/>
      </c>
      <c r="AG123" s="129">
        <f>SQRT((((VLOOKUP($AT$4,$A$4:$D$1021,4,FALSE))-D123)^2)+(((VLOOKUP($AT$4,$A$4:$E$1021,5,FALSE))-E123)^2)+(((VLOOKUP($AT$4,$A$4:$R$1021,18,FALSE))-R123)^2)+(((VLOOKUP($AT$4,$A$4:$S$1021,19,FALSE))-S123)^2))</f>
        <v/>
      </c>
      <c r="AJ123" s="125" t="inlineStr">
        <is>
          <t>W14X90</t>
        </is>
      </c>
      <c r="AK123" s="125">
        <f>SQRT(((VLOOKUP($AT$4,$A$4:$J$1021,10,FALSE))-J123)^2)</f>
        <v/>
      </c>
      <c r="AL123" s="125" t="n"/>
      <c r="AM123" s="125" t="n"/>
      <c r="AN123" s="125">
        <f>SQRT(((VLOOKUP($AT$4,$A$4:$R$1021,18,FALSE))-R123)^2)</f>
        <v/>
      </c>
      <c r="AO123" s="125" t="n"/>
      <c r="AP123" s="125" t="n"/>
      <c r="AQ123" s="125" t="inlineStr">
        <is>
          <t>W14X90</t>
        </is>
      </c>
      <c r="BB123" s="125">
        <f>SQRT(($J$1022-J123)^2)</f>
        <v/>
      </c>
      <c r="BC123" s="125">
        <f>SQRT(($R$1022-R123)^2)</f>
        <v/>
      </c>
      <c r="BD123" s="125" t="inlineStr">
        <is>
          <t>W14X90</t>
        </is>
      </c>
      <c r="BI123">
        <f>SQRT(($J$1023-J123)^2)</f>
        <v/>
      </c>
      <c r="BJ123">
        <f>SQRT(($R$1023-R123)^2)</f>
        <v/>
      </c>
      <c r="BK123" s="125" t="inlineStr">
        <is>
          <t>W14X90</t>
        </is>
      </c>
      <c r="BP123">
        <f>SQRT(($J$1024-J123)^2)</f>
        <v/>
      </c>
      <c r="BQ123">
        <f>SQRT(($R$1024-R123)^2)</f>
        <v/>
      </c>
      <c r="BR123" s="125" t="inlineStr">
        <is>
          <t>W14X90</t>
        </is>
      </c>
      <c r="BW123">
        <f>SQRT(($J$1025-J123)^2)</f>
        <v/>
      </c>
      <c r="BX123">
        <f>SQRT(($R$1025-R123)^2)</f>
        <v/>
      </c>
      <c r="BY123" s="125" t="inlineStr">
        <is>
          <t>W14X90</t>
        </is>
      </c>
      <c r="CD123">
        <f>SQRT(($J$1026-J123)^2)</f>
        <v/>
      </c>
      <c r="CE123">
        <f>SQRT(($R$1026-R123)^2)</f>
        <v/>
      </c>
      <c r="CF123" s="125" t="inlineStr">
        <is>
          <t>W14X90</t>
        </is>
      </c>
    </row>
    <row r="124">
      <c r="A124" s="125" t="inlineStr">
        <is>
          <t>W14X99</t>
        </is>
      </c>
      <c r="B124" s="129" t="inlineStr">
        <is>
          <t>AISC</t>
        </is>
      </c>
      <c r="C124" s="125" t="n">
        <v>147.3</v>
      </c>
      <c r="D124" s="125" t="n">
        <v>359.7</v>
      </c>
      <c r="E124" s="125" t="n">
        <v>370</v>
      </c>
      <c r="F124" s="125" t="n">
        <v>19.8</v>
      </c>
      <c r="G124" s="125" t="n">
        <v>12.3</v>
      </c>
      <c r="H124" s="125" t="n">
        <v>15.2</v>
      </c>
      <c r="I124" s="125" t="n">
        <v>289.7</v>
      </c>
      <c r="J124" s="125" t="n">
        <v>188</v>
      </c>
      <c r="K124" s="125">
        <f>((E124-G124)/2)/F124</f>
        <v/>
      </c>
      <c r="L124" s="125">
        <f>I124/G124</f>
        <v/>
      </c>
      <c r="M124" s="125" t="n">
        <v>2.15</v>
      </c>
      <c r="N124" s="125" t="n">
        <v>46240</v>
      </c>
      <c r="O124" s="125" t="n">
        <v>16730</v>
      </c>
      <c r="P124" s="125" t="n">
        <v>15.7</v>
      </c>
      <c r="Q124" s="125" t="n">
        <v>9.43</v>
      </c>
      <c r="R124" s="125" t="n">
        <v>2571</v>
      </c>
      <c r="S124" s="125" t="n">
        <v>904</v>
      </c>
      <c r="T124" s="125" t="n">
        <v>2838</v>
      </c>
      <c r="U124" s="125" t="n">
        <v>1370</v>
      </c>
      <c r="X124" s="129">
        <f t="array" ref="X124">_xlfn.IFS((D124/F124) &lt;= (640/SQRT($AT$32)), "Compact", L124 &lt;= ($AT$32*(0.79-(0.002*((E124-G124/2)/(2*F124))*SQRT($AT$32)))), "Non-Compact", L124 &gt; ($AT$32*(0.79-(0.002*((E124-G124/2)/(2*F124))*SQRT($AT$32)))), "Slender")</f>
        <v/>
      </c>
      <c r="Y124" s="129">
        <f t="array" ref="Y124">_xlfn.IFS(K124 &lt;= (65/SQRT($AT$32)), "Compact", K124 &lt;= (95/SQRT($AT$32)), "Non-Compact", K124 &gt; (95/SQRT($AT$32)), "Slender")</f>
        <v/>
      </c>
      <c r="Z124" s="125">
        <f>E124/F124</f>
        <v/>
      </c>
      <c r="AA124" s="125">
        <f>D124/G124</f>
        <v/>
      </c>
      <c r="AB124" s="125">
        <f t="array" ref="AB124">_xlfn.IFS(Z124 &lt;= 9, "1", Z124 &lt;= 12, "2", Z124 &lt;= 15, "3", Z124 &gt; 15, "4")</f>
        <v/>
      </c>
      <c r="AC124" s="125">
        <f t="array" ref="AC124">_xlfn.IFS(AA124 &lt;= 200, "1", L124 &lt;= 300, "2", L124 &lt;= 400, "3", L124 &gt; 400, "4")</f>
        <v/>
      </c>
      <c r="AD124" s="129">
        <f>SQRT((((VLOOKUP($AT$4,$A$4:$D$1021,4,FALSE))-D124)^2)+(((VLOOKUP($AT$4,$A$4:$E$1021,5,FALSE))-E124)^2)+(((VLOOKUP($AT$4,$A$4:$N$1021,14,FALSE))-N124)^2)+(((VLOOKUP($AT$4,$A$4:$O$1021,15,FALSE))-O124)^2))</f>
        <v/>
      </c>
      <c r="AG124" s="129">
        <f>SQRT((((VLOOKUP($AT$4,$A$4:$D$1021,4,FALSE))-D124)^2)+(((VLOOKUP($AT$4,$A$4:$E$1021,5,FALSE))-E124)^2)+(((VLOOKUP($AT$4,$A$4:$R$1021,18,FALSE))-R124)^2)+(((VLOOKUP($AT$4,$A$4:$S$1021,19,FALSE))-S124)^2))</f>
        <v/>
      </c>
      <c r="AJ124" s="125" t="inlineStr">
        <is>
          <t>W14X99</t>
        </is>
      </c>
      <c r="AK124" s="125">
        <f>SQRT(((VLOOKUP($AT$4,$A$4:$J$1021,10,FALSE))-J124)^2)</f>
        <v/>
      </c>
      <c r="AL124" s="125" t="n"/>
      <c r="AM124" s="125" t="n"/>
      <c r="AN124" s="125">
        <f>SQRT(((VLOOKUP($AT$4,$A$4:$R$1021,18,FALSE))-R124)^2)</f>
        <v/>
      </c>
      <c r="AO124" s="125" t="n"/>
      <c r="AP124" s="125" t="n"/>
      <c r="AQ124" s="125" t="inlineStr">
        <is>
          <t>W14X99</t>
        </is>
      </c>
      <c r="BB124" s="125">
        <f>SQRT(($J$1022-J124)^2)</f>
        <v/>
      </c>
      <c r="BC124" s="125">
        <f>SQRT(($R$1022-R124)^2)</f>
        <v/>
      </c>
      <c r="BD124" s="125" t="inlineStr">
        <is>
          <t>W14X99</t>
        </is>
      </c>
      <c r="BI124">
        <f>SQRT(($J$1023-J124)^2)</f>
        <v/>
      </c>
      <c r="BJ124">
        <f>SQRT(($R$1023-R124)^2)</f>
        <v/>
      </c>
      <c r="BK124" s="125" t="inlineStr">
        <is>
          <t>W14X99</t>
        </is>
      </c>
      <c r="BP124">
        <f>SQRT(($J$1024-J124)^2)</f>
        <v/>
      </c>
      <c r="BQ124">
        <f>SQRT(($R$1024-R124)^2)</f>
        <v/>
      </c>
      <c r="BR124" s="125" t="inlineStr">
        <is>
          <t>W14X99</t>
        </is>
      </c>
      <c r="BW124">
        <f>SQRT(($J$1025-J124)^2)</f>
        <v/>
      </c>
      <c r="BX124">
        <f>SQRT(($R$1025-R124)^2)</f>
        <v/>
      </c>
      <c r="BY124" s="125" t="inlineStr">
        <is>
          <t>W14X99</t>
        </is>
      </c>
      <c r="CD124">
        <f>SQRT(($J$1026-J124)^2)</f>
        <v/>
      </c>
      <c r="CE124">
        <f>SQRT(($R$1026-R124)^2)</f>
        <v/>
      </c>
      <c r="CF124" s="125" t="inlineStr">
        <is>
          <t>W14X99</t>
        </is>
      </c>
    </row>
    <row r="125">
      <c r="A125" s="125" t="inlineStr">
        <is>
          <t>W14X103</t>
        </is>
      </c>
      <c r="B125" s="129" t="inlineStr">
        <is>
          <t>AISC</t>
        </is>
      </c>
      <c r="C125" s="125" t="n">
        <v>152.9</v>
      </c>
      <c r="D125" s="125" t="n">
        <v>362</v>
      </c>
      <c r="E125" s="125" t="n">
        <v>370.5</v>
      </c>
      <c r="F125" s="125" t="n">
        <v>20.7</v>
      </c>
      <c r="G125" s="125" t="n">
        <v>12.3</v>
      </c>
      <c r="H125" s="125" t="n">
        <v>15.2</v>
      </c>
      <c r="I125" s="125" t="n">
        <v>290.2</v>
      </c>
      <c r="J125" s="125" t="n">
        <v>195</v>
      </c>
      <c r="K125" s="125">
        <f>((E125-G125)/2)/F125</f>
        <v/>
      </c>
      <c r="L125" s="125">
        <f>I125/G125</f>
        <v/>
      </c>
      <c r="M125" s="125" t="n">
        <v>2.16</v>
      </c>
      <c r="N125" s="125" t="n">
        <v>48590</v>
      </c>
      <c r="O125" s="125" t="n">
        <v>17550</v>
      </c>
      <c r="P125" s="125" t="n">
        <v>15.8</v>
      </c>
      <c r="Q125" s="125" t="n">
        <v>9.49</v>
      </c>
      <c r="R125" s="125" t="n">
        <v>2685</v>
      </c>
      <c r="S125" s="125" t="n">
        <v>948</v>
      </c>
      <c r="T125" s="125" t="n">
        <v>2965</v>
      </c>
      <c r="U125" s="125" t="n">
        <v>1435</v>
      </c>
      <c r="X125" s="129">
        <f t="array" ref="X125">_xlfn.IFS((D125/F125) &lt;= (640/SQRT($AT$32)), "Compact", L125 &lt;= ($AT$32*(0.79-(0.002*((E125-G125/2)/(2*F125))*SQRT($AT$32)))), "Non-Compact", L125 &gt; ($AT$32*(0.79-(0.002*((E125-G125/2)/(2*F125))*SQRT($AT$32)))), "Slender")</f>
        <v/>
      </c>
      <c r="Y125" s="129">
        <f t="array" ref="Y125">_xlfn.IFS(K125 &lt;= (65/SQRT($AT$32)), "Compact", K125 &lt;= (95/SQRT($AT$32)), "Non-Compact", K125 &gt; (95/SQRT($AT$32)), "Slender")</f>
        <v/>
      </c>
      <c r="Z125" s="125">
        <f>E125/F125</f>
        <v/>
      </c>
      <c r="AA125" s="125">
        <f>D125/G125</f>
        <v/>
      </c>
      <c r="AB125" s="125">
        <f t="array" ref="AB125">_xlfn.IFS(Z125 &lt;= 9, "1", Z125 &lt;= 12, "2", Z125 &lt;= 15, "3", Z125 &gt; 15, "4")</f>
        <v/>
      </c>
      <c r="AC125" s="125">
        <f t="array" ref="AC125">_xlfn.IFS(AA125 &lt;= 200, "1", L125 &lt;= 300, "2", L125 &lt;= 400, "3", L125 &gt; 400, "4")</f>
        <v/>
      </c>
      <c r="AD125" s="129">
        <f>SQRT((((VLOOKUP($AT$4,$A$4:$D$1021,4,FALSE))-D125)^2)+(((VLOOKUP($AT$4,$A$4:$E$1021,5,FALSE))-E125)^2)+(((VLOOKUP($AT$4,$A$4:$N$1021,14,FALSE))-N125)^2)+(((VLOOKUP($AT$4,$A$4:$O$1021,15,FALSE))-O125)^2))</f>
        <v/>
      </c>
      <c r="AG125" s="129">
        <f>SQRT((((VLOOKUP($AT$4,$A$4:$D$1021,4,FALSE))-D125)^2)+(((VLOOKUP($AT$4,$A$4:$E$1021,5,FALSE))-E125)^2)+(((VLOOKUP($AT$4,$A$4:$R$1021,18,FALSE))-R125)^2)+(((VLOOKUP($AT$4,$A$4:$S$1021,19,FALSE))-S125)^2))</f>
        <v/>
      </c>
      <c r="AJ125" s="125" t="inlineStr">
        <is>
          <t>W14X103</t>
        </is>
      </c>
      <c r="AK125" s="125">
        <f>SQRT(((VLOOKUP($AT$4,$A$4:$J$1021,10,FALSE))-J125)^2)</f>
        <v/>
      </c>
      <c r="AL125" s="125" t="n"/>
      <c r="AM125" s="125" t="n"/>
      <c r="AN125" s="125">
        <f>SQRT(((VLOOKUP($AT$4,$A$4:$R$1021,18,FALSE))-R125)^2)</f>
        <v/>
      </c>
      <c r="AO125" s="125" t="n"/>
      <c r="AP125" s="125" t="n"/>
      <c r="AQ125" s="125" t="inlineStr">
        <is>
          <t>W14X103</t>
        </is>
      </c>
      <c r="BB125" s="125">
        <f>SQRT(($J$1022-J125)^2)</f>
        <v/>
      </c>
      <c r="BC125" s="125">
        <f>SQRT(($R$1022-R125)^2)</f>
        <v/>
      </c>
      <c r="BD125" s="125" t="inlineStr">
        <is>
          <t>W14X103</t>
        </is>
      </c>
      <c r="BI125">
        <f>SQRT(($J$1023-J125)^2)</f>
        <v/>
      </c>
      <c r="BJ125">
        <f>SQRT(($R$1023-R125)^2)</f>
        <v/>
      </c>
      <c r="BK125" s="125" t="inlineStr">
        <is>
          <t>W14X103</t>
        </is>
      </c>
      <c r="BP125">
        <f>SQRT(($J$1024-J125)^2)</f>
        <v/>
      </c>
      <c r="BQ125">
        <f>SQRT(($R$1024-R125)^2)</f>
        <v/>
      </c>
      <c r="BR125" s="125" t="inlineStr">
        <is>
          <t>W14X103</t>
        </is>
      </c>
      <c r="BW125">
        <f>SQRT(($J$1025-J125)^2)</f>
        <v/>
      </c>
      <c r="BX125">
        <f>SQRT(($R$1025-R125)^2)</f>
        <v/>
      </c>
      <c r="BY125" s="125" t="inlineStr">
        <is>
          <t>W14X103</t>
        </is>
      </c>
      <c r="CD125">
        <f>SQRT(($J$1026-J125)^2)</f>
        <v/>
      </c>
      <c r="CE125">
        <f>SQRT(($R$1026-R125)^2)</f>
        <v/>
      </c>
      <c r="CF125" s="125" t="inlineStr">
        <is>
          <t>W14X103</t>
        </is>
      </c>
    </row>
    <row r="126">
      <c r="A126" s="125" t="inlineStr">
        <is>
          <t>W14X109</t>
        </is>
      </c>
      <c r="B126" s="129" t="inlineStr">
        <is>
          <t>AISC</t>
        </is>
      </c>
      <c r="C126" s="125" t="n">
        <v>162.2</v>
      </c>
      <c r="D126" s="125" t="n">
        <v>363.7</v>
      </c>
      <c r="E126" s="125" t="n">
        <v>371</v>
      </c>
      <c r="F126" s="125" t="n">
        <v>21.8</v>
      </c>
      <c r="G126" s="125" t="n">
        <v>13.3</v>
      </c>
      <c r="H126" s="125" t="n">
        <v>15.2</v>
      </c>
      <c r="I126" s="125" t="n">
        <v>289.6</v>
      </c>
      <c r="J126" s="125" t="n">
        <v>207</v>
      </c>
      <c r="K126" s="125">
        <f>((E126-G126)/2)/F126</f>
        <v/>
      </c>
      <c r="L126" s="125">
        <f>I126/G126</f>
        <v/>
      </c>
      <c r="M126" s="125" t="n">
        <v>2.16</v>
      </c>
      <c r="N126" s="125" t="n">
        <v>51540</v>
      </c>
      <c r="O126" s="125" t="n">
        <v>18600</v>
      </c>
      <c r="P126" s="125" t="n">
        <v>15.8</v>
      </c>
      <c r="Q126" s="125" t="n">
        <v>9.49</v>
      </c>
      <c r="R126" s="125" t="n">
        <v>2834</v>
      </c>
      <c r="S126" s="125" t="n">
        <v>1003</v>
      </c>
      <c r="T126" s="125" t="n">
        <v>3142</v>
      </c>
      <c r="U126" s="125" t="n">
        <v>1519</v>
      </c>
      <c r="X126" s="129">
        <f t="array" ref="X126">_xlfn.IFS((D126/F126) &lt;= (640/SQRT($AT$32)), "Compact", L126 &lt;= ($AT$32*(0.79-(0.002*((E126-G126/2)/(2*F126))*SQRT($AT$32)))), "Non-Compact", L126 &gt; ($AT$32*(0.79-(0.002*((E126-G126/2)/(2*F126))*SQRT($AT$32)))), "Slender")</f>
        <v/>
      </c>
      <c r="Y126" s="129">
        <f t="array" ref="Y126">_xlfn.IFS(K126 &lt;= (65/SQRT($AT$32)), "Compact", K126 &lt;= (95/SQRT($AT$32)), "Non-Compact", K126 &gt; (95/SQRT($AT$32)), "Slender")</f>
        <v/>
      </c>
      <c r="Z126" s="125">
        <f>E126/F126</f>
        <v/>
      </c>
      <c r="AA126" s="125">
        <f>D126/G126</f>
        <v/>
      </c>
      <c r="AB126" s="125">
        <f t="array" ref="AB126">_xlfn.IFS(Z126 &lt;= 9, "1", Z126 &lt;= 12, "2", Z126 &lt;= 15, "3", Z126 &gt; 15, "4")</f>
        <v/>
      </c>
      <c r="AC126" s="125">
        <f t="array" ref="AC126">_xlfn.IFS(AA126 &lt;= 200, "1", L126 &lt;= 300, "2", L126 &lt;= 400, "3", L126 &gt; 400, "4")</f>
        <v/>
      </c>
      <c r="AD126" s="129">
        <f>SQRT((((VLOOKUP($AT$4,$A$4:$D$1021,4,FALSE))-D126)^2)+(((VLOOKUP($AT$4,$A$4:$E$1021,5,FALSE))-E126)^2)+(((VLOOKUP($AT$4,$A$4:$N$1021,14,FALSE))-N126)^2)+(((VLOOKUP($AT$4,$A$4:$O$1021,15,FALSE))-O126)^2))</f>
        <v/>
      </c>
      <c r="AG126" s="129">
        <f>SQRT((((VLOOKUP($AT$4,$A$4:$D$1021,4,FALSE))-D126)^2)+(((VLOOKUP($AT$4,$A$4:$E$1021,5,FALSE))-E126)^2)+(((VLOOKUP($AT$4,$A$4:$R$1021,18,FALSE))-R126)^2)+(((VLOOKUP($AT$4,$A$4:$S$1021,19,FALSE))-S126)^2))</f>
        <v/>
      </c>
      <c r="AJ126" s="125" t="inlineStr">
        <is>
          <t>W14X109</t>
        </is>
      </c>
      <c r="AK126" s="125">
        <f>SQRT(((VLOOKUP($AT$4,$A$4:$J$1021,10,FALSE))-J126)^2)</f>
        <v/>
      </c>
      <c r="AL126" s="125" t="n"/>
      <c r="AM126" s="125" t="n"/>
      <c r="AN126" s="125">
        <f>SQRT(((VLOOKUP($AT$4,$A$4:$R$1021,18,FALSE))-R126)^2)</f>
        <v/>
      </c>
      <c r="AO126" s="125" t="n"/>
      <c r="AP126" s="125" t="n"/>
      <c r="AQ126" s="125" t="inlineStr">
        <is>
          <t>W14X109</t>
        </is>
      </c>
      <c r="BB126" s="125">
        <f>SQRT(($J$1022-J126)^2)</f>
        <v/>
      </c>
      <c r="BC126" s="125">
        <f>SQRT(($R$1022-R126)^2)</f>
        <v/>
      </c>
      <c r="BD126" s="125" t="inlineStr">
        <is>
          <t>W14X109</t>
        </is>
      </c>
      <c r="BI126">
        <f>SQRT(($J$1023-J126)^2)</f>
        <v/>
      </c>
      <c r="BJ126">
        <f>SQRT(($R$1023-R126)^2)</f>
        <v/>
      </c>
      <c r="BK126" s="125" t="inlineStr">
        <is>
          <t>W14X109</t>
        </is>
      </c>
      <c r="BP126">
        <f>SQRT(($J$1024-J126)^2)</f>
        <v/>
      </c>
      <c r="BQ126">
        <f>SQRT(($R$1024-R126)^2)</f>
        <v/>
      </c>
      <c r="BR126" s="125" t="inlineStr">
        <is>
          <t>W14X109</t>
        </is>
      </c>
      <c r="BW126">
        <f>SQRT(($J$1025-J126)^2)</f>
        <v/>
      </c>
      <c r="BX126">
        <f>SQRT(($R$1025-R126)^2)</f>
        <v/>
      </c>
      <c r="BY126" s="125" t="inlineStr">
        <is>
          <t>W14X109</t>
        </is>
      </c>
      <c r="CD126">
        <f>SQRT(($J$1026-J126)^2)</f>
        <v/>
      </c>
      <c r="CE126">
        <f>SQRT(($R$1026-R126)^2)</f>
        <v/>
      </c>
      <c r="CF126" s="125" t="inlineStr">
        <is>
          <t>W14X109</t>
        </is>
      </c>
    </row>
    <row r="127">
      <c r="A127" s="125" t="inlineStr">
        <is>
          <t>W14X119</t>
        </is>
      </c>
      <c r="B127" s="129" t="inlineStr">
        <is>
          <t>AISC</t>
        </is>
      </c>
      <c r="C127" s="125" t="n">
        <v>177</v>
      </c>
      <c r="D127" s="125" t="n">
        <v>368.2</v>
      </c>
      <c r="E127" s="125" t="n">
        <v>372.6</v>
      </c>
      <c r="F127" s="125" t="n">
        <v>23.8</v>
      </c>
      <c r="G127" s="125" t="n">
        <v>14.4</v>
      </c>
      <c r="H127" s="125" t="n">
        <v>15.2</v>
      </c>
      <c r="I127" s="125" t="n">
        <v>290.2</v>
      </c>
      <c r="J127" s="125" t="n">
        <v>226</v>
      </c>
      <c r="K127" s="125">
        <f>((E127-G127)/2)/F127</f>
        <v/>
      </c>
      <c r="L127" s="125">
        <f>I127/G127</f>
        <v/>
      </c>
      <c r="M127" s="125" t="n">
        <v>2.17</v>
      </c>
      <c r="N127" s="125" t="n">
        <v>57120</v>
      </c>
      <c r="O127" s="125" t="n">
        <v>20530</v>
      </c>
      <c r="P127" s="125" t="n">
        <v>15.9</v>
      </c>
      <c r="Q127" s="125" t="n">
        <v>9.539999999999999</v>
      </c>
      <c r="R127" s="125" t="n">
        <v>3103</v>
      </c>
      <c r="S127" s="125" t="n">
        <v>1102</v>
      </c>
      <c r="T127" s="125" t="n">
        <v>3455</v>
      </c>
      <c r="U127" s="125" t="n">
        <v>1671</v>
      </c>
      <c r="X127" s="129">
        <f t="array" ref="X127">_xlfn.IFS((D127/F127) &lt;= (640/SQRT($AT$32)), "Compact", L127 &lt;= ($AT$32*(0.79-(0.002*((E127-G127/2)/(2*F127))*SQRT($AT$32)))), "Non-Compact", L127 &gt; ($AT$32*(0.79-(0.002*((E127-G127/2)/(2*F127))*SQRT($AT$32)))), "Slender")</f>
        <v/>
      </c>
      <c r="Y127" s="129">
        <f t="array" ref="Y127">_xlfn.IFS(K127 &lt;= (65/SQRT($AT$32)), "Compact", K127 &lt;= (95/SQRT($AT$32)), "Non-Compact", K127 &gt; (95/SQRT($AT$32)), "Slender")</f>
        <v/>
      </c>
      <c r="Z127" s="125">
        <f>E127/F127</f>
        <v/>
      </c>
      <c r="AA127" s="125">
        <f>D127/G127</f>
        <v/>
      </c>
      <c r="AB127" s="125">
        <f t="array" ref="AB127">_xlfn.IFS(Z127 &lt;= 9, "1", Z127 &lt;= 12, "2", Z127 &lt;= 15, "3", Z127 &gt; 15, "4")</f>
        <v/>
      </c>
      <c r="AC127" s="125">
        <f t="array" ref="AC127">_xlfn.IFS(AA127 &lt;= 200, "1", L127 &lt;= 300, "2", L127 &lt;= 400, "3", L127 &gt; 400, "4")</f>
        <v/>
      </c>
      <c r="AD127" s="129">
        <f>SQRT((((VLOOKUP($AT$4,$A$4:$D$1021,4,FALSE))-D127)^2)+(((VLOOKUP($AT$4,$A$4:$E$1021,5,FALSE))-E127)^2)+(((VLOOKUP($AT$4,$A$4:$N$1021,14,FALSE))-N127)^2)+(((VLOOKUP($AT$4,$A$4:$O$1021,15,FALSE))-O127)^2))</f>
        <v/>
      </c>
      <c r="AG127" s="129">
        <f>SQRT((((VLOOKUP($AT$4,$A$4:$D$1021,4,FALSE))-D127)^2)+(((VLOOKUP($AT$4,$A$4:$E$1021,5,FALSE))-E127)^2)+(((VLOOKUP($AT$4,$A$4:$R$1021,18,FALSE))-R127)^2)+(((VLOOKUP($AT$4,$A$4:$S$1021,19,FALSE))-S127)^2))</f>
        <v/>
      </c>
      <c r="AJ127" s="125" t="inlineStr">
        <is>
          <t>W14X119</t>
        </is>
      </c>
      <c r="AK127" s="125">
        <f>SQRT(((VLOOKUP($AT$4,$A$4:$J$1021,10,FALSE))-J127)^2)</f>
        <v/>
      </c>
      <c r="AL127" s="125" t="n"/>
      <c r="AM127" s="125" t="n"/>
      <c r="AN127" s="125">
        <f>SQRT(((VLOOKUP($AT$4,$A$4:$R$1021,18,FALSE))-R127)^2)</f>
        <v/>
      </c>
      <c r="AO127" s="125" t="n"/>
      <c r="AP127" s="125" t="n"/>
      <c r="AQ127" s="125" t="inlineStr">
        <is>
          <t>W14X119</t>
        </is>
      </c>
      <c r="BB127" s="125">
        <f>SQRT(($J$1022-J127)^2)</f>
        <v/>
      </c>
      <c r="BC127" s="125">
        <f>SQRT(($R$1022-R127)^2)</f>
        <v/>
      </c>
      <c r="BD127" s="125" t="inlineStr">
        <is>
          <t>W14X119</t>
        </is>
      </c>
      <c r="BI127">
        <f>SQRT(($J$1023-J127)^2)</f>
        <v/>
      </c>
      <c r="BJ127">
        <f>SQRT(($R$1023-R127)^2)</f>
        <v/>
      </c>
      <c r="BK127" s="125" t="inlineStr">
        <is>
          <t>W14X119</t>
        </is>
      </c>
      <c r="BP127">
        <f>SQRT(($J$1024-J127)^2)</f>
        <v/>
      </c>
      <c r="BQ127">
        <f>SQRT(($R$1024-R127)^2)</f>
        <v/>
      </c>
      <c r="BR127" s="125" t="inlineStr">
        <is>
          <t>W14X119</t>
        </is>
      </c>
      <c r="BW127">
        <f>SQRT(($J$1025-J127)^2)</f>
        <v/>
      </c>
      <c r="BX127">
        <f>SQRT(($R$1025-R127)^2)</f>
        <v/>
      </c>
      <c r="BY127" s="125" t="inlineStr">
        <is>
          <t>W14X119</t>
        </is>
      </c>
      <c r="CD127">
        <f>SQRT(($J$1026-J127)^2)</f>
        <v/>
      </c>
      <c r="CE127">
        <f>SQRT(($R$1026-R127)^2)</f>
        <v/>
      </c>
      <c r="CF127" s="125" t="inlineStr">
        <is>
          <t>W14X119</t>
        </is>
      </c>
    </row>
    <row r="128">
      <c r="A128" s="125" t="inlineStr">
        <is>
          <t>W14X120</t>
        </is>
      </c>
      <c r="B128" s="129" t="inlineStr">
        <is>
          <t>AISC</t>
        </is>
      </c>
      <c r="C128" s="125" t="n">
        <v>178.6</v>
      </c>
      <c r="D128" s="125" t="n">
        <v>367.8</v>
      </c>
      <c r="E128" s="125" t="n">
        <v>372.6</v>
      </c>
      <c r="F128" s="125" t="n">
        <v>23.9</v>
      </c>
      <c r="G128" s="125" t="n">
        <v>15</v>
      </c>
      <c r="H128" s="125" t="n">
        <v>15.2</v>
      </c>
      <c r="I128" s="125" t="n">
        <v>289.6</v>
      </c>
      <c r="J128" s="125" t="n">
        <v>228</v>
      </c>
      <c r="K128" s="125">
        <f>((E128-G128)/2)/F128</f>
        <v/>
      </c>
      <c r="L128" s="125">
        <f>I128/G128</f>
        <v/>
      </c>
      <c r="M128" s="125" t="n">
        <v>2.17</v>
      </c>
      <c r="N128" s="125" t="n">
        <v>57290</v>
      </c>
      <c r="O128" s="125" t="n">
        <v>20600</v>
      </c>
      <c r="P128" s="125" t="n">
        <v>15.9</v>
      </c>
      <c r="Q128" s="125" t="n">
        <v>9.51</v>
      </c>
      <c r="R128" s="125" t="n">
        <v>3115</v>
      </c>
      <c r="S128" s="125" t="n">
        <v>1106</v>
      </c>
      <c r="T128" s="125" t="n">
        <v>3475</v>
      </c>
      <c r="U128" s="125" t="n">
        <v>1678</v>
      </c>
      <c r="X128" s="129">
        <f t="array" ref="X128">_xlfn.IFS((D128/F128) &lt;= (640/SQRT($AT$32)), "Compact", L128 &lt;= ($AT$32*(0.79-(0.002*((E128-G128/2)/(2*F128))*SQRT($AT$32)))), "Non-Compact", L128 &gt; ($AT$32*(0.79-(0.002*((E128-G128/2)/(2*F128))*SQRT($AT$32)))), "Slender")</f>
        <v/>
      </c>
      <c r="Y128" s="129">
        <f t="array" ref="Y128">_xlfn.IFS(K128 &lt;= (65/SQRT($AT$32)), "Compact", K128 &lt;= (95/SQRT($AT$32)), "Non-Compact", K128 &gt; (95/SQRT($AT$32)), "Slender")</f>
        <v/>
      </c>
      <c r="Z128" s="125">
        <f>E128/F128</f>
        <v/>
      </c>
      <c r="AA128" s="125">
        <f>D128/G128</f>
        <v/>
      </c>
      <c r="AB128" s="125">
        <f t="array" ref="AB128">_xlfn.IFS(Z128 &lt;= 9, "1", Z128 &lt;= 12, "2", Z128 &lt;= 15, "3", Z128 &gt; 15, "4")</f>
        <v/>
      </c>
      <c r="AC128" s="125">
        <f t="array" ref="AC128">_xlfn.IFS(AA128 &lt;= 200, "1", L128 &lt;= 300, "2", L128 &lt;= 400, "3", L128 &gt; 400, "4")</f>
        <v/>
      </c>
      <c r="AD128" s="129">
        <f>SQRT((((VLOOKUP($AT$4,$A$4:$D$1021,4,FALSE))-D128)^2)+(((VLOOKUP($AT$4,$A$4:$E$1021,5,FALSE))-E128)^2)+(((VLOOKUP($AT$4,$A$4:$N$1021,14,FALSE))-N128)^2)+(((VLOOKUP($AT$4,$A$4:$O$1021,15,FALSE))-O128)^2))</f>
        <v/>
      </c>
      <c r="AG128" s="129">
        <f>SQRT((((VLOOKUP($AT$4,$A$4:$D$1021,4,FALSE))-D128)^2)+(((VLOOKUP($AT$4,$A$4:$E$1021,5,FALSE))-E128)^2)+(((VLOOKUP($AT$4,$A$4:$R$1021,18,FALSE))-R128)^2)+(((VLOOKUP($AT$4,$A$4:$S$1021,19,FALSE))-S128)^2))</f>
        <v/>
      </c>
      <c r="AJ128" s="125" t="inlineStr">
        <is>
          <t>W14X120</t>
        </is>
      </c>
      <c r="AK128" s="125">
        <f>SQRT(((VLOOKUP($AT$4,$A$4:$J$1021,10,FALSE))-J128)^2)</f>
        <v/>
      </c>
      <c r="AL128" s="125" t="n"/>
      <c r="AM128" s="125" t="n"/>
      <c r="AN128" s="125">
        <f>SQRT(((VLOOKUP($AT$4,$A$4:$R$1021,18,FALSE))-R128)^2)</f>
        <v/>
      </c>
      <c r="AO128" s="125" t="n"/>
      <c r="AP128" s="125" t="n"/>
      <c r="AQ128" s="125" t="inlineStr">
        <is>
          <t>W14X120</t>
        </is>
      </c>
      <c r="BB128" s="125">
        <f>SQRT(($J$1022-J128)^2)</f>
        <v/>
      </c>
      <c r="BC128" s="125">
        <f>SQRT(($R$1022-R128)^2)</f>
        <v/>
      </c>
      <c r="BD128" s="125" t="inlineStr">
        <is>
          <t>W14X120</t>
        </is>
      </c>
      <c r="BI128">
        <f>SQRT(($J$1023-J128)^2)</f>
        <v/>
      </c>
      <c r="BJ128">
        <f>SQRT(($R$1023-R128)^2)</f>
        <v/>
      </c>
      <c r="BK128" s="125" t="inlineStr">
        <is>
          <t>W14X120</t>
        </is>
      </c>
      <c r="BP128">
        <f>SQRT(($J$1024-J128)^2)</f>
        <v/>
      </c>
      <c r="BQ128">
        <f>SQRT(($R$1024-R128)^2)</f>
        <v/>
      </c>
      <c r="BR128" s="125" t="inlineStr">
        <is>
          <t>W14X120</t>
        </is>
      </c>
      <c r="BW128">
        <f>SQRT(($J$1025-J128)^2)</f>
        <v/>
      </c>
      <c r="BX128">
        <f>SQRT(($R$1025-R128)^2)</f>
        <v/>
      </c>
      <c r="BY128" s="125" t="inlineStr">
        <is>
          <t>W14X120</t>
        </is>
      </c>
      <c r="CD128">
        <f>SQRT(($J$1026-J128)^2)</f>
        <v/>
      </c>
      <c r="CE128">
        <f>SQRT(($R$1026-R128)^2)</f>
        <v/>
      </c>
      <c r="CF128" s="125" t="inlineStr">
        <is>
          <t>W14X120</t>
        </is>
      </c>
    </row>
    <row r="129">
      <c r="A129" s="125" t="inlineStr">
        <is>
          <t>W14X132</t>
        </is>
      </c>
      <c r="B129" s="129" t="inlineStr">
        <is>
          <t>AISC</t>
        </is>
      </c>
      <c r="C129" s="125" t="n">
        <v>196.4</v>
      </c>
      <c r="D129" s="125" t="n">
        <v>372.4</v>
      </c>
      <c r="E129" s="125" t="n">
        <v>374</v>
      </c>
      <c r="F129" s="125" t="n">
        <v>26.2</v>
      </c>
      <c r="G129" s="125" t="n">
        <v>16.4</v>
      </c>
      <c r="H129" s="125" t="n">
        <v>15.2</v>
      </c>
      <c r="I129" s="125" t="n">
        <v>289.7</v>
      </c>
      <c r="J129" s="125" t="n">
        <v>250</v>
      </c>
      <c r="K129" s="125">
        <f>((E129-G129)/2)/F129</f>
        <v/>
      </c>
      <c r="L129" s="125">
        <f>I129/G129</f>
        <v/>
      </c>
      <c r="M129" s="125" t="n">
        <v>2.18</v>
      </c>
      <c r="N129" s="125" t="n">
        <v>63720</v>
      </c>
      <c r="O129" s="125" t="n">
        <v>22820</v>
      </c>
      <c r="P129" s="125" t="n">
        <v>16</v>
      </c>
      <c r="Q129" s="125" t="n">
        <v>9.550000000000001</v>
      </c>
      <c r="R129" s="125" t="n">
        <v>3422</v>
      </c>
      <c r="S129" s="125" t="n">
        <v>1221</v>
      </c>
      <c r="T129" s="125" t="n">
        <v>3838</v>
      </c>
      <c r="U129" s="125" t="n">
        <v>1853</v>
      </c>
      <c r="X129" s="129">
        <f t="array" ref="X129">_xlfn.IFS((D129/F129) &lt;= (640/SQRT($AT$32)), "Compact", L129 &lt;= ($AT$32*(0.79-(0.002*((E129-G129/2)/(2*F129))*SQRT($AT$32)))), "Non-Compact", L129 &gt; ($AT$32*(0.79-(0.002*((E129-G129/2)/(2*F129))*SQRT($AT$32)))), "Slender")</f>
        <v/>
      </c>
      <c r="Y129" s="129">
        <f t="array" ref="Y129">_xlfn.IFS(K129 &lt;= (65/SQRT($AT$32)), "Compact", K129 &lt;= (95/SQRT($AT$32)), "Non-Compact", K129 &gt; (95/SQRT($AT$32)), "Slender")</f>
        <v/>
      </c>
      <c r="Z129" s="125">
        <f>E129/F129</f>
        <v/>
      </c>
      <c r="AA129" s="125">
        <f>D129/G129</f>
        <v/>
      </c>
      <c r="AB129" s="125">
        <f t="array" ref="AB129">_xlfn.IFS(Z129 &lt;= 9, "1", Z129 &lt;= 12, "2", Z129 &lt;= 15, "3", Z129 &gt; 15, "4")</f>
        <v/>
      </c>
      <c r="AC129" s="125">
        <f t="array" ref="AC129">_xlfn.IFS(AA129 &lt;= 200, "1", L129 &lt;= 300, "2", L129 &lt;= 400, "3", L129 &gt; 400, "4")</f>
        <v/>
      </c>
      <c r="AD129" s="129">
        <f>SQRT((((VLOOKUP($AT$4,$A$4:$D$1021,4,FALSE))-D129)^2)+(((VLOOKUP($AT$4,$A$4:$E$1021,5,FALSE))-E129)^2)+(((VLOOKUP($AT$4,$A$4:$N$1021,14,FALSE))-N129)^2)+(((VLOOKUP($AT$4,$A$4:$O$1021,15,FALSE))-O129)^2))</f>
        <v/>
      </c>
      <c r="AG129" s="129">
        <f>SQRT((((VLOOKUP($AT$4,$A$4:$D$1021,4,FALSE))-D129)^2)+(((VLOOKUP($AT$4,$A$4:$E$1021,5,FALSE))-E129)^2)+(((VLOOKUP($AT$4,$A$4:$R$1021,18,FALSE))-R129)^2)+(((VLOOKUP($AT$4,$A$4:$S$1021,19,FALSE))-S129)^2))</f>
        <v/>
      </c>
      <c r="AJ129" s="125" t="inlineStr">
        <is>
          <t>W14X132</t>
        </is>
      </c>
      <c r="AK129" s="125">
        <f>SQRT(((VLOOKUP($AT$4,$A$4:$J$1021,10,FALSE))-J129)^2)</f>
        <v/>
      </c>
      <c r="AL129" s="125" t="n"/>
      <c r="AM129" s="125" t="n"/>
      <c r="AN129" s="125">
        <f>SQRT(((VLOOKUP($AT$4,$A$4:$R$1021,18,FALSE))-R129)^2)</f>
        <v/>
      </c>
      <c r="AO129" s="125" t="n"/>
      <c r="AP129" s="125" t="n"/>
      <c r="AQ129" s="125" t="inlineStr">
        <is>
          <t>W14X132</t>
        </is>
      </c>
      <c r="BB129" s="125">
        <f>SQRT(($J$1022-J129)^2)</f>
        <v/>
      </c>
      <c r="BC129" s="125">
        <f>SQRT(($R$1022-R129)^2)</f>
        <v/>
      </c>
      <c r="BD129" s="125" t="inlineStr">
        <is>
          <t>W14X132</t>
        </is>
      </c>
      <c r="BI129">
        <f>SQRT(($J$1023-J129)^2)</f>
        <v/>
      </c>
      <c r="BJ129">
        <f>SQRT(($R$1023-R129)^2)</f>
        <v/>
      </c>
      <c r="BK129" s="125" t="inlineStr">
        <is>
          <t>W14X132</t>
        </is>
      </c>
      <c r="BP129">
        <f>SQRT(($J$1024-J129)^2)</f>
        <v/>
      </c>
      <c r="BQ129">
        <f>SQRT(($R$1024-R129)^2)</f>
        <v/>
      </c>
      <c r="BR129" s="125" t="inlineStr">
        <is>
          <t>W14X132</t>
        </is>
      </c>
      <c r="BW129">
        <f>SQRT(($J$1025-J129)^2)</f>
        <v/>
      </c>
      <c r="BX129">
        <f>SQRT(($R$1025-R129)^2)</f>
        <v/>
      </c>
      <c r="BY129" s="125" t="inlineStr">
        <is>
          <t>W14X132</t>
        </is>
      </c>
      <c r="CD129">
        <f>SQRT(($J$1026-J129)^2)</f>
        <v/>
      </c>
      <c r="CE129">
        <f>SQRT(($R$1026-R129)^2)</f>
        <v/>
      </c>
      <c r="CF129" s="125" t="inlineStr">
        <is>
          <t>W14X132</t>
        </is>
      </c>
    </row>
    <row r="130">
      <c r="A130" s="125" t="inlineStr">
        <is>
          <t>W14X136</t>
        </is>
      </c>
      <c r="B130" s="129" t="inlineStr">
        <is>
          <t>AISC</t>
        </is>
      </c>
      <c r="C130" s="125" t="n">
        <v>201.9</v>
      </c>
      <c r="D130" s="125" t="n">
        <v>374.6</v>
      </c>
      <c r="E130" s="125" t="n">
        <v>374.7</v>
      </c>
      <c r="F130" s="125" t="n">
        <v>27</v>
      </c>
      <c r="G130" s="125" t="n">
        <v>16.5</v>
      </c>
      <c r="H130" s="125" t="n">
        <v>15.2</v>
      </c>
      <c r="I130" s="125" t="n">
        <v>290.2</v>
      </c>
      <c r="J130" s="125" t="n">
        <v>257</v>
      </c>
      <c r="K130" s="125">
        <f>((E130-G130)/2)/F130</f>
        <v/>
      </c>
      <c r="L130" s="125">
        <f>I130/G130</f>
        <v/>
      </c>
      <c r="M130" s="125" t="n">
        <v>2.19</v>
      </c>
      <c r="N130" s="125" t="n">
        <v>66260</v>
      </c>
      <c r="O130" s="125" t="n">
        <v>23690</v>
      </c>
      <c r="P130" s="125" t="n">
        <v>16.1</v>
      </c>
      <c r="Q130" s="125" t="n">
        <v>9.6</v>
      </c>
      <c r="R130" s="125" t="n">
        <v>3538</v>
      </c>
      <c r="S130" s="125" t="n">
        <v>1264</v>
      </c>
      <c r="T130" s="125" t="n">
        <v>3972</v>
      </c>
      <c r="U130" s="125" t="n">
        <v>1920</v>
      </c>
      <c r="X130" s="129">
        <f t="array" ref="X130">_xlfn.IFS((D130/F130) &lt;= (640/SQRT($AT$32)), "Compact", L130 &lt;= ($AT$32*(0.79-(0.002*((E130-G130/2)/(2*F130))*SQRT($AT$32)))), "Non-Compact", L130 &gt; ($AT$32*(0.79-(0.002*((E130-G130/2)/(2*F130))*SQRT($AT$32)))), "Slender")</f>
        <v/>
      </c>
      <c r="Y130" s="129">
        <f t="array" ref="Y130">_xlfn.IFS(K130 &lt;= (65/SQRT($AT$32)), "Compact", K130 &lt;= (95/SQRT($AT$32)), "Non-Compact", K130 &gt; (95/SQRT($AT$32)), "Slender")</f>
        <v/>
      </c>
      <c r="Z130" s="125">
        <f>E130/F130</f>
        <v/>
      </c>
      <c r="AA130" s="125">
        <f>D130/G130</f>
        <v/>
      </c>
      <c r="AB130" s="125">
        <f t="array" ref="AB130">_xlfn.IFS(Z130 &lt;= 9, "1", Z130 &lt;= 12, "2", Z130 &lt;= 15, "3", Z130 &gt; 15, "4")</f>
        <v/>
      </c>
      <c r="AC130" s="125">
        <f t="array" ref="AC130">_xlfn.IFS(AA130 &lt;= 200, "1", L130 &lt;= 300, "2", L130 &lt;= 400, "3", L130 &gt; 400, "4")</f>
        <v/>
      </c>
      <c r="AD130" s="129">
        <f>SQRT((((VLOOKUP($AT$4,$A$4:$D$1021,4,FALSE))-D130)^2)+(((VLOOKUP($AT$4,$A$4:$E$1021,5,FALSE))-E130)^2)+(((VLOOKUP($AT$4,$A$4:$N$1021,14,FALSE))-N130)^2)+(((VLOOKUP($AT$4,$A$4:$O$1021,15,FALSE))-O130)^2))</f>
        <v/>
      </c>
      <c r="AG130" s="129">
        <f>SQRT((((VLOOKUP($AT$4,$A$4:$D$1021,4,FALSE))-D130)^2)+(((VLOOKUP($AT$4,$A$4:$E$1021,5,FALSE))-E130)^2)+(((VLOOKUP($AT$4,$A$4:$R$1021,18,FALSE))-R130)^2)+(((VLOOKUP($AT$4,$A$4:$S$1021,19,FALSE))-S130)^2))</f>
        <v/>
      </c>
      <c r="AJ130" s="125" t="inlineStr">
        <is>
          <t>W14X136</t>
        </is>
      </c>
      <c r="AK130" s="125">
        <f>SQRT(((VLOOKUP($AT$4,$A$4:$J$1021,10,FALSE))-J130)^2)</f>
        <v/>
      </c>
      <c r="AL130" s="125" t="n"/>
      <c r="AM130" s="125" t="n"/>
      <c r="AN130" s="125">
        <f>SQRT(((VLOOKUP($AT$4,$A$4:$R$1021,18,FALSE))-R130)^2)</f>
        <v/>
      </c>
      <c r="AO130" s="125" t="n"/>
      <c r="AP130" s="125" t="n"/>
      <c r="AQ130" s="125" t="inlineStr">
        <is>
          <t>W14X136</t>
        </is>
      </c>
      <c r="BB130" s="125">
        <f>SQRT(($J$1022-J130)^2)</f>
        <v/>
      </c>
      <c r="BC130" s="125">
        <f>SQRT(($R$1022-R130)^2)</f>
        <v/>
      </c>
      <c r="BD130" s="125" t="inlineStr">
        <is>
          <t>W14X136</t>
        </is>
      </c>
      <c r="BI130">
        <f>SQRT(($J$1023-J130)^2)</f>
        <v/>
      </c>
      <c r="BJ130">
        <f>SQRT(($R$1023-R130)^2)</f>
        <v/>
      </c>
      <c r="BK130" s="125" t="inlineStr">
        <is>
          <t>W14X136</t>
        </is>
      </c>
      <c r="BP130">
        <f>SQRT(($J$1024-J130)^2)</f>
        <v/>
      </c>
      <c r="BQ130">
        <f>SQRT(($R$1024-R130)^2)</f>
        <v/>
      </c>
      <c r="BR130" s="125" t="inlineStr">
        <is>
          <t>W14X136</t>
        </is>
      </c>
      <c r="BW130">
        <f>SQRT(($J$1025-J130)^2)</f>
        <v/>
      </c>
      <c r="BX130">
        <f>SQRT(($R$1025-R130)^2)</f>
        <v/>
      </c>
      <c r="BY130" s="125" t="inlineStr">
        <is>
          <t>W14X136</t>
        </is>
      </c>
      <c r="CD130">
        <f>SQRT(($J$1026-J130)^2)</f>
        <v/>
      </c>
      <c r="CE130">
        <f>SQRT(($R$1026-R130)^2)</f>
        <v/>
      </c>
      <c r="CF130" s="125" t="inlineStr">
        <is>
          <t>W14X136</t>
        </is>
      </c>
    </row>
    <row r="131">
      <c r="A131" s="125" t="inlineStr">
        <is>
          <t>W14X118</t>
        </is>
      </c>
      <c r="B131" s="129" t="inlineStr">
        <is>
          <t>AISC</t>
        </is>
      </c>
      <c r="C131" s="125" t="n">
        <v>175.6</v>
      </c>
      <c r="D131" s="125" t="n">
        <v>360</v>
      </c>
      <c r="E131" s="125" t="n">
        <v>396</v>
      </c>
      <c r="F131" s="125" t="n">
        <v>20</v>
      </c>
      <c r="G131" s="125" t="n">
        <v>20</v>
      </c>
      <c r="H131" s="125" t="n">
        <v>15</v>
      </c>
      <c r="I131" s="125" t="n">
        <v>290</v>
      </c>
      <c r="J131" s="125" t="n">
        <v>224</v>
      </c>
      <c r="K131" s="125">
        <f>((E131-G131)/2)/F131</f>
        <v/>
      </c>
      <c r="L131" s="125">
        <f>I131/G131</f>
        <v/>
      </c>
      <c r="M131" s="125" t="n">
        <v>2.24</v>
      </c>
      <c r="N131" s="125" t="n">
        <v>51770</v>
      </c>
      <c r="O131" s="125" t="n">
        <v>20730</v>
      </c>
      <c r="P131" s="125" t="n">
        <v>15.2</v>
      </c>
      <c r="Q131" s="125" t="n">
        <v>9.609999999999999</v>
      </c>
      <c r="R131" s="125" t="n">
        <v>2876</v>
      </c>
      <c r="S131" s="125" t="n">
        <v>1047</v>
      </c>
      <c r="T131" s="125" t="n">
        <v>3235</v>
      </c>
      <c r="U131" s="125" t="n">
        <v>1603</v>
      </c>
      <c r="X131" s="129">
        <f t="array" ref="X131">_xlfn.IFS((D131/F131) &lt;= (640/SQRT($AT$32)), "Compact", L131 &lt;= ($AT$32*(0.79-(0.002*((E131-G131/2)/(2*F131))*SQRT($AT$32)))), "Non-Compact", L131 &gt; ($AT$32*(0.79-(0.002*((E131-G131/2)/(2*F131))*SQRT($AT$32)))), "Slender")</f>
        <v/>
      </c>
      <c r="Y131" s="129">
        <f t="array" ref="Y131">_xlfn.IFS(K131 &lt;= (65/SQRT($AT$32)), "Compact", K131 &lt;= (95/SQRT($AT$32)), "Non-Compact", K131 &gt; (95/SQRT($AT$32)), "Slender")</f>
        <v/>
      </c>
      <c r="Z131" s="125">
        <f>E131/F131</f>
        <v/>
      </c>
      <c r="AA131" s="125">
        <f>D131/G131</f>
        <v/>
      </c>
      <c r="AB131" s="125">
        <f t="array" ref="AB131">_xlfn.IFS(Z131 &lt;= 9, "1", Z131 &lt;= 12, "2", Z131 &lt;= 15, "3", Z131 &gt; 15, "4")</f>
        <v/>
      </c>
      <c r="AC131" s="125">
        <f t="array" ref="AC131">_xlfn.IFS(AA131 &lt;= 200, "1", L131 &lt;= 300, "2", L131 &lt;= 400, "3", L131 &gt; 400, "4")</f>
        <v/>
      </c>
      <c r="AD131" s="129">
        <f>SQRT((((VLOOKUP($AT$4,$A$4:$D$1021,4,FALSE))-D131)^2)+(((VLOOKUP($AT$4,$A$4:$E$1021,5,FALSE))-E131)^2)+(((VLOOKUP($AT$4,$A$4:$N$1021,14,FALSE))-N131)^2)+(((VLOOKUP($AT$4,$A$4:$O$1021,15,FALSE))-O131)^2))</f>
        <v/>
      </c>
      <c r="AG131" s="129">
        <f>SQRT((((VLOOKUP($AT$4,$A$4:$D$1021,4,FALSE))-D131)^2)+(((VLOOKUP($AT$4,$A$4:$E$1021,5,FALSE))-E131)^2)+(((VLOOKUP($AT$4,$A$4:$R$1021,18,FALSE))-R131)^2)+(((VLOOKUP($AT$4,$A$4:$S$1021,19,FALSE))-S131)^2))</f>
        <v/>
      </c>
      <c r="AJ131" s="125" t="inlineStr">
        <is>
          <t>W14X118</t>
        </is>
      </c>
      <c r="AK131" s="125">
        <f>SQRT(((VLOOKUP($AT$4,$A$4:$J$1021,10,FALSE))-J131)^2)</f>
        <v/>
      </c>
      <c r="AL131" s="125" t="n"/>
      <c r="AM131" s="125" t="n"/>
      <c r="AN131" s="125">
        <f>SQRT(((VLOOKUP($AT$4,$A$4:$R$1021,18,FALSE))-R131)^2)</f>
        <v/>
      </c>
      <c r="AO131" s="125" t="n"/>
      <c r="AP131" s="125" t="n"/>
      <c r="AQ131" s="125" t="inlineStr">
        <is>
          <t>W14X118</t>
        </is>
      </c>
      <c r="BB131" s="125">
        <f>SQRT(($J$1022-J131)^2)</f>
        <v/>
      </c>
      <c r="BC131" s="125">
        <f>SQRT(($R$1022-R131)^2)</f>
        <v/>
      </c>
      <c r="BD131" s="125" t="inlineStr">
        <is>
          <t>W14X118</t>
        </is>
      </c>
      <c r="BI131">
        <f>SQRT(($J$1023-J131)^2)</f>
        <v/>
      </c>
      <c r="BJ131">
        <f>SQRT(($R$1023-R131)^2)</f>
        <v/>
      </c>
      <c r="BK131" s="125" t="inlineStr">
        <is>
          <t>W14X118</t>
        </is>
      </c>
      <c r="BP131">
        <f>SQRT(($J$1024-J131)^2)</f>
        <v/>
      </c>
      <c r="BQ131">
        <f>SQRT(($R$1024-R131)^2)</f>
        <v/>
      </c>
      <c r="BR131" s="125" t="inlineStr">
        <is>
          <t>W14X118</t>
        </is>
      </c>
      <c r="BW131">
        <f>SQRT(($J$1025-J131)^2)</f>
        <v/>
      </c>
      <c r="BX131">
        <f>SQRT(($R$1025-R131)^2)</f>
        <v/>
      </c>
      <c r="BY131" s="125" t="inlineStr">
        <is>
          <t>W14X118</t>
        </is>
      </c>
      <c r="CD131">
        <f>SQRT(($J$1026-J131)^2)</f>
        <v/>
      </c>
      <c r="CE131">
        <f>SQRT(($R$1026-R131)^2)</f>
        <v/>
      </c>
      <c r="CF131" s="125" t="inlineStr">
        <is>
          <t>W14X118</t>
        </is>
      </c>
    </row>
    <row r="132">
      <c r="A132" s="125" t="inlineStr">
        <is>
          <t>W14X145</t>
        </is>
      </c>
      <c r="B132" s="129" t="inlineStr">
        <is>
          <t>AISC</t>
        </is>
      </c>
      <c r="C132" s="125" t="n">
        <v>215.8</v>
      </c>
      <c r="D132" s="125" t="n">
        <v>375.4</v>
      </c>
      <c r="E132" s="125" t="n">
        <v>393.7</v>
      </c>
      <c r="F132" s="125" t="n">
        <v>27.7</v>
      </c>
      <c r="G132" s="125" t="n">
        <v>17.3</v>
      </c>
      <c r="H132" s="125" t="n">
        <v>15.2</v>
      </c>
      <c r="I132" s="125" t="n">
        <v>289.6</v>
      </c>
      <c r="J132" s="125" t="n">
        <v>275</v>
      </c>
      <c r="K132" s="125">
        <f>((E132-G132)/2)/F132</f>
        <v/>
      </c>
      <c r="L132" s="125">
        <f>I132/G132</f>
        <v/>
      </c>
      <c r="M132" s="125" t="n">
        <v>2.26</v>
      </c>
      <c r="N132" s="125" t="n">
        <v>71240</v>
      </c>
      <c r="O132" s="125" t="n">
        <v>28180</v>
      </c>
      <c r="P132" s="125" t="n">
        <v>16.1</v>
      </c>
      <c r="Q132" s="125" t="n">
        <v>10.1</v>
      </c>
      <c r="R132" s="125" t="n">
        <v>3796</v>
      </c>
      <c r="S132" s="125" t="n">
        <v>1432</v>
      </c>
      <c r="T132" s="125" t="n">
        <v>4264</v>
      </c>
      <c r="U132" s="125" t="n">
        <v>2172</v>
      </c>
      <c r="X132" s="129">
        <f t="array" ref="X132">_xlfn.IFS((D132/F132) &lt;= (640/SQRT($AT$32)), "Compact", L132 &lt;= ($AT$32*(0.79-(0.002*((E132-G132/2)/(2*F132))*SQRT($AT$32)))), "Non-Compact", L132 &gt; ($AT$32*(0.79-(0.002*((E132-G132/2)/(2*F132))*SQRT($AT$32)))), "Slender")</f>
        <v/>
      </c>
      <c r="Y132" s="129">
        <f t="array" ref="Y132">_xlfn.IFS(K132 &lt;= (65/SQRT($AT$32)), "Compact", K132 &lt;= (95/SQRT($AT$32)), "Non-Compact", K132 &gt; (95/SQRT($AT$32)), "Slender")</f>
        <v/>
      </c>
      <c r="Z132" s="125">
        <f>E132/F132</f>
        <v/>
      </c>
      <c r="AA132" s="125">
        <f>D132/G132</f>
        <v/>
      </c>
      <c r="AB132" s="125">
        <f t="array" ref="AB132">_xlfn.IFS(Z132 &lt;= 9, "1", Z132 &lt;= 12, "2", Z132 &lt;= 15, "3", Z132 &gt; 15, "4")</f>
        <v/>
      </c>
      <c r="AC132" s="125">
        <f t="array" ref="AC132">_xlfn.IFS(AA132 &lt;= 200, "1", L132 &lt;= 300, "2", L132 &lt;= 400, "3", L132 &gt; 400, "4")</f>
        <v/>
      </c>
      <c r="AD132" s="129">
        <f>SQRT((((VLOOKUP($AT$4,$A$4:$D$1021,4,FALSE))-D132)^2)+(((VLOOKUP($AT$4,$A$4:$E$1021,5,FALSE))-E132)^2)+(((VLOOKUP($AT$4,$A$4:$N$1021,14,FALSE))-N132)^2)+(((VLOOKUP($AT$4,$A$4:$O$1021,15,FALSE))-O132)^2))</f>
        <v/>
      </c>
      <c r="AG132" s="129">
        <f>SQRT((((VLOOKUP($AT$4,$A$4:$D$1021,4,FALSE))-D132)^2)+(((VLOOKUP($AT$4,$A$4:$E$1021,5,FALSE))-E132)^2)+(((VLOOKUP($AT$4,$A$4:$R$1021,18,FALSE))-R132)^2)+(((VLOOKUP($AT$4,$A$4:$S$1021,19,FALSE))-S132)^2))</f>
        <v/>
      </c>
      <c r="AJ132" s="125" t="inlineStr">
        <is>
          <t>W14X145</t>
        </is>
      </c>
      <c r="AK132" s="125">
        <f>SQRT(((VLOOKUP($AT$4,$A$4:$J$1021,10,FALSE))-J132)^2)</f>
        <v/>
      </c>
      <c r="AL132" s="125" t="n"/>
      <c r="AM132" s="125" t="n"/>
      <c r="AN132" s="125">
        <f>SQRT(((VLOOKUP($AT$4,$A$4:$R$1021,18,FALSE))-R132)^2)</f>
        <v/>
      </c>
      <c r="AO132" s="125" t="n"/>
      <c r="AP132" s="125" t="n"/>
      <c r="AQ132" s="125" t="inlineStr">
        <is>
          <t>W14X145</t>
        </is>
      </c>
      <c r="BB132" s="125">
        <f>SQRT(($J$1022-J132)^2)</f>
        <v/>
      </c>
      <c r="BC132" s="125">
        <f>SQRT(($R$1022-R132)^2)</f>
        <v/>
      </c>
      <c r="BD132" s="125" t="inlineStr">
        <is>
          <t>W14X145</t>
        </is>
      </c>
      <c r="BI132">
        <f>SQRT(($J$1023-J132)^2)</f>
        <v/>
      </c>
      <c r="BJ132">
        <f>SQRT(($R$1023-R132)^2)</f>
        <v/>
      </c>
      <c r="BK132" s="125" t="inlineStr">
        <is>
          <t>W14X145</t>
        </is>
      </c>
      <c r="BP132">
        <f>SQRT(($J$1024-J132)^2)</f>
        <v/>
      </c>
      <c r="BQ132">
        <f>SQRT(($R$1024-R132)^2)</f>
        <v/>
      </c>
      <c r="BR132" s="125" t="inlineStr">
        <is>
          <t>W14X145</t>
        </is>
      </c>
      <c r="BW132">
        <f>SQRT(($J$1025-J132)^2)</f>
        <v/>
      </c>
      <c r="BX132">
        <f>SQRT(($R$1025-R132)^2)</f>
        <v/>
      </c>
      <c r="BY132" s="125" t="inlineStr">
        <is>
          <t>W14X145</t>
        </is>
      </c>
      <c r="CD132">
        <f>SQRT(($J$1026-J132)^2)</f>
        <v/>
      </c>
      <c r="CE132">
        <f>SQRT(($R$1026-R132)^2)</f>
        <v/>
      </c>
      <c r="CF132" s="125" t="inlineStr">
        <is>
          <t>W14X145</t>
        </is>
      </c>
    </row>
    <row r="133">
      <c r="A133" s="125" t="inlineStr">
        <is>
          <t>W14X158</t>
        </is>
      </c>
      <c r="B133" s="129" t="inlineStr">
        <is>
          <t>AISC</t>
        </is>
      </c>
      <c r="C133" s="125" t="n">
        <v>235.1</v>
      </c>
      <c r="D133" s="125" t="n">
        <v>381</v>
      </c>
      <c r="E133" s="125" t="n">
        <v>394.8</v>
      </c>
      <c r="F133" s="125" t="n">
        <v>30.2</v>
      </c>
      <c r="G133" s="125" t="n">
        <v>18.4</v>
      </c>
      <c r="H133" s="125" t="n">
        <v>15.2</v>
      </c>
      <c r="I133" s="125" t="n">
        <v>290.2</v>
      </c>
      <c r="J133" s="125" t="n">
        <v>299</v>
      </c>
      <c r="K133" s="125">
        <f>((E133-G133)/2)/F133</f>
        <v/>
      </c>
      <c r="L133" s="125">
        <f>I133/G133</f>
        <v/>
      </c>
      <c r="M133" s="125" t="n">
        <v>2.28</v>
      </c>
      <c r="N133" s="125" t="n">
        <v>79090</v>
      </c>
      <c r="O133" s="125" t="n">
        <v>30990</v>
      </c>
      <c r="P133" s="125" t="n">
        <v>16.3</v>
      </c>
      <c r="Q133" s="125" t="n">
        <v>10.2</v>
      </c>
      <c r="R133" s="125" t="n">
        <v>4151</v>
      </c>
      <c r="S133" s="125" t="n">
        <v>1570</v>
      </c>
      <c r="T133" s="125" t="n">
        <v>4687</v>
      </c>
      <c r="U133" s="125" t="n">
        <v>2383</v>
      </c>
      <c r="X133" s="129">
        <f t="array" ref="X133">_xlfn.IFS((D133/F133) &lt;= (640/SQRT($AT$32)), "Compact", L133 &lt;= ($AT$32*(0.79-(0.002*((E133-G133/2)/(2*F133))*SQRT($AT$32)))), "Non-Compact", L133 &gt; ($AT$32*(0.79-(0.002*((E133-G133/2)/(2*F133))*SQRT($AT$32)))), "Slender")</f>
        <v/>
      </c>
      <c r="Y133" s="129">
        <f t="array" ref="Y133">_xlfn.IFS(K133 &lt;= (65/SQRT($AT$32)), "Compact", K133 &lt;= (95/SQRT($AT$32)), "Non-Compact", K133 &gt; (95/SQRT($AT$32)), "Slender")</f>
        <v/>
      </c>
      <c r="Z133" s="125">
        <f>E133/F133</f>
        <v/>
      </c>
      <c r="AA133" s="125">
        <f>D133/G133</f>
        <v/>
      </c>
      <c r="AB133" s="125">
        <f t="array" ref="AB133">_xlfn.IFS(Z133 &lt;= 9, "1", Z133 &lt;= 12, "2", Z133 &lt;= 15, "3", Z133 &gt; 15, "4")</f>
        <v/>
      </c>
      <c r="AC133" s="125">
        <f t="array" ref="AC133">_xlfn.IFS(AA133 &lt;= 200, "1", L133 &lt;= 300, "2", L133 &lt;= 400, "3", L133 &gt; 400, "4")</f>
        <v/>
      </c>
      <c r="AD133" s="129">
        <f>SQRT((((VLOOKUP($AT$4,$A$4:$D$1021,4,FALSE))-D133)^2)+(((VLOOKUP($AT$4,$A$4:$E$1021,5,FALSE))-E133)^2)+(((VLOOKUP($AT$4,$A$4:$N$1021,14,FALSE))-N133)^2)+(((VLOOKUP($AT$4,$A$4:$O$1021,15,FALSE))-O133)^2))</f>
        <v/>
      </c>
      <c r="AG133" s="129">
        <f>SQRT((((VLOOKUP($AT$4,$A$4:$D$1021,4,FALSE))-D133)^2)+(((VLOOKUP($AT$4,$A$4:$E$1021,5,FALSE))-E133)^2)+(((VLOOKUP($AT$4,$A$4:$R$1021,18,FALSE))-R133)^2)+(((VLOOKUP($AT$4,$A$4:$S$1021,19,FALSE))-S133)^2))</f>
        <v/>
      </c>
      <c r="AJ133" s="125" t="inlineStr">
        <is>
          <t>W14X158</t>
        </is>
      </c>
      <c r="AK133" s="125">
        <f>SQRT(((VLOOKUP($AT$4,$A$4:$J$1021,10,FALSE))-J133)^2)</f>
        <v/>
      </c>
      <c r="AL133" s="125" t="n"/>
      <c r="AM133" s="125" t="n"/>
      <c r="AN133" s="125">
        <f>SQRT(((VLOOKUP($AT$4,$A$4:$R$1021,18,FALSE))-R133)^2)</f>
        <v/>
      </c>
      <c r="AO133" s="125" t="n"/>
      <c r="AP133" s="125" t="n"/>
      <c r="AQ133" s="125" t="inlineStr">
        <is>
          <t>W14X158</t>
        </is>
      </c>
      <c r="BB133" s="125">
        <f>SQRT(($J$1022-J133)^2)</f>
        <v/>
      </c>
      <c r="BC133" s="125">
        <f>SQRT(($R$1022-R133)^2)</f>
        <v/>
      </c>
      <c r="BD133" s="125" t="inlineStr">
        <is>
          <t>W14X158</t>
        </is>
      </c>
      <c r="BI133">
        <f>SQRT(($J$1023-J133)^2)</f>
        <v/>
      </c>
      <c r="BJ133">
        <f>SQRT(($R$1023-R133)^2)</f>
        <v/>
      </c>
      <c r="BK133" s="125" t="inlineStr">
        <is>
          <t>W14X158</t>
        </is>
      </c>
      <c r="BP133">
        <f>SQRT(($J$1024-J133)^2)</f>
        <v/>
      </c>
      <c r="BQ133">
        <f>SQRT(($R$1024-R133)^2)</f>
        <v/>
      </c>
      <c r="BR133" s="125" t="inlineStr">
        <is>
          <t>W14X158</t>
        </is>
      </c>
      <c r="BW133">
        <f>SQRT(($J$1025-J133)^2)</f>
        <v/>
      </c>
      <c r="BX133">
        <f>SQRT(($R$1025-R133)^2)</f>
        <v/>
      </c>
      <c r="BY133" s="125" t="inlineStr">
        <is>
          <t>W14X158</t>
        </is>
      </c>
      <c r="CD133">
        <f>SQRT(($J$1026-J133)^2)</f>
        <v/>
      </c>
      <c r="CE133">
        <f>SQRT(($R$1026-R133)^2)</f>
        <v/>
      </c>
      <c r="CF133" s="125" t="inlineStr">
        <is>
          <t>W14X158</t>
        </is>
      </c>
    </row>
    <row r="134">
      <c r="A134" s="125" t="inlineStr">
        <is>
          <t>W14X159</t>
        </is>
      </c>
      <c r="B134" s="129" t="inlineStr">
        <is>
          <t>AISC</t>
        </is>
      </c>
      <c r="C134" s="125" t="n">
        <v>236.6</v>
      </c>
      <c r="D134" s="125" t="n">
        <v>380.5</v>
      </c>
      <c r="E134" s="125" t="n">
        <v>395.4</v>
      </c>
      <c r="F134" s="125" t="n">
        <v>30.2</v>
      </c>
      <c r="G134" s="125" t="n">
        <v>18.9</v>
      </c>
      <c r="H134" s="125" t="n">
        <v>15.2</v>
      </c>
      <c r="I134" s="125" t="n">
        <v>289.6</v>
      </c>
      <c r="J134" s="125" t="n">
        <v>302</v>
      </c>
      <c r="K134" s="125">
        <f>((E134-G134)/2)/F134</f>
        <v/>
      </c>
      <c r="L134" s="125">
        <f>I134/G134</f>
        <v/>
      </c>
      <c r="M134" s="125" t="n">
        <v>2.28</v>
      </c>
      <c r="N134" s="125" t="n">
        <v>79160</v>
      </c>
      <c r="O134" s="125" t="n">
        <v>31170</v>
      </c>
      <c r="P134" s="125" t="n">
        <v>16.2</v>
      </c>
      <c r="Q134" s="125" t="n">
        <v>10.2</v>
      </c>
      <c r="R134" s="125" t="n">
        <v>4161</v>
      </c>
      <c r="S134" s="125" t="n">
        <v>1577</v>
      </c>
      <c r="T134" s="125" t="n">
        <v>4702</v>
      </c>
      <c r="U134" s="125" t="n">
        <v>2394</v>
      </c>
      <c r="X134" s="129">
        <f t="array" ref="X134">_xlfn.IFS((D134/F134) &lt;= (640/SQRT($AT$32)), "Compact", L134 &lt;= ($AT$32*(0.79-(0.002*((E134-G134/2)/(2*F134))*SQRT($AT$32)))), "Non-Compact", L134 &gt; ($AT$32*(0.79-(0.002*((E134-G134/2)/(2*F134))*SQRT($AT$32)))), "Slender")</f>
        <v/>
      </c>
      <c r="Y134" s="129">
        <f t="array" ref="Y134">_xlfn.IFS(K134 &lt;= (65/SQRT($AT$32)), "Compact", K134 &lt;= (95/SQRT($AT$32)), "Non-Compact", K134 &gt; (95/SQRT($AT$32)), "Slender")</f>
        <v/>
      </c>
      <c r="Z134" s="125">
        <f>E134/F134</f>
        <v/>
      </c>
      <c r="AA134" s="125">
        <f>D134/G134</f>
        <v/>
      </c>
      <c r="AB134" s="125">
        <f t="array" ref="AB134">_xlfn.IFS(Z134 &lt;= 9, "1", Z134 &lt;= 12, "2", Z134 &lt;= 15, "3", Z134 &gt; 15, "4")</f>
        <v/>
      </c>
      <c r="AC134" s="125">
        <f t="array" ref="AC134">_xlfn.IFS(AA134 &lt;= 200, "1", L134 &lt;= 300, "2", L134 &lt;= 400, "3", L134 &gt; 400, "4")</f>
        <v/>
      </c>
      <c r="AD134" s="129">
        <f>SQRT((((VLOOKUP($AT$4,$A$4:$D$1021,4,FALSE))-D134)^2)+(((VLOOKUP($AT$4,$A$4:$E$1021,5,FALSE))-E134)^2)+(((VLOOKUP($AT$4,$A$4:$N$1021,14,FALSE))-N134)^2)+(((VLOOKUP($AT$4,$A$4:$O$1021,15,FALSE))-O134)^2))</f>
        <v/>
      </c>
      <c r="AG134" s="129">
        <f>SQRT((((VLOOKUP($AT$4,$A$4:$D$1021,4,FALSE))-D134)^2)+(((VLOOKUP($AT$4,$A$4:$E$1021,5,FALSE))-E134)^2)+(((VLOOKUP($AT$4,$A$4:$R$1021,18,FALSE))-R134)^2)+(((VLOOKUP($AT$4,$A$4:$S$1021,19,FALSE))-S134)^2))</f>
        <v/>
      </c>
      <c r="AJ134" s="125" t="inlineStr">
        <is>
          <t>W14X159</t>
        </is>
      </c>
      <c r="AK134" s="125">
        <f>SQRT(((VLOOKUP($AT$4,$A$4:$J$1021,10,FALSE))-J134)^2)</f>
        <v/>
      </c>
      <c r="AL134" s="125" t="n"/>
      <c r="AM134" s="125" t="n"/>
      <c r="AN134" s="125">
        <f>SQRT(((VLOOKUP($AT$4,$A$4:$R$1021,18,FALSE))-R134)^2)</f>
        <v/>
      </c>
      <c r="AO134" s="125" t="n"/>
      <c r="AP134" s="125" t="n"/>
      <c r="AQ134" s="125" t="inlineStr">
        <is>
          <t>W14X159</t>
        </is>
      </c>
      <c r="BB134" s="125">
        <f>SQRT(($J$1022-J134)^2)</f>
        <v/>
      </c>
      <c r="BC134" s="125">
        <f>SQRT(($R$1022-R134)^2)</f>
        <v/>
      </c>
      <c r="BD134" s="125" t="inlineStr">
        <is>
          <t>W14X159</t>
        </is>
      </c>
      <c r="BI134">
        <f>SQRT(($J$1023-J134)^2)</f>
        <v/>
      </c>
      <c r="BJ134">
        <f>SQRT(($R$1023-R134)^2)</f>
        <v/>
      </c>
      <c r="BK134" s="125" t="inlineStr">
        <is>
          <t>W14X159</t>
        </is>
      </c>
      <c r="BP134">
        <f>SQRT(($J$1024-J134)^2)</f>
        <v/>
      </c>
      <c r="BQ134">
        <f>SQRT(($R$1024-R134)^2)</f>
        <v/>
      </c>
      <c r="BR134" s="125" t="inlineStr">
        <is>
          <t>W14X159</t>
        </is>
      </c>
      <c r="BW134">
        <f>SQRT(($J$1025-J134)^2)</f>
        <v/>
      </c>
      <c r="BX134">
        <f>SQRT(($R$1025-R134)^2)</f>
        <v/>
      </c>
      <c r="BY134" s="125" t="inlineStr">
        <is>
          <t>W14X159</t>
        </is>
      </c>
      <c r="CD134">
        <f>SQRT(($J$1026-J134)^2)</f>
        <v/>
      </c>
      <c r="CE134">
        <f>SQRT(($R$1026-R134)^2)</f>
        <v/>
      </c>
      <c r="CF134" s="125" t="inlineStr">
        <is>
          <t>W14X159</t>
        </is>
      </c>
    </row>
    <row r="135">
      <c r="A135" s="125" t="inlineStr">
        <is>
          <t>W14X176</t>
        </is>
      </c>
      <c r="B135" s="129" t="inlineStr">
        <is>
          <t>AISC</t>
        </is>
      </c>
      <c r="C135" s="125" t="n">
        <v>261.9</v>
      </c>
      <c r="D135" s="125" t="n">
        <v>386.6</v>
      </c>
      <c r="E135" s="125" t="n">
        <v>397.5</v>
      </c>
      <c r="F135" s="125" t="n">
        <v>33.3</v>
      </c>
      <c r="G135" s="125" t="n">
        <v>21.1</v>
      </c>
      <c r="H135" s="125" t="n">
        <v>15.2</v>
      </c>
      <c r="I135" s="125" t="n">
        <v>289.7</v>
      </c>
      <c r="J135" s="125" t="n">
        <v>334</v>
      </c>
      <c r="K135" s="125">
        <f>((E135-G135)/2)/F135</f>
        <v/>
      </c>
      <c r="L135" s="125">
        <f>I135/G135</f>
        <v/>
      </c>
      <c r="M135" s="125" t="n">
        <v>2.29</v>
      </c>
      <c r="N135" s="125" t="n">
        <v>89040</v>
      </c>
      <c r="O135" s="125" t="n">
        <v>34860</v>
      </c>
      <c r="P135" s="125" t="n">
        <v>16.3</v>
      </c>
      <c r="Q135" s="125" t="n">
        <v>10.2</v>
      </c>
      <c r="R135" s="125" t="n">
        <v>4606</v>
      </c>
      <c r="S135" s="125" t="n">
        <v>1754</v>
      </c>
      <c r="T135" s="125" t="n">
        <v>5244</v>
      </c>
      <c r="U135" s="125" t="n">
        <v>2667</v>
      </c>
      <c r="X135" s="129">
        <f t="array" ref="X135">_xlfn.IFS((D135/F135) &lt;= (640/SQRT($AT$32)), "Compact", L135 &lt;= ($AT$32*(0.79-(0.002*((E135-G135/2)/(2*F135))*SQRT($AT$32)))), "Non-Compact", L135 &gt; ($AT$32*(0.79-(0.002*((E135-G135/2)/(2*F135))*SQRT($AT$32)))), "Slender")</f>
        <v/>
      </c>
      <c r="Y135" s="129">
        <f t="array" ref="Y135">_xlfn.IFS(K135 &lt;= (65/SQRT($AT$32)), "Compact", K135 &lt;= (95/SQRT($AT$32)), "Non-Compact", K135 &gt; (95/SQRT($AT$32)), "Slender")</f>
        <v/>
      </c>
      <c r="Z135" s="125">
        <f>E135/F135</f>
        <v/>
      </c>
      <c r="AA135" s="125">
        <f>D135/G135</f>
        <v/>
      </c>
      <c r="AB135" s="125">
        <f t="array" ref="AB135">_xlfn.IFS(Z135 &lt;= 9, "1", Z135 &lt;= 12, "2", Z135 &lt;= 15, "3", Z135 &gt; 15, "4")</f>
        <v/>
      </c>
      <c r="AC135" s="125">
        <f t="array" ref="AC135">_xlfn.IFS(AA135 &lt;= 200, "1", L135 &lt;= 300, "2", L135 &lt;= 400, "3", L135 &gt; 400, "4")</f>
        <v/>
      </c>
      <c r="AD135" s="129">
        <f>SQRT((((VLOOKUP($AT$4,$A$4:$D$1021,4,FALSE))-D135)^2)+(((VLOOKUP($AT$4,$A$4:$E$1021,5,FALSE))-E135)^2)+(((VLOOKUP($AT$4,$A$4:$N$1021,14,FALSE))-N135)^2)+(((VLOOKUP($AT$4,$A$4:$O$1021,15,FALSE))-O135)^2))</f>
        <v/>
      </c>
      <c r="AG135" s="129">
        <f>SQRT((((VLOOKUP($AT$4,$A$4:$D$1021,4,FALSE))-D135)^2)+(((VLOOKUP($AT$4,$A$4:$E$1021,5,FALSE))-E135)^2)+(((VLOOKUP($AT$4,$A$4:$R$1021,18,FALSE))-R135)^2)+(((VLOOKUP($AT$4,$A$4:$S$1021,19,FALSE))-S135)^2))</f>
        <v/>
      </c>
      <c r="AJ135" s="125" t="inlineStr">
        <is>
          <t>W14X176</t>
        </is>
      </c>
      <c r="AK135" s="125">
        <f>SQRT(((VLOOKUP($AT$4,$A$4:$J$1021,10,FALSE))-J135)^2)</f>
        <v/>
      </c>
      <c r="AL135" s="125" t="n"/>
      <c r="AM135" s="125" t="n"/>
      <c r="AN135" s="125">
        <f>SQRT(((VLOOKUP($AT$4,$A$4:$R$1021,18,FALSE))-R135)^2)</f>
        <v/>
      </c>
      <c r="AO135" s="125" t="n"/>
      <c r="AP135" s="125" t="n"/>
      <c r="AQ135" s="125" t="inlineStr">
        <is>
          <t>W14X176</t>
        </is>
      </c>
      <c r="BB135" s="125">
        <f>SQRT(($J$1022-J135)^2)</f>
        <v/>
      </c>
      <c r="BC135" s="125">
        <f>SQRT(($R$1022-R135)^2)</f>
        <v/>
      </c>
      <c r="BD135" s="125" t="inlineStr">
        <is>
          <t>W14X176</t>
        </is>
      </c>
      <c r="BI135">
        <f>SQRT(($J$1023-J135)^2)</f>
        <v/>
      </c>
      <c r="BJ135">
        <f>SQRT(($R$1023-R135)^2)</f>
        <v/>
      </c>
      <c r="BK135" s="125" t="inlineStr">
        <is>
          <t>W14X176</t>
        </is>
      </c>
      <c r="BP135">
        <f>SQRT(($J$1024-J135)^2)</f>
        <v/>
      </c>
      <c r="BQ135">
        <f>SQRT(($R$1024-R135)^2)</f>
        <v/>
      </c>
      <c r="BR135" s="125" t="inlineStr">
        <is>
          <t>W14X176</t>
        </is>
      </c>
      <c r="BW135">
        <f>SQRT(($J$1025-J135)^2)</f>
        <v/>
      </c>
      <c r="BX135">
        <f>SQRT(($R$1025-R135)^2)</f>
        <v/>
      </c>
      <c r="BY135" s="125" t="inlineStr">
        <is>
          <t>W14X176</t>
        </is>
      </c>
      <c r="CD135">
        <f>SQRT(($J$1026-J135)^2)</f>
        <v/>
      </c>
      <c r="CE135">
        <f>SQRT(($R$1026-R135)^2)</f>
        <v/>
      </c>
      <c r="CF135" s="125" t="inlineStr">
        <is>
          <t>W14X176</t>
        </is>
      </c>
    </row>
    <row r="136">
      <c r="A136" s="125" t="inlineStr">
        <is>
          <t>W14X193</t>
        </is>
      </c>
      <c r="B136" s="129" t="inlineStr">
        <is>
          <t>AISC</t>
        </is>
      </c>
      <c r="C136" s="125" t="n">
        <v>287.1</v>
      </c>
      <c r="D136" s="125" t="n">
        <v>393.6</v>
      </c>
      <c r="E136" s="125" t="n">
        <v>399</v>
      </c>
      <c r="F136" s="125" t="n">
        <v>36.5</v>
      </c>
      <c r="G136" s="125" t="n">
        <v>22.6</v>
      </c>
      <c r="H136" s="125" t="n">
        <v>15.2</v>
      </c>
      <c r="I136" s="125" t="n">
        <v>290.2</v>
      </c>
      <c r="J136" s="125" t="n">
        <v>366</v>
      </c>
      <c r="K136" s="125">
        <f>((E136-G136)/2)/F136</f>
        <v/>
      </c>
      <c r="L136" s="125">
        <f>I136/G136</f>
        <v/>
      </c>
      <c r="M136" s="125" t="n">
        <v>2.31</v>
      </c>
      <c r="N136" s="125" t="n">
        <v>99880</v>
      </c>
      <c r="O136" s="125" t="n">
        <v>38680</v>
      </c>
      <c r="P136" s="125" t="n">
        <v>16.5</v>
      </c>
      <c r="Q136" s="125" t="n">
        <v>10.3</v>
      </c>
      <c r="R136" s="125" t="n">
        <v>5075</v>
      </c>
      <c r="S136" s="125" t="n">
        <v>1939</v>
      </c>
      <c r="T136" s="125" t="n">
        <v>5812</v>
      </c>
      <c r="U136" s="125" t="n">
        <v>2949</v>
      </c>
      <c r="X136" s="129">
        <f t="array" ref="X136">_xlfn.IFS((D136/F136) &lt;= (640/SQRT($AT$32)), "Compact", L136 &lt;= ($AT$32*(0.79-(0.002*((E136-G136/2)/(2*F136))*SQRT($AT$32)))), "Non-Compact", L136 &gt; ($AT$32*(0.79-(0.002*((E136-G136/2)/(2*F136))*SQRT($AT$32)))), "Slender")</f>
        <v/>
      </c>
      <c r="Y136" s="129">
        <f t="array" ref="Y136">_xlfn.IFS(K136 &lt;= (65/SQRT($AT$32)), "Compact", K136 &lt;= (95/SQRT($AT$32)), "Non-Compact", K136 &gt; (95/SQRT($AT$32)), "Slender")</f>
        <v/>
      </c>
      <c r="Z136" s="125">
        <f>E136/F136</f>
        <v/>
      </c>
      <c r="AA136" s="125">
        <f>D136/G136</f>
        <v/>
      </c>
      <c r="AB136" s="125">
        <f t="array" ref="AB136">_xlfn.IFS(Z136 &lt;= 9, "1", Z136 &lt;= 12, "2", Z136 &lt;= 15, "3", Z136 &gt; 15, "4")</f>
        <v/>
      </c>
      <c r="AC136" s="125">
        <f t="array" ref="AC136">_xlfn.IFS(AA136 &lt;= 200, "1", L136 &lt;= 300, "2", L136 &lt;= 400, "3", L136 &gt; 400, "4")</f>
        <v/>
      </c>
      <c r="AD136" s="129">
        <f>SQRT((((VLOOKUP($AT$4,$A$4:$D$1021,4,FALSE))-D136)^2)+(((VLOOKUP($AT$4,$A$4:$E$1021,5,FALSE))-E136)^2)+(((VLOOKUP($AT$4,$A$4:$N$1021,14,FALSE))-N136)^2)+(((VLOOKUP($AT$4,$A$4:$O$1021,15,FALSE))-O136)^2))</f>
        <v/>
      </c>
      <c r="AG136" s="129">
        <f>SQRT((((VLOOKUP($AT$4,$A$4:$D$1021,4,FALSE))-D136)^2)+(((VLOOKUP($AT$4,$A$4:$E$1021,5,FALSE))-E136)^2)+(((VLOOKUP($AT$4,$A$4:$R$1021,18,FALSE))-R136)^2)+(((VLOOKUP($AT$4,$A$4:$S$1021,19,FALSE))-S136)^2))</f>
        <v/>
      </c>
      <c r="AJ136" s="125" t="inlineStr">
        <is>
          <t>W14X193</t>
        </is>
      </c>
      <c r="AK136" s="125">
        <f>SQRT(((VLOOKUP($AT$4,$A$4:$J$1021,10,FALSE))-J136)^2)</f>
        <v/>
      </c>
      <c r="AL136" s="125" t="n"/>
      <c r="AM136" s="125" t="n"/>
      <c r="AN136" s="125">
        <f>SQRT(((VLOOKUP($AT$4,$A$4:$R$1021,18,FALSE))-R136)^2)</f>
        <v/>
      </c>
      <c r="AO136" s="125" t="n"/>
      <c r="AP136" s="125" t="n"/>
      <c r="AQ136" s="125" t="inlineStr">
        <is>
          <t>W14X193</t>
        </is>
      </c>
      <c r="BB136" s="125">
        <f>SQRT(($J$1022-J136)^2)</f>
        <v/>
      </c>
      <c r="BC136" s="125">
        <f>SQRT(($R$1022-R136)^2)</f>
        <v/>
      </c>
      <c r="BD136" s="125" t="inlineStr">
        <is>
          <t>W14X193</t>
        </is>
      </c>
      <c r="BI136">
        <f>SQRT(($J$1023-J136)^2)</f>
        <v/>
      </c>
      <c r="BJ136">
        <f>SQRT(($R$1023-R136)^2)</f>
        <v/>
      </c>
      <c r="BK136" s="125" t="inlineStr">
        <is>
          <t>W14X193</t>
        </is>
      </c>
      <c r="BP136">
        <f>SQRT(($J$1024-J136)^2)</f>
        <v/>
      </c>
      <c r="BQ136">
        <f>SQRT(($R$1024-R136)^2)</f>
        <v/>
      </c>
      <c r="BR136" s="125" t="inlineStr">
        <is>
          <t>W14X193</t>
        </is>
      </c>
      <c r="BW136">
        <f>SQRT(($J$1025-J136)^2)</f>
        <v/>
      </c>
      <c r="BX136">
        <f>SQRT(($R$1025-R136)^2)</f>
        <v/>
      </c>
      <c r="BY136" s="125" t="inlineStr">
        <is>
          <t>W14X193</t>
        </is>
      </c>
      <c r="CD136">
        <f>SQRT(($J$1026-J136)^2)</f>
        <v/>
      </c>
      <c r="CE136">
        <f>SQRT(($R$1026-R136)^2)</f>
        <v/>
      </c>
      <c r="CF136" s="125" t="inlineStr">
        <is>
          <t>W14X193</t>
        </is>
      </c>
    </row>
    <row r="137">
      <c r="A137" s="125" t="inlineStr">
        <is>
          <t>W14X211</t>
        </is>
      </c>
      <c r="B137" s="129" t="inlineStr">
        <is>
          <t>AISC</t>
        </is>
      </c>
      <c r="C137" s="125" t="n">
        <v>314</v>
      </c>
      <c r="D137" s="125" t="n">
        <v>399.3</v>
      </c>
      <c r="E137" s="125" t="n">
        <v>401.3</v>
      </c>
      <c r="F137" s="125" t="n">
        <v>39.6</v>
      </c>
      <c r="G137" s="125" t="n">
        <v>24.9</v>
      </c>
      <c r="H137" s="125" t="n">
        <v>15.2</v>
      </c>
      <c r="I137" s="125" t="n">
        <v>289.7</v>
      </c>
      <c r="J137" s="125" t="n">
        <v>400</v>
      </c>
      <c r="K137" s="125">
        <f>((E137-G137)/2)/F137</f>
        <v/>
      </c>
      <c r="L137" s="125">
        <f>I137/G137</f>
        <v/>
      </c>
      <c r="M137" s="125" t="n">
        <v>2.33</v>
      </c>
      <c r="N137" s="125" t="n">
        <v>110500</v>
      </c>
      <c r="O137" s="125" t="n">
        <v>42720</v>
      </c>
      <c r="P137" s="125" t="n">
        <v>16.6</v>
      </c>
      <c r="Q137" s="125" t="n">
        <v>10.3</v>
      </c>
      <c r="R137" s="125" t="n">
        <v>5537</v>
      </c>
      <c r="S137" s="125" t="n">
        <v>2129</v>
      </c>
      <c r="T137" s="125" t="n">
        <v>6387</v>
      </c>
      <c r="U137" s="125" t="n">
        <v>3243</v>
      </c>
      <c r="X137" s="129">
        <f t="array" ref="X137">_xlfn.IFS((D137/F137) &lt;= (640/SQRT($AT$32)), "Compact", L137 &lt;= ($AT$32*(0.79-(0.002*((E137-G137/2)/(2*F137))*SQRT($AT$32)))), "Non-Compact", L137 &gt; ($AT$32*(0.79-(0.002*((E137-G137/2)/(2*F137))*SQRT($AT$32)))), "Slender")</f>
        <v/>
      </c>
      <c r="Y137" s="129">
        <f t="array" ref="Y137">_xlfn.IFS(K137 &lt;= (65/SQRT($AT$32)), "Compact", K137 &lt;= (95/SQRT($AT$32)), "Non-Compact", K137 &gt; (95/SQRT($AT$32)), "Slender")</f>
        <v/>
      </c>
      <c r="Z137" s="125">
        <f>E137/F137</f>
        <v/>
      </c>
      <c r="AA137" s="125">
        <f>D137/G137</f>
        <v/>
      </c>
      <c r="AB137" s="125">
        <f t="array" ref="AB137">_xlfn.IFS(Z137 &lt;= 9, "1", Z137 &lt;= 12, "2", Z137 &lt;= 15, "3", Z137 &gt; 15, "4")</f>
        <v/>
      </c>
      <c r="AC137" s="125">
        <f t="array" ref="AC137">_xlfn.IFS(AA137 &lt;= 200, "1", L137 &lt;= 300, "2", L137 &lt;= 400, "3", L137 &gt; 400, "4")</f>
        <v/>
      </c>
      <c r="AD137" s="129">
        <f>SQRT((((VLOOKUP($AT$4,$A$4:$D$1021,4,FALSE))-D137)^2)+(((VLOOKUP($AT$4,$A$4:$E$1021,5,FALSE))-E137)^2)+(((VLOOKUP($AT$4,$A$4:$N$1021,14,FALSE))-N137)^2)+(((VLOOKUP($AT$4,$A$4:$O$1021,15,FALSE))-O137)^2))</f>
        <v/>
      </c>
      <c r="AG137" s="129">
        <f>SQRT((((VLOOKUP($AT$4,$A$4:$D$1021,4,FALSE))-D137)^2)+(((VLOOKUP($AT$4,$A$4:$E$1021,5,FALSE))-E137)^2)+(((VLOOKUP($AT$4,$A$4:$R$1021,18,FALSE))-R137)^2)+(((VLOOKUP($AT$4,$A$4:$S$1021,19,FALSE))-S137)^2))</f>
        <v/>
      </c>
      <c r="AJ137" s="125" t="inlineStr">
        <is>
          <t>W14X211</t>
        </is>
      </c>
      <c r="AK137" s="125">
        <f>SQRT(((VLOOKUP($AT$4,$A$4:$J$1021,10,FALSE))-J137)^2)</f>
        <v/>
      </c>
      <c r="AL137" s="125" t="n"/>
      <c r="AM137" s="125" t="n"/>
      <c r="AN137" s="125">
        <f>SQRT(((VLOOKUP($AT$4,$A$4:$R$1021,18,FALSE))-R137)^2)</f>
        <v/>
      </c>
      <c r="AO137" s="125" t="n"/>
      <c r="AP137" s="125" t="n"/>
      <c r="AQ137" s="125" t="inlineStr">
        <is>
          <t>W14X211</t>
        </is>
      </c>
      <c r="BB137" s="125">
        <f>SQRT(($J$1022-J137)^2)</f>
        <v/>
      </c>
      <c r="BC137" s="125">
        <f>SQRT(($R$1022-R137)^2)</f>
        <v/>
      </c>
      <c r="BD137" s="125" t="inlineStr">
        <is>
          <t>W14X211</t>
        </is>
      </c>
      <c r="BI137">
        <f>SQRT(($J$1023-J137)^2)</f>
        <v/>
      </c>
      <c r="BJ137">
        <f>SQRT(($R$1023-R137)^2)</f>
        <v/>
      </c>
      <c r="BK137" s="125" t="inlineStr">
        <is>
          <t>W14X211</t>
        </is>
      </c>
      <c r="BP137">
        <f>SQRT(($J$1024-J137)^2)</f>
        <v/>
      </c>
      <c r="BQ137">
        <f>SQRT(($R$1024-R137)^2)</f>
        <v/>
      </c>
      <c r="BR137" s="125" t="inlineStr">
        <is>
          <t>W14X211</t>
        </is>
      </c>
      <c r="BW137">
        <f>SQRT(($J$1025-J137)^2)</f>
        <v/>
      </c>
      <c r="BX137">
        <f>SQRT(($R$1025-R137)^2)</f>
        <v/>
      </c>
      <c r="BY137" s="125" t="inlineStr">
        <is>
          <t>W14X211</t>
        </is>
      </c>
      <c r="CD137">
        <f>SQRT(($J$1026-J137)^2)</f>
        <v/>
      </c>
      <c r="CE137">
        <f>SQRT(($R$1026-R137)^2)</f>
        <v/>
      </c>
      <c r="CF137" s="125" t="inlineStr">
        <is>
          <t>W14X211</t>
        </is>
      </c>
    </row>
    <row r="138">
      <c r="A138" s="125" t="inlineStr">
        <is>
          <t>W14X219</t>
        </is>
      </c>
      <c r="B138" s="129" t="inlineStr">
        <is>
          <t>AISC</t>
        </is>
      </c>
      <c r="C138" s="125" t="n">
        <v>326</v>
      </c>
      <c r="D138" s="125" t="n">
        <v>403.1</v>
      </c>
      <c r="E138" s="125" t="n">
        <v>402</v>
      </c>
      <c r="F138" s="125" t="n">
        <v>41.2</v>
      </c>
      <c r="G138" s="125" t="n">
        <v>25.5</v>
      </c>
      <c r="H138" s="125" t="n">
        <v>15.2</v>
      </c>
      <c r="I138" s="125" t="n">
        <v>290.3</v>
      </c>
      <c r="J138" s="125" t="n">
        <v>415</v>
      </c>
      <c r="K138" s="125">
        <f>((E138-G138)/2)/F138</f>
        <v/>
      </c>
      <c r="L138" s="125">
        <f>I138/G138</f>
        <v/>
      </c>
      <c r="M138" s="125" t="n">
        <v>2.34</v>
      </c>
      <c r="N138" s="125" t="n">
        <v>116400</v>
      </c>
      <c r="O138" s="125" t="n">
        <v>44660</v>
      </c>
      <c r="P138" s="125" t="n">
        <v>16.7</v>
      </c>
      <c r="Q138" s="125" t="n">
        <v>10.4</v>
      </c>
      <c r="R138" s="125" t="n">
        <v>5777</v>
      </c>
      <c r="S138" s="125" t="n">
        <v>2222</v>
      </c>
      <c r="T138" s="125" t="n">
        <v>6681</v>
      </c>
      <c r="U138" s="125" t="n">
        <v>3384</v>
      </c>
      <c r="X138" s="129">
        <f t="array" ref="X138">_xlfn.IFS((D138/F138) &lt;= (640/SQRT($AT$32)), "Compact", L138 &lt;= ($AT$32*(0.79-(0.002*((E138-G138/2)/(2*F138))*SQRT($AT$32)))), "Non-Compact", L138 &gt; ($AT$32*(0.79-(0.002*((E138-G138/2)/(2*F138))*SQRT($AT$32)))), "Slender")</f>
        <v/>
      </c>
      <c r="Y138" s="129">
        <f t="array" ref="Y138">_xlfn.IFS(K138 &lt;= (65/SQRT($AT$32)), "Compact", K138 &lt;= (95/SQRT($AT$32)), "Non-Compact", K138 &gt; (95/SQRT($AT$32)), "Slender")</f>
        <v/>
      </c>
      <c r="Z138" s="125">
        <f>E138/F138</f>
        <v/>
      </c>
      <c r="AA138" s="125">
        <f>D138/G138</f>
        <v/>
      </c>
      <c r="AB138" s="125">
        <f t="array" ref="AB138">_xlfn.IFS(Z138 &lt;= 9, "1", Z138 &lt;= 12, "2", Z138 &lt;= 15, "3", Z138 &gt; 15, "4")</f>
        <v/>
      </c>
      <c r="AC138" s="125">
        <f t="array" ref="AC138">_xlfn.IFS(AA138 &lt;= 200, "1", L138 &lt;= 300, "2", L138 &lt;= 400, "3", L138 &gt; 400, "4")</f>
        <v/>
      </c>
      <c r="AD138" s="129">
        <f>SQRT((((VLOOKUP($AT$4,$A$4:$D$1021,4,FALSE))-D138)^2)+(((VLOOKUP($AT$4,$A$4:$E$1021,5,FALSE))-E138)^2)+(((VLOOKUP($AT$4,$A$4:$N$1021,14,FALSE))-N138)^2)+(((VLOOKUP($AT$4,$A$4:$O$1021,15,FALSE))-O138)^2))</f>
        <v/>
      </c>
      <c r="AG138" s="129">
        <f>SQRT((((VLOOKUP($AT$4,$A$4:$D$1021,4,FALSE))-D138)^2)+(((VLOOKUP($AT$4,$A$4:$E$1021,5,FALSE))-E138)^2)+(((VLOOKUP($AT$4,$A$4:$R$1021,18,FALSE))-R138)^2)+(((VLOOKUP($AT$4,$A$4:$S$1021,19,FALSE))-S138)^2))</f>
        <v/>
      </c>
      <c r="AJ138" s="125" t="inlineStr">
        <is>
          <t>W14X219</t>
        </is>
      </c>
      <c r="AK138" s="125">
        <f>SQRT(((VLOOKUP($AT$4,$A$4:$J$1021,10,FALSE))-J138)^2)</f>
        <v/>
      </c>
      <c r="AL138" s="125" t="n"/>
      <c r="AM138" s="125" t="n"/>
      <c r="AN138" s="125">
        <f>SQRT(((VLOOKUP($AT$4,$A$4:$R$1021,18,FALSE))-R138)^2)</f>
        <v/>
      </c>
      <c r="AO138" s="125" t="n"/>
      <c r="AP138" s="125" t="n"/>
      <c r="AQ138" s="125" t="inlineStr">
        <is>
          <t>W14X219</t>
        </is>
      </c>
      <c r="BB138" s="125">
        <f>SQRT(($J$1022-J138)^2)</f>
        <v/>
      </c>
      <c r="BC138" s="125">
        <f>SQRT(($R$1022-R138)^2)</f>
        <v/>
      </c>
      <c r="BD138" s="125" t="inlineStr">
        <is>
          <t>W14X219</t>
        </is>
      </c>
      <c r="BI138">
        <f>SQRT(($J$1023-J138)^2)</f>
        <v/>
      </c>
      <c r="BJ138">
        <f>SQRT(($R$1023-R138)^2)</f>
        <v/>
      </c>
      <c r="BK138" s="125" t="inlineStr">
        <is>
          <t>W14X219</t>
        </is>
      </c>
      <c r="BP138">
        <f>SQRT(($J$1024-J138)^2)</f>
        <v/>
      </c>
      <c r="BQ138">
        <f>SQRT(($R$1024-R138)^2)</f>
        <v/>
      </c>
      <c r="BR138" s="125" t="inlineStr">
        <is>
          <t>W14X219</t>
        </is>
      </c>
      <c r="BW138">
        <f>SQRT(($J$1025-J138)^2)</f>
        <v/>
      </c>
      <c r="BX138">
        <f>SQRT(($R$1025-R138)^2)</f>
        <v/>
      </c>
      <c r="BY138" s="125" t="inlineStr">
        <is>
          <t>W14X219</t>
        </is>
      </c>
      <c r="CD138">
        <f>SQRT(($J$1026-J138)^2)</f>
        <v/>
      </c>
      <c r="CE138">
        <f>SQRT(($R$1026-R138)^2)</f>
        <v/>
      </c>
      <c r="CF138" s="125" t="inlineStr">
        <is>
          <t>W14X219</t>
        </is>
      </c>
    </row>
    <row r="139">
      <c r="A139" s="125" t="inlineStr">
        <is>
          <t>W14X228</t>
        </is>
      </c>
      <c r="B139" s="129" t="inlineStr">
        <is>
          <t>AISC</t>
        </is>
      </c>
      <c r="C139" s="125" t="n">
        <v>339.9</v>
      </c>
      <c r="D139" s="125" t="n">
        <v>406.4</v>
      </c>
      <c r="E139" s="125" t="n">
        <v>403</v>
      </c>
      <c r="F139" s="125" t="n">
        <v>42.9</v>
      </c>
      <c r="G139" s="125" t="n">
        <v>26.6</v>
      </c>
      <c r="H139" s="125" t="n">
        <v>15.2</v>
      </c>
      <c r="I139" s="125" t="n">
        <v>290.2</v>
      </c>
      <c r="J139" s="125" t="n">
        <v>433</v>
      </c>
      <c r="K139" s="125">
        <f>((E139-G139)/2)/F139</f>
        <v/>
      </c>
      <c r="L139" s="125">
        <f>I139/G139</f>
        <v/>
      </c>
      <c r="M139" s="125" t="n">
        <v>2.35</v>
      </c>
      <c r="N139" s="125" t="n">
        <v>122500</v>
      </c>
      <c r="O139" s="125" t="n">
        <v>46850</v>
      </c>
      <c r="P139" s="125" t="n">
        <v>16.8</v>
      </c>
      <c r="Q139" s="125" t="n">
        <v>10.4</v>
      </c>
      <c r="R139" s="125" t="n">
        <v>6031</v>
      </c>
      <c r="S139" s="125" t="n">
        <v>2325</v>
      </c>
      <c r="T139" s="125" t="n">
        <v>6999</v>
      </c>
      <c r="U139" s="125" t="n">
        <v>3544</v>
      </c>
      <c r="X139" s="129">
        <f t="array" ref="X139">_xlfn.IFS((D139/F139) &lt;= (640/SQRT($AT$32)), "Compact", L139 &lt;= ($AT$32*(0.79-(0.002*((E139-G139/2)/(2*F139))*SQRT($AT$32)))), "Non-Compact", L139 &gt; ($AT$32*(0.79-(0.002*((E139-G139/2)/(2*F139))*SQRT($AT$32)))), "Slender")</f>
        <v/>
      </c>
      <c r="Y139" s="129">
        <f t="array" ref="Y139">_xlfn.IFS(K139 &lt;= (65/SQRT($AT$32)), "Compact", K139 &lt;= (95/SQRT($AT$32)), "Non-Compact", K139 &gt; (95/SQRT($AT$32)), "Slender")</f>
        <v/>
      </c>
      <c r="Z139" s="125">
        <f>E139/F139</f>
        <v/>
      </c>
      <c r="AA139" s="125">
        <f>D139/G139</f>
        <v/>
      </c>
      <c r="AB139" s="125">
        <f t="array" ref="AB139">_xlfn.IFS(Z139 &lt;= 9, "1", Z139 &lt;= 12, "2", Z139 &lt;= 15, "3", Z139 &gt; 15, "4")</f>
        <v/>
      </c>
      <c r="AC139" s="125">
        <f t="array" ref="AC139">_xlfn.IFS(AA139 &lt;= 200, "1", L139 &lt;= 300, "2", L139 &lt;= 400, "3", L139 &gt; 400, "4")</f>
        <v/>
      </c>
      <c r="AD139" s="129">
        <f>SQRT((((VLOOKUP($AT$4,$A$4:$D$1021,4,FALSE))-D139)^2)+(((VLOOKUP($AT$4,$A$4:$E$1021,5,FALSE))-E139)^2)+(((VLOOKUP($AT$4,$A$4:$N$1021,14,FALSE))-N139)^2)+(((VLOOKUP($AT$4,$A$4:$O$1021,15,FALSE))-O139)^2))</f>
        <v/>
      </c>
      <c r="AG139" s="129">
        <f>SQRT((((VLOOKUP($AT$4,$A$4:$D$1021,4,FALSE))-D139)^2)+(((VLOOKUP($AT$4,$A$4:$E$1021,5,FALSE))-E139)^2)+(((VLOOKUP($AT$4,$A$4:$R$1021,18,FALSE))-R139)^2)+(((VLOOKUP($AT$4,$A$4:$S$1021,19,FALSE))-S139)^2))</f>
        <v/>
      </c>
      <c r="AJ139" s="125" t="inlineStr">
        <is>
          <t>W14X228</t>
        </is>
      </c>
      <c r="AK139" s="125">
        <f>SQRT(((VLOOKUP($AT$4,$A$4:$J$1021,10,FALSE))-J139)^2)</f>
        <v/>
      </c>
      <c r="AL139" s="125" t="n"/>
      <c r="AM139" s="125" t="n"/>
      <c r="AN139" s="125">
        <f>SQRT(((VLOOKUP($AT$4,$A$4:$R$1021,18,FALSE))-R139)^2)</f>
        <v/>
      </c>
      <c r="AO139" s="125" t="n"/>
      <c r="AP139" s="125" t="n"/>
      <c r="AQ139" s="125" t="inlineStr">
        <is>
          <t>W14X228</t>
        </is>
      </c>
      <c r="BB139" s="125">
        <f>SQRT(($J$1022-J139)^2)</f>
        <v/>
      </c>
      <c r="BC139" s="125">
        <f>SQRT(($R$1022-R139)^2)</f>
        <v/>
      </c>
      <c r="BD139" s="125" t="inlineStr">
        <is>
          <t>W14X228</t>
        </is>
      </c>
      <c r="BI139">
        <f>SQRT(($J$1023-J139)^2)</f>
        <v/>
      </c>
      <c r="BJ139">
        <f>SQRT(($R$1023-R139)^2)</f>
        <v/>
      </c>
      <c r="BK139" s="125" t="inlineStr">
        <is>
          <t>W14X228</t>
        </is>
      </c>
      <c r="BP139">
        <f>SQRT(($J$1024-J139)^2)</f>
        <v/>
      </c>
      <c r="BQ139">
        <f>SQRT(($R$1024-R139)^2)</f>
        <v/>
      </c>
      <c r="BR139" s="125" t="inlineStr">
        <is>
          <t>W14X228</t>
        </is>
      </c>
      <c r="BW139">
        <f>SQRT(($J$1025-J139)^2)</f>
        <v/>
      </c>
      <c r="BX139">
        <f>SQRT(($R$1025-R139)^2)</f>
        <v/>
      </c>
      <c r="BY139" s="125" t="inlineStr">
        <is>
          <t>W14X228</t>
        </is>
      </c>
      <c r="CD139">
        <f>SQRT(($J$1026-J139)^2)</f>
        <v/>
      </c>
      <c r="CE139">
        <f>SQRT(($R$1026-R139)^2)</f>
        <v/>
      </c>
      <c r="CF139" s="125" t="inlineStr">
        <is>
          <t>W14X228</t>
        </is>
      </c>
    </row>
    <row r="140">
      <c r="A140" s="125" t="inlineStr">
        <is>
          <t>W14X233</t>
        </is>
      </c>
      <c r="B140" s="129" t="inlineStr">
        <is>
          <t>AISC</t>
        </is>
      </c>
      <c r="C140" s="125" t="n">
        <v>346.7</v>
      </c>
      <c r="D140" s="125" t="n">
        <v>407.4</v>
      </c>
      <c r="E140" s="125" t="n">
        <v>403.6</v>
      </c>
      <c r="F140" s="125" t="n">
        <v>43.7</v>
      </c>
      <c r="G140" s="125" t="n">
        <v>27.2</v>
      </c>
      <c r="H140" s="125" t="n">
        <v>15.2</v>
      </c>
      <c r="I140" s="125" t="n">
        <v>289.6</v>
      </c>
      <c r="J140" s="125" t="n">
        <v>442</v>
      </c>
      <c r="K140" s="125">
        <f>((E140-G140)/2)/F140</f>
        <v/>
      </c>
      <c r="L140" s="125">
        <f>I140/G140</f>
        <v/>
      </c>
      <c r="M140" s="125" t="n">
        <v>2.35</v>
      </c>
      <c r="N140" s="125" t="n">
        <v>125100</v>
      </c>
      <c r="O140" s="125" t="n">
        <v>47930</v>
      </c>
      <c r="P140" s="125" t="n">
        <v>16.8</v>
      </c>
      <c r="Q140" s="125" t="n">
        <v>10.4</v>
      </c>
      <c r="R140" s="125" t="n">
        <v>6141</v>
      </c>
      <c r="S140" s="125" t="n">
        <v>2375</v>
      </c>
      <c r="T140" s="125" t="n">
        <v>7140</v>
      </c>
      <c r="U140" s="125" t="n">
        <v>3621</v>
      </c>
      <c r="X140" s="129">
        <f t="array" ref="X140">_xlfn.IFS((D140/F140) &lt;= (640/SQRT($AT$32)), "Compact", L140 &lt;= ($AT$32*(0.79-(0.002*((E140-G140/2)/(2*F140))*SQRT($AT$32)))), "Non-Compact", L140 &gt; ($AT$32*(0.79-(0.002*((E140-G140/2)/(2*F140))*SQRT($AT$32)))), "Slender")</f>
        <v/>
      </c>
      <c r="Y140" s="129">
        <f t="array" ref="Y140">_xlfn.IFS(K140 &lt;= (65/SQRT($AT$32)), "Compact", K140 &lt;= (95/SQRT($AT$32)), "Non-Compact", K140 &gt; (95/SQRT($AT$32)), "Slender")</f>
        <v/>
      </c>
      <c r="Z140" s="125">
        <f>E140/F140</f>
        <v/>
      </c>
      <c r="AA140" s="125">
        <f>D140/G140</f>
        <v/>
      </c>
      <c r="AB140" s="125">
        <f t="array" ref="AB140">_xlfn.IFS(Z140 &lt;= 9, "1", Z140 &lt;= 12, "2", Z140 &lt;= 15, "3", Z140 &gt; 15, "4")</f>
        <v/>
      </c>
      <c r="AC140" s="125">
        <f t="array" ref="AC140">_xlfn.IFS(AA140 &lt;= 200, "1", L140 &lt;= 300, "2", L140 &lt;= 400, "3", L140 &gt; 400, "4")</f>
        <v/>
      </c>
      <c r="AD140" s="129">
        <f>SQRT((((VLOOKUP($AT$4,$A$4:$D$1021,4,FALSE))-D140)^2)+(((VLOOKUP($AT$4,$A$4:$E$1021,5,FALSE))-E140)^2)+(((VLOOKUP($AT$4,$A$4:$N$1021,14,FALSE))-N140)^2)+(((VLOOKUP($AT$4,$A$4:$O$1021,15,FALSE))-O140)^2))</f>
        <v/>
      </c>
      <c r="AG140" s="129">
        <f>SQRT((((VLOOKUP($AT$4,$A$4:$D$1021,4,FALSE))-D140)^2)+(((VLOOKUP($AT$4,$A$4:$E$1021,5,FALSE))-E140)^2)+(((VLOOKUP($AT$4,$A$4:$R$1021,18,FALSE))-R140)^2)+(((VLOOKUP($AT$4,$A$4:$S$1021,19,FALSE))-S140)^2))</f>
        <v/>
      </c>
      <c r="AJ140" s="125" t="inlineStr">
        <is>
          <t>W14X233</t>
        </is>
      </c>
      <c r="AK140" s="125">
        <f>SQRT(((VLOOKUP($AT$4,$A$4:$J$1021,10,FALSE))-J140)^2)</f>
        <v/>
      </c>
      <c r="AL140" s="125" t="n"/>
      <c r="AM140" s="125" t="n"/>
      <c r="AN140" s="125">
        <f>SQRT(((VLOOKUP($AT$4,$A$4:$R$1021,18,FALSE))-R140)^2)</f>
        <v/>
      </c>
      <c r="AO140" s="125" t="n"/>
      <c r="AP140" s="125" t="n"/>
      <c r="AQ140" s="125" t="inlineStr">
        <is>
          <t>W14X233</t>
        </is>
      </c>
      <c r="BB140" s="125">
        <f>SQRT(($J$1022-J140)^2)</f>
        <v/>
      </c>
      <c r="BC140" s="125">
        <f>SQRT(($R$1022-R140)^2)</f>
        <v/>
      </c>
      <c r="BD140" s="125" t="inlineStr">
        <is>
          <t>W14X233</t>
        </is>
      </c>
      <c r="BI140">
        <f>SQRT(($J$1023-J140)^2)</f>
        <v/>
      </c>
      <c r="BJ140">
        <f>SQRT(($R$1023-R140)^2)</f>
        <v/>
      </c>
      <c r="BK140" s="125" t="inlineStr">
        <is>
          <t>W14X233</t>
        </is>
      </c>
      <c r="BP140">
        <f>SQRT(($J$1024-J140)^2)</f>
        <v/>
      </c>
      <c r="BQ140">
        <f>SQRT(($R$1024-R140)^2)</f>
        <v/>
      </c>
      <c r="BR140" s="125" t="inlineStr">
        <is>
          <t>W14X233</t>
        </is>
      </c>
      <c r="BW140">
        <f>SQRT(($J$1025-J140)^2)</f>
        <v/>
      </c>
      <c r="BX140">
        <f>SQRT(($R$1025-R140)^2)</f>
        <v/>
      </c>
      <c r="BY140" s="125" t="inlineStr">
        <is>
          <t>W14X233</t>
        </is>
      </c>
      <c r="CD140">
        <f>SQRT(($J$1026-J140)^2)</f>
        <v/>
      </c>
      <c r="CE140">
        <f>SQRT(($R$1026-R140)^2)</f>
        <v/>
      </c>
      <c r="CF140" s="125" t="inlineStr">
        <is>
          <t>W14X233</t>
        </is>
      </c>
    </row>
    <row r="141">
      <c r="A141" s="125" t="inlineStr">
        <is>
          <t>W14X257</t>
        </is>
      </c>
      <c r="B141" s="129" t="inlineStr">
        <is>
          <t>AISC</t>
        </is>
      </c>
      <c r="C141" s="125" t="n">
        <v>382.5</v>
      </c>
      <c r="D141" s="125" t="n">
        <v>416.1</v>
      </c>
      <c r="E141" s="125" t="n">
        <v>406.3</v>
      </c>
      <c r="F141" s="125" t="n">
        <v>48</v>
      </c>
      <c r="G141" s="125" t="n">
        <v>29.8</v>
      </c>
      <c r="H141" s="125" t="n">
        <v>15.2</v>
      </c>
      <c r="I141" s="125" t="n">
        <v>289.7</v>
      </c>
      <c r="J141" s="125" t="n">
        <v>488</v>
      </c>
      <c r="K141" s="125">
        <f>((E141-G141)/2)/F141</f>
        <v/>
      </c>
      <c r="L141" s="125">
        <f>I141/G141</f>
        <v/>
      </c>
      <c r="M141" s="125" t="n">
        <v>2.37</v>
      </c>
      <c r="N141" s="125" t="n">
        <v>141500</v>
      </c>
      <c r="O141" s="125" t="n">
        <v>53750</v>
      </c>
      <c r="P141" s="125" t="n">
        <v>17</v>
      </c>
      <c r="Q141" s="125" t="n">
        <v>10.5</v>
      </c>
      <c r="R141" s="125" t="n">
        <v>6803</v>
      </c>
      <c r="S141" s="125" t="n">
        <v>2646</v>
      </c>
      <c r="T141" s="125" t="n">
        <v>7975</v>
      </c>
      <c r="U141" s="125" t="n">
        <v>4038</v>
      </c>
      <c r="X141" s="129">
        <f t="array" ref="X141">_xlfn.IFS((D141/F141) &lt;= (640/SQRT($AT$32)), "Compact", L141 &lt;= ($AT$32*(0.79-(0.002*((E141-G141/2)/(2*F141))*SQRT($AT$32)))), "Non-Compact", L141 &gt; ($AT$32*(0.79-(0.002*((E141-G141/2)/(2*F141))*SQRT($AT$32)))), "Slender")</f>
        <v/>
      </c>
      <c r="Y141" s="129">
        <f t="array" ref="Y141">_xlfn.IFS(K141 &lt;= (65/SQRT($AT$32)), "Compact", K141 &lt;= (95/SQRT($AT$32)), "Non-Compact", K141 &gt; (95/SQRT($AT$32)), "Slender")</f>
        <v/>
      </c>
      <c r="Z141" s="125">
        <f>E141/F141</f>
        <v/>
      </c>
      <c r="AA141" s="125">
        <f>D141/G141</f>
        <v/>
      </c>
      <c r="AB141" s="125">
        <f t="array" ref="AB141">_xlfn.IFS(Z141 &lt;= 9, "1", Z141 &lt;= 12, "2", Z141 &lt;= 15, "3", Z141 &gt; 15, "4")</f>
        <v/>
      </c>
      <c r="AC141" s="125">
        <f t="array" ref="AC141">_xlfn.IFS(AA141 &lt;= 200, "1", L141 &lt;= 300, "2", L141 &lt;= 400, "3", L141 &gt; 400, "4")</f>
        <v/>
      </c>
      <c r="AD141" s="129">
        <f>SQRT((((VLOOKUP($AT$4,$A$4:$D$1021,4,FALSE))-D141)^2)+(((VLOOKUP($AT$4,$A$4:$E$1021,5,FALSE))-E141)^2)+(((VLOOKUP($AT$4,$A$4:$N$1021,14,FALSE))-N141)^2)+(((VLOOKUP($AT$4,$A$4:$O$1021,15,FALSE))-O141)^2))</f>
        <v/>
      </c>
      <c r="AG141" s="129">
        <f>SQRT((((VLOOKUP($AT$4,$A$4:$D$1021,4,FALSE))-D141)^2)+(((VLOOKUP($AT$4,$A$4:$E$1021,5,FALSE))-E141)^2)+(((VLOOKUP($AT$4,$A$4:$R$1021,18,FALSE))-R141)^2)+(((VLOOKUP($AT$4,$A$4:$S$1021,19,FALSE))-S141)^2))</f>
        <v/>
      </c>
      <c r="AJ141" s="125" t="inlineStr">
        <is>
          <t>W14X257</t>
        </is>
      </c>
      <c r="AK141" s="125">
        <f>SQRT(((VLOOKUP($AT$4,$A$4:$J$1021,10,FALSE))-J141)^2)</f>
        <v/>
      </c>
      <c r="AL141" s="125" t="n"/>
      <c r="AM141" s="125" t="n"/>
      <c r="AN141" s="125">
        <f>SQRT(((VLOOKUP($AT$4,$A$4:$R$1021,18,FALSE))-R141)^2)</f>
        <v/>
      </c>
      <c r="AO141" s="125" t="n"/>
      <c r="AP141" s="125" t="n"/>
      <c r="AQ141" s="125" t="inlineStr">
        <is>
          <t>W14X257</t>
        </is>
      </c>
      <c r="BB141" s="125">
        <f>SQRT(($J$1022-J141)^2)</f>
        <v/>
      </c>
      <c r="BC141" s="125">
        <f>SQRT(($R$1022-R141)^2)</f>
        <v/>
      </c>
      <c r="BD141" s="125" t="inlineStr">
        <is>
          <t>W14X257</t>
        </is>
      </c>
      <c r="BI141">
        <f>SQRT(($J$1023-J141)^2)</f>
        <v/>
      </c>
      <c r="BJ141">
        <f>SQRT(($R$1023-R141)^2)</f>
        <v/>
      </c>
      <c r="BK141" s="125" t="inlineStr">
        <is>
          <t>W14X257</t>
        </is>
      </c>
      <c r="BP141">
        <f>SQRT(($J$1024-J141)^2)</f>
        <v/>
      </c>
      <c r="BQ141">
        <f>SQRT(($R$1024-R141)^2)</f>
        <v/>
      </c>
      <c r="BR141" s="125" t="inlineStr">
        <is>
          <t>W14X257</t>
        </is>
      </c>
      <c r="BW141">
        <f>SQRT(($J$1025-J141)^2)</f>
        <v/>
      </c>
      <c r="BX141">
        <f>SQRT(($R$1025-R141)^2)</f>
        <v/>
      </c>
      <c r="BY141" s="125" t="inlineStr">
        <is>
          <t>W14X257</t>
        </is>
      </c>
      <c r="CD141">
        <f>SQRT(($J$1026-J141)^2)</f>
        <v/>
      </c>
      <c r="CE141">
        <f>SQRT(($R$1026-R141)^2)</f>
        <v/>
      </c>
      <c r="CF141" s="125" t="inlineStr">
        <is>
          <t>W14X257</t>
        </is>
      </c>
    </row>
    <row r="142">
      <c r="A142" s="125" t="inlineStr">
        <is>
          <t>W14X264</t>
        </is>
      </c>
      <c r="B142" s="129" t="inlineStr">
        <is>
          <t>AISC</t>
        </is>
      </c>
      <c r="C142" s="125" t="n">
        <v>393</v>
      </c>
      <c r="D142" s="125" t="n">
        <v>419</v>
      </c>
      <c r="E142" s="125" t="n">
        <v>407</v>
      </c>
      <c r="F142" s="125" t="n">
        <v>49.2</v>
      </c>
      <c r="G142" s="125" t="n">
        <v>30.6</v>
      </c>
      <c r="H142" s="125" t="n">
        <v>15.2</v>
      </c>
      <c r="I142" s="125" t="n">
        <v>290.2</v>
      </c>
      <c r="J142" s="125" t="n">
        <v>501</v>
      </c>
      <c r="K142" s="125">
        <f>((E142-G142)/2)/F142</f>
        <v/>
      </c>
      <c r="L142" s="125">
        <f>I142/G142</f>
        <v/>
      </c>
      <c r="M142" s="125" t="n">
        <v>2.38</v>
      </c>
      <c r="N142" s="125" t="n">
        <v>146600</v>
      </c>
      <c r="O142" s="125" t="n">
        <v>55370</v>
      </c>
      <c r="P142" s="125" t="n">
        <v>17.1</v>
      </c>
      <c r="Q142" s="125" t="n">
        <v>10.5</v>
      </c>
      <c r="R142" s="125" t="n">
        <v>6998</v>
      </c>
      <c r="S142" s="125" t="n">
        <v>2721</v>
      </c>
      <c r="T142" s="125" t="n">
        <v>8222</v>
      </c>
      <c r="U142" s="125" t="n">
        <v>4154</v>
      </c>
      <c r="X142" s="129">
        <f t="array" ref="X142">_xlfn.IFS((D142/F142) &lt;= (640/SQRT($AT$32)), "Compact", L142 &lt;= ($AT$32*(0.79-(0.002*((E142-G142/2)/(2*F142))*SQRT($AT$32)))), "Non-Compact", L142 &gt; ($AT$32*(0.79-(0.002*((E142-G142/2)/(2*F142))*SQRT($AT$32)))), "Slender")</f>
        <v/>
      </c>
      <c r="Y142" s="129">
        <f t="array" ref="Y142">_xlfn.IFS(K142 &lt;= (65/SQRT($AT$32)), "Compact", K142 &lt;= (95/SQRT($AT$32)), "Non-Compact", K142 &gt; (95/SQRT($AT$32)), "Slender")</f>
        <v/>
      </c>
      <c r="Z142" s="125">
        <f>E142/F142</f>
        <v/>
      </c>
      <c r="AA142" s="125">
        <f>D142/G142</f>
        <v/>
      </c>
      <c r="AB142" s="125">
        <f t="array" ref="AB142">_xlfn.IFS(Z142 &lt;= 9, "1", Z142 &lt;= 12, "2", Z142 &lt;= 15, "3", Z142 &gt; 15, "4")</f>
        <v/>
      </c>
      <c r="AC142" s="125">
        <f t="array" ref="AC142">_xlfn.IFS(AA142 &lt;= 200, "1", L142 &lt;= 300, "2", L142 &lt;= 400, "3", L142 &gt; 400, "4")</f>
        <v/>
      </c>
      <c r="AD142" s="129">
        <f>SQRT((((VLOOKUP($AT$4,$A$4:$D$1021,4,FALSE))-D142)^2)+(((VLOOKUP($AT$4,$A$4:$E$1021,5,FALSE))-E142)^2)+(((VLOOKUP($AT$4,$A$4:$N$1021,14,FALSE))-N142)^2)+(((VLOOKUP($AT$4,$A$4:$O$1021,15,FALSE))-O142)^2))</f>
        <v/>
      </c>
      <c r="AG142" s="129">
        <f>SQRT((((VLOOKUP($AT$4,$A$4:$D$1021,4,FALSE))-D142)^2)+(((VLOOKUP($AT$4,$A$4:$E$1021,5,FALSE))-E142)^2)+(((VLOOKUP($AT$4,$A$4:$R$1021,18,FALSE))-R142)^2)+(((VLOOKUP($AT$4,$A$4:$S$1021,19,FALSE))-S142)^2))</f>
        <v/>
      </c>
      <c r="AJ142" s="125" t="inlineStr">
        <is>
          <t>W14X264</t>
        </is>
      </c>
      <c r="AK142" s="125">
        <f>SQRT(((VLOOKUP($AT$4,$A$4:$J$1021,10,FALSE))-J142)^2)</f>
        <v/>
      </c>
      <c r="AL142" s="125" t="n"/>
      <c r="AM142" s="125" t="n"/>
      <c r="AN142" s="125">
        <f>SQRT(((VLOOKUP($AT$4,$A$4:$R$1021,18,FALSE))-R142)^2)</f>
        <v/>
      </c>
      <c r="AO142" s="125" t="n"/>
      <c r="AP142" s="125" t="n"/>
      <c r="AQ142" s="125" t="inlineStr">
        <is>
          <t>W14X264</t>
        </is>
      </c>
      <c r="BB142" s="125">
        <f>SQRT(($J$1022-J142)^2)</f>
        <v/>
      </c>
      <c r="BC142" s="125">
        <f>SQRT(($R$1022-R142)^2)</f>
        <v/>
      </c>
      <c r="BD142" s="125" t="inlineStr">
        <is>
          <t>W14X264</t>
        </is>
      </c>
      <c r="BI142">
        <f>SQRT(($J$1023-J142)^2)</f>
        <v/>
      </c>
      <c r="BJ142">
        <f>SQRT(($R$1023-R142)^2)</f>
        <v/>
      </c>
      <c r="BK142" s="125" t="inlineStr">
        <is>
          <t>W14X264</t>
        </is>
      </c>
      <c r="BP142">
        <f>SQRT(($J$1024-J142)^2)</f>
        <v/>
      </c>
      <c r="BQ142">
        <f>SQRT(($R$1024-R142)^2)</f>
        <v/>
      </c>
      <c r="BR142" s="125" t="inlineStr">
        <is>
          <t>W14X264</t>
        </is>
      </c>
      <c r="BW142">
        <f>SQRT(($J$1025-J142)^2)</f>
        <v/>
      </c>
      <c r="BX142">
        <f>SQRT(($R$1025-R142)^2)</f>
        <v/>
      </c>
      <c r="BY142" s="125" t="inlineStr">
        <is>
          <t>W14X264</t>
        </is>
      </c>
      <c r="CD142">
        <f>SQRT(($J$1026-J142)^2)</f>
        <v/>
      </c>
      <c r="CE142">
        <f>SQRT(($R$1026-R142)^2)</f>
        <v/>
      </c>
      <c r="CF142" s="125" t="inlineStr">
        <is>
          <t>W14X264</t>
        </is>
      </c>
    </row>
    <row r="143">
      <c r="A143" s="125" t="inlineStr">
        <is>
          <t>W14X283</t>
        </is>
      </c>
      <c r="B143" s="129" t="inlineStr">
        <is>
          <t>AISC</t>
        </is>
      </c>
      <c r="C143" s="125" t="n">
        <v>421.1</v>
      </c>
      <c r="D143" s="125" t="n">
        <v>425.2</v>
      </c>
      <c r="E143" s="125" t="n">
        <v>409.2</v>
      </c>
      <c r="F143" s="125" t="n">
        <v>52.6</v>
      </c>
      <c r="G143" s="125" t="n">
        <v>32.8</v>
      </c>
      <c r="H143" s="125" t="n">
        <v>15.2</v>
      </c>
      <c r="I143" s="125" t="n">
        <v>289.6</v>
      </c>
      <c r="J143" s="125" t="n">
        <v>537</v>
      </c>
      <c r="K143" s="125">
        <f>((E143-G143)/2)/F143</f>
        <v/>
      </c>
      <c r="L143" s="125">
        <f>I143/G143</f>
        <v/>
      </c>
      <c r="M143" s="125" t="n">
        <v>2.4</v>
      </c>
      <c r="N143" s="125" t="n">
        <v>159800</v>
      </c>
      <c r="O143" s="125" t="n">
        <v>60150</v>
      </c>
      <c r="P143" s="125" t="n">
        <v>17.2</v>
      </c>
      <c r="Q143" s="125" t="n">
        <v>10.6</v>
      </c>
      <c r="R143" s="125" t="n">
        <v>7516</v>
      </c>
      <c r="S143" s="125" t="n">
        <v>2940</v>
      </c>
      <c r="T143" s="125" t="n">
        <v>8887</v>
      </c>
      <c r="U143" s="125" t="n">
        <v>4492</v>
      </c>
      <c r="X143" s="129">
        <f t="array" ref="X143">_xlfn.IFS((D143/F143) &lt;= (640/SQRT($AT$32)), "Compact", L143 &lt;= ($AT$32*(0.79-(0.002*((E143-G143/2)/(2*F143))*SQRT($AT$32)))), "Non-Compact", L143 &gt; ($AT$32*(0.79-(0.002*((E143-G143/2)/(2*F143))*SQRT($AT$32)))), "Slender")</f>
        <v/>
      </c>
      <c r="Y143" s="129">
        <f t="array" ref="Y143">_xlfn.IFS(K143 &lt;= (65/SQRT($AT$32)), "Compact", K143 &lt;= (95/SQRT($AT$32)), "Non-Compact", K143 &gt; (95/SQRT($AT$32)), "Slender")</f>
        <v/>
      </c>
      <c r="Z143" s="125">
        <f>E143/F143</f>
        <v/>
      </c>
      <c r="AA143" s="125">
        <f>D143/G143</f>
        <v/>
      </c>
      <c r="AB143" s="125">
        <f t="array" ref="AB143">_xlfn.IFS(Z143 &lt;= 9, "1", Z143 &lt;= 12, "2", Z143 &lt;= 15, "3", Z143 &gt; 15, "4")</f>
        <v/>
      </c>
      <c r="AC143" s="125">
        <f t="array" ref="AC143">_xlfn.IFS(AA143 &lt;= 200, "1", L143 &lt;= 300, "2", L143 &lt;= 400, "3", L143 &gt; 400, "4")</f>
        <v/>
      </c>
      <c r="AD143" s="129">
        <f>SQRT((((VLOOKUP($AT$4,$A$4:$D$1021,4,FALSE))-D143)^2)+(((VLOOKUP($AT$4,$A$4:$E$1021,5,FALSE))-E143)^2)+(((VLOOKUP($AT$4,$A$4:$N$1021,14,FALSE))-N143)^2)+(((VLOOKUP($AT$4,$A$4:$O$1021,15,FALSE))-O143)^2))</f>
        <v/>
      </c>
      <c r="AG143" s="129">
        <f>SQRT((((VLOOKUP($AT$4,$A$4:$D$1021,4,FALSE))-D143)^2)+(((VLOOKUP($AT$4,$A$4:$E$1021,5,FALSE))-E143)^2)+(((VLOOKUP($AT$4,$A$4:$R$1021,18,FALSE))-R143)^2)+(((VLOOKUP($AT$4,$A$4:$S$1021,19,FALSE))-S143)^2))</f>
        <v/>
      </c>
      <c r="AJ143" s="125" t="inlineStr">
        <is>
          <t>W14X283</t>
        </is>
      </c>
      <c r="AK143" s="125">
        <f>SQRT(((VLOOKUP($AT$4,$A$4:$J$1021,10,FALSE))-J143)^2)</f>
        <v/>
      </c>
      <c r="AL143" s="125" t="n"/>
      <c r="AM143" s="125" t="n"/>
      <c r="AN143" s="125">
        <f>SQRT(((VLOOKUP($AT$4,$A$4:$R$1021,18,FALSE))-R143)^2)</f>
        <v/>
      </c>
      <c r="AO143" s="125" t="n"/>
      <c r="AP143" s="125" t="n"/>
      <c r="AQ143" s="125" t="inlineStr">
        <is>
          <t>W14X283</t>
        </is>
      </c>
      <c r="BB143" s="125">
        <f>SQRT(($J$1022-J143)^2)</f>
        <v/>
      </c>
      <c r="BC143" s="125">
        <f>SQRT(($R$1022-R143)^2)</f>
        <v/>
      </c>
      <c r="BD143" s="125" t="inlineStr">
        <is>
          <t>W14X283</t>
        </is>
      </c>
      <c r="BI143">
        <f>SQRT(($J$1023-J143)^2)</f>
        <v/>
      </c>
      <c r="BJ143">
        <f>SQRT(($R$1023-R143)^2)</f>
        <v/>
      </c>
      <c r="BK143" s="125" t="inlineStr">
        <is>
          <t>W14X283</t>
        </is>
      </c>
      <c r="BP143">
        <f>SQRT(($J$1024-J143)^2)</f>
        <v/>
      </c>
      <c r="BQ143">
        <f>SQRT(($R$1024-R143)^2)</f>
        <v/>
      </c>
      <c r="BR143" s="125" t="inlineStr">
        <is>
          <t>W14X283</t>
        </is>
      </c>
      <c r="BW143">
        <f>SQRT(($J$1025-J143)^2)</f>
        <v/>
      </c>
      <c r="BX143">
        <f>SQRT(($R$1025-R143)^2)</f>
        <v/>
      </c>
      <c r="BY143" s="125" t="inlineStr">
        <is>
          <t>W14X283</t>
        </is>
      </c>
      <c r="CD143">
        <f>SQRT(($J$1026-J143)^2)</f>
        <v/>
      </c>
      <c r="CE143">
        <f>SQRT(($R$1026-R143)^2)</f>
        <v/>
      </c>
      <c r="CF143" s="125" t="inlineStr">
        <is>
          <t>W14X283</t>
        </is>
      </c>
    </row>
    <row r="144">
      <c r="A144" s="125" t="inlineStr">
        <is>
          <t>W14X311</t>
        </is>
      </c>
      <c r="B144" s="129" t="inlineStr">
        <is>
          <t>AISC</t>
        </is>
      </c>
      <c r="C144" s="125" t="n">
        <v>462.8</v>
      </c>
      <c r="D144" s="125" t="n">
        <v>434.8</v>
      </c>
      <c r="E144" s="125" t="n">
        <v>412.2</v>
      </c>
      <c r="F144" s="125" t="n">
        <v>57.4</v>
      </c>
      <c r="G144" s="125" t="n">
        <v>35.8</v>
      </c>
      <c r="H144" s="125" t="n">
        <v>15.2</v>
      </c>
      <c r="I144" s="125" t="n">
        <v>289.6</v>
      </c>
      <c r="J144" s="125" t="n">
        <v>590</v>
      </c>
      <c r="K144" s="125">
        <f>((E144-G144)/2)/F144</f>
        <v/>
      </c>
      <c r="L144" s="125">
        <f>I144/G144</f>
        <v/>
      </c>
      <c r="M144" s="125" t="n">
        <v>2.42</v>
      </c>
      <c r="N144" s="125" t="n">
        <v>180100</v>
      </c>
      <c r="O144" s="125" t="n">
        <v>67130</v>
      </c>
      <c r="P144" s="125" t="n">
        <v>17.5</v>
      </c>
      <c r="Q144" s="125" t="n">
        <v>10.7</v>
      </c>
      <c r="R144" s="125" t="n">
        <v>8283</v>
      </c>
      <c r="S144" s="125" t="n">
        <v>3257</v>
      </c>
      <c r="T144" s="125" t="n">
        <v>9877</v>
      </c>
      <c r="U144" s="125" t="n">
        <v>4983</v>
      </c>
      <c r="X144" s="129">
        <f t="array" ref="X144">_xlfn.IFS((D144/F144) &lt;= (640/SQRT($AT$32)), "Compact", L144 &lt;= ($AT$32*(0.79-(0.002*((E144-G144/2)/(2*F144))*SQRT($AT$32)))), "Non-Compact", L144 &gt; ($AT$32*(0.79-(0.002*((E144-G144/2)/(2*F144))*SQRT($AT$32)))), "Slender")</f>
        <v/>
      </c>
      <c r="Y144" s="129">
        <f t="array" ref="Y144">_xlfn.IFS(K144 &lt;= (65/SQRT($AT$32)), "Compact", K144 &lt;= (95/SQRT($AT$32)), "Non-Compact", K144 &gt; (95/SQRT($AT$32)), "Slender")</f>
        <v/>
      </c>
      <c r="Z144" s="125">
        <f>E144/F144</f>
        <v/>
      </c>
      <c r="AA144" s="125">
        <f>D144/G144</f>
        <v/>
      </c>
      <c r="AB144" s="125">
        <f t="array" ref="AB144">_xlfn.IFS(Z144 &lt;= 9, "1", Z144 &lt;= 12, "2", Z144 &lt;= 15, "3", Z144 &gt; 15, "4")</f>
        <v/>
      </c>
      <c r="AC144" s="125">
        <f t="array" ref="AC144">_xlfn.IFS(AA144 &lt;= 200, "1", L144 &lt;= 300, "2", L144 &lt;= 400, "3", L144 &gt; 400, "4")</f>
        <v/>
      </c>
      <c r="AD144" s="129">
        <f>SQRT((((VLOOKUP($AT$4,$A$4:$D$1021,4,FALSE))-D144)^2)+(((VLOOKUP($AT$4,$A$4:$E$1021,5,FALSE))-E144)^2)+(((VLOOKUP($AT$4,$A$4:$N$1021,14,FALSE))-N144)^2)+(((VLOOKUP($AT$4,$A$4:$O$1021,15,FALSE))-O144)^2))</f>
        <v/>
      </c>
      <c r="AG144" s="129">
        <f>SQRT((((VLOOKUP($AT$4,$A$4:$D$1021,4,FALSE))-D144)^2)+(((VLOOKUP($AT$4,$A$4:$E$1021,5,FALSE))-E144)^2)+(((VLOOKUP($AT$4,$A$4:$R$1021,18,FALSE))-R144)^2)+(((VLOOKUP($AT$4,$A$4:$S$1021,19,FALSE))-S144)^2))</f>
        <v/>
      </c>
      <c r="AJ144" s="125" t="inlineStr">
        <is>
          <t>W14X311</t>
        </is>
      </c>
      <c r="AK144" s="125">
        <f>SQRT(((VLOOKUP($AT$4,$A$4:$J$1021,10,FALSE))-J144)^2)</f>
        <v/>
      </c>
      <c r="AL144" s="125" t="n"/>
      <c r="AM144" s="125" t="n"/>
      <c r="AN144" s="125">
        <f>SQRT(((VLOOKUP($AT$4,$A$4:$R$1021,18,FALSE))-R144)^2)</f>
        <v/>
      </c>
      <c r="AO144" s="125" t="n"/>
      <c r="AP144" s="125" t="n"/>
      <c r="AQ144" s="125" t="inlineStr">
        <is>
          <t>W14X311</t>
        </is>
      </c>
      <c r="BB144" s="125">
        <f>SQRT(($J$1022-J144)^2)</f>
        <v/>
      </c>
      <c r="BC144" s="125">
        <f>SQRT(($R$1022-R144)^2)</f>
        <v/>
      </c>
      <c r="BD144" s="125" t="inlineStr">
        <is>
          <t>W14X311</t>
        </is>
      </c>
      <c r="BI144">
        <f>SQRT(($J$1023-J144)^2)</f>
        <v/>
      </c>
      <c r="BJ144">
        <f>SQRT(($R$1023-R144)^2)</f>
        <v/>
      </c>
      <c r="BK144" s="125" t="inlineStr">
        <is>
          <t>W14X311</t>
        </is>
      </c>
      <c r="BP144">
        <f>SQRT(($J$1024-J144)^2)</f>
        <v/>
      </c>
      <c r="BQ144">
        <f>SQRT(($R$1024-R144)^2)</f>
        <v/>
      </c>
      <c r="BR144" s="125" t="inlineStr">
        <is>
          <t>W14X311</t>
        </is>
      </c>
      <c r="BW144">
        <f>SQRT(($J$1025-J144)^2)</f>
        <v/>
      </c>
      <c r="BX144">
        <f>SQRT(($R$1025-R144)^2)</f>
        <v/>
      </c>
      <c r="BY144" s="125" t="inlineStr">
        <is>
          <t>W14X311</t>
        </is>
      </c>
      <c r="CD144">
        <f>SQRT(($J$1026-J144)^2)</f>
        <v/>
      </c>
      <c r="CE144">
        <f>SQRT(($R$1026-R144)^2)</f>
        <v/>
      </c>
      <c r="CF144" s="125" t="inlineStr">
        <is>
          <t>W14X311</t>
        </is>
      </c>
    </row>
    <row r="145">
      <c r="A145" s="125" t="inlineStr">
        <is>
          <t>W14X314</t>
        </is>
      </c>
      <c r="B145" s="129" t="inlineStr">
        <is>
          <t>AISC</t>
        </is>
      </c>
      <c r="C145" s="125" t="n">
        <v>467</v>
      </c>
      <c r="D145" s="125" t="n">
        <v>436.6</v>
      </c>
      <c r="E145" s="125" t="n">
        <v>412.2</v>
      </c>
      <c r="F145" s="125" t="n">
        <v>58</v>
      </c>
      <c r="G145" s="125" t="n">
        <v>35.8</v>
      </c>
      <c r="H145" s="125" t="n">
        <v>15.2</v>
      </c>
      <c r="I145" s="125" t="n">
        <v>290.2</v>
      </c>
      <c r="J145" s="125" t="n">
        <v>595</v>
      </c>
      <c r="K145" s="125">
        <f>((E145-G145)/2)/F145</f>
        <v/>
      </c>
      <c r="L145" s="125">
        <f>I145/G145</f>
        <v/>
      </c>
      <c r="M145" s="125" t="n">
        <v>2.42</v>
      </c>
      <c r="N145" s="125" t="n">
        <v>183000</v>
      </c>
      <c r="O145" s="125" t="n">
        <v>67830</v>
      </c>
      <c r="P145" s="125" t="n">
        <v>17.5</v>
      </c>
      <c r="Q145" s="125" t="n">
        <v>10.7</v>
      </c>
      <c r="R145" s="125" t="n">
        <v>8383</v>
      </c>
      <c r="S145" s="125" t="n">
        <v>3291</v>
      </c>
      <c r="T145" s="125" t="n">
        <v>10000</v>
      </c>
      <c r="U145" s="125" t="n">
        <v>5034</v>
      </c>
      <c r="X145" s="129">
        <f t="array" ref="X145">_xlfn.IFS((D145/F145) &lt;= (640/SQRT($AT$32)), "Compact", L145 &lt;= ($AT$32*(0.79-(0.002*((E145-G145/2)/(2*F145))*SQRT($AT$32)))), "Non-Compact", L145 &gt; ($AT$32*(0.79-(0.002*((E145-G145/2)/(2*F145))*SQRT($AT$32)))), "Slender")</f>
        <v/>
      </c>
      <c r="Y145" s="129">
        <f t="array" ref="Y145">_xlfn.IFS(K145 &lt;= (65/SQRT($AT$32)), "Compact", K145 &lt;= (95/SQRT($AT$32)), "Non-Compact", K145 &gt; (95/SQRT($AT$32)), "Slender")</f>
        <v/>
      </c>
      <c r="Z145" s="125">
        <f>E145/F145</f>
        <v/>
      </c>
      <c r="AA145" s="125">
        <f>D145/G145</f>
        <v/>
      </c>
      <c r="AB145" s="125">
        <f t="array" ref="AB145">_xlfn.IFS(Z145 &lt;= 9, "1", Z145 &lt;= 12, "2", Z145 &lt;= 15, "3", Z145 &gt; 15, "4")</f>
        <v/>
      </c>
      <c r="AC145" s="125">
        <f t="array" ref="AC145">_xlfn.IFS(AA145 &lt;= 200, "1", L145 &lt;= 300, "2", L145 &lt;= 400, "3", L145 &gt; 400, "4")</f>
        <v/>
      </c>
      <c r="AD145" s="129">
        <f>SQRT((((VLOOKUP($AT$4,$A$4:$D$1021,4,FALSE))-D145)^2)+(((VLOOKUP($AT$4,$A$4:$E$1021,5,FALSE))-E145)^2)+(((VLOOKUP($AT$4,$A$4:$N$1021,14,FALSE))-N145)^2)+(((VLOOKUP($AT$4,$A$4:$O$1021,15,FALSE))-O145)^2))</f>
        <v/>
      </c>
      <c r="AG145" s="129">
        <f>SQRT((((VLOOKUP($AT$4,$A$4:$D$1021,4,FALSE))-D145)^2)+(((VLOOKUP($AT$4,$A$4:$E$1021,5,FALSE))-E145)^2)+(((VLOOKUP($AT$4,$A$4:$R$1021,18,FALSE))-R145)^2)+(((VLOOKUP($AT$4,$A$4:$S$1021,19,FALSE))-S145)^2))</f>
        <v/>
      </c>
      <c r="AJ145" s="125" t="inlineStr">
        <is>
          <t>W14X314</t>
        </is>
      </c>
      <c r="AK145" s="125">
        <f>SQRT(((VLOOKUP($AT$4,$A$4:$J$1021,10,FALSE))-J145)^2)</f>
        <v/>
      </c>
      <c r="AL145" s="125" t="n"/>
      <c r="AM145" s="125" t="n"/>
      <c r="AN145" s="125">
        <f>SQRT(((VLOOKUP($AT$4,$A$4:$R$1021,18,FALSE))-R145)^2)</f>
        <v/>
      </c>
      <c r="AO145" s="125" t="n"/>
      <c r="AP145" s="125" t="n"/>
      <c r="AQ145" s="125" t="inlineStr">
        <is>
          <t>W14X314</t>
        </is>
      </c>
      <c r="BB145" s="125">
        <f>SQRT(($J$1022-J145)^2)</f>
        <v/>
      </c>
      <c r="BC145" s="125">
        <f>SQRT(($R$1022-R145)^2)</f>
        <v/>
      </c>
      <c r="BD145" s="125" t="inlineStr">
        <is>
          <t>W14X314</t>
        </is>
      </c>
      <c r="BI145">
        <f>SQRT(($J$1023-J145)^2)</f>
        <v/>
      </c>
      <c r="BJ145">
        <f>SQRT(($R$1023-R145)^2)</f>
        <v/>
      </c>
      <c r="BK145" s="125" t="inlineStr">
        <is>
          <t>W14X314</t>
        </is>
      </c>
      <c r="BP145">
        <f>SQRT(($J$1024-J145)^2)</f>
        <v/>
      </c>
      <c r="BQ145">
        <f>SQRT(($R$1024-R145)^2)</f>
        <v/>
      </c>
      <c r="BR145" s="125" t="inlineStr">
        <is>
          <t>W14X314</t>
        </is>
      </c>
      <c r="BW145">
        <f>SQRT(($J$1025-J145)^2)</f>
        <v/>
      </c>
      <c r="BX145">
        <f>SQRT(($R$1025-R145)^2)</f>
        <v/>
      </c>
      <c r="BY145" s="125" t="inlineStr">
        <is>
          <t>W14X314</t>
        </is>
      </c>
      <c r="CD145">
        <f>SQRT(($J$1026-J145)^2)</f>
        <v/>
      </c>
      <c r="CE145">
        <f>SQRT(($R$1026-R145)^2)</f>
        <v/>
      </c>
      <c r="CF145" s="125" t="inlineStr">
        <is>
          <t>W14X314</t>
        </is>
      </c>
    </row>
    <row r="146">
      <c r="A146" s="125" t="inlineStr">
        <is>
          <t>W14X342</t>
        </is>
      </c>
      <c r="B146" s="129" t="inlineStr">
        <is>
          <t>AISC</t>
        </is>
      </c>
      <c r="C146" s="125" t="n">
        <v>509</v>
      </c>
      <c r="D146" s="125" t="n">
        <v>445.5</v>
      </c>
      <c r="E146" s="125" t="n">
        <v>415.5</v>
      </c>
      <c r="F146" s="125" t="n">
        <v>62.7</v>
      </c>
      <c r="G146" s="125" t="n">
        <v>39.1</v>
      </c>
      <c r="H146" s="125" t="n">
        <v>15.2</v>
      </c>
      <c r="I146" s="125" t="n">
        <v>289.6</v>
      </c>
      <c r="J146" s="125" t="n">
        <v>649</v>
      </c>
      <c r="K146" s="125">
        <f>((E146-G146)/2)/F146</f>
        <v/>
      </c>
      <c r="L146" s="125">
        <f>I146/G146</f>
        <v/>
      </c>
      <c r="M146" s="125" t="n">
        <v>2.45</v>
      </c>
      <c r="N146" s="125" t="n">
        <v>203800</v>
      </c>
      <c r="O146" s="125" t="n">
        <v>75180</v>
      </c>
      <c r="P146" s="125" t="n">
        <v>17.7</v>
      </c>
      <c r="Q146" s="125" t="n">
        <v>10.8</v>
      </c>
      <c r="R146" s="125" t="n">
        <v>9151</v>
      </c>
      <c r="S146" s="125" t="n">
        <v>3619</v>
      </c>
      <c r="T146" s="125" t="n">
        <v>11010</v>
      </c>
      <c r="U146" s="125" t="n">
        <v>5543</v>
      </c>
      <c r="X146" s="129">
        <f t="array" ref="X146">_xlfn.IFS((D146/F146) &lt;= (640/SQRT($AT$32)), "Compact", L146 &lt;= ($AT$32*(0.79-(0.002*((E146-G146/2)/(2*F146))*SQRT($AT$32)))), "Non-Compact", L146 &gt; ($AT$32*(0.79-(0.002*((E146-G146/2)/(2*F146))*SQRT($AT$32)))), "Slender")</f>
        <v/>
      </c>
      <c r="Y146" s="129">
        <f t="array" ref="Y146">_xlfn.IFS(K146 &lt;= (65/SQRT($AT$32)), "Compact", K146 &lt;= (95/SQRT($AT$32)), "Non-Compact", K146 &gt; (95/SQRT($AT$32)), "Slender")</f>
        <v/>
      </c>
      <c r="Z146" s="125">
        <f>E146/F146</f>
        <v/>
      </c>
      <c r="AA146" s="125">
        <f>D146/G146</f>
        <v/>
      </c>
      <c r="AB146" s="125">
        <f t="array" ref="AB146">_xlfn.IFS(Z146 &lt;= 9, "1", Z146 &lt;= 12, "2", Z146 &lt;= 15, "3", Z146 &gt; 15, "4")</f>
        <v/>
      </c>
      <c r="AC146" s="125">
        <f t="array" ref="AC146">_xlfn.IFS(AA146 &lt;= 200, "1", L146 &lt;= 300, "2", L146 &lt;= 400, "3", L146 &gt; 400, "4")</f>
        <v/>
      </c>
      <c r="AD146" s="129">
        <f>SQRT((((VLOOKUP($AT$4,$A$4:$D$1021,4,FALSE))-D146)^2)+(((VLOOKUP($AT$4,$A$4:$E$1021,5,FALSE))-E146)^2)+(((VLOOKUP($AT$4,$A$4:$N$1021,14,FALSE))-N146)^2)+(((VLOOKUP($AT$4,$A$4:$O$1021,15,FALSE))-O146)^2))</f>
        <v/>
      </c>
      <c r="AG146" s="129">
        <f>SQRT((((VLOOKUP($AT$4,$A$4:$D$1021,4,FALSE))-D146)^2)+(((VLOOKUP($AT$4,$A$4:$E$1021,5,FALSE))-E146)^2)+(((VLOOKUP($AT$4,$A$4:$R$1021,18,FALSE))-R146)^2)+(((VLOOKUP($AT$4,$A$4:$S$1021,19,FALSE))-S146)^2))</f>
        <v/>
      </c>
      <c r="AJ146" s="125" t="inlineStr">
        <is>
          <t>W14X342</t>
        </is>
      </c>
      <c r="AK146" s="125">
        <f>SQRT(((VLOOKUP($AT$4,$A$4:$J$1021,10,FALSE))-J146)^2)</f>
        <v/>
      </c>
      <c r="AL146" s="125" t="n"/>
      <c r="AM146" s="125" t="n"/>
      <c r="AN146" s="125">
        <f>SQRT(((VLOOKUP($AT$4,$A$4:$R$1021,18,FALSE))-R146)^2)</f>
        <v/>
      </c>
      <c r="AO146" s="125" t="n"/>
      <c r="AP146" s="125" t="n"/>
      <c r="AQ146" s="125" t="inlineStr">
        <is>
          <t>W14X342</t>
        </is>
      </c>
      <c r="BB146" s="125">
        <f>SQRT(($J$1022-J146)^2)</f>
        <v/>
      </c>
      <c r="BC146" s="125">
        <f>SQRT(($R$1022-R146)^2)</f>
        <v/>
      </c>
      <c r="BD146" s="125" t="inlineStr">
        <is>
          <t>W14X342</t>
        </is>
      </c>
      <c r="BI146">
        <f>SQRT(($J$1023-J146)^2)</f>
        <v/>
      </c>
      <c r="BJ146">
        <f>SQRT(($R$1023-R146)^2)</f>
        <v/>
      </c>
      <c r="BK146" s="125" t="inlineStr">
        <is>
          <t>W14X342</t>
        </is>
      </c>
      <c r="BP146">
        <f>SQRT(($J$1024-J146)^2)</f>
        <v/>
      </c>
      <c r="BQ146">
        <f>SQRT(($R$1024-R146)^2)</f>
        <v/>
      </c>
      <c r="BR146" s="125" t="inlineStr">
        <is>
          <t>W14X342</t>
        </is>
      </c>
      <c r="BW146">
        <f>SQRT(($J$1025-J146)^2)</f>
        <v/>
      </c>
      <c r="BX146">
        <f>SQRT(($R$1025-R146)^2)</f>
        <v/>
      </c>
      <c r="BY146" s="125" t="inlineStr">
        <is>
          <t>W14X342</t>
        </is>
      </c>
      <c r="CD146">
        <f>SQRT(($J$1026-J146)^2)</f>
        <v/>
      </c>
      <c r="CE146">
        <f>SQRT(($R$1026-R146)^2)</f>
        <v/>
      </c>
      <c r="CF146" s="125" t="inlineStr">
        <is>
          <t>W14X342</t>
        </is>
      </c>
    </row>
    <row r="147">
      <c r="A147" s="125" t="inlineStr">
        <is>
          <t>W14X370</t>
        </is>
      </c>
      <c r="B147" s="129" t="inlineStr">
        <is>
          <t>AISC</t>
        </is>
      </c>
      <c r="C147" s="125" t="n">
        <v>551</v>
      </c>
      <c r="D147" s="125" t="n">
        <v>455.6</v>
      </c>
      <c r="E147" s="125" t="n">
        <v>418.5</v>
      </c>
      <c r="F147" s="125" t="n">
        <v>67.5</v>
      </c>
      <c r="G147" s="125" t="n">
        <v>42.1</v>
      </c>
      <c r="H147" s="125" t="n">
        <v>15.2</v>
      </c>
      <c r="I147" s="125" t="n">
        <v>290.2</v>
      </c>
      <c r="J147" s="125" t="n">
        <v>702</v>
      </c>
      <c r="K147" s="125">
        <f>((E147-G147)/2)/F147</f>
        <v/>
      </c>
      <c r="L147" s="125">
        <f>I147/G147</f>
        <v/>
      </c>
      <c r="M147" s="125" t="n">
        <v>2.47</v>
      </c>
      <c r="N147" s="125" t="n">
        <v>226900</v>
      </c>
      <c r="O147" s="125" t="n">
        <v>82670</v>
      </c>
      <c r="P147" s="125" t="n">
        <v>18</v>
      </c>
      <c r="Q147" s="125" t="n">
        <v>10.9</v>
      </c>
      <c r="R147" s="125" t="n">
        <v>9962</v>
      </c>
      <c r="S147" s="125" t="n">
        <v>3951</v>
      </c>
      <c r="T147" s="125" t="n">
        <v>12080</v>
      </c>
      <c r="U147" s="125" t="n">
        <v>6058</v>
      </c>
      <c r="X147" s="129">
        <f t="array" ref="X147">_xlfn.IFS((D147/F147) &lt;= (640/SQRT($AT$32)), "Compact", L147 &lt;= ($AT$32*(0.79-(0.002*((E147-G147/2)/(2*F147))*SQRT($AT$32)))), "Non-Compact", L147 &gt; ($AT$32*(0.79-(0.002*((E147-G147/2)/(2*F147))*SQRT($AT$32)))), "Slender")</f>
        <v/>
      </c>
      <c r="Y147" s="129">
        <f t="array" ref="Y147">_xlfn.IFS(K147 &lt;= (65/SQRT($AT$32)), "Compact", K147 &lt;= (95/SQRT($AT$32)), "Non-Compact", K147 &gt; (95/SQRT($AT$32)), "Slender")</f>
        <v/>
      </c>
      <c r="Z147" s="125">
        <f>E147/F147</f>
        <v/>
      </c>
      <c r="AA147" s="125">
        <f>D147/G147</f>
        <v/>
      </c>
      <c r="AB147" s="125">
        <f t="array" ref="AB147">_xlfn.IFS(Z147 &lt;= 9, "1", Z147 &lt;= 12, "2", Z147 &lt;= 15, "3", Z147 &gt; 15, "4")</f>
        <v/>
      </c>
      <c r="AC147" s="125">
        <f t="array" ref="AC147">_xlfn.IFS(AA147 &lt;= 200, "1", L147 &lt;= 300, "2", L147 &lt;= 400, "3", L147 &gt; 400, "4")</f>
        <v/>
      </c>
      <c r="AD147" s="129">
        <f>SQRT((((VLOOKUP($AT$4,$A$4:$D$1021,4,FALSE))-D147)^2)+(((VLOOKUP($AT$4,$A$4:$E$1021,5,FALSE))-E147)^2)+(((VLOOKUP($AT$4,$A$4:$N$1021,14,FALSE))-N147)^2)+(((VLOOKUP($AT$4,$A$4:$O$1021,15,FALSE))-O147)^2))</f>
        <v/>
      </c>
      <c r="AG147" s="129">
        <f>SQRT((((VLOOKUP($AT$4,$A$4:$D$1021,4,FALSE))-D147)^2)+(((VLOOKUP($AT$4,$A$4:$E$1021,5,FALSE))-E147)^2)+(((VLOOKUP($AT$4,$A$4:$R$1021,18,FALSE))-R147)^2)+(((VLOOKUP($AT$4,$A$4:$S$1021,19,FALSE))-S147)^2))</f>
        <v/>
      </c>
      <c r="AJ147" s="125" t="inlineStr">
        <is>
          <t>W14X370</t>
        </is>
      </c>
      <c r="AK147" s="125">
        <f>SQRT(((VLOOKUP($AT$4,$A$4:$J$1021,10,FALSE))-J147)^2)</f>
        <v/>
      </c>
      <c r="AL147" s="125" t="n"/>
      <c r="AM147" s="125" t="n"/>
      <c r="AN147" s="125">
        <f>SQRT(((VLOOKUP($AT$4,$A$4:$R$1021,18,FALSE))-R147)^2)</f>
        <v/>
      </c>
      <c r="AO147" s="125" t="n"/>
      <c r="AP147" s="125" t="n"/>
      <c r="AQ147" s="125" t="inlineStr">
        <is>
          <t>W14X370</t>
        </is>
      </c>
      <c r="BB147" s="125">
        <f>SQRT(($J$1022-J147)^2)</f>
        <v/>
      </c>
      <c r="BC147" s="125">
        <f>SQRT(($R$1022-R147)^2)</f>
        <v/>
      </c>
      <c r="BD147" s="125" t="inlineStr">
        <is>
          <t>W14X370</t>
        </is>
      </c>
      <c r="BI147">
        <f>SQRT(($J$1023-J147)^2)</f>
        <v/>
      </c>
      <c r="BJ147">
        <f>SQRT(($R$1023-R147)^2)</f>
        <v/>
      </c>
      <c r="BK147" s="125" t="inlineStr">
        <is>
          <t>W14X370</t>
        </is>
      </c>
      <c r="BP147">
        <f>SQRT(($J$1024-J147)^2)</f>
        <v/>
      </c>
      <c r="BQ147">
        <f>SQRT(($R$1024-R147)^2)</f>
        <v/>
      </c>
      <c r="BR147" s="125" t="inlineStr">
        <is>
          <t>W14X370</t>
        </is>
      </c>
      <c r="BW147">
        <f>SQRT(($J$1025-J147)^2)</f>
        <v/>
      </c>
      <c r="BX147">
        <f>SQRT(($R$1025-R147)^2)</f>
        <v/>
      </c>
      <c r="BY147" s="125" t="inlineStr">
        <is>
          <t>W14X370</t>
        </is>
      </c>
      <c r="CD147">
        <f>SQRT(($J$1026-J147)^2)</f>
        <v/>
      </c>
      <c r="CE147">
        <f>SQRT(($R$1026-R147)^2)</f>
        <v/>
      </c>
      <c r="CF147" s="125" t="inlineStr">
        <is>
          <t>W14X370</t>
        </is>
      </c>
    </row>
    <row r="148">
      <c r="A148" s="125" t="inlineStr">
        <is>
          <t>W14X398</t>
        </is>
      </c>
      <c r="B148" s="129" t="inlineStr">
        <is>
          <t>AISC</t>
        </is>
      </c>
      <c r="C148" s="125" t="n">
        <v>592.3</v>
      </c>
      <c r="D148" s="125" t="n">
        <v>464.6</v>
      </c>
      <c r="E148" s="125" t="n">
        <v>421.4</v>
      </c>
      <c r="F148" s="125" t="n">
        <v>72.3</v>
      </c>
      <c r="G148" s="125" t="n">
        <v>45</v>
      </c>
      <c r="H148" s="125" t="n">
        <v>15.2</v>
      </c>
      <c r="I148" s="125" t="n">
        <v>289.7</v>
      </c>
      <c r="J148" s="125" t="n">
        <v>755</v>
      </c>
      <c r="K148" s="125">
        <f>((E148-G148)/2)/F148</f>
        <v/>
      </c>
      <c r="L148" s="125">
        <f>I148/G148</f>
        <v/>
      </c>
      <c r="M148" s="125" t="n">
        <v>2.5</v>
      </c>
      <c r="N148" s="125" t="n">
        <v>249800</v>
      </c>
      <c r="O148" s="125" t="n">
        <v>90380</v>
      </c>
      <c r="P148" s="125" t="n">
        <v>18.2</v>
      </c>
      <c r="Q148" s="125" t="n">
        <v>10.9</v>
      </c>
      <c r="R148" s="125" t="n">
        <v>10750</v>
      </c>
      <c r="S148" s="125" t="n">
        <v>4289</v>
      </c>
      <c r="T148" s="125" t="n">
        <v>13130</v>
      </c>
      <c r="U148" s="125" t="n">
        <v>6583</v>
      </c>
      <c r="X148" s="129">
        <f t="array" ref="X148">_xlfn.IFS((D148/F148) &lt;= (640/SQRT($AT$32)), "Compact", L148 &lt;= ($AT$32*(0.79-(0.002*((E148-G148/2)/(2*F148))*SQRT($AT$32)))), "Non-Compact", L148 &gt; ($AT$32*(0.79-(0.002*((E148-G148/2)/(2*F148))*SQRT($AT$32)))), "Slender")</f>
        <v/>
      </c>
      <c r="Y148" s="129">
        <f t="array" ref="Y148">_xlfn.IFS(K148 &lt;= (65/SQRT($AT$32)), "Compact", K148 &lt;= (95/SQRT($AT$32)), "Non-Compact", K148 &gt; (95/SQRT($AT$32)), "Slender")</f>
        <v/>
      </c>
      <c r="Z148" s="125">
        <f>E148/F148</f>
        <v/>
      </c>
      <c r="AA148" s="125">
        <f>D148/G148</f>
        <v/>
      </c>
      <c r="AB148" s="125">
        <f t="array" ref="AB148">_xlfn.IFS(Z148 &lt;= 9, "1", Z148 &lt;= 12, "2", Z148 &lt;= 15, "3", Z148 &gt; 15, "4")</f>
        <v/>
      </c>
      <c r="AC148" s="125">
        <f t="array" ref="AC148">_xlfn.IFS(AA148 &lt;= 200, "1", L148 &lt;= 300, "2", L148 &lt;= 400, "3", L148 &gt; 400, "4")</f>
        <v/>
      </c>
      <c r="AD148" s="129">
        <f>SQRT((((VLOOKUP($AT$4,$A$4:$D$1021,4,FALSE))-D148)^2)+(((VLOOKUP($AT$4,$A$4:$E$1021,5,FALSE))-E148)^2)+(((VLOOKUP($AT$4,$A$4:$N$1021,14,FALSE))-N148)^2)+(((VLOOKUP($AT$4,$A$4:$O$1021,15,FALSE))-O148)^2))</f>
        <v/>
      </c>
      <c r="AG148" s="129">
        <f>SQRT((((VLOOKUP($AT$4,$A$4:$D$1021,4,FALSE))-D148)^2)+(((VLOOKUP($AT$4,$A$4:$E$1021,5,FALSE))-E148)^2)+(((VLOOKUP($AT$4,$A$4:$R$1021,18,FALSE))-R148)^2)+(((VLOOKUP($AT$4,$A$4:$S$1021,19,FALSE))-S148)^2))</f>
        <v/>
      </c>
      <c r="AJ148" s="125" t="inlineStr">
        <is>
          <t>W14X398</t>
        </is>
      </c>
      <c r="AK148" s="125">
        <f>SQRT(((VLOOKUP($AT$4,$A$4:$J$1021,10,FALSE))-J148)^2)</f>
        <v/>
      </c>
      <c r="AL148" s="125" t="n"/>
      <c r="AM148" s="125" t="n"/>
      <c r="AN148" s="125">
        <f>SQRT(((VLOOKUP($AT$4,$A$4:$R$1021,18,FALSE))-R148)^2)</f>
        <v/>
      </c>
      <c r="AO148" s="125" t="n"/>
      <c r="AP148" s="125" t="n"/>
      <c r="AQ148" s="125" t="inlineStr">
        <is>
          <t>W14X398</t>
        </is>
      </c>
      <c r="BB148" s="125">
        <f>SQRT(($J$1022-J148)^2)</f>
        <v/>
      </c>
      <c r="BC148" s="125">
        <f>SQRT(($R$1022-R148)^2)</f>
        <v/>
      </c>
      <c r="BD148" s="125" t="inlineStr">
        <is>
          <t>W14X398</t>
        </is>
      </c>
      <c r="BI148">
        <f>SQRT(($J$1023-J148)^2)</f>
        <v/>
      </c>
      <c r="BJ148">
        <f>SQRT(($R$1023-R148)^2)</f>
        <v/>
      </c>
      <c r="BK148" s="125" t="inlineStr">
        <is>
          <t>W14X398</t>
        </is>
      </c>
      <c r="BP148">
        <f>SQRT(($J$1024-J148)^2)</f>
        <v/>
      </c>
      <c r="BQ148">
        <f>SQRT(($R$1024-R148)^2)</f>
        <v/>
      </c>
      <c r="BR148" s="125" t="inlineStr">
        <is>
          <t>W14X398</t>
        </is>
      </c>
      <c r="BW148">
        <f>SQRT(($J$1025-J148)^2)</f>
        <v/>
      </c>
      <c r="BX148">
        <f>SQRT(($R$1025-R148)^2)</f>
        <v/>
      </c>
      <c r="BY148" s="125" t="inlineStr">
        <is>
          <t>W14X398</t>
        </is>
      </c>
      <c r="CD148">
        <f>SQRT(($J$1026-J148)^2)</f>
        <v/>
      </c>
      <c r="CE148">
        <f>SQRT(($R$1026-R148)^2)</f>
        <v/>
      </c>
      <c r="CF148" s="125" t="inlineStr">
        <is>
          <t>W14X398</t>
        </is>
      </c>
    </row>
    <row r="149">
      <c r="A149" s="125" t="inlineStr">
        <is>
          <t>W14X426</t>
        </is>
      </c>
      <c r="B149" s="129" t="inlineStr">
        <is>
          <t>AISC</t>
        </is>
      </c>
      <c r="C149" s="125" t="n">
        <v>633.9</v>
      </c>
      <c r="D149" s="125" t="n">
        <v>474.6</v>
      </c>
      <c r="E149" s="125" t="n">
        <v>424</v>
      </c>
      <c r="F149" s="125" t="n">
        <v>77</v>
      </c>
      <c r="G149" s="125" t="n">
        <v>47.6</v>
      </c>
      <c r="H149" s="125" t="n">
        <v>15.2</v>
      </c>
      <c r="I149" s="125" t="n">
        <v>290.2</v>
      </c>
      <c r="J149" s="125" t="n">
        <v>808</v>
      </c>
      <c r="K149" s="125">
        <f>((E149-G149)/2)/F149</f>
        <v/>
      </c>
      <c r="L149" s="125">
        <f>I149/G149</f>
        <v/>
      </c>
      <c r="M149" s="125" t="n">
        <v>2.52</v>
      </c>
      <c r="N149" s="125" t="n">
        <v>274800</v>
      </c>
      <c r="O149" s="125" t="n">
        <v>98130</v>
      </c>
      <c r="P149" s="125" t="n">
        <v>18.4</v>
      </c>
      <c r="Q149" s="125" t="n">
        <v>11</v>
      </c>
      <c r="R149" s="125" t="n">
        <v>11580</v>
      </c>
      <c r="S149" s="125" t="n">
        <v>4629</v>
      </c>
      <c r="T149" s="125" t="n">
        <v>14240</v>
      </c>
      <c r="U149" s="125" t="n">
        <v>7108</v>
      </c>
      <c r="X149" s="129">
        <f t="array" ref="X149">_xlfn.IFS((D149/F149) &lt;= (640/SQRT($AT$32)), "Compact", L149 &lt;= ($AT$32*(0.79-(0.002*((E149-G149/2)/(2*F149))*SQRT($AT$32)))), "Non-Compact", L149 &gt; ($AT$32*(0.79-(0.002*((E149-G149/2)/(2*F149))*SQRT($AT$32)))), "Slender")</f>
        <v/>
      </c>
      <c r="Y149" s="129">
        <f t="array" ref="Y149">_xlfn.IFS(K149 &lt;= (65/SQRT($AT$32)), "Compact", K149 &lt;= (95/SQRT($AT$32)), "Non-Compact", K149 &gt; (95/SQRT($AT$32)), "Slender")</f>
        <v/>
      </c>
      <c r="Z149" s="125">
        <f>E149/F149</f>
        <v/>
      </c>
      <c r="AA149" s="125">
        <f>D149/G149</f>
        <v/>
      </c>
      <c r="AB149" s="125">
        <f t="array" ref="AB149">_xlfn.IFS(Z149 &lt;= 9, "1", Z149 &lt;= 12, "2", Z149 &lt;= 15, "3", Z149 &gt; 15, "4")</f>
        <v/>
      </c>
      <c r="AC149" s="125">
        <f t="array" ref="AC149">_xlfn.IFS(AA149 &lt;= 200, "1", L149 &lt;= 300, "2", L149 &lt;= 400, "3", L149 &gt; 400, "4")</f>
        <v/>
      </c>
      <c r="AD149" s="129">
        <f>SQRT((((VLOOKUP($AT$4,$A$4:$D$1021,4,FALSE))-D149)^2)+(((VLOOKUP($AT$4,$A$4:$E$1021,5,FALSE))-E149)^2)+(((VLOOKUP($AT$4,$A$4:$N$1021,14,FALSE))-N149)^2)+(((VLOOKUP($AT$4,$A$4:$O$1021,15,FALSE))-O149)^2))</f>
        <v/>
      </c>
      <c r="AG149" s="129">
        <f>SQRT((((VLOOKUP($AT$4,$A$4:$D$1021,4,FALSE))-D149)^2)+(((VLOOKUP($AT$4,$A$4:$E$1021,5,FALSE))-E149)^2)+(((VLOOKUP($AT$4,$A$4:$R$1021,18,FALSE))-R149)^2)+(((VLOOKUP($AT$4,$A$4:$S$1021,19,FALSE))-S149)^2))</f>
        <v/>
      </c>
      <c r="AJ149" s="125" t="inlineStr">
        <is>
          <t>W14X426</t>
        </is>
      </c>
      <c r="AK149" s="125">
        <f>SQRT(((VLOOKUP($AT$4,$A$4:$J$1021,10,FALSE))-J149)^2)</f>
        <v/>
      </c>
      <c r="AL149" s="125" t="n"/>
      <c r="AM149" s="125" t="n"/>
      <c r="AN149" s="125">
        <f>SQRT(((VLOOKUP($AT$4,$A$4:$R$1021,18,FALSE))-R149)^2)</f>
        <v/>
      </c>
      <c r="AO149" s="125" t="n"/>
      <c r="AP149" s="125" t="n"/>
      <c r="AQ149" s="125" t="inlineStr">
        <is>
          <t>W14X426</t>
        </is>
      </c>
      <c r="BB149" s="125">
        <f>SQRT(($J$1022-J149)^2)</f>
        <v/>
      </c>
      <c r="BC149" s="125">
        <f>SQRT(($R$1022-R149)^2)</f>
        <v/>
      </c>
      <c r="BD149" s="125" t="inlineStr">
        <is>
          <t>W14X426</t>
        </is>
      </c>
      <c r="BI149">
        <f>SQRT(($J$1023-J149)^2)</f>
        <v/>
      </c>
      <c r="BJ149">
        <f>SQRT(($R$1023-R149)^2)</f>
        <v/>
      </c>
      <c r="BK149" s="125" t="inlineStr">
        <is>
          <t>W14X426</t>
        </is>
      </c>
      <c r="BP149">
        <f>SQRT(($J$1024-J149)^2)</f>
        <v/>
      </c>
      <c r="BQ149">
        <f>SQRT(($R$1024-R149)^2)</f>
        <v/>
      </c>
      <c r="BR149" s="125" t="inlineStr">
        <is>
          <t>W14X426</t>
        </is>
      </c>
      <c r="BW149">
        <f>SQRT(($J$1025-J149)^2)</f>
        <v/>
      </c>
      <c r="BX149">
        <f>SQRT(($R$1025-R149)^2)</f>
        <v/>
      </c>
      <c r="BY149" s="125" t="inlineStr">
        <is>
          <t>W14X426</t>
        </is>
      </c>
      <c r="CD149">
        <f>SQRT(($J$1026-J149)^2)</f>
        <v/>
      </c>
      <c r="CE149">
        <f>SQRT(($R$1026-R149)^2)</f>
        <v/>
      </c>
      <c r="CF149" s="125" t="inlineStr">
        <is>
          <t>W14X426</t>
        </is>
      </c>
    </row>
    <row r="150">
      <c r="A150" s="125" t="inlineStr">
        <is>
          <t>W14X455</t>
        </is>
      </c>
      <c r="B150" s="129" t="inlineStr">
        <is>
          <t>AISC</t>
        </is>
      </c>
      <c r="C150" s="125" t="n">
        <v>677.1</v>
      </c>
      <c r="D150" s="125" t="n">
        <v>483.1</v>
      </c>
      <c r="E150" s="125" t="n">
        <v>427.6</v>
      </c>
      <c r="F150" s="125" t="n">
        <v>81.5</v>
      </c>
      <c r="G150" s="125" t="n">
        <v>51.2</v>
      </c>
      <c r="H150" s="125" t="n">
        <v>15.2</v>
      </c>
      <c r="I150" s="125" t="n">
        <v>289.6</v>
      </c>
      <c r="J150" s="125" t="n">
        <v>863</v>
      </c>
      <c r="K150" s="125">
        <f>((E150-G150)/2)/F150</f>
        <v/>
      </c>
      <c r="L150" s="125">
        <f>I150/G150</f>
        <v/>
      </c>
      <c r="M150" s="125" t="n">
        <v>2.55</v>
      </c>
      <c r="N150" s="125" t="n">
        <v>299400</v>
      </c>
      <c r="O150" s="125" t="n">
        <v>106600</v>
      </c>
      <c r="P150" s="125" t="n">
        <v>18.6</v>
      </c>
      <c r="Q150" s="125" t="n">
        <v>11.1</v>
      </c>
      <c r="R150" s="125" t="n">
        <v>12400</v>
      </c>
      <c r="S150" s="125" t="n">
        <v>4987</v>
      </c>
      <c r="T150" s="125" t="n">
        <v>15340</v>
      </c>
      <c r="U150" s="125" t="n">
        <v>7669</v>
      </c>
      <c r="X150" s="129">
        <f t="array" ref="X150">_xlfn.IFS((D150/F150) &lt;= (640/SQRT($AT$32)), "Compact", L150 &lt;= ($AT$32*(0.79-(0.002*((E150-G150/2)/(2*F150))*SQRT($AT$32)))), "Non-Compact", L150 &gt; ($AT$32*(0.79-(0.002*((E150-G150/2)/(2*F150))*SQRT($AT$32)))), "Slender")</f>
        <v/>
      </c>
      <c r="Y150" s="129">
        <f t="array" ref="Y150">_xlfn.IFS(K150 &lt;= (65/SQRT($AT$32)), "Compact", K150 &lt;= (95/SQRT($AT$32)), "Non-Compact", K150 &gt; (95/SQRT($AT$32)), "Slender")</f>
        <v/>
      </c>
      <c r="Z150" s="125">
        <f>E150/F150</f>
        <v/>
      </c>
      <c r="AA150" s="125">
        <f>D150/G150</f>
        <v/>
      </c>
      <c r="AB150" s="125">
        <f t="array" ref="AB150">_xlfn.IFS(Z150 &lt;= 9, "1", Z150 &lt;= 12, "2", Z150 &lt;= 15, "3", Z150 &gt; 15, "4")</f>
        <v/>
      </c>
      <c r="AC150" s="125">
        <f t="array" ref="AC150">_xlfn.IFS(AA150 &lt;= 200, "1", L150 &lt;= 300, "2", L150 &lt;= 400, "3", L150 &gt; 400, "4")</f>
        <v/>
      </c>
      <c r="AD150" s="129">
        <f>SQRT((((VLOOKUP($AT$4,$A$4:$D$1021,4,FALSE))-D150)^2)+(((VLOOKUP($AT$4,$A$4:$E$1021,5,FALSE))-E150)^2)+(((VLOOKUP($AT$4,$A$4:$N$1021,14,FALSE))-N150)^2)+(((VLOOKUP($AT$4,$A$4:$O$1021,15,FALSE))-O150)^2))</f>
        <v/>
      </c>
      <c r="AG150" s="129">
        <f>SQRT((((VLOOKUP($AT$4,$A$4:$D$1021,4,FALSE))-D150)^2)+(((VLOOKUP($AT$4,$A$4:$E$1021,5,FALSE))-E150)^2)+(((VLOOKUP($AT$4,$A$4:$R$1021,18,FALSE))-R150)^2)+(((VLOOKUP($AT$4,$A$4:$S$1021,19,FALSE))-S150)^2))</f>
        <v/>
      </c>
      <c r="AJ150" s="125" t="inlineStr">
        <is>
          <t>W14X455</t>
        </is>
      </c>
      <c r="AK150" s="125">
        <f>SQRT(((VLOOKUP($AT$4,$A$4:$J$1021,10,FALSE))-J150)^2)</f>
        <v/>
      </c>
      <c r="AL150" s="125" t="n"/>
      <c r="AM150" s="125" t="n"/>
      <c r="AN150" s="125">
        <f>SQRT(((VLOOKUP($AT$4,$A$4:$R$1021,18,FALSE))-R150)^2)</f>
        <v/>
      </c>
      <c r="AO150" s="125" t="n"/>
      <c r="AP150" s="125" t="n"/>
      <c r="AQ150" s="125" t="inlineStr">
        <is>
          <t>W14X455</t>
        </is>
      </c>
      <c r="BB150" s="125">
        <f>SQRT(($J$1022-J150)^2)</f>
        <v/>
      </c>
      <c r="BC150" s="125">
        <f>SQRT(($R$1022-R150)^2)</f>
        <v/>
      </c>
      <c r="BD150" s="125" t="inlineStr">
        <is>
          <t>W14X455</t>
        </is>
      </c>
      <c r="BI150">
        <f>SQRT(($J$1023-J150)^2)</f>
        <v/>
      </c>
      <c r="BJ150">
        <f>SQRT(($R$1023-R150)^2)</f>
        <v/>
      </c>
      <c r="BK150" s="125" t="inlineStr">
        <is>
          <t>W14X455</t>
        </is>
      </c>
      <c r="BP150">
        <f>SQRT(($J$1024-J150)^2)</f>
        <v/>
      </c>
      <c r="BQ150">
        <f>SQRT(($R$1024-R150)^2)</f>
        <v/>
      </c>
      <c r="BR150" s="125" t="inlineStr">
        <is>
          <t>W14X455</t>
        </is>
      </c>
      <c r="BW150">
        <f>SQRT(($J$1025-J150)^2)</f>
        <v/>
      </c>
      <c r="BX150">
        <f>SQRT(($R$1025-R150)^2)</f>
        <v/>
      </c>
      <c r="BY150" s="125" t="inlineStr">
        <is>
          <t>W14X455</t>
        </is>
      </c>
      <c r="CD150">
        <f>SQRT(($J$1026-J150)^2)</f>
        <v/>
      </c>
      <c r="CE150">
        <f>SQRT(($R$1026-R150)^2)</f>
        <v/>
      </c>
      <c r="CF150" s="125" t="inlineStr">
        <is>
          <t>W14X455</t>
        </is>
      </c>
    </row>
    <row r="151">
      <c r="A151" s="125" t="inlineStr">
        <is>
          <t>W14X500</t>
        </is>
      </c>
      <c r="B151" s="129" t="inlineStr">
        <is>
          <t>AISC</t>
        </is>
      </c>
      <c r="C151" s="125" t="n">
        <v>744.1</v>
      </c>
      <c r="D151" s="125" t="n">
        <v>497.8</v>
      </c>
      <c r="E151" s="125" t="n">
        <v>432.1</v>
      </c>
      <c r="F151" s="125" t="n">
        <v>88.90000000000001</v>
      </c>
      <c r="G151" s="125" t="n">
        <v>55.6</v>
      </c>
      <c r="H151" s="125" t="n">
        <v>15.2</v>
      </c>
      <c r="I151" s="125" t="n">
        <v>289.6</v>
      </c>
      <c r="J151" s="125" t="n">
        <v>948</v>
      </c>
      <c r="K151" s="125">
        <f>((E151-G151)/2)/F151</f>
        <v/>
      </c>
      <c r="L151" s="125">
        <f>I151/G151</f>
        <v/>
      </c>
      <c r="M151" s="125" t="n">
        <v>2.59</v>
      </c>
      <c r="N151" s="125" t="n">
        <v>341900</v>
      </c>
      <c r="O151" s="125" t="n">
        <v>120000</v>
      </c>
      <c r="P151" s="125" t="n">
        <v>19</v>
      </c>
      <c r="Q151" s="125" t="n">
        <v>11.3</v>
      </c>
      <c r="R151" s="125" t="n">
        <v>13740</v>
      </c>
      <c r="S151" s="125" t="n">
        <v>5555</v>
      </c>
      <c r="T151" s="125" t="n">
        <v>17160</v>
      </c>
      <c r="U151" s="125" t="n">
        <v>8553</v>
      </c>
      <c r="X151" s="129">
        <f t="array" ref="X151">_xlfn.IFS((D151/F151) &lt;= (640/SQRT($AT$32)), "Compact", L151 &lt;= ($AT$32*(0.79-(0.002*((E151-G151/2)/(2*F151))*SQRT($AT$32)))), "Non-Compact", L151 &gt; ($AT$32*(0.79-(0.002*((E151-G151/2)/(2*F151))*SQRT($AT$32)))), "Slender")</f>
        <v/>
      </c>
      <c r="Y151" s="129">
        <f t="array" ref="Y151">_xlfn.IFS(K151 &lt;= (65/SQRT($AT$32)), "Compact", K151 &lt;= (95/SQRT($AT$32)), "Non-Compact", K151 &gt; (95/SQRT($AT$32)), "Slender")</f>
        <v/>
      </c>
      <c r="Z151" s="125">
        <f>E151/F151</f>
        <v/>
      </c>
      <c r="AA151" s="125">
        <f>D151/G151</f>
        <v/>
      </c>
      <c r="AB151" s="125">
        <f t="array" ref="AB151">_xlfn.IFS(Z151 &lt;= 9, "1", Z151 &lt;= 12, "2", Z151 &lt;= 15, "3", Z151 &gt; 15, "4")</f>
        <v/>
      </c>
      <c r="AC151" s="125">
        <f t="array" ref="AC151">_xlfn.IFS(AA151 &lt;= 200, "1", L151 &lt;= 300, "2", L151 &lt;= 400, "3", L151 &gt; 400, "4")</f>
        <v/>
      </c>
      <c r="AD151" s="129">
        <f>SQRT((((VLOOKUP($AT$4,$A$4:$D$1021,4,FALSE))-D151)^2)+(((VLOOKUP($AT$4,$A$4:$E$1021,5,FALSE))-E151)^2)+(((VLOOKUP($AT$4,$A$4:$N$1021,14,FALSE))-N151)^2)+(((VLOOKUP($AT$4,$A$4:$O$1021,15,FALSE))-O151)^2))</f>
        <v/>
      </c>
      <c r="AG151" s="129">
        <f>SQRT((((VLOOKUP($AT$4,$A$4:$D$1021,4,FALSE))-D151)^2)+(((VLOOKUP($AT$4,$A$4:$E$1021,5,FALSE))-E151)^2)+(((VLOOKUP($AT$4,$A$4:$R$1021,18,FALSE))-R151)^2)+(((VLOOKUP($AT$4,$A$4:$S$1021,19,FALSE))-S151)^2))</f>
        <v/>
      </c>
      <c r="AJ151" s="125" t="inlineStr">
        <is>
          <t>W14X500</t>
        </is>
      </c>
      <c r="AK151" s="125">
        <f>SQRT(((VLOOKUP($AT$4,$A$4:$J$1021,10,FALSE))-J151)^2)</f>
        <v/>
      </c>
      <c r="AL151" s="125" t="n"/>
      <c r="AM151" s="125" t="n"/>
      <c r="AN151" s="125">
        <f>SQRT(((VLOOKUP($AT$4,$A$4:$R$1021,18,FALSE))-R151)^2)</f>
        <v/>
      </c>
      <c r="AO151" s="125" t="n"/>
      <c r="AP151" s="125" t="n"/>
      <c r="AQ151" s="125" t="inlineStr">
        <is>
          <t>W14X500</t>
        </is>
      </c>
      <c r="BB151" s="125">
        <f>SQRT(($J$1022-J151)^2)</f>
        <v/>
      </c>
      <c r="BC151" s="125">
        <f>SQRT(($R$1022-R151)^2)</f>
        <v/>
      </c>
      <c r="BD151" s="125" t="inlineStr">
        <is>
          <t>W14X500</t>
        </is>
      </c>
      <c r="BI151">
        <f>SQRT(($J$1023-J151)^2)</f>
        <v/>
      </c>
      <c r="BJ151">
        <f>SQRT(($R$1023-R151)^2)</f>
        <v/>
      </c>
      <c r="BK151" s="125" t="inlineStr">
        <is>
          <t>W14X500</t>
        </is>
      </c>
      <c r="BP151">
        <f>SQRT(($J$1024-J151)^2)</f>
        <v/>
      </c>
      <c r="BQ151">
        <f>SQRT(($R$1024-R151)^2)</f>
        <v/>
      </c>
      <c r="BR151" s="125" t="inlineStr">
        <is>
          <t>W14X500</t>
        </is>
      </c>
      <c r="BW151">
        <f>SQRT(($J$1025-J151)^2)</f>
        <v/>
      </c>
      <c r="BX151">
        <f>SQRT(($R$1025-R151)^2)</f>
        <v/>
      </c>
      <c r="BY151" s="125" t="inlineStr">
        <is>
          <t>W14X500</t>
        </is>
      </c>
      <c r="CD151">
        <f>SQRT(($J$1026-J151)^2)</f>
        <v/>
      </c>
      <c r="CE151">
        <f>SQRT(($R$1026-R151)^2)</f>
        <v/>
      </c>
      <c r="CF151" s="125" t="inlineStr">
        <is>
          <t>W14X500</t>
        </is>
      </c>
    </row>
    <row r="152">
      <c r="A152" s="125" t="inlineStr">
        <is>
          <t>W14X550</t>
        </is>
      </c>
      <c r="B152" s="129" t="inlineStr">
        <is>
          <t>AISC</t>
        </is>
      </c>
      <c r="C152" s="125" t="n">
        <v>818.5</v>
      </c>
      <c r="D152" s="125" t="n">
        <v>514.1</v>
      </c>
      <c r="E152" s="125" t="n">
        <v>436.9</v>
      </c>
      <c r="F152" s="125" t="n">
        <v>97</v>
      </c>
      <c r="G152" s="125" t="n">
        <v>60.5</v>
      </c>
      <c r="H152" s="125" t="n">
        <v>15.2</v>
      </c>
      <c r="I152" s="125" t="n">
        <v>289.6</v>
      </c>
      <c r="J152" s="125" t="n">
        <v>1043</v>
      </c>
      <c r="K152" s="125">
        <f>((E152-G152)/2)/F152</f>
        <v/>
      </c>
      <c r="L152" s="125">
        <f>I152/G152</f>
        <v/>
      </c>
      <c r="M152" s="125" t="n">
        <v>2.63</v>
      </c>
      <c r="N152" s="125" t="n">
        <v>392400</v>
      </c>
      <c r="O152" s="125" t="n">
        <v>135500</v>
      </c>
      <c r="P152" s="125" t="n">
        <v>19.4</v>
      </c>
      <c r="Q152" s="125" t="n">
        <v>11.4</v>
      </c>
      <c r="R152" s="125" t="n">
        <v>15260</v>
      </c>
      <c r="S152" s="125" t="n">
        <v>6202</v>
      </c>
      <c r="T152" s="125" t="n">
        <v>19260</v>
      </c>
      <c r="U152" s="125" t="n">
        <v>9560</v>
      </c>
      <c r="X152" s="129">
        <f t="array" ref="X152">_xlfn.IFS((D152/F152) &lt;= (640/SQRT($AT$32)), "Compact", L152 &lt;= ($AT$32*(0.79-(0.002*((E152-G152/2)/(2*F152))*SQRT($AT$32)))), "Non-Compact", L152 &gt; ($AT$32*(0.79-(0.002*((E152-G152/2)/(2*F152))*SQRT($AT$32)))), "Slender")</f>
        <v/>
      </c>
      <c r="Y152" s="129">
        <f t="array" ref="Y152">_xlfn.IFS(K152 &lt;= (65/SQRT($AT$32)), "Compact", K152 &lt;= (95/SQRT($AT$32)), "Non-Compact", K152 &gt; (95/SQRT($AT$32)), "Slender")</f>
        <v/>
      </c>
      <c r="Z152" s="125">
        <f>E152/F152</f>
        <v/>
      </c>
      <c r="AA152" s="125">
        <f>D152/G152</f>
        <v/>
      </c>
      <c r="AB152" s="125">
        <f t="array" ref="AB152">_xlfn.IFS(Z152 &lt;= 9, "1", Z152 &lt;= 12, "2", Z152 &lt;= 15, "3", Z152 &gt; 15, "4")</f>
        <v/>
      </c>
      <c r="AC152" s="125">
        <f t="array" ref="AC152">_xlfn.IFS(AA152 &lt;= 200, "1", L152 &lt;= 300, "2", L152 &lt;= 400, "3", L152 &gt; 400, "4")</f>
        <v/>
      </c>
      <c r="AD152" s="129">
        <f>SQRT((((VLOOKUP($AT$4,$A$4:$D$1021,4,FALSE))-D152)^2)+(((VLOOKUP($AT$4,$A$4:$E$1021,5,FALSE))-E152)^2)+(((VLOOKUP($AT$4,$A$4:$N$1021,14,FALSE))-N152)^2)+(((VLOOKUP($AT$4,$A$4:$O$1021,15,FALSE))-O152)^2))</f>
        <v/>
      </c>
      <c r="AG152" s="129">
        <f>SQRT((((VLOOKUP($AT$4,$A$4:$D$1021,4,FALSE))-D152)^2)+(((VLOOKUP($AT$4,$A$4:$E$1021,5,FALSE))-E152)^2)+(((VLOOKUP($AT$4,$A$4:$R$1021,18,FALSE))-R152)^2)+(((VLOOKUP($AT$4,$A$4:$S$1021,19,FALSE))-S152)^2))</f>
        <v/>
      </c>
      <c r="AJ152" s="125" t="inlineStr">
        <is>
          <t>W14X550</t>
        </is>
      </c>
      <c r="AK152" s="125">
        <f>SQRT(((VLOOKUP($AT$4,$A$4:$J$1021,10,FALSE))-J152)^2)</f>
        <v/>
      </c>
      <c r="AL152" s="125" t="n"/>
      <c r="AM152" s="125" t="n"/>
      <c r="AN152" s="125">
        <f>SQRT(((VLOOKUP($AT$4,$A$4:$R$1021,18,FALSE))-R152)^2)</f>
        <v/>
      </c>
      <c r="AO152" s="125" t="n"/>
      <c r="AP152" s="125" t="n"/>
      <c r="AQ152" s="125" t="inlineStr">
        <is>
          <t>W14X550</t>
        </is>
      </c>
      <c r="BB152" s="125">
        <f>SQRT(($J$1022-J152)^2)</f>
        <v/>
      </c>
      <c r="BC152" s="125">
        <f>SQRT(($R$1022-R152)^2)</f>
        <v/>
      </c>
      <c r="BD152" s="125" t="inlineStr">
        <is>
          <t>W14X550</t>
        </is>
      </c>
      <c r="BI152">
        <f>SQRT(($J$1023-J152)^2)</f>
        <v/>
      </c>
      <c r="BJ152">
        <f>SQRT(($R$1023-R152)^2)</f>
        <v/>
      </c>
      <c r="BK152" s="125" t="inlineStr">
        <is>
          <t>W14X550</t>
        </is>
      </c>
      <c r="BP152">
        <f>SQRT(($J$1024-J152)^2)</f>
        <v/>
      </c>
      <c r="BQ152">
        <f>SQRT(($R$1024-R152)^2)</f>
        <v/>
      </c>
      <c r="BR152" s="125" t="inlineStr">
        <is>
          <t>W14X550</t>
        </is>
      </c>
      <c r="BW152">
        <f>SQRT(($J$1025-J152)^2)</f>
        <v/>
      </c>
      <c r="BX152">
        <f>SQRT(($R$1025-R152)^2)</f>
        <v/>
      </c>
      <c r="BY152" s="125" t="inlineStr">
        <is>
          <t>W14X550</t>
        </is>
      </c>
      <c r="CD152">
        <f>SQRT(($J$1026-J152)^2)</f>
        <v/>
      </c>
      <c r="CE152">
        <f>SQRT(($R$1026-R152)^2)</f>
        <v/>
      </c>
      <c r="CF152" s="125" t="inlineStr">
        <is>
          <t>W14X550</t>
        </is>
      </c>
    </row>
    <row r="153">
      <c r="A153" s="125" t="inlineStr">
        <is>
          <t>W14X605</t>
        </is>
      </c>
      <c r="B153" s="129" t="inlineStr">
        <is>
          <t>AISC</t>
        </is>
      </c>
      <c r="C153" s="125" t="n">
        <v>900.3</v>
      </c>
      <c r="D153" s="125" t="n">
        <v>531.4</v>
      </c>
      <c r="E153" s="125" t="n">
        <v>442.3</v>
      </c>
      <c r="F153" s="125" t="n">
        <v>105.6</v>
      </c>
      <c r="G153" s="125" t="n">
        <v>65.90000000000001</v>
      </c>
      <c r="H153" s="125" t="n">
        <v>15.2</v>
      </c>
      <c r="I153" s="125" t="n">
        <v>289.8</v>
      </c>
      <c r="J153" s="125" t="n">
        <v>1147</v>
      </c>
      <c r="K153" s="125">
        <f>((E153-G153)/2)/F153</f>
        <v/>
      </c>
      <c r="L153" s="125">
        <f>I153/G153</f>
        <v/>
      </c>
      <c r="M153" s="125" t="n">
        <v>2.67</v>
      </c>
      <c r="N153" s="125" t="n">
        <v>450600</v>
      </c>
      <c r="O153" s="125" t="n">
        <v>153100</v>
      </c>
      <c r="P153" s="125" t="n">
        <v>19.8</v>
      </c>
      <c r="Q153" s="125" t="n">
        <v>11.6</v>
      </c>
      <c r="R153" s="125" t="n">
        <v>16960</v>
      </c>
      <c r="S153" s="125" t="n">
        <v>6922</v>
      </c>
      <c r="T153" s="125" t="n">
        <v>21610</v>
      </c>
      <c r="U153" s="125" t="n">
        <v>10680</v>
      </c>
      <c r="X153" s="129">
        <f t="array" ref="X153">_xlfn.IFS((D153/F153) &lt;= (640/SQRT($AT$32)), "Compact", L153 &lt;= ($AT$32*(0.79-(0.002*((E153-G153/2)/(2*F153))*SQRT($AT$32)))), "Non-Compact", L153 &gt; ($AT$32*(0.79-(0.002*((E153-G153/2)/(2*F153))*SQRT($AT$32)))), "Slender")</f>
        <v/>
      </c>
      <c r="Y153" s="129">
        <f t="array" ref="Y153">_xlfn.IFS(K153 &lt;= (65/SQRT($AT$32)), "Compact", K153 &lt;= (95/SQRT($AT$32)), "Non-Compact", K153 &gt; (95/SQRT($AT$32)), "Slender")</f>
        <v/>
      </c>
      <c r="Z153" s="125">
        <f>E153/F153</f>
        <v/>
      </c>
      <c r="AA153" s="125">
        <f>D153/G153</f>
        <v/>
      </c>
      <c r="AB153" s="125">
        <f t="array" ref="AB153">_xlfn.IFS(Z153 &lt;= 9, "1", Z153 &lt;= 12, "2", Z153 &lt;= 15, "3", Z153 &gt; 15, "4")</f>
        <v/>
      </c>
      <c r="AC153" s="125">
        <f t="array" ref="AC153">_xlfn.IFS(AA153 &lt;= 200, "1", L153 &lt;= 300, "2", L153 &lt;= 400, "3", L153 &gt; 400, "4")</f>
        <v/>
      </c>
      <c r="AD153" s="129">
        <f>SQRT((((VLOOKUP($AT$4,$A$4:$D$1021,4,FALSE))-D153)^2)+(((VLOOKUP($AT$4,$A$4:$E$1021,5,FALSE))-E153)^2)+(((VLOOKUP($AT$4,$A$4:$N$1021,14,FALSE))-N153)^2)+(((VLOOKUP($AT$4,$A$4:$O$1021,15,FALSE))-O153)^2))</f>
        <v/>
      </c>
      <c r="AG153" s="129">
        <f>SQRT((((VLOOKUP($AT$4,$A$4:$D$1021,4,FALSE))-D153)^2)+(((VLOOKUP($AT$4,$A$4:$E$1021,5,FALSE))-E153)^2)+(((VLOOKUP($AT$4,$A$4:$R$1021,18,FALSE))-R153)^2)+(((VLOOKUP($AT$4,$A$4:$S$1021,19,FALSE))-S153)^2))</f>
        <v/>
      </c>
      <c r="AJ153" s="125" t="inlineStr">
        <is>
          <t>W14X605</t>
        </is>
      </c>
      <c r="AK153" s="125">
        <f>SQRT(((VLOOKUP($AT$4,$A$4:$J$1021,10,FALSE))-J153)^2)</f>
        <v/>
      </c>
      <c r="AL153" s="125" t="n"/>
      <c r="AM153" s="125" t="n"/>
      <c r="AN153" s="125">
        <f>SQRT(((VLOOKUP($AT$4,$A$4:$R$1021,18,FALSE))-R153)^2)</f>
        <v/>
      </c>
      <c r="AO153" s="125" t="n"/>
      <c r="AP153" s="125" t="n"/>
      <c r="AQ153" s="125" t="inlineStr">
        <is>
          <t>W14X605</t>
        </is>
      </c>
      <c r="BB153" s="125">
        <f>SQRT(($J$1022-J153)^2)</f>
        <v/>
      </c>
      <c r="BC153" s="125">
        <f>SQRT(($R$1022-R153)^2)</f>
        <v/>
      </c>
      <c r="BD153" s="125" t="inlineStr">
        <is>
          <t>W14X605</t>
        </is>
      </c>
      <c r="BI153">
        <f>SQRT(($J$1023-J153)^2)</f>
        <v/>
      </c>
      <c r="BJ153">
        <f>SQRT(($R$1023-R153)^2)</f>
        <v/>
      </c>
      <c r="BK153" s="125" t="inlineStr">
        <is>
          <t>W14X605</t>
        </is>
      </c>
      <c r="BP153">
        <f>SQRT(($J$1024-J153)^2)</f>
        <v/>
      </c>
      <c r="BQ153">
        <f>SQRT(($R$1024-R153)^2)</f>
        <v/>
      </c>
      <c r="BR153" s="125" t="inlineStr">
        <is>
          <t>W14X605</t>
        </is>
      </c>
      <c r="BW153">
        <f>SQRT(($J$1025-J153)^2)</f>
        <v/>
      </c>
      <c r="BX153">
        <f>SQRT(($R$1025-R153)^2)</f>
        <v/>
      </c>
      <c r="BY153" s="125" t="inlineStr">
        <is>
          <t>W14X605</t>
        </is>
      </c>
      <c r="CD153">
        <f>SQRT(($J$1026-J153)^2)</f>
        <v/>
      </c>
      <c r="CE153">
        <f>SQRT(($R$1026-R153)^2)</f>
        <v/>
      </c>
      <c r="CF153" s="125" t="inlineStr">
        <is>
          <t>W14X605</t>
        </is>
      </c>
    </row>
    <row r="154">
      <c r="A154" s="125" t="inlineStr">
        <is>
          <t>W14X665</t>
        </is>
      </c>
      <c r="B154" s="129" t="inlineStr">
        <is>
          <t>AISC</t>
        </is>
      </c>
      <c r="C154" s="125" t="n">
        <v>989.6</v>
      </c>
      <c r="D154" s="125" t="n">
        <v>549.7</v>
      </c>
      <c r="E154" s="125" t="n">
        <v>448.3</v>
      </c>
      <c r="F154" s="125" t="n">
        <v>114.8</v>
      </c>
      <c r="G154" s="125" t="n">
        <v>71.90000000000001</v>
      </c>
      <c r="H154" s="125" t="n">
        <v>15.2</v>
      </c>
      <c r="I154" s="125" t="n">
        <v>289.7</v>
      </c>
      <c r="J154" s="125" t="n">
        <v>1261</v>
      </c>
      <c r="K154" s="125">
        <f>((E154-G154)/2)/F154</f>
        <v/>
      </c>
      <c r="L154" s="125">
        <f>I154/G154</f>
        <v/>
      </c>
      <c r="M154" s="125" t="n">
        <v>2.72</v>
      </c>
      <c r="N154" s="125" t="n">
        <v>518100</v>
      </c>
      <c r="O154" s="125" t="n">
        <v>173400</v>
      </c>
      <c r="P154" s="125" t="n">
        <v>20.3</v>
      </c>
      <c r="Q154" s="125" t="n">
        <v>11.7</v>
      </c>
      <c r="R154" s="125" t="n">
        <v>18850</v>
      </c>
      <c r="S154" s="125" t="n">
        <v>7736</v>
      </c>
      <c r="T154" s="125" t="n">
        <v>24250</v>
      </c>
      <c r="U154" s="125" t="n">
        <v>11960</v>
      </c>
      <c r="X154" s="129">
        <f t="array" ref="X154">_xlfn.IFS((D154/F154) &lt;= (640/SQRT($AT$32)), "Compact", L154 &lt;= ($AT$32*(0.79-(0.002*((E154-G154/2)/(2*F154))*SQRT($AT$32)))), "Non-Compact", L154 &gt; ($AT$32*(0.79-(0.002*((E154-G154/2)/(2*F154))*SQRT($AT$32)))), "Slender")</f>
        <v/>
      </c>
      <c r="Y154" s="129">
        <f t="array" ref="Y154">_xlfn.IFS(K154 &lt;= (65/SQRT($AT$32)), "Compact", K154 &lt;= (95/SQRT($AT$32)), "Non-Compact", K154 &gt; (95/SQRT($AT$32)), "Slender")</f>
        <v/>
      </c>
      <c r="Z154" s="125">
        <f>E154/F154</f>
        <v/>
      </c>
      <c r="AA154" s="125">
        <f>D154/G154</f>
        <v/>
      </c>
      <c r="AB154" s="125">
        <f t="array" ref="AB154">_xlfn.IFS(Z154 &lt;= 9, "1", Z154 &lt;= 12, "2", Z154 &lt;= 15, "3", Z154 &gt; 15, "4")</f>
        <v/>
      </c>
      <c r="AC154" s="125">
        <f t="array" ref="AC154">_xlfn.IFS(AA154 &lt;= 200, "1", L154 &lt;= 300, "2", L154 &lt;= 400, "3", L154 &gt; 400, "4")</f>
        <v/>
      </c>
      <c r="AD154" s="129">
        <f>SQRT((((VLOOKUP($AT$4,$A$4:$D$1021,4,FALSE))-D154)^2)+(((VLOOKUP($AT$4,$A$4:$E$1021,5,FALSE))-E154)^2)+(((VLOOKUP($AT$4,$A$4:$N$1021,14,FALSE))-N154)^2)+(((VLOOKUP($AT$4,$A$4:$O$1021,15,FALSE))-O154)^2))</f>
        <v/>
      </c>
      <c r="AG154" s="129">
        <f>SQRT((((VLOOKUP($AT$4,$A$4:$D$1021,4,FALSE))-D154)^2)+(((VLOOKUP($AT$4,$A$4:$E$1021,5,FALSE))-E154)^2)+(((VLOOKUP($AT$4,$A$4:$R$1021,18,FALSE))-R154)^2)+(((VLOOKUP($AT$4,$A$4:$S$1021,19,FALSE))-S154)^2))</f>
        <v/>
      </c>
      <c r="AJ154" s="125" t="inlineStr">
        <is>
          <t>W14X665</t>
        </is>
      </c>
      <c r="AK154" s="125">
        <f>SQRT(((VLOOKUP($AT$4,$A$4:$J$1021,10,FALSE))-J154)^2)</f>
        <v/>
      </c>
      <c r="AL154" s="125" t="n"/>
      <c r="AM154" s="125" t="n"/>
      <c r="AN154" s="125">
        <f>SQRT(((VLOOKUP($AT$4,$A$4:$R$1021,18,FALSE))-R154)^2)</f>
        <v/>
      </c>
      <c r="AO154" s="125" t="n"/>
      <c r="AP154" s="125" t="n"/>
      <c r="AQ154" s="125" t="inlineStr">
        <is>
          <t>W14X665</t>
        </is>
      </c>
      <c r="BB154" s="125">
        <f>SQRT(($J$1022-J154)^2)</f>
        <v/>
      </c>
      <c r="BC154" s="125">
        <f>SQRT(($R$1022-R154)^2)</f>
        <v/>
      </c>
      <c r="BD154" s="125" t="inlineStr">
        <is>
          <t>W14X665</t>
        </is>
      </c>
      <c r="BI154">
        <f>SQRT(($J$1023-J154)^2)</f>
        <v/>
      </c>
      <c r="BJ154">
        <f>SQRT(($R$1023-R154)^2)</f>
        <v/>
      </c>
      <c r="BK154" s="125" t="inlineStr">
        <is>
          <t>W14X665</t>
        </is>
      </c>
      <c r="BP154">
        <f>SQRT(($J$1024-J154)^2)</f>
        <v/>
      </c>
      <c r="BQ154">
        <f>SQRT(($R$1024-R154)^2)</f>
        <v/>
      </c>
      <c r="BR154" s="125" t="inlineStr">
        <is>
          <t>W14X665</t>
        </is>
      </c>
      <c r="BW154">
        <f>SQRT(($J$1025-J154)^2)</f>
        <v/>
      </c>
      <c r="BX154">
        <f>SQRT(($R$1025-R154)^2)</f>
        <v/>
      </c>
      <c r="BY154" s="125" t="inlineStr">
        <is>
          <t>W14X665</t>
        </is>
      </c>
      <c r="CD154">
        <f>SQRT(($J$1026-J154)^2)</f>
        <v/>
      </c>
      <c r="CE154">
        <f>SQRT(($R$1026-R154)^2)</f>
        <v/>
      </c>
      <c r="CF154" s="125" t="inlineStr">
        <is>
          <t>W14X665</t>
        </is>
      </c>
    </row>
    <row r="155">
      <c r="A155" s="125" t="inlineStr">
        <is>
          <t>W14X730</t>
        </is>
      </c>
      <c r="B155" s="129" t="inlineStr">
        <is>
          <t>AISC</t>
        </is>
      </c>
      <c r="C155" s="125" t="n">
        <v>1086</v>
      </c>
      <c r="D155" s="125" t="n">
        <v>569.5</v>
      </c>
      <c r="E155" s="125" t="n">
        <v>454.4</v>
      </c>
      <c r="F155" s="125" t="n">
        <v>124.7</v>
      </c>
      <c r="G155" s="125" t="n">
        <v>78</v>
      </c>
      <c r="H155" s="125" t="n">
        <v>15.2</v>
      </c>
      <c r="I155" s="125" t="n">
        <v>289.7</v>
      </c>
      <c r="J155" s="125" t="n">
        <v>1385</v>
      </c>
      <c r="K155" s="125">
        <f>((E155-G155)/2)/F155</f>
        <v/>
      </c>
      <c r="L155" s="125">
        <f>I155/G155</f>
        <v/>
      </c>
      <c r="M155" s="125" t="n">
        <v>2.77</v>
      </c>
      <c r="N155" s="125" t="n">
        <v>597000</v>
      </c>
      <c r="O155" s="125" t="n">
        <v>196300</v>
      </c>
      <c r="P155" s="125" t="n">
        <v>20.8</v>
      </c>
      <c r="Q155" s="125" t="n">
        <v>11.9</v>
      </c>
      <c r="R155" s="125" t="n">
        <v>20970</v>
      </c>
      <c r="S155" s="125" t="n">
        <v>8640</v>
      </c>
      <c r="T155" s="125" t="n">
        <v>27230</v>
      </c>
      <c r="U155" s="125" t="n">
        <v>13370</v>
      </c>
      <c r="X155" s="129">
        <f t="array" ref="X155">_xlfn.IFS((D155/F155) &lt;= (640/SQRT($AT$32)), "Compact", L155 &lt;= ($AT$32*(0.79-(0.002*((E155-G155/2)/(2*F155))*SQRT($AT$32)))), "Non-Compact", L155 &gt; ($AT$32*(0.79-(0.002*((E155-G155/2)/(2*F155))*SQRT($AT$32)))), "Slender")</f>
        <v/>
      </c>
      <c r="Y155" s="129">
        <f t="array" ref="Y155">_xlfn.IFS(K155 &lt;= (65/SQRT($AT$32)), "Compact", K155 &lt;= (95/SQRT($AT$32)), "Non-Compact", K155 &gt; (95/SQRT($AT$32)), "Slender")</f>
        <v/>
      </c>
      <c r="Z155" s="125">
        <f>E155/F155</f>
        <v/>
      </c>
      <c r="AA155" s="125">
        <f>D155/G155</f>
        <v/>
      </c>
      <c r="AB155" s="125">
        <f t="array" ref="AB155">_xlfn.IFS(Z155 &lt;= 9, "1", Z155 &lt;= 12, "2", Z155 &lt;= 15, "3", Z155 &gt; 15, "4")</f>
        <v/>
      </c>
      <c r="AC155" s="125">
        <f t="array" ref="AC155">_xlfn.IFS(AA155 &lt;= 200, "1", L155 &lt;= 300, "2", L155 &lt;= 400, "3", L155 &gt; 400, "4")</f>
        <v/>
      </c>
      <c r="AD155" s="129">
        <f>SQRT((((VLOOKUP($AT$4,$A$4:$D$1021,4,FALSE))-D155)^2)+(((VLOOKUP($AT$4,$A$4:$E$1021,5,FALSE))-E155)^2)+(((VLOOKUP($AT$4,$A$4:$N$1021,14,FALSE))-N155)^2)+(((VLOOKUP($AT$4,$A$4:$O$1021,15,FALSE))-O155)^2))</f>
        <v/>
      </c>
      <c r="AG155" s="129">
        <f>SQRT((((VLOOKUP($AT$4,$A$4:$D$1021,4,FALSE))-D155)^2)+(((VLOOKUP($AT$4,$A$4:$E$1021,5,FALSE))-E155)^2)+(((VLOOKUP($AT$4,$A$4:$R$1021,18,FALSE))-R155)^2)+(((VLOOKUP($AT$4,$A$4:$S$1021,19,FALSE))-S155)^2))</f>
        <v/>
      </c>
      <c r="AJ155" s="125" t="inlineStr">
        <is>
          <t>W14X730</t>
        </is>
      </c>
      <c r="AK155" s="125">
        <f>SQRT(((VLOOKUP($AT$4,$A$4:$J$1021,10,FALSE))-J155)^2)</f>
        <v/>
      </c>
      <c r="AL155" s="125" t="n"/>
      <c r="AM155" s="125" t="n"/>
      <c r="AN155" s="125">
        <f>SQRT(((VLOOKUP($AT$4,$A$4:$R$1021,18,FALSE))-R155)^2)</f>
        <v/>
      </c>
      <c r="AO155" s="125" t="n"/>
      <c r="AP155" s="125" t="n"/>
      <c r="AQ155" s="125" t="inlineStr">
        <is>
          <t>W14X730</t>
        </is>
      </c>
      <c r="BB155" s="125">
        <f>SQRT(($J$1022-J155)^2)</f>
        <v/>
      </c>
      <c r="BC155" s="125">
        <f>SQRT(($R$1022-R155)^2)</f>
        <v/>
      </c>
      <c r="BD155" s="125" t="inlineStr">
        <is>
          <t>W14X730</t>
        </is>
      </c>
      <c r="BI155">
        <f>SQRT(($J$1023-J155)^2)</f>
        <v/>
      </c>
      <c r="BJ155">
        <f>SQRT(($R$1023-R155)^2)</f>
        <v/>
      </c>
      <c r="BK155" s="125" t="inlineStr">
        <is>
          <t>W14X730</t>
        </is>
      </c>
      <c r="BP155">
        <f>SQRT(($J$1024-J155)^2)</f>
        <v/>
      </c>
      <c r="BQ155">
        <f>SQRT(($R$1024-R155)^2)</f>
        <v/>
      </c>
      <c r="BR155" s="125" t="inlineStr">
        <is>
          <t>W14X730</t>
        </is>
      </c>
      <c r="BW155">
        <f>SQRT(($J$1025-J155)^2)</f>
        <v/>
      </c>
      <c r="BX155">
        <f>SQRT(($R$1025-R155)^2)</f>
        <v/>
      </c>
      <c r="BY155" s="125" t="inlineStr">
        <is>
          <t>W14X730</t>
        </is>
      </c>
      <c r="CD155">
        <f>SQRT(($J$1026-J155)^2)</f>
        <v/>
      </c>
      <c r="CE155">
        <f>SQRT(($R$1026-R155)^2)</f>
        <v/>
      </c>
      <c r="CF155" s="125" t="inlineStr">
        <is>
          <t>W14X730</t>
        </is>
      </c>
    </row>
    <row r="156">
      <c r="A156" s="125" t="inlineStr">
        <is>
          <t>W16X26</t>
        </is>
      </c>
      <c r="B156" s="129" t="inlineStr">
        <is>
          <t>AISC</t>
        </is>
      </c>
      <c r="C156" s="125" t="n">
        <v>39</v>
      </c>
      <c r="D156" s="125" t="n">
        <v>398</v>
      </c>
      <c r="E156" s="125" t="n">
        <v>141.8</v>
      </c>
      <c r="F156" s="125" t="n">
        <v>8.6</v>
      </c>
      <c r="G156" s="125" t="n">
        <v>6.4</v>
      </c>
      <c r="H156" s="125" t="n">
        <v>10.2</v>
      </c>
      <c r="I156" s="125" t="n">
        <v>360.4</v>
      </c>
      <c r="J156" s="125" t="n">
        <v>49.7</v>
      </c>
      <c r="K156" s="125">
        <f>((E156-G156)/2)/F156</f>
        <v/>
      </c>
      <c r="L156" s="125">
        <f>I156/G156</f>
        <v/>
      </c>
      <c r="M156" s="125" t="n">
        <v>1.33</v>
      </c>
      <c r="N156" s="125" t="n">
        <v>12510</v>
      </c>
      <c r="O156" s="125" t="n">
        <v>410</v>
      </c>
      <c r="P156" s="125" t="n">
        <v>15.9</v>
      </c>
      <c r="Q156" s="125" t="n">
        <v>2.87</v>
      </c>
      <c r="R156" s="125" t="n">
        <v>629</v>
      </c>
      <c r="S156" s="125" t="n">
        <v>57.8</v>
      </c>
      <c r="T156" s="125" t="n">
        <v>724</v>
      </c>
      <c r="U156" s="125" t="n">
        <v>90.8</v>
      </c>
      <c r="X156" s="129">
        <f t="array" ref="X156">_xlfn.IFS((D156/F156) &lt;= (640/SQRT($AT$32)), "Compact", L156 &lt;= ($AT$32*(0.79-(0.002*((E156-G156/2)/(2*F156))*SQRT($AT$32)))), "Non-Compact", L156 &gt; ($AT$32*(0.79-(0.002*((E156-G156/2)/(2*F156))*SQRT($AT$32)))), "Slender")</f>
        <v/>
      </c>
      <c r="Y156" s="129">
        <f t="array" ref="Y156">_xlfn.IFS(K156 &lt;= (65/SQRT($AT$32)), "Compact", K156 &lt;= (95/SQRT($AT$32)), "Non-Compact", K156 &gt; (95/SQRT($AT$32)), "Slender")</f>
        <v/>
      </c>
      <c r="Z156" s="125">
        <f>E156/F156</f>
        <v/>
      </c>
      <c r="AA156" s="125">
        <f>D156/G156</f>
        <v/>
      </c>
      <c r="AB156" s="125">
        <f t="array" ref="AB156">_xlfn.IFS(Z156 &lt;= 9, "1", Z156 &lt;= 12, "2", Z156 &lt;= 15, "3", Z156 &gt; 15, "4")</f>
        <v/>
      </c>
      <c r="AC156" s="125">
        <f t="array" ref="AC156">_xlfn.IFS(AA156 &lt;= 200, "1", L156 &lt;= 300, "2", L156 &lt;= 400, "3", L156 &gt; 400, "4")</f>
        <v/>
      </c>
      <c r="AD156" s="129">
        <f>SQRT((((VLOOKUP($AT$4,$A$4:$D$1021,4,FALSE))-D156)^2)+(((VLOOKUP($AT$4,$A$4:$E$1021,5,FALSE))-E156)^2)+(((VLOOKUP($AT$4,$A$4:$N$1021,14,FALSE))-N156)^2)+(((VLOOKUP($AT$4,$A$4:$O$1021,15,FALSE))-O156)^2))</f>
        <v/>
      </c>
      <c r="AG156" s="129">
        <f>SQRT((((VLOOKUP($AT$4,$A$4:$D$1021,4,FALSE))-D156)^2)+(((VLOOKUP($AT$4,$A$4:$E$1021,5,FALSE))-E156)^2)+(((VLOOKUP($AT$4,$A$4:$R$1021,18,FALSE))-R156)^2)+(((VLOOKUP($AT$4,$A$4:$S$1021,19,FALSE))-S156)^2))</f>
        <v/>
      </c>
      <c r="AJ156" s="125" t="inlineStr">
        <is>
          <t>W16X26</t>
        </is>
      </c>
      <c r="AK156" s="125">
        <f>SQRT(((VLOOKUP($AT$4,$A$4:$J$1021,10,FALSE))-J156)^2)</f>
        <v/>
      </c>
      <c r="AL156" s="125" t="n"/>
      <c r="AM156" s="125" t="n"/>
      <c r="AN156" s="125">
        <f>SQRT(((VLOOKUP($AT$4,$A$4:$R$1021,18,FALSE))-R156)^2)</f>
        <v/>
      </c>
      <c r="AO156" s="125" t="n"/>
      <c r="AP156" s="125" t="n"/>
      <c r="AQ156" s="125" t="inlineStr">
        <is>
          <t>W16X26</t>
        </is>
      </c>
      <c r="BB156" s="125">
        <f>SQRT(($J$1022-J156)^2)</f>
        <v/>
      </c>
      <c r="BC156" s="125">
        <f>SQRT(($R$1022-R156)^2)</f>
        <v/>
      </c>
      <c r="BD156" s="125" t="inlineStr">
        <is>
          <t>W16X26</t>
        </is>
      </c>
      <c r="BI156">
        <f>SQRT(($J$1023-J156)^2)</f>
        <v/>
      </c>
      <c r="BJ156">
        <f>SQRT(($R$1023-R156)^2)</f>
        <v/>
      </c>
      <c r="BK156" s="125" t="inlineStr">
        <is>
          <t>W16X26</t>
        </is>
      </c>
      <c r="BP156">
        <f>SQRT(($J$1024-J156)^2)</f>
        <v/>
      </c>
      <c r="BQ156">
        <f>SQRT(($R$1024-R156)^2)</f>
        <v/>
      </c>
      <c r="BR156" s="125" t="inlineStr">
        <is>
          <t>W16X26</t>
        </is>
      </c>
      <c r="BW156">
        <f>SQRT(($J$1025-J156)^2)</f>
        <v/>
      </c>
      <c r="BX156">
        <f>SQRT(($R$1025-R156)^2)</f>
        <v/>
      </c>
      <c r="BY156" s="125" t="inlineStr">
        <is>
          <t>W16X26</t>
        </is>
      </c>
      <c r="CD156">
        <f>SQRT(($J$1026-J156)^2)</f>
        <v/>
      </c>
      <c r="CE156">
        <f>SQRT(($R$1026-R156)^2)</f>
        <v/>
      </c>
      <c r="CF156" s="125" t="inlineStr">
        <is>
          <t>W16X26</t>
        </is>
      </c>
    </row>
    <row r="157">
      <c r="A157" s="125" t="inlineStr">
        <is>
          <t>W16X31</t>
        </is>
      </c>
      <c r="B157" s="129" t="inlineStr">
        <is>
          <t>AISC</t>
        </is>
      </c>
      <c r="C157" s="125" t="n">
        <v>46</v>
      </c>
      <c r="D157" s="125" t="n">
        <v>403.2</v>
      </c>
      <c r="E157" s="125" t="n">
        <v>142.2</v>
      </c>
      <c r="F157" s="125" t="n">
        <v>11.2</v>
      </c>
      <c r="G157" s="125" t="n">
        <v>6.8</v>
      </c>
      <c r="H157" s="125" t="n">
        <v>10.2</v>
      </c>
      <c r="I157" s="125" t="n">
        <v>360.4</v>
      </c>
      <c r="J157" s="125" t="n">
        <v>58.6</v>
      </c>
      <c r="K157" s="125">
        <f>((E157-G157)/2)/F157</f>
        <v/>
      </c>
      <c r="L157" s="125">
        <f>I157/G157</f>
        <v/>
      </c>
      <c r="M157" s="125" t="n">
        <v>1.34</v>
      </c>
      <c r="N157" s="125" t="n">
        <v>15690</v>
      </c>
      <c r="O157" s="125" t="n">
        <v>538</v>
      </c>
      <c r="P157" s="125" t="n">
        <v>16.4</v>
      </c>
      <c r="Q157" s="125" t="n">
        <v>3.03</v>
      </c>
      <c r="R157" s="125" t="n">
        <v>778</v>
      </c>
      <c r="S157" s="125" t="n">
        <v>75.7</v>
      </c>
      <c r="T157" s="125" t="n">
        <v>888</v>
      </c>
      <c r="U157" s="125" t="n">
        <v>118</v>
      </c>
      <c r="X157" s="129">
        <f t="array" ref="X157">_xlfn.IFS((D157/F157) &lt;= (640/SQRT($AT$32)), "Compact", L157 &lt;= ($AT$32*(0.79-(0.002*((E157-G157/2)/(2*F157))*SQRT($AT$32)))), "Non-Compact", L157 &gt; ($AT$32*(0.79-(0.002*((E157-G157/2)/(2*F157))*SQRT($AT$32)))), "Slender")</f>
        <v/>
      </c>
      <c r="Y157" s="129">
        <f t="array" ref="Y157">_xlfn.IFS(K157 &lt;= (65/SQRT($AT$32)), "Compact", K157 &lt;= (95/SQRT($AT$32)), "Non-Compact", K157 &gt; (95/SQRT($AT$32)), "Slender")</f>
        <v/>
      </c>
      <c r="Z157" s="125">
        <f>E157/F157</f>
        <v/>
      </c>
      <c r="AA157" s="125">
        <f>D157/G157</f>
        <v/>
      </c>
      <c r="AB157" s="125">
        <f t="array" ref="AB157">_xlfn.IFS(Z157 &lt;= 9, "1", Z157 &lt;= 12, "2", Z157 &lt;= 15, "3", Z157 &gt; 15, "4")</f>
        <v/>
      </c>
      <c r="AC157" s="125">
        <f t="array" ref="AC157">_xlfn.IFS(AA157 &lt;= 200, "1", L157 &lt;= 300, "2", L157 &lt;= 400, "3", L157 &gt; 400, "4")</f>
        <v/>
      </c>
      <c r="AD157" s="129">
        <f>SQRT((((VLOOKUP($AT$4,$A$4:$D$1021,4,FALSE))-D157)^2)+(((VLOOKUP($AT$4,$A$4:$E$1021,5,FALSE))-E157)^2)+(((VLOOKUP($AT$4,$A$4:$N$1021,14,FALSE))-N157)^2)+(((VLOOKUP($AT$4,$A$4:$O$1021,15,FALSE))-O157)^2))</f>
        <v/>
      </c>
      <c r="AG157" s="129">
        <f>SQRT((((VLOOKUP($AT$4,$A$4:$D$1021,4,FALSE))-D157)^2)+(((VLOOKUP($AT$4,$A$4:$E$1021,5,FALSE))-E157)^2)+(((VLOOKUP($AT$4,$A$4:$R$1021,18,FALSE))-R157)^2)+(((VLOOKUP($AT$4,$A$4:$S$1021,19,FALSE))-S157)^2))</f>
        <v/>
      </c>
      <c r="AJ157" s="125" t="inlineStr">
        <is>
          <t>W16X31</t>
        </is>
      </c>
      <c r="AK157" s="125">
        <f>SQRT(((VLOOKUP($AT$4,$A$4:$J$1021,10,FALSE))-J157)^2)</f>
        <v/>
      </c>
      <c r="AL157" s="125" t="n"/>
      <c r="AM157" s="125" t="n"/>
      <c r="AN157" s="125">
        <f>SQRT(((VLOOKUP($AT$4,$A$4:$R$1021,18,FALSE))-R157)^2)</f>
        <v/>
      </c>
      <c r="AO157" s="125" t="n"/>
      <c r="AP157" s="125" t="n"/>
      <c r="AQ157" s="125" t="inlineStr">
        <is>
          <t>W16X31</t>
        </is>
      </c>
      <c r="BB157" s="125">
        <f>SQRT(($J$1022-J157)^2)</f>
        <v/>
      </c>
      <c r="BC157" s="125">
        <f>SQRT(($R$1022-R157)^2)</f>
        <v/>
      </c>
      <c r="BD157" s="125" t="inlineStr">
        <is>
          <t>W16X31</t>
        </is>
      </c>
      <c r="BI157">
        <f>SQRT(($J$1023-J157)^2)</f>
        <v/>
      </c>
      <c r="BJ157">
        <f>SQRT(($R$1023-R157)^2)</f>
        <v/>
      </c>
      <c r="BK157" s="125" t="inlineStr">
        <is>
          <t>W16X31</t>
        </is>
      </c>
      <c r="BP157">
        <f>SQRT(($J$1024-J157)^2)</f>
        <v/>
      </c>
      <c r="BQ157">
        <f>SQRT(($R$1024-R157)^2)</f>
        <v/>
      </c>
      <c r="BR157" s="125" t="inlineStr">
        <is>
          <t>W16X31</t>
        </is>
      </c>
      <c r="BW157">
        <f>SQRT(($J$1025-J157)^2)</f>
        <v/>
      </c>
      <c r="BX157">
        <f>SQRT(($R$1025-R157)^2)</f>
        <v/>
      </c>
      <c r="BY157" s="125" t="inlineStr">
        <is>
          <t>W16X31</t>
        </is>
      </c>
      <c r="CD157">
        <f>SQRT(($J$1026-J157)^2)</f>
        <v/>
      </c>
      <c r="CE157">
        <f>SQRT(($R$1026-R157)^2)</f>
        <v/>
      </c>
      <c r="CF157" s="125" t="inlineStr">
        <is>
          <t>W16X31</t>
        </is>
      </c>
    </row>
    <row r="158">
      <c r="A158" s="125" t="inlineStr">
        <is>
          <t>W16X36</t>
        </is>
      </c>
      <c r="B158" s="129" t="inlineStr">
        <is>
          <t>AISC</t>
        </is>
      </c>
      <c r="C158" s="125" t="n">
        <v>54.1</v>
      </c>
      <c r="D158" s="125" t="n">
        <v>402.6</v>
      </c>
      <c r="E158" s="125" t="n">
        <v>177.7</v>
      </c>
      <c r="F158" s="125" t="n">
        <v>10.9</v>
      </c>
      <c r="G158" s="125" t="n">
        <v>7.7</v>
      </c>
      <c r="H158" s="125" t="n">
        <v>10.2</v>
      </c>
      <c r="I158" s="125" t="n">
        <v>360.4</v>
      </c>
      <c r="J158" s="125" t="n">
        <v>69</v>
      </c>
      <c r="K158" s="125">
        <f>((E158-G158)/2)/F158</f>
        <v/>
      </c>
      <c r="L158" s="125">
        <f>I158/G158</f>
        <v/>
      </c>
      <c r="M158" s="125" t="n">
        <v>1.48</v>
      </c>
      <c r="N158" s="125" t="n">
        <v>18720</v>
      </c>
      <c r="O158" s="125" t="n">
        <v>1021</v>
      </c>
      <c r="P158" s="125" t="n">
        <v>16.5</v>
      </c>
      <c r="Q158" s="125" t="n">
        <v>3.85</v>
      </c>
      <c r="R158" s="125" t="n">
        <v>930</v>
      </c>
      <c r="S158" s="125" t="n">
        <v>115</v>
      </c>
      <c r="T158" s="125" t="n">
        <v>1055</v>
      </c>
      <c r="U158" s="125" t="n">
        <v>178</v>
      </c>
      <c r="X158" s="129">
        <f t="array" ref="X158">_xlfn.IFS((D158/F158) &lt;= (640/SQRT($AT$32)), "Compact", L158 &lt;= ($AT$32*(0.79-(0.002*((E158-G158/2)/(2*F158))*SQRT($AT$32)))), "Non-Compact", L158 &gt; ($AT$32*(0.79-(0.002*((E158-G158/2)/(2*F158))*SQRT($AT$32)))), "Slender")</f>
        <v/>
      </c>
      <c r="Y158" s="129">
        <f t="array" ref="Y158">_xlfn.IFS(K158 &lt;= (65/SQRT($AT$32)), "Compact", K158 &lt;= (95/SQRT($AT$32)), "Non-Compact", K158 &gt; (95/SQRT($AT$32)), "Slender")</f>
        <v/>
      </c>
      <c r="Z158" s="125">
        <f>E158/F158</f>
        <v/>
      </c>
      <c r="AA158" s="125">
        <f>D158/G158</f>
        <v/>
      </c>
      <c r="AB158" s="125">
        <f t="array" ref="AB158">_xlfn.IFS(Z158 &lt;= 9, "1", Z158 &lt;= 12, "2", Z158 &lt;= 15, "3", Z158 &gt; 15, "4")</f>
        <v/>
      </c>
      <c r="AC158" s="125">
        <f t="array" ref="AC158">_xlfn.IFS(AA158 &lt;= 200, "1", L158 &lt;= 300, "2", L158 &lt;= 400, "3", L158 &gt; 400, "4")</f>
        <v/>
      </c>
      <c r="AD158" s="129">
        <f>SQRT((((VLOOKUP($AT$4,$A$4:$D$1021,4,FALSE))-D158)^2)+(((VLOOKUP($AT$4,$A$4:$E$1021,5,FALSE))-E158)^2)+(((VLOOKUP($AT$4,$A$4:$N$1021,14,FALSE))-N158)^2)+(((VLOOKUP($AT$4,$A$4:$O$1021,15,FALSE))-O158)^2))</f>
        <v/>
      </c>
      <c r="AG158" s="129">
        <f>SQRT((((VLOOKUP($AT$4,$A$4:$D$1021,4,FALSE))-D158)^2)+(((VLOOKUP($AT$4,$A$4:$E$1021,5,FALSE))-E158)^2)+(((VLOOKUP($AT$4,$A$4:$R$1021,18,FALSE))-R158)^2)+(((VLOOKUP($AT$4,$A$4:$S$1021,19,FALSE))-S158)^2))</f>
        <v/>
      </c>
      <c r="AJ158" s="125" t="inlineStr">
        <is>
          <t>W16X36</t>
        </is>
      </c>
      <c r="AK158" s="125">
        <f>SQRT(((VLOOKUP($AT$4,$A$4:$J$1021,10,FALSE))-J158)^2)</f>
        <v/>
      </c>
      <c r="AL158" s="125" t="n"/>
      <c r="AM158" s="125" t="n"/>
      <c r="AN158" s="125">
        <f>SQRT(((VLOOKUP($AT$4,$A$4:$R$1021,18,FALSE))-R158)^2)</f>
        <v/>
      </c>
      <c r="AO158" s="125" t="n"/>
      <c r="AP158" s="125" t="n"/>
      <c r="AQ158" s="125" t="inlineStr">
        <is>
          <t>W16X36</t>
        </is>
      </c>
      <c r="BB158" s="125">
        <f>SQRT(($J$1022-J158)^2)</f>
        <v/>
      </c>
      <c r="BC158" s="125">
        <f>SQRT(($R$1022-R158)^2)</f>
        <v/>
      </c>
      <c r="BD158" s="125" t="inlineStr">
        <is>
          <t>W16X36</t>
        </is>
      </c>
      <c r="BI158">
        <f>SQRT(($J$1023-J158)^2)</f>
        <v/>
      </c>
      <c r="BJ158">
        <f>SQRT(($R$1023-R158)^2)</f>
        <v/>
      </c>
      <c r="BK158" s="125" t="inlineStr">
        <is>
          <t>W16X36</t>
        </is>
      </c>
      <c r="BP158">
        <f>SQRT(($J$1024-J158)^2)</f>
        <v/>
      </c>
      <c r="BQ158">
        <f>SQRT(($R$1024-R158)^2)</f>
        <v/>
      </c>
      <c r="BR158" s="125" t="inlineStr">
        <is>
          <t>W16X36</t>
        </is>
      </c>
      <c r="BW158">
        <f>SQRT(($J$1025-J158)^2)</f>
        <v/>
      </c>
      <c r="BX158">
        <f>SQRT(($R$1025-R158)^2)</f>
        <v/>
      </c>
      <c r="BY158" s="125" t="inlineStr">
        <is>
          <t>W16X36</t>
        </is>
      </c>
      <c r="CD158">
        <f>SQRT(($J$1026-J158)^2)</f>
        <v/>
      </c>
      <c r="CE158">
        <f>SQRT(($R$1026-R158)^2)</f>
        <v/>
      </c>
      <c r="CF158" s="125" t="inlineStr">
        <is>
          <t>W16X36</t>
        </is>
      </c>
    </row>
    <row r="159">
      <c r="A159" s="125" t="inlineStr">
        <is>
          <t>W16X40</t>
        </is>
      </c>
      <c r="B159" s="129" t="inlineStr">
        <is>
          <t>AISC</t>
        </is>
      </c>
      <c r="C159" s="125" t="n">
        <v>60.1</v>
      </c>
      <c r="D159" s="125" t="n">
        <v>406.4</v>
      </c>
      <c r="E159" s="125" t="n">
        <v>177.9</v>
      </c>
      <c r="F159" s="125" t="n">
        <v>12.8</v>
      </c>
      <c r="G159" s="125" t="n">
        <v>7.9</v>
      </c>
      <c r="H159" s="125" t="n">
        <v>10.2</v>
      </c>
      <c r="I159" s="125" t="n">
        <v>360.4</v>
      </c>
      <c r="J159" s="125" t="n">
        <v>76.5</v>
      </c>
      <c r="K159" s="125">
        <f>((E159-G159)/2)/F159</f>
        <v/>
      </c>
      <c r="L159" s="125">
        <f>I159/G159</f>
        <v/>
      </c>
      <c r="M159" s="125" t="n">
        <v>1.49</v>
      </c>
      <c r="N159" s="125" t="n">
        <v>21600</v>
      </c>
      <c r="O159" s="125" t="n">
        <v>1203</v>
      </c>
      <c r="P159" s="125" t="n">
        <v>16.8</v>
      </c>
      <c r="Q159" s="125" t="n">
        <v>3.97</v>
      </c>
      <c r="R159" s="125" t="n">
        <v>1063</v>
      </c>
      <c r="S159" s="125" t="n">
        <v>135</v>
      </c>
      <c r="T159" s="125" t="n">
        <v>1199</v>
      </c>
      <c r="U159" s="125" t="n">
        <v>209</v>
      </c>
      <c r="X159" s="129">
        <f t="array" ref="X159">_xlfn.IFS((D159/F159) &lt;= (640/SQRT($AT$32)), "Compact", L159 &lt;= ($AT$32*(0.79-(0.002*((E159-G159/2)/(2*F159))*SQRT($AT$32)))), "Non-Compact", L159 &gt; ($AT$32*(0.79-(0.002*((E159-G159/2)/(2*F159))*SQRT($AT$32)))), "Slender")</f>
        <v/>
      </c>
      <c r="Y159" s="129">
        <f t="array" ref="Y159">_xlfn.IFS(K159 &lt;= (65/SQRT($AT$32)), "Compact", K159 &lt;= (95/SQRT($AT$32)), "Non-Compact", K159 &gt; (95/SQRT($AT$32)), "Slender")</f>
        <v/>
      </c>
      <c r="Z159" s="125">
        <f>E159/F159</f>
        <v/>
      </c>
      <c r="AA159" s="125">
        <f>D159/G159</f>
        <v/>
      </c>
      <c r="AB159" s="125">
        <f t="array" ref="AB159">_xlfn.IFS(Z159 &lt;= 9, "1", Z159 &lt;= 12, "2", Z159 &lt;= 15, "3", Z159 &gt; 15, "4")</f>
        <v/>
      </c>
      <c r="AC159" s="125">
        <f t="array" ref="AC159">_xlfn.IFS(AA159 &lt;= 200, "1", L159 &lt;= 300, "2", L159 &lt;= 400, "3", L159 &gt; 400, "4")</f>
        <v/>
      </c>
      <c r="AD159" s="129">
        <f>SQRT((((VLOOKUP($AT$4,$A$4:$D$1021,4,FALSE))-D159)^2)+(((VLOOKUP($AT$4,$A$4:$E$1021,5,FALSE))-E159)^2)+(((VLOOKUP($AT$4,$A$4:$N$1021,14,FALSE))-N159)^2)+(((VLOOKUP($AT$4,$A$4:$O$1021,15,FALSE))-O159)^2))</f>
        <v/>
      </c>
      <c r="AG159" s="129">
        <f>SQRT((((VLOOKUP($AT$4,$A$4:$D$1021,4,FALSE))-D159)^2)+(((VLOOKUP($AT$4,$A$4:$E$1021,5,FALSE))-E159)^2)+(((VLOOKUP($AT$4,$A$4:$R$1021,18,FALSE))-R159)^2)+(((VLOOKUP($AT$4,$A$4:$S$1021,19,FALSE))-S159)^2))</f>
        <v/>
      </c>
      <c r="AJ159" s="125" t="inlineStr">
        <is>
          <t>W16X40</t>
        </is>
      </c>
      <c r="AK159" s="125">
        <f>SQRT(((VLOOKUP($AT$4,$A$4:$J$1021,10,FALSE))-J159)^2)</f>
        <v/>
      </c>
      <c r="AL159" s="125" t="n"/>
      <c r="AM159" s="125" t="n"/>
      <c r="AN159" s="125">
        <f>SQRT(((VLOOKUP($AT$4,$A$4:$R$1021,18,FALSE))-R159)^2)</f>
        <v/>
      </c>
      <c r="AO159" s="125" t="n"/>
      <c r="AP159" s="125" t="n"/>
      <c r="AQ159" s="125" t="inlineStr">
        <is>
          <t>W16X40</t>
        </is>
      </c>
      <c r="BB159" s="125">
        <f>SQRT(($J$1022-J159)^2)</f>
        <v/>
      </c>
      <c r="BC159" s="125">
        <f>SQRT(($R$1022-R159)^2)</f>
        <v/>
      </c>
      <c r="BD159" s="125" t="inlineStr">
        <is>
          <t>W16X40</t>
        </is>
      </c>
      <c r="BI159">
        <f>SQRT(($J$1023-J159)^2)</f>
        <v/>
      </c>
      <c r="BJ159">
        <f>SQRT(($R$1023-R159)^2)</f>
        <v/>
      </c>
      <c r="BK159" s="125" t="inlineStr">
        <is>
          <t>W16X40</t>
        </is>
      </c>
      <c r="BP159">
        <f>SQRT(($J$1024-J159)^2)</f>
        <v/>
      </c>
      <c r="BQ159">
        <f>SQRT(($R$1024-R159)^2)</f>
        <v/>
      </c>
      <c r="BR159" s="125" t="inlineStr">
        <is>
          <t>W16X40</t>
        </is>
      </c>
      <c r="BW159">
        <f>SQRT(($J$1025-J159)^2)</f>
        <v/>
      </c>
      <c r="BX159">
        <f>SQRT(($R$1025-R159)^2)</f>
        <v/>
      </c>
      <c r="BY159" s="125" t="inlineStr">
        <is>
          <t>W16X40</t>
        </is>
      </c>
      <c r="CD159">
        <f>SQRT(($J$1026-J159)^2)</f>
        <v/>
      </c>
      <c r="CE159">
        <f>SQRT(($R$1026-R159)^2)</f>
        <v/>
      </c>
      <c r="CF159" s="125" t="inlineStr">
        <is>
          <t>W16X40</t>
        </is>
      </c>
    </row>
    <row r="160">
      <c r="A160" s="125" t="inlineStr">
        <is>
          <t>W16X45</t>
        </is>
      </c>
      <c r="B160" s="129" t="inlineStr">
        <is>
          <t>AISC</t>
        </is>
      </c>
      <c r="C160" s="125" t="n">
        <v>67.09999999999999</v>
      </c>
      <c r="D160" s="125" t="n">
        <v>409.4</v>
      </c>
      <c r="E160" s="125" t="n">
        <v>178.8</v>
      </c>
      <c r="F160" s="125" t="n">
        <v>14.3</v>
      </c>
      <c r="G160" s="125" t="n">
        <v>8.800000000000001</v>
      </c>
      <c r="H160" s="125" t="n">
        <v>10.2</v>
      </c>
      <c r="I160" s="125" t="n">
        <v>360.4</v>
      </c>
      <c r="J160" s="125" t="n">
        <v>85.5</v>
      </c>
      <c r="K160" s="125">
        <f>((E160-G160)/2)/F160</f>
        <v/>
      </c>
      <c r="L160" s="125">
        <f>I160/G160</f>
        <v/>
      </c>
      <c r="M160" s="125" t="n">
        <v>1.5</v>
      </c>
      <c r="N160" s="125" t="n">
        <v>24330</v>
      </c>
      <c r="O160" s="125" t="n">
        <v>1365</v>
      </c>
      <c r="P160" s="125" t="n">
        <v>16.9</v>
      </c>
      <c r="Q160" s="125" t="n">
        <v>3.99</v>
      </c>
      <c r="R160" s="125" t="n">
        <v>1189</v>
      </c>
      <c r="S160" s="125" t="n">
        <v>153</v>
      </c>
      <c r="T160" s="125" t="n">
        <v>1346</v>
      </c>
      <c r="U160" s="125" t="n">
        <v>237</v>
      </c>
      <c r="X160" s="129">
        <f t="array" ref="X160">_xlfn.IFS((D160/F160) &lt;= (640/SQRT($AT$32)), "Compact", L160 &lt;= ($AT$32*(0.79-(0.002*((E160-G160/2)/(2*F160))*SQRT($AT$32)))), "Non-Compact", L160 &gt; ($AT$32*(0.79-(0.002*((E160-G160/2)/(2*F160))*SQRT($AT$32)))), "Slender")</f>
        <v/>
      </c>
      <c r="Y160" s="129">
        <f t="array" ref="Y160">_xlfn.IFS(K160 &lt;= (65/SQRT($AT$32)), "Compact", K160 &lt;= (95/SQRT($AT$32)), "Non-Compact", K160 &gt; (95/SQRT($AT$32)), "Slender")</f>
        <v/>
      </c>
      <c r="Z160" s="125">
        <f>E160/F160</f>
        <v/>
      </c>
      <c r="AA160" s="125">
        <f>D160/G160</f>
        <v/>
      </c>
      <c r="AB160" s="125">
        <f t="array" ref="AB160">_xlfn.IFS(Z160 &lt;= 9, "1", Z160 &lt;= 12, "2", Z160 &lt;= 15, "3", Z160 &gt; 15, "4")</f>
        <v/>
      </c>
      <c r="AC160" s="125">
        <f t="array" ref="AC160">_xlfn.IFS(AA160 &lt;= 200, "1", L160 &lt;= 300, "2", L160 &lt;= 400, "3", L160 &gt; 400, "4")</f>
        <v/>
      </c>
      <c r="AD160" s="129">
        <f>SQRT((((VLOOKUP($AT$4,$A$4:$D$1021,4,FALSE))-D160)^2)+(((VLOOKUP($AT$4,$A$4:$E$1021,5,FALSE))-E160)^2)+(((VLOOKUP($AT$4,$A$4:$N$1021,14,FALSE))-N160)^2)+(((VLOOKUP($AT$4,$A$4:$O$1021,15,FALSE))-O160)^2))</f>
        <v/>
      </c>
      <c r="AG160" s="129">
        <f>SQRT((((VLOOKUP($AT$4,$A$4:$D$1021,4,FALSE))-D160)^2)+(((VLOOKUP($AT$4,$A$4:$E$1021,5,FALSE))-E160)^2)+(((VLOOKUP($AT$4,$A$4:$R$1021,18,FALSE))-R160)^2)+(((VLOOKUP($AT$4,$A$4:$S$1021,19,FALSE))-S160)^2))</f>
        <v/>
      </c>
      <c r="AJ160" s="125" t="inlineStr">
        <is>
          <t>W16X45</t>
        </is>
      </c>
      <c r="AK160" s="125">
        <f>SQRT(((VLOOKUP($AT$4,$A$4:$J$1021,10,FALSE))-J160)^2)</f>
        <v/>
      </c>
      <c r="AL160" s="125" t="n"/>
      <c r="AM160" s="125" t="n"/>
      <c r="AN160" s="125">
        <f>SQRT(((VLOOKUP($AT$4,$A$4:$R$1021,18,FALSE))-R160)^2)</f>
        <v/>
      </c>
      <c r="AO160" s="125" t="n"/>
      <c r="AP160" s="125" t="n"/>
      <c r="AQ160" s="125" t="inlineStr">
        <is>
          <t>W16X45</t>
        </is>
      </c>
      <c r="BB160" s="125">
        <f>SQRT(($J$1022-J160)^2)</f>
        <v/>
      </c>
      <c r="BC160" s="125">
        <f>SQRT(($R$1022-R160)^2)</f>
        <v/>
      </c>
      <c r="BD160" s="125" t="inlineStr">
        <is>
          <t>W16X45</t>
        </is>
      </c>
      <c r="BI160">
        <f>SQRT(($J$1023-J160)^2)</f>
        <v/>
      </c>
      <c r="BJ160">
        <f>SQRT(($R$1023-R160)^2)</f>
        <v/>
      </c>
      <c r="BK160" s="125" t="inlineStr">
        <is>
          <t>W16X45</t>
        </is>
      </c>
      <c r="BP160">
        <f>SQRT(($J$1024-J160)^2)</f>
        <v/>
      </c>
      <c r="BQ160">
        <f>SQRT(($R$1024-R160)^2)</f>
        <v/>
      </c>
      <c r="BR160" s="125" t="inlineStr">
        <is>
          <t>W16X45</t>
        </is>
      </c>
      <c r="BW160">
        <f>SQRT(($J$1025-J160)^2)</f>
        <v/>
      </c>
      <c r="BX160">
        <f>SQRT(($R$1025-R160)^2)</f>
        <v/>
      </c>
      <c r="BY160" s="125" t="inlineStr">
        <is>
          <t>W16X45</t>
        </is>
      </c>
      <c r="CD160">
        <f>SQRT(($J$1026-J160)^2)</f>
        <v/>
      </c>
      <c r="CE160">
        <f>SQRT(($R$1026-R160)^2)</f>
        <v/>
      </c>
      <c r="CF160" s="125" t="inlineStr">
        <is>
          <t>W16X45</t>
        </is>
      </c>
    </row>
    <row r="161">
      <c r="A161" s="125" t="inlineStr">
        <is>
          <t>W16X50</t>
        </is>
      </c>
      <c r="B161" s="129" t="inlineStr">
        <is>
          <t>AISC</t>
        </is>
      </c>
      <c r="C161" s="125" t="n">
        <v>74.2</v>
      </c>
      <c r="D161" s="125" t="n">
        <v>412.8</v>
      </c>
      <c r="E161" s="125" t="n">
        <v>179.5</v>
      </c>
      <c r="F161" s="125" t="n">
        <v>16</v>
      </c>
      <c r="G161" s="125" t="n">
        <v>9.5</v>
      </c>
      <c r="H161" s="125" t="n">
        <v>10.2</v>
      </c>
      <c r="I161" s="125" t="n">
        <v>360.4</v>
      </c>
      <c r="J161" s="125" t="n">
        <v>94.5</v>
      </c>
      <c r="K161" s="125">
        <f>((E161-G161)/2)/F161</f>
        <v/>
      </c>
      <c r="L161" s="125">
        <f>I161/G161</f>
        <v/>
      </c>
      <c r="M161" s="125" t="n">
        <v>1.51</v>
      </c>
      <c r="N161" s="125" t="n">
        <v>27310</v>
      </c>
      <c r="O161" s="125" t="n">
        <v>1546</v>
      </c>
      <c r="P161" s="125" t="n">
        <v>17</v>
      </c>
      <c r="Q161" s="125" t="n">
        <v>4.04</v>
      </c>
      <c r="R161" s="125" t="n">
        <v>1323</v>
      </c>
      <c r="S161" s="125" t="n">
        <v>172</v>
      </c>
      <c r="T161" s="125" t="n">
        <v>1501</v>
      </c>
      <c r="U161" s="125" t="n">
        <v>267</v>
      </c>
      <c r="X161" s="129">
        <f t="array" ref="X161">_xlfn.IFS((D161/F161) &lt;= (640/SQRT($AT$32)), "Compact", L161 &lt;= ($AT$32*(0.79-(0.002*((E161-G161/2)/(2*F161))*SQRT($AT$32)))), "Non-Compact", L161 &gt; ($AT$32*(0.79-(0.002*((E161-G161/2)/(2*F161))*SQRT($AT$32)))), "Slender")</f>
        <v/>
      </c>
      <c r="Y161" s="129">
        <f t="array" ref="Y161">_xlfn.IFS(K161 &lt;= (65/SQRT($AT$32)), "Compact", K161 &lt;= (95/SQRT($AT$32)), "Non-Compact", K161 &gt; (95/SQRT($AT$32)), "Slender")</f>
        <v/>
      </c>
      <c r="Z161" s="125">
        <f>E161/F161</f>
        <v/>
      </c>
      <c r="AA161" s="125">
        <f>D161/G161</f>
        <v/>
      </c>
      <c r="AB161" s="125">
        <f t="array" ref="AB161">_xlfn.IFS(Z161 &lt;= 9, "1", Z161 &lt;= 12, "2", Z161 &lt;= 15, "3", Z161 &gt; 15, "4")</f>
        <v/>
      </c>
      <c r="AC161" s="125">
        <f t="array" ref="AC161">_xlfn.IFS(AA161 &lt;= 200, "1", L161 &lt;= 300, "2", L161 &lt;= 400, "3", L161 &gt; 400, "4")</f>
        <v/>
      </c>
      <c r="AD161" s="129">
        <f>SQRT((((VLOOKUP($AT$4,$A$4:$D$1021,4,FALSE))-D161)^2)+(((VLOOKUP($AT$4,$A$4:$E$1021,5,FALSE))-E161)^2)+(((VLOOKUP($AT$4,$A$4:$N$1021,14,FALSE))-N161)^2)+(((VLOOKUP($AT$4,$A$4:$O$1021,15,FALSE))-O161)^2))</f>
        <v/>
      </c>
      <c r="AG161" s="129">
        <f>SQRT((((VLOOKUP($AT$4,$A$4:$D$1021,4,FALSE))-D161)^2)+(((VLOOKUP($AT$4,$A$4:$E$1021,5,FALSE))-E161)^2)+(((VLOOKUP($AT$4,$A$4:$R$1021,18,FALSE))-R161)^2)+(((VLOOKUP($AT$4,$A$4:$S$1021,19,FALSE))-S161)^2))</f>
        <v/>
      </c>
      <c r="AJ161" s="125" t="inlineStr">
        <is>
          <t>W16X50</t>
        </is>
      </c>
      <c r="AK161" s="125">
        <f>SQRT(((VLOOKUP($AT$4,$A$4:$J$1021,10,FALSE))-J161)^2)</f>
        <v/>
      </c>
      <c r="AL161" s="125" t="n"/>
      <c r="AM161" s="125" t="n"/>
      <c r="AN161" s="125">
        <f>SQRT(((VLOOKUP($AT$4,$A$4:$R$1021,18,FALSE))-R161)^2)</f>
        <v/>
      </c>
      <c r="AO161" s="125" t="n"/>
      <c r="AP161" s="125" t="n"/>
      <c r="AQ161" s="125" t="inlineStr">
        <is>
          <t>W16X50</t>
        </is>
      </c>
      <c r="BB161" s="125">
        <f>SQRT(($J$1022-J161)^2)</f>
        <v/>
      </c>
      <c r="BC161" s="125">
        <f>SQRT(($R$1022-R161)^2)</f>
        <v/>
      </c>
      <c r="BD161" s="125" t="inlineStr">
        <is>
          <t>W16X50</t>
        </is>
      </c>
      <c r="BI161">
        <f>SQRT(($J$1023-J161)^2)</f>
        <v/>
      </c>
      <c r="BJ161">
        <f>SQRT(($R$1023-R161)^2)</f>
        <v/>
      </c>
      <c r="BK161" s="125" t="inlineStr">
        <is>
          <t>W16X50</t>
        </is>
      </c>
      <c r="BP161">
        <f>SQRT(($J$1024-J161)^2)</f>
        <v/>
      </c>
      <c r="BQ161">
        <f>SQRT(($R$1024-R161)^2)</f>
        <v/>
      </c>
      <c r="BR161" s="125" t="inlineStr">
        <is>
          <t>W16X50</t>
        </is>
      </c>
      <c r="BW161">
        <f>SQRT(($J$1025-J161)^2)</f>
        <v/>
      </c>
      <c r="BX161">
        <f>SQRT(($R$1025-R161)^2)</f>
        <v/>
      </c>
      <c r="BY161" s="125" t="inlineStr">
        <is>
          <t>W16X50</t>
        </is>
      </c>
      <c r="CD161">
        <f>SQRT(($J$1026-J161)^2)</f>
        <v/>
      </c>
      <c r="CE161">
        <f>SQRT(($R$1026-R161)^2)</f>
        <v/>
      </c>
      <c r="CF161" s="125" t="inlineStr">
        <is>
          <t>W16X50</t>
        </is>
      </c>
    </row>
    <row r="162">
      <c r="A162" s="125" t="inlineStr">
        <is>
          <t>W16X57</t>
        </is>
      </c>
      <c r="B162" s="129" t="inlineStr">
        <is>
          <t>AISC</t>
        </is>
      </c>
      <c r="C162" s="125" t="n">
        <v>84.8</v>
      </c>
      <c r="D162" s="125" t="n">
        <v>417.3</v>
      </c>
      <c r="E162" s="125" t="n">
        <v>180.8</v>
      </c>
      <c r="F162" s="125" t="n">
        <v>18.2</v>
      </c>
      <c r="G162" s="125" t="n">
        <v>10.9</v>
      </c>
      <c r="H162" s="125" t="n">
        <v>10.2</v>
      </c>
      <c r="I162" s="125" t="n">
        <v>360.6</v>
      </c>
      <c r="J162" s="125" t="n">
        <v>108</v>
      </c>
      <c r="K162" s="125">
        <f>((E162-G162)/2)/F162</f>
        <v/>
      </c>
      <c r="L162" s="125">
        <f>I162/G162</f>
        <v/>
      </c>
      <c r="M162" s="125" t="n">
        <v>1.52</v>
      </c>
      <c r="N162" s="125" t="n">
        <v>31520</v>
      </c>
      <c r="O162" s="125" t="n">
        <v>1794</v>
      </c>
      <c r="P162" s="125" t="n">
        <v>17.1</v>
      </c>
      <c r="Q162" s="125" t="n">
        <v>4.07</v>
      </c>
      <c r="R162" s="125" t="n">
        <v>1511</v>
      </c>
      <c r="S162" s="125" t="n">
        <v>198</v>
      </c>
      <c r="T162" s="125" t="n">
        <v>1724</v>
      </c>
      <c r="U162" s="125" t="n">
        <v>309</v>
      </c>
      <c r="X162" s="129">
        <f t="array" ref="X162">_xlfn.IFS((D162/F162) &lt;= (640/SQRT($AT$32)), "Compact", L162 &lt;= ($AT$32*(0.79-(0.002*((E162-G162/2)/(2*F162))*SQRT($AT$32)))), "Non-Compact", L162 &gt; ($AT$32*(0.79-(0.002*((E162-G162/2)/(2*F162))*SQRT($AT$32)))), "Slender")</f>
        <v/>
      </c>
      <c r="Y162" s="129">
        <f t="array" ref="Y162">_xlfn.IFS(K162 &lt;= (65/SQRT($AT$32)), "Compact", K162 &lt;= (95/SQRT($AT$32)), "Non-Compact", K162 &gt; (95/SQRT($AT$32)), "Slender")</f>
        <v/>
      </c>
      <c r="Z162" s="125">
        <f>E162/F162</f>
        <v/>
      </c>
      <c r="AA162" s="125">
        <f>D162/G162</f>
        <v/>
      </c>
      <c r="AB162" s="125">
        <f t="array" ref="AB162">_xlfn.IFS(Z162 &lt;= 9, "1", Z162 &lt;= 12, "2", Z162 &lt;= 15, "3", Z162 &gt; 15, "4")</f>
        <v/>
      </c>
      <c r="AC162" s="125">
        <f t="array" ref="AC162">_xlfn.IFS(AA162 &lt;= 200, "1", L162 &lt;= 300, "2", L162 &lt;= 400, "3", L162 &gt; 400, "4")</f>
        <v/>
      </c>
      <c r="AD162" s="129">
        <f>SQRT((((VLOOKUP($AT$4,$A$4:$D$1021,4,FALSE))-D162)^2)+(((VLOOKUP($AT$4,$A$4:$E$1021,5,FALSE))-E162)^2)+(((VLOOKUP($AT$4,$A$4:$N$1021,14,FALSE))-N162)^2)+(((VLOOKUP($AT$4,$A$4:$O$1021,15,FALSE))-O162)^2))</f>
        <v/>
      </c>
      <c r="AG162" s="129">
        <f>SQRT((((VLOOKUP($AT$4,$A$4:$D$1021,4,FALSE))-D162)^2)+(((VLOOKUP($AT$4,$A$4:$E$1021,5,FALSE))-E162)^2)+(((VLOOKUP($AT$4,$A$4:$R$1021,18,FALSE))-R162)^2)+(((VLOOKUP($AT$4,$A$4:$S$1021,19,FALSE))-S162)^2))</f>
        <v/>
      </c>
      <c r="AJ162" s="125" t="inlineStr">
        <is>
          <t>W16X57</t>
        </is>
      </c>
      <c r="AK162" s="125">
        <f>SQRT(((VLOOKUP($AT$4,$A$4:$J$1021,10,FALSE))-J162)^2)</f>
        <v/>
      </c>
      <c r="AL162" s="125" t="n"/>
      <c r="AM162" s="125" t="n"/>
      <c r="AN162" s="125">
        <f>SQRT(((VLOOKUP($AT$4,$A$4:$R$1021,18,FALSE))-R162)^2)</f>
        <v/>
      </c>
      <c r="AO162" s="125" t="n"/>
      <c r="AP162" s="125" t="n"/>
      <c r="AQ162" s="125" t="inlineStr">
        <is>
          <t>W16X57</t>
        </is>
      </c>
      <c r="BB162" s="125">
        <f>SQRT(($J$1022-J162)^2)</f>
        <v/>
      </c>
      <c r="BC162" s="125">
        <f>SQRT(($R$1022-R162)^2)</f>
        <v/>
      </c>
      <c r="BD162" s="125" t="inlineStr">
        <is>
          <t>W16X57</t>
        </is>
      </c>
      <c r="BI162">
        <f>SQRT(($J$1023-J162)^2)</f>
        <v/>
      </c>
      <c r="BJ162">
        <f>SQRT(($R$1023-R162)^2)</f>
        <v/>
      </c>
      <c r="BK162" s="125" t="inlineStr">
        <is>
          <t>W16X57</t>
        </is>
      </c>
      <c r="BP162">
        <f>SQRT(($J$1024-J162)^2)</f>
        <v/>
      </c>
      <c r="BQ162">
        <f>SQRT(($R$1024-R162)^2)</f>
        <v/>
      </c>
      <c r="BR162" s="125" t="inlineStr">
        <is>
          <t>W16X57</t>
        </is>
      </c>
      <c r="BW162">
        <f>SQRT(($J$1025-J162)^2)</f>
        <v/>
      </c>
      <c r="BX162">
        <f>SQRT(($R$1025-R162)^2)</f>
        <v/>
      </c>
      <c r="BY162" s="125" t="inlineStr">
        <is>
          <t>W16X57</t>
        </is>
      </c>
      <c r="CD162">
        <f>SQRT(($J$1026-J162)^2)</f>
        <v/>
      </c>
      <c r="CE162">
        <f>SQRT(($R$1026-R162)^2)</f>
        <v/>
      </c>
      <c r="CF162" s="125" t="inlineStr">
        <is>
          <t>W16X57</t>
        </is>
      </c>
    </row>
    <row r="163">
      <c r="A163" s="125" t="inlineStr">
        <is>
          <t>W16X67</t>
        </is>
      </c>
      <c r="B163" s="129" t="inlineStr">
        <is>
          <t>AISC</t>
        </is>
      </c>
      <c r="C163" s="125" t="n">
        <v>99.7</v>
      </c>
      <c r="D163" s="125" t="n">
        <v>414.8</v>
      </c>
      <c r="E163" s="125" t="n">
        <v>260</v>
      </c>
      <c r="F163" s="125" t="n">
        <v>16.9</v>
      </c>
      <c r="G163" s="125" t="n">
        <v>10</v>
      </c>
      <c r="H163" s="125" t="n">
        <v>10.2</v>
      </c>
      <c r="I163" s="125" t="n">
        <v>360.6</v>
      </c>
      <c r="J163" s="125" t="n">
        <v>127</v>
      </c>
      <c r="K163" s="125">
        <f>((E163-G163)/2)/F163</f>
        <v/>
      </c>
      <c r="L163" s="125">
        <f>I163/G163</f>
        <v/>
      </c>
      <c r="M163" s="125" t="n">
        <v>1.83</v>
      </c>
      <c r="N163" s="125" t="n">
        <v>39730</v>
      </c>
      <c r="O163" s="125" t="n">
        <v>4951</v>
      </c>
      <c r="P163" s="125" t="n">
        <v>17.7</v>
      </c>
      <c r="Q163" s="125" t="n">
        <v>6.25</v>
      </c>
      <c r="R163" s="125" t="n">
        <v>1915</v>
      </c>
      <c r="S163" s="125" t="n">
        <v>381</v>
      </c>
      <c r="T163" s="125" t="n">
        <v>2128</v>
      </c>
      <c r="U163" s="125" t="n">
        <v>581</v>
      </c>
      <c r="X163" s="129">
        <f t="array" ref="X163">_xlfn.IFS((D163/F163) &lt;= (640/SQRT($AT$32)), "Compact", L163 &lt;= ($AT$32*(0.79-(0.002*((E163-G163/2)/(2*F163))*SQRT($AT$32)))), "Non-Compact", L163 &gt; ($AT$32*(0.79-(0.002*((E163-G163/2)/(2*F163))*SQRT($AT$32)))), "Slender")</f>
        <v/>
      </c>
      <c r="Y163" s="129">
        <f t="array" ref="Y163">_xlfn.IFS(K163 &lt;= (65/SQRT($AT$32)), "Compact", K163 &lt;= (95/SQRT($AT$32)), "Non-Compact", K163 &gt; (95/SQRT($AT$32)), "Slender")</f>
        <v/>
      </c>
      <c r="Z163" s="125">
        <f>E163/F163</f>
        <v/>
      </c>
      <c r="AA163" s="125">
        <f>D163/G163</f>
        <v/>
      </c>
      <c r="AB163" s="125">
        <f t="array" ref="AB163">_xlfn.IFS(Z163 &lt;= 9, "1", Z163 &lt;= 12, "2", Z163 &lt;= 15, "3", Z163 &gt; 15, "4")</f>
        <v/>
      </c>
      <c r="AC163" s="125">
        <f t="array" ref="AC163">_xlfn.IFS(AA163 &lt;= 200, "1", L163 &lt;= 300, "2", L163 &lt;= 400, "3", L163 &gt; 400, "4")</f>
        <v/>
      </c>
      <c r="AD163" s="129">
        <f>SQRT((((VLOOKUP($AT$4,$A$4:$D$1021,4,FALSE))-D163)^2)+(((VLOOKUP($AT$4,$A$4:$E$1021,5,FALSE))-E163)^2)+(((VLOOKUP($AT$4,$A$4:$N$1021,14,FALSE))-N163)^2)+(((VLOOKUP($AT$4,$A$4:$O$1021,15,FALSE))-O163)^2))</f>
        <v/>
      </c>
      <c r="AG163" s="129">
        <f>SQRT((((VLOOKUP($AT$4,$A$4:$D$1021,4,FALSE))-D163)^2)+(((VLOOKUP($AT$4,$A$4:$E$1021,5,FALSE))-E163)^2)+(((VLOOKUP($AT$4,$A$4:$R$1021,18,FALSE))-R163)^2)+(((VLOOKUP($AT$4,$A$4:$S$1021,19,FALSE))-S163)^2))</f>
        <v/>
      </c>
      <c r="AJ163" s="125" t="inlineStr">
        <is>
          <t>W16X67</t>
        </is>
      </c>
      <c r="AK163" s="125">
        <f>SQRT(((VLOOKUP($AT$4,$A$4:$J$1021,10,FALSE))-J163)^2)</f>
        <v/>
      </c>
      <c r="AL163" s="125" t="n"/>
      <c r="AM163" s="125" t="n"/>
      <c r="AN163" s="125">
        <f>SQRT(((VLOOKUP($AT$4,$A$4:$R$1021,18,FALSE))-R163)^2)</f>
        <v/>
      </c>
      <c r="AO163" s="125" t="n"/>
      <c r="AP163" s="125" t="n"/>
      <c r="AQ163" s="125" t="inlineStr">
        <is>
          <t>W16X67</t>
        </is>
      </c>
      <c r="BB163" s="125">
        <f>SQRT(($J$1022-J163)^2)</f>
        <v/>
      </c>
      <c r="BC163" s="125">
        <f>SQRT(($R$1022-R163)^2)</f>
        <v/>
      </c>
      <c r="BD163" s="125" t="inlineStr">
        <is>
          <t>W16X67</t>
        </is>
      </c>
      <c r="BI163">
        <f>SQRT(($J$1023-J163)^2)</f>
        <v/>
      </c>
      <c r="BJ163">
        <f>SQRT(($R$1023-R163)^2)</f>
        <v/>
      </c>
      <c r="BK163" s="125" t="inlineStr">
        <is>
          <t>W16X67</t>
        </is>
      </c>
      <c r="BP163">
        <f>SQRT(($J$1024-J163)^2)</f>
        <v/>
      </c>
      <c r="BQ163">
        <f>SQRT(($R$1024-R163)^2)</f>
        <v/>
      </c>
      <c r="BR163" s="125" t="inlineStr">
        <is>
          <t>W16X67</t>
        </is>
      </c>
      <c r="BW163">
        <f>SQRT(($J$1025-J163)^2)</f>
        <v/>
      </c>
      <c r="BX163">
        <f>SQRT(($R$1025-R163)^2)</f>
        <v/>
      </c>
      <c r="BY163" s="125" t="inlineStr">
        <is>
          <t>W16X67</t>
        </is>
      </c>
      <c r="CD163">
        <f>SQRT(($J$1026-J163)^2)</f>
        <v/>
      </c>
      <c r="CE163">
        <f>SQRT(($R$1026-R163)^2)</f>
        <v/>
      </c>
      <c r="CF163" s="125" t="inlineStr">
        <is>
          <t>W16X67</t>
        </is>
      </c>
    </row>
    <row r="164">
      <c r="A164" s="125" t="inlineStr">
        <is>
          <t>W16X77</t>
        </is>
      </c>
      <c r="B164" s="129" t="inlineStr">
        <is>
          <t>AISC</t>
        </is>
      </c>
      <c r="C164" s="125" t="n">
        <v>114.6</v>
      </c>
      <c r="D164" s="125" t="n">
        <v>419.6</v>
      </c>
      <c r="E164" s="125" t="n">
        <v>261.5</v>
      </c>
      <c r="F164" s="125" t="n">
        <v>19.3</v>
      </c>
      <c r="G164" s="125" t="n">
        <v>11.6</v>
      </c>
      <c r="H164" s="125" t="n">
        <v>10.2</v>
      </c>
      <c r="I164" s="125" t="n">
        <v>360.6</v>
      </c>
      <c r="J164" s="125" t="n">
        <v>146</v>
      </c>
      <c r="K164" s="125">
        <f>((E164-G164)/2)/F164</f>
        <v/>
      </c>
      <c r="L164" s="125">
        <f>I164/G164</f>
        <v/>
      </c>
      <c r="M164" s="125" t="n">
        <v>1.84</v>
      </c>
      <c r="N164" s="125" t="n">
        <v>46110</v>
      </c>
      <c r="O164" s="125" t="n">
        <v>5758</v>
      </c>
      <c r="P164" s="125" t="n">
        <v>17.8</v>
      </c>
      <c r="Q164" s="125" t="n">
        <v>6.28</v>
      </c>
      <c r="R164" s="125" t="n">
        <v>2198</v>
      </c>
      <c r="S164" s="125" t="n">
        <v>440</v>
      </c>
      <c r="T164" s="125" t="n">
        <v>2457</v>
      </c>
      <c r="U164" s="125" t="n">
        <v>673</v>
      </c>
      <c r="X164" s="129">
        <f t="array" ref="X164">_xlfn.IFS((D164/F164) &lt;= (640/SQRT($AT$32)), "Compact", L164 &lt;= ($AT$32*(0.79-(0.002*((E164-G164/2)/(2*F164))*SQRT($AT$32)))), "Non-Compact", L164 &gt; ($AT$32*(0.79-(0.002*((E164-G164/2)/(2*F164))*SQRT($AT$32)))), "Slender")</f>
        <v/>
      </c>
      <c r="Y164" s="129">
        <f t="array" ref="Y164">_xlfn.IFS(K164 &lt;= (65/SQRT($AT$32)), "Compact", K164 &lt;= (95/SQRT($AT$32)), "Non-Compact", K164 &gt; (95/SQRT($AT$32)), "Slender")</f>
        <v/>
      </c>
      <c r="Z164" s="125">
        <f>E164/F164</f>
        <v/>
      </c>
      <c r="AA164" s="125">
        <f>D164/G164</f>
        <v/>
      </c>
      <c r="AB164" s="125">
        <f t="array" ref="AB164">_xlfn.IFS(Z164 &lt;= 9, "1", Z164 &lt;= 12, "2", Z164 &lt;= 15, "3", Z164 &gt; 15, "4")</f>
        <v/>
      </c>
      <c r="AC164" s="125">
        <f t="array" ref="AC164">_xlfn.IFS(AA164 &lt;= 200, "1", L164 &lt;= 300, "2", L164 &lt;= 400, "3", L164 &gt; 400, "4")</f>
        <v/>
      </c>
      <c r="AD164" s="129">
        <f>SQRT((((VLOOKUP($AT$4,$A$4:$D$1021,4,FALSE))-D164)^2)+(((VLOOKUP($AT$4,$A$4:$E$1021,5,FALSE))-E164)^2)+(((VLOOKUP($AT$4,$A$4:$N$1021,14,FALSE))-N164)^2)+(((VLOOKUP($AT$4,$A$4:$O$1021,15,FALSE))-O164)^2))</f>
        <v/>
      </c>
      <c r="AG164" s="129">
        <f>SQRT((((VLOOKUP($AT$4,$A$4:$D$1021,4,FALSE))-D164)^2)+(((VLOOKUP($AT$4,$A$4:$E$1021,5,FALSE))-E164)^2)+(((VLOOKUP($AT$4,$A$4:$R$1021,18,FALSE))-R164)^2)+(((VLOOKUP($AT$4,$A$4:$S$1021,19,FALSE))-S164)^2))</f>
        <v/>
      </c>
      <c r="AJ164" s="125" t="inlineStr">
        <is>
          <t>W16X77</t>
        </is>
      </c>
      <c r="AK164" s="125">
        <f>SQRT(((VLOOKUP($AT$4,$A$4:$J$1021,10,FALSE))-J164)^2)</f>
        <v/>
      </c>
      <c r="AL164" s="125" t="n"/>
      <c r="AM164" s="125" t="n"/>
      <c r="AN164" s="125">
        <f>SQRT(((VLOOKUP($AT$4,$A$4:$R$1021,18,FALSE))-R164)^2)</f>
        <v/>
      </c>
      <c r="AO164" s="125" t="n"/>
      <c r="AP164" s="125" t="n"/>
      <c r="AQ164" s="125" t="inlineStr">
        <is>
          <t>W16X77</t>
        </is>
      </c>
      <c r="BB164" s="125">
        <f>SQRT(($J$1022-J164)^2)</f>
        <v/>
      </c>
      <c r="BC164" s="125">
        <f>SQRT(($R$1022-R164)^2)</f>
        <v/>
      </c>
      <c r="BD164" s="125" t="inlineStr">
        <is>
          <t>W16X77</t>
        </is>
      </c>
      <c r="BI164">
        <f>SQRT(($J$1023-J164)^2)</f>
        <v/>
      </c>
      <c r="BJ164">
        <f>SQRT(($R$1023-R164)^2)</f>
        <v/>
      </c>
      <c r="BK164" s="125" t="inlineStr">
        <is>
          <t>W16X77</t>
        </is>
      </c>
      <c r="BP164">
        <f>SQRT(($J$1024-J164)^2)</f>
        <v/>
      </c>
      <c r="BQ164">
        <f>SQRT(($R$1024-R164)^2)</f>
        <v/>
      </c>
      <c r="BR164" s="125" t="inlineStr">
        <is>
          <t>W16X77</t>
        </is>
      </c>
      <c r="BW164">
        <f>SQRT(($J$1025-J164)^2)</f>
        <v/>
      </c>
      <c r="BX164">
        <f>SQRT(($R$1025-R164)^2)</f>
        <v/>
      </c>
      <c r="BY164" s="125" t="inlineStr">
        <is>
          <t>W16X77</t>
        </is>
      </c>
      <c r="CD164">
        <f>SQRT(($J$1026-J164)^2)</f>
        <v/>
      </c>
      <c r="CE164">
        <f>SQRT(($R$1026-R164)^2)</f>
        <v/>
      </c>
      <c r="CF164" s="125" t="inlineStr">
        <is>
          <t>W16X77</t>
        </is>
      </c>
    </row>
    <row r="165">
      <c r="A165" s="125" t="inlineStr">
        <is>
          <t>W16X89</t>
        </is>
      </c>
      <c r="B165" s="129" t="inlineStr">
        <is>
          <t>AISC</t>
        </is>
      </c>
      <c r="C165" s="125" t="n">
        <v>132.4</v>
      </c>
      <c r="D165" s="125" t="n">
        <v>425.4</v>
      </c>
      <c r="E165" s="125" t="n">
        <v>263.3</v>
      </c>
      <c r="F165" s="125" t="n">
        <v>22.2</v>
      </c>
      <c r="G165" s="125" t="n">
        <v>13.3</v>
      </c>
      <c r="H165" s="125" t="n">
        <v>10.2</v>
      </c>
      <c r="I165" s="125" t="n">
        <v>360.6</v>
      </c>
      <c r="J165" s="125" t="n">
        <v>169</v>
      </c>
      <c r="K165" s="125">
        <f>((E165-G165)/2)/F165</f>
        <v/>
      </c>
      <c r="L165" s="125">
        <f>I165/G165</f>
        <v/>
      </c>
      <c r="M165" s="125" t="n">
        <v>1.86</v>
      </c>
      <c r="N165" s="125" t="n">
        <v>54060</v>
      </c>
      <c r="O165" s="125" t="n">
        <v>6768</v>
      </c>
      <c r="P165" s="125" t="n">
        <v>17.9</v>
      </c>
      <c r="Q165" s="125" t="n">
        <v>6.33</v>
      </c>
      <c r="R165" s="125" t="n">
        <v>2541</v>
      </c>
      <c r="S165" s="125" t="n">
        <v>514</v>
      </c>
      <c r="T165" s="125" t="n">
        <v>2859</v>
      </c>
      <c r="U165" s="125" t="n">
        <v>788</v>
      </c>
      <c r="X165" s="129">
        <f t="array" ref="X165">_xlfn.IFS((D165/F165) &lt;= (640/SQRT($AT$32)), "Compact", L165 &lt;= ($AT$32*(0.79-(0.002*((E165-G165/2)/(2*F165))*SQRT($AT$32)))), "Non-Compact", L165 &gt; ($AT$32*(0.79-(0.002*((E165-G165/2)/(2*F165))*SQRT($AT$32)))), "Slender")</f>
        <v/>
      </c>
      <c r="Y165" s="129">
        <f t="array" ref="Y165">_xlfn.IFS(K165 &lt;= (65/SQRT($AT$32)), "Compact", K165 &lt;= (95/SQRT($AT$32)), "Non-Compact", K165 &gt; (95/SQRT($AT$32)), "Slender")</f>
        <v/>
      </c>
      <c r="Z165" s="125">
        <f>E165/F165</f>
        <v/>
      </c>
      <c r="AA165" s="125">
        <f>D165/G165</f>
        <v/>
      </c>
      <c r="AB165" s="125">
        <f t="array" ref="AB165">_xlfn.IFS(Z165 &lt;= 9, "1", Z165 &lt;= 12, "2", Z165 &lt;= 15, "3", Z165 &gt; 15, "4")</f>
        <v/>
      </c>
      <c r="AC165" s="125">
        <f t="array" ref="AC165">_xlfn.IFS(AA165 &lt;= 200, "1", L165 &lt;= 300, "2", L165 &lt;= 400, "3", L165 &gt; 400, "4")</f>
        <v/>
      </c>
      <c r="AD165" s="129">
        <f>SQRT((((VLOOKUP($AT$4,$A$4:$D$1021,4,FALSE))-D165)^2)+(((VLOOKUP($AT$4,$A$4:$E$1021,5,FALSE))-E165)^2)+(((VLOOKUP($AT$4,$A$4:$N$1021,14,FALSE))-N165)^2)+(((VLOOKUP($AT$4,$A$4:$O$1021,15,FALSE))-O165)^2))</f>
        <v/>
      </c>
      <c r="AG165" s="129">
        <f>SQRT((((VLOOKUP($AT$4,$A$4:$D$1021,4,FALSE))-D165)^2)+(((VLOOKUP($AT$4,$A$4:$E$1021,5,FALSE))-E165)^2)+(((VLOOKUP($AT$4,$A$4:$R$1021,18,FALSE))-R165)^2)+(((VLOOKUP($AT$4,$A$4:$S$1021,19,FALSE))-S165)^2))</f>
        <v/>
      </c>
      <c r="AJ165" s="125" t="inlineStr">
        <is>
          <t>W16X89</t>
        </is>
      </c>
      <c r="AK165" s="125">
        <f>SQRT(((VLOOKUP($AT$4,$A$4:$J$1021,10,FALSE))-J165)^2)</f>
        <v/>
      </c>
      <c r="AL165" s="125" t="n"/>
      <c r="AM165" s="125" t="n"/>
      <c r="AN165" s="125">
        <f>SQRT(((VLOOKUP($AT$4,$A$4:$R$1021,18,FALSE))-R165)^2)</f>
        <v/>
      </c>
      <c r="AO165" s="125" t="n"/>
      <c r="AP165" s="125" t="n"/>
      <c r="AQ165" s="125" t="inlineStr">
        <is>
          <t>W16X89</t>
        </is>
      </c>
      <c r="BB165" s="125">
        <f>SQRT(($J$1022-J165)^2)</f>
        <v/>
      </c>
      <c r="BC165" s="125">
        <f>SQRT(($R$1022-R165)^2)</f>
        <v/>
      </c>
      <c r="BD165" s="125" t="inlineStr">
        <is>
          <t>W16X89</t>
        </is>
      </c>
      <c r="BI165">
        <f>SQRT(($J$1023-J165)^2)</f>
        <v/>
      </c>
      <c r="BJ165">
        <f>SQRT(($R$1023-R165)^2)</f>
        <v/>
      </c>
      <c r="BK165" s="125" t="inlineStr">
        <is>
          <t>W16X89</t>
        </is>
      </c>
      <c r="BP165">
        <f>SQRT(($J$1024-J165)^2)</f>
        <v/>
      </c>
      <c r="BQ165">
        <f>SQRT(($R$1024-R165)^2)</f>
        <v/>
      </c>
      <c r="BR165" s="125" t="inlineStr">
        <is>
          <t>W16X89</t>
        </is>
      </c>
      <c r="BW165">
        <f>SQRT(($J$1025-J165)^2)</f>
        <v/>
      </c>
      <c r="BX165">
        <f>SQRT(($R$1025-R165)^2)</f>
        <v/>
      </c>
      <c r="BY165" s="125" t="inlineStr">
        <is>
          <t>W16X89</t>
        </is>
      </c>
      <c r="CD165">
        <f>SQRT(($J$1026-J165)^2)</f>
        <v/>
      </c>
      <c r="CE165">
        <f>SQRT(($R$1026-R165)^2)</f>
        <v/>
      </c>
      <c r="CF165" s="125" t="inlineStr">
        <is>
          <t>W16X89</t>
        </is>
      </c>
    </row>
    <row r="166">
      <c r="A166" s="125" t="inlineStr">
        <is>
          <t>W16X100</t>
        </is>
      </c>
      <c r="B166" s="129" t="inlineStr">
        <is>
          <t>AISC</t>
        </is>
      </c>
      <c r="C166" s="125" t="n">
        <v>148.8</v>
      </c>
      <c r="D166" s="125" t="n">
        <v>431</v>
      </c>
      <c r="E166" s="125" t="n">
        <v>264.8</v>
      </c>
      <c r="F166" s="125" t="n">
        <v>25</v>
      </c>
      <c r="G166" s="125" t="n">
        <v>14.9</v>
      </c>
      <c r="H166" s="125" t="n">
        <v>10.2</v>
      </c>
      <c r="I166" s="125" t="n">
        <v>360.6</v>
      </c>
      <c r="J166" s="125" t="n">
        <v>190</v>
      </c>
      <c r="K166" s="125">
        <f>((E166-G166)/2)/F166</f>
        <v/>
      </c>
      <c r="L166" s="125">
        <f>I166/G166</f>
        <v/>
      </c>
      <c r="M166" s="125" t="n">
        <v>1.87</v>
      </c>
      <c r="N166" s="125" t="n">
        <v>61830</v>
      </c>
      <c r="O166" s="125" t="n">
        <v>7754</v>
      </c>
      <c r="P166" s="125" t="n">
        <v>18</v>
      </c>
      <c r="Q166" s="125" t="n">
        <v>6.39</v>
      </c>
      <c r="R166" s="125" t="n">
        <v>2869</v>
      </c>
      <c r="S166" s="125" t="n">
        <v>586</v>
      </c>
      <c r="T166" s="125" t="n">
        <v>3246</v>
      </c>
      <c r="U166" s="125" t="n">
        <v>899</v>
      </c>
      <c r="X166" s="129">
        <f t="array" ref="X166">_xlfn.IFS((D166/F166) &lt;= (640/SQRT($AT$32)), "Compact", L166 &lt;= ($AT$32*(0.79-(0.002*((E166-G166/2)/(2*F166))*SQRT($AT$32)))), "Non-Compact", L166 &gt; ($AT$32*(0.79-(0.002*((E166-G166/2)/(2*F166))*SQRT($AT$32)))), "Slender")</f>
        <v/>
      </c>
      <c r="Y166" s="129">
        <f t="array" ref="Y166">_xlfn.IFS(K166 &lt;= (65/SQRT($AT$32)), "Compact", K166 &lt;= (95/SQRT($AT$32)), "Non-Compact", K166 &gt; (95/SQRT($AT$32)), "Slender")</f>
        <v/>
      </c>
      <c r="Z166" s="125">
        <f>E166/F166</f>
        <v/>
      </c>
      <c r="AA166" s="125">
        <f>D166/G166</f>
        <v/>
      </c>
      <c r="AB166" s="125">
        <f t="array" ref="AB166">_xlfn.IFS(Z166 &lt;= 9, "1", Z166 &lt;= 12, "2", Z166 &lt;= 15, "3", Z166 &gt; 15, "4")</f>
        <v/>
      </c>
      <c r="AC166" s="125">
        <f t="array" ref="AC166">_xlfn.IFS(AA166 &lt;= 200, "1", L166 &lt;= 300, "2", L166 &lt;= 400, "3", L166 &gt; 400, "4")</f>
        <v/>
      </c>
      <c r="AD166" s="129">
        <f>SQRT((((VLOOKUP($AT$4,$A$4:$D$1021,4,FALSE))-D166)^2)+(((VLOOKUP($AT$4,$A$4:$E$1021,5,FALSE))-E166)^2)+(((VLOOKUP($AT$4,$A$4:$N$1021,14,FALSE))-N166)^2)+(((VLOOKUP($AT$4,$A$4:$O$1021,15,FALSE))-O166)^2))</f>
        <v/>
      </c>
      <c r="AG166" s="129">
        <f>SQRT((((VLOOKUP($AT$4,$A$4:$D$1021,4,FALSE))-D166)^2)+(((VLOOKUP($AT$4,$A$4:$E$1021,5,FALSE))-E166)^2)+(((VLOOKUP($AT$4,$A$4:$R$1021,18,FALSE))-R166)^2)+(((VLOOKUP($AT$4,$A$4:$S$1021,19,FALSE))-S166)^2))</f>
        <v/>
      </c>
      <c r="AJ166" s="125" t="inlineStr">
        <is>
          <t>W16X100</t>
        </is>
      </c>
      <c r="AK166" s="125">
        <f>SQRT(((VLOOKUP($AT$4,$A$4:$J$1021,10,FALSE))-J166)^2)</f>
        <v/>
      </c>
      <c r="AL166" s="125" t="n"/>
      <c r="AM166" s="125" t="n"/>
      <c r="AN166" s="125">
        <f>SQRT(((VLOOKUP($AT$4,$A$4:$R$1021,18,FALSE))-R166)^2)</f>
        <v/>
      </c>
      <c r="AO166" s="125" t="n"/>
      <c r="AP166" s="125" t="n"/>
      <c r="AQ166" s="125" t="inlineStr">
        <is>
          <t>W16X100</t>
        </is>
      </c>
      <c r="BB166" s="125">
        <f>SQRT(($J$1022-J166)^2)</f>
        <v/>
      </c>
      <c r="BC166" s="125">
        <f>SQRT(($R$1022-R166)^2)</f>
        <v/>
      </c>
      <c r="BD166" s="125" t="inlineStr">
        <is>
          <t>W16X100</t>
        </is>
      </c>
      <c r="BI166">
        <f>SQRT(($J$1023-J166)^2)</f>
        <v/>
      </c>
      <c r="BJ166">
        <f>SQRT(($R$1023-R166)^2)</f>
        <v/>
      </c>
      <c r="BK166" s="125" t="inlineStr">
        <is>
          <t>W16X100</t>
        </is>
      </c>
      <c r="BP166">
        <f>SQRT(($J$1024-J166)^2)</f>
        <v/>
      </c>
      <c r="BQ166">
        <f>SQRT(($R$1024-R166)^2)</f>
        <v/>
      </c>
      <c r="BR166" s="125" t="inlineStr">
        <is>
          <t>W16X100</t>
        </is>
      </c>
      <c r="BW166">
        <f>SQRT(($J$1025-J166)^2)</f>
        <v/>
      </c>
      <c r="BX166">
        <f>SQRT(($R$1025-R166)^2)</f>
        <v/>
      </c>
      <c r="BY166" s="125" t="inlineStr">
        <is>
          <t>W16X100</t>
        </is>
      </c>
      <c r="CD166">
        <f>SQRT(($J$1026-J166)^2)</f>
        <v/>
      </c>
      <c r="CE166">
        <f>SQRT(($R$1026-R166)^2)</f>
        <v/>
      </c>
      <c r="CF166" s="125" t="inlineStr">
        <is>
          <t>W16X100</t>
        </is>
      </c>
    </row>
    <row r="167">
      <c r="A167" s="125" t="inlineStr">
        <is>
          <t>W18X35</t>
        </is>
      </c>
      <c r="B167" s="129" t="inlineStr">
        <is>
          <t>AISC</t>
        </is>
      </c>
      <c r="C167" s="125" t="n">
        <v>52.3</v>
      </c>
      <c r="D167" s="125" t="n">
        <v>449.8</v>
      </c>
      <c r="E167" s="125" t="n">
        <v>152.4</v>
      </c>
      <c r="F167" s="125" t="n">
        <v>10.9</v>
      </c>
      <c r="G167" s="125" t="n">
        <v>7.6</v>
      </c>
      <c r="H167" s="125" t="n">
        <v>10.2</v>
      </c>
      <c r="I167" s="125" t="n">
        <v>407.6</v>
      </c>
      <c r="J167" s="125" t="n">
        <v>66.59999999999999</v>
      </c>
      <c r="K167" s="125">
        <f>((E167-G167)/2)/F167</f>
        <v/>
      </c>
      <c r="L167" s="125">
        <f>I167/G167</f>
        <v/>
      </c>
      <c r="M167" s="125" t="n">
        <v>1.48</v>
      </c>
      <c r="N167" s="125" t="n">
        <v>21370</v>
      </c>
      <c r="O167" s="125" t="n">
        <v>645</v>
      </c>
      <c r="P167" s="125" t="n">
        <v>17.9</v>
      </c>
      <c r="Q167" s="125" t="n">
        <v>3.11</v>
      </c>
      <c r="R167" s="125" t="n">
        <v>950</v>
      </c>
      <c r="S167" s="125" t="n">
        <v>84.7</v>
      </c>
      <c r="T167" s="125" t="n">
        <v>1096</v>
      </c>
      <c r="U167" s="125" t="n">
        <v>133</v>
      </c>
      <c r="X167" s="129">
        <f t="array" ref="X167">_xlfn.IFS((D167/F167) &lt;= (640/SQRT($AT$32)), "Compact", L167 &lt;= ($AT$32*(0.79-(0.002*((E167-G167/2)/(2*F167))*SQRT($AT$32)))), "Non-Compact", L167 &gt; ($AT$32*(0.79-(0.002*((E167-G167/2)/(2*F167))*SQRT($AT$32)))), "Slender")</f>
        <v/>
      </c>
      <c r="Y167" s="129">
        <f t="array" ref="Y167">_xlfn.IFS(K167 &lt;= (65/SQRT($AT$32)), "Compact", K167 &lt;= (95/SQRT($AT$32)), "Non-Compact", K167 &gt; (95/SQRT($AT$32)), "Slender")</f>
        <v/>
      </c>
      <c r="Z167" s="125">
        <f>E167/F167</f>
        <v/>
      </c>
      <c r="AA167" s="125">
        <f>D167/G167</f>
        <v/>
      </c>
      <c r="AB167" s="125">
        <f t="array" ref="AB167">_xlfn.IFS(Z167 &lt;= 9, "1", Z167 &lt;= 12, "2", Z167 &lt;= 15, "3", Z167 &gt; 15, "4")</f>
        <v/>
      </c>
      <c r="AC167" s="125">
        <f t="array" ref="AC167">_xlfn.IFS(AA167 &lt;= 200, "1", L167 &lt;= 300, "2", L167 &lt;= 400, "3", L167 &gt; 400, "4")</f>
        <v/>
      </c>
      <c r="AD167" s="129">
        <f>SQRT((((VLOOKUP($AT$4,$A$4:$D$1021,4,FALSE))-D167)^2)+(((VLOOKUP($AT$4,$A$4:$E$1021,5,FALSE))-E167)^2)+(((VLOOKUP($AT$4,$A$4:$N$1021,14,FALSE))-N167)^2)+(((VLOOKUP($AT$4,$A$4:$O$1021,15,FALSE))-O167)^2))</f>
        <v/>
      </c>
      <c r="AG167" s="129">
        <f>SQRT((((VLOOKUP($AT$4,$A$4:$D$1021,4,FALSE))-D167)^2)+(((VLOOKUP($AT$4,$A$4:$E$1021,5,FALSE))-E167)^2)+(((VLOOKUP($AT$4,$A$4:$R$1021,18,FALSE))-R167)^2)+(((VLOOKUP($AT$4,$A$4:$S$1021,19,FALSE))-S167)^2))</f>
        <v/>
      </c>
      <c r="AJ167" s="125" t="inlineStr">
        <is>
          <t>W18X35</t>
        </is>
      </c>
      <c r="AK167" s="125">
        <f>SQRT(((VLOOKUP($AT$4,$A$4:$J$1021,10,FALSE))-J167)^2)</f>
        <v/>
      </c>
      <c r="AL167" s="125" t="n"/>
      <c r="AM167" s="125" t="n"/>
      <c r="AN167" s="125">
        <f>SQRT(((VLOOKUP($AT$4,$A$4:$R$1021,18,FALSE))-R167)^2)</f>
        <v/>
      </c>
      <c r="AO167" s="125" t="n"/>
      <c r="AP167" s="125" t="n"/>
      <c r="AQ167" s="125" t="inlineStr">
        <is>
          <t>W18X35</t>
        </is>
      </c>
      <c r="BB167" s="125">
        <f>SQRT(($J$1022-J167)^2)</f>
        <v/>
      </c>
      <c r="BC167" s="125">
        <f>SQRT(($R$1022-R167)^2)</f>
        <v/>
      </c>
      <c r="BD167" s="125" t="inlineStr">
        <is>
          <t>W18X35</t>
        </is>
      </c>
      <c r="BI167">
        <f>SQRT(($J$1023-J167)^2)</f>
        <v/>
      </c>
      <c r="BJ167">
        <f>SQRT(($R$1023-R167)^2)</f>
        <v/>
      </c>
      <c r="BK167" s="125" t="inlineStr">
        <is>
          <t>W18X35</t>
        </is>
      </c>
      <c r="BP167">
        <f>SQRT(($J$1024-J167)^2)</f>
        <v/>
      </c>
      <c r="BQ167">
        <f>SQRT(($R$1024-R167)^2)</f>
        <v/>
      </c>
      <c r="BR167" s="125" t="inlineStr">
        <is>
          <t>W18X35</t>
        </is>
      </c>
      <c r="BW167">
        <f>SQRT(($J$1025-J167)^2)</f>
        <v/>
      </c>
      <c r="BX167">
        <f>SQRT(($R$1025-R167)^2)</f>
        <v/>
      </c>
      <c r="BY167" s="125" t="inlineStr">
        <is>
          <t>W18X35</t>
        </is>
      </c>
      <c r="CD167">
        <f>SQRT(($J$1026-J167)^2)</f>
        <v/>
      </c>
      <c r="CE167">
        <f>SQRT(($R$1026-R167)^2)</f>
        <v/>
      </c>
      <c r="CF167" s="125" t="inlineStr">
        <is>
          <t>W18X35</t>
        </is>
      </c>
    </row>
    <row r="168">
      <c r="A168" s="125" t="inlineStr">
        <is>
          <t>W18X40</t>
        </is>
      </c>
      <c r="B168" s="129" t="inlineStr">
        <is>
          <t>AISC</t>
        </is>
      </c>
      <c r="C168" s="125" t="n">
        <v>59.8</v>
      </c>
      <c r="D168" s="125" t="n">
        <v>454.6</v>
      </c>
      <c r="E168" s="125" t="n">
        <v>152.9</v>
      </c>
      <c r="F168" s="125" t="n">
        <v>13.3</v>
      </c>
      <c r="G168" s="125" t="n">
        <v>8.1</v>
      </c>
      <c r="H168" s="125" t="n">
        <v>10.2</v>
      </c>
      <c r="I168" s="125" t="n">
        <v>407.6</v>
      </c>
      <c r="J168" s="125" t="n">
        <v>76.2</v>
      </c>
      <c r="K168" s="125">
        <f>((E168-G168)/2)/F168</f>
        <v/>
      </c>
      <c r="L168" s="125">
        <f>I168/G168</f>
        <v/>
      </c>
      <c r="M168" s="125" t="n">
        <v>1.49</v>
      </c>
      <c r="N168" s="125" t="n">
        <v>25500</v>
      </c>
      <c r="O168" s="125" t="n">
        <v>795</v>
      </c>
      <c r="P168" s="125" t="n">
        <v>18.3</v>
      </c>
      <c r="Q168" s="125" t="n">
        <v>3.23</v>
      </c>
      <c r="R168" s="125" t="n">
        <v>1122</v>
      </c>
      <c r="S168" s="125" t="n">
        <v>104</v>
      </c>
      <c r="T168" s="125" t="n">
        <v>1287</v>
      </c>
      <c r="U168" s="125" t="n">
        <v>163</v>
      </c>
      <c r="X168" s="129">
        <f t="array" ref="X168">_xlfn.IFS((D168/F168) &lt;= (640/SQRT($AT$32)), "Compact", L168 &lt;= ($AT$32*(0.79-(0.002*((E168-G168/2)/(2*F168))*SQRT($AT$32)))), "Non-Compact", L168 &gt; ($AT$32*(0.79-(0.002*((E168-G168/2)/(2*F168))*SQRT($AT$32)))), "Slender")</f>
        <v/>
      </c>
      <c r="Y168" s="129">
        <f t="array" ref="Y168">_xlfn.IFS(K168 &lt;= (65/SQRT($AT$32)), "Compact", K168 &lt;= (95/SQRT($AT$32)), "Non-Compact", K168 &gt; (95/SQRT($AT$32)), "Slender")</f>
        <v/>
      </c>
      <c r="Z168" s="125">
        <f>E168/F168</f>
        <v/>
      </c>
      <c r="AA168" s="125">
        <f>D168/G168</f>
        <v/>
      </c>
      <c r="AB168" s="125">
        <f t="array" ref="AB168">_xlfn.IFS(Z168 &lt;= 9, "1", Z168 &lt;= 12, "2", Z168 &lt;= 15, "3", Z168 &gt; 15, "4")</f>
        <v/>
      </c>
      <c r="AC168" s="125">
        <f t="array" ref="AC168">_xlfn.IFS(AA168 &lt;= 200, "1", L168 &lt;= 300, "2", L168 &lt;= 400, "3", L168 &gt; 400, "4")</f>
        <v/>
      </c>
      <c r="AD168" s="129">
        <f>SQRT((((VLOOKUP($AT$4,$A$4:$D$1021,4,FALSE))-D168)^2)+(((VLOOKUP($AT$4,$A$4:$E$1021,5,FALSE))-E168)^2)+(((VLOOKUP($AT$4,$A$4:$N$1021,14,FALSE))-N168)^2)+(((VLOOKUP($AT$4,$A$4:$O$1021,15,FALSE))-O168)^2))</f>
        <v/>
      </c>
      <c r="AG168" s="129">
        <f>SQRT((((VLOOKUP($AT$4,$A$4:$D$1021,4,FALSE))-D168)^2)+(((VLOOKUP($AT$4,$A$4:$E$1021,5,FALSE))-E168)^2)+(((VLOOKUP($AT$4,$A$4:$R$1021,18,FALSE))-R168)^2)+(((VLOOKUP($AT$4,$A$4:$S$1021,19,FALSE))-S168)^2))</f>
        <v/>
      </c>
      <c r="AJ168" s="125" t="inlineStr">
        <is>
          <t>W18X40</t>
        </is>
      </c>
      <c r="AK168" s="125">
        <f>SQRT(((VLOOKUP($AT$4,$A$4:$J$1021,10,FALSE))-J168)^2)</f>
        <v/>
      </c>
      <c r="AL168" s="125" t="n"/>
      <c r="AM168" s="125" t="n"/>
      <c r="AN168" s="125">
        <f>SQRT(((VLOOKUP($AT$4,$A$4:$R$1021,18,FALSE))-R168)^2)</f>
        <v/>
      </c>
      <c r="AO168" s="125" t="n"/>
      <c r="AP168" s="125" t="n"/>
      <c r="AQ168" s="125" t="inlineStr">
        <is>
          <t>W18X40</t>
        </is>
      </c>
      <c r="BB168" s="125">
        <f>SQRT(($J$1022-J168)^2)</f>
        <v/>
      </c>
      <c r="BC168" s="125">
        <f>SQRT(($R$1022-R168)^2)</f>
        <v/>
      </c>
      <c r="BD168" s="125" t="inlineStr">
        <is>
          <t>W18X40</t>
        </is>
      </c>
      <c r="BI168">
        <f>SQRT(($J$1023-J168)^2)</f>
        <v/>
      </c>
      <c r="BJ168">
        <f>SQRT(($R$1023-R168)^2)</f>
        <v/>
      </c>
      <c r="BK168" s="125" t="inlineStr">
        <is>
          <t>W18X40</t>
        </is>
      </c>
      <c r="BP168">
        <f>SQRT(($J$1024-J168)^2)</f>
        <v/>
      </c>
      <c r="BQ168">
        <f>SQRT(($R$1024-R168)^2)</f>
        <v/>
      </c>
      <c r="BR168" s="125" t="inlineStr">
        <is>
          <t>W18X40</t>
        </is>
      </c>
      <c r="BW168">
        <f>SQRT(($J$1025-J168)^2)</f>
        <v/>
      </c>
      <c r="BX168">
        <f>SQRT(($R$1025-R168)^2)</f>
        <v/>
      </c>
      <c r="BY168" s="125" t="inlineStr">
        <is>
          <t>W18X40</t>
        </is>
      </c>
      <c r="CD168">
        <f>SQRT(($J$1026-J168)^2)</f>
        <v/>
      </c>
      <c r="CE168">
        <f>SQRT(($R$1026-R168)^2)</f>
        <v/>
      </c>
      <c r="CF168" s="125" t="inlineStr">
        <is>
          <t>W18X40</t>
        </is>
      </c>
    </row>
    <row r="169">
      <c r="A169" s="125" t="inlineStr">
        <is>
          <t>W18X45</t>
        </is>
      </c>
      <c r="B169" s="129" t="inlineStr">
        <is>
          <t>AISC</t>
        </is>
      </c>
      <c r="C169" s="125" t="n">
        <v>67.2</v>
      </c>
      <c r="D169" s="125" t="n">
        <v>458</v>
      </c>
      <c r="E169" s="125" t="n">
        <v>153.8</v>
      </c>
      <c r="F169" s="125" t="n">
        <v>15</v>
      </c>
      <c r="G169" s="125" t="n">
        <v>9</v>
      </c>
      <c r="H169" s="125" t="n">
        <v>10.2</v>
      </c>
      <c r="I169" s="125" t="n">
        <v>407.6</v>
      </c>
      <c r="J169" s="125" t="n">
        <v>85.59999999999999</v>
      </c>
      <c r="K169" s="125">
        <f>((E169-G169)/2)/F169</f>
        <v/>
      </c>
      <c r="L169" s="125">
        <f>I169/G169</f>
        <v/>
      </c>
      <c r="M169" s="125" t="n">
        <v>1.5</v>
      </c>
      <c r="N169" s="125" t="n">
        <v>28930</v>
      </c>
      <c r="O169" s="125" t="n">
        <v>913</v>
      </c>
      <c r="P169" s="125" t="n">
        <v>18.4</v>
      </c>
      <c r="Q169" s="125" t="n">
        <v>3.27</v>
      </c>
      <c r="R169" s="125" t="n">
        <v>1263</v>
      </c>
      <c r="S169" s="125" t="n">
        <v>119</v>
      </c>
      <c r="T169" s="125" t="n">
        <v>1453</v>
      </c>
      <c r="U169" s="125" t="n">
        <v>187</v>
      </c>
      <c r="X169" s="129">
        <f t="array" ref="X169">_xlfn.IFS((D169/F169) &lt;= (640/SQRT($AT$32)), "Compact", L169 &lt;= ($AT$32*(0.79-(0.002*((E169-G169/2)/(2*F169))*SQRT($AT$32)))), "Non-Compact", L169 &gt; ($AT$32*(0.79-(0.002*((E169-G169/2)/(2*F169))*SQRT($AT$32)))), "Slender")</f>
        <v/>
      </c>
      <c r="Y169" s="129">
        <f t="array" ref="Y169">_xlfn.IFS(K169 &lt;= (65/SQRT($AT$32)), "Compact", K169 &lt;= (95/SQRT($AT$32)), "Non-Compact", K169 &gt; (95/SQRT($AT$32)), "Slender")</f>
        <v/>
      </c>
      <c r="Z169" s="125">
        <f>E169/F169</f>
        <v/>
      </c>
      <c r="AA169" s="125">
        <f>D169/G169</f>
        <v/>
      </c>
      <c r="AB169" s="125">
        <f t="array" ref="AB169">_xlfn.IFS(Z169 &lt;= 9, "1", Z169 &lt;= 12, "2", Z169 &lt;= 15, "3", Z169 &gt; 15, "4")</f>
        <v/>
      </c>
      <c r="AC169" s="125">
        <f t="array" ref="AC169">_xlfn.IFS(AA169 &lt;= 200, "1", L169 &lt;= 300, "2", L169 &lt;= 400, "3", L169 &gt; 400, "4")</f>
        <v/>
      </c>
      <c r="AD169" s="129">
        <f>SQRT((((VLOOKUP($AT$4,$A$4:$D$1021,4,FALSE))-D169)^2)+(((VLOOKUP($AT$4,$A$4:$E$1021,5,FALSE))-E169)^2)+(((VLOOKUP($AT$4,$A$4:$N$1021,14,FALSE))-N169)^2)+(((VLOOKUP($AT$4,$A$4:$O$1021,15,FALSE))-O169)^2))</f>
        <v/>
      </c>
      <c r="AG169" s="129">
        <f>SQRT((((VLOOKUP($AT$4,$A$4:$D$1021,4,FALSE))-D169)^2)+(((VLOOKUP($AT$4,$A$4:$E$1021,5,FALSE))-E169)^2)+(((VLOOKUP($AT$4,$A$4:$R$1021,18,FALSE))-R169)^2)+(((VLOOKUP($AT$4,$A$4:$S$1021,19,FALSE))-S169)^2))</f>
        <v/>
      </c>
      <c r="AJ169" s="125" t="inlineStr">
        <is>
          <t>W18X45</t>
        </is>
      </c>
      <c r="AK169" s="125">
        <f>SQRT(((VLOOKUP($AT$4,$A$4:$J$1021,10,FALSE))-J169)^2)</f>
        <v/>
      </c>
      <c r="AL169" s="125" t="n"/>
      <c r="AM169" s="125" t="n"/>
      <c r="AN169" s="125">
        <f>SQRT(((VLOOKUP($AT$4,$A$4:$R$1021,18,FALSE))-R169)^2)</f>
        <v/>
      </c>
      <c r="AO169" s="125" t="n"/>
      <c r="AP169" s="125" t="n"/>
      <c r="AQ169" s="125" t="inlineStr">
        <is>
          <t>W18X45</t>
        </is>
      </c>
      <c r="BB169" s="125">
        <f>SQRT(($J$1022-J169)^2)</f>
        <v/>
      </c>
      <c r="BC169" s="125">
        <f>SQRT(($R$1022-R169)^2)</f>
        <v/>
      </c>
      <c r="BD169" s="125" t="inlineStr">
        <is>
          <t>W18X45</t>
        </is>
      </c>
      <c r="BI169">
        <f>SQRT(($J$1023-J169)^2)</f>
        <v/>
      </c>
      <c r="BJ169">
        <f>SQRT(($R$1023-R169)^2)</f>
        <v/>
      </c>
      <c r="BK169" s="125" t="inlineStr">
        <is>
          <t>W18X45</t>
        </is>
      </c>
      <c r="BP169">
        <f>SQRT(($J$1024-J169)^2)</f>
        <v/>
      </c>
      <c r="BQ169">
        <f>SQRT(($R$1024-R169)^2)</f>
        <v/>
      </c>
      <c r="BR169" s="125" t="inlineStr">
        <is>
          <t>W18X45</t>
        </is>
      </c>
      <c r="BW169">
        <f>SQRT(($J$1025-J169)^2)</f>
        <v/>
      </c>
      <c r="BX169">
        <f>SQRT(($R$1025-R169)^2)</f>
        <v/>
      </c>
      <c r="BY169" s="125" t="inlineStr">
        <is>
          <t>W18X45</t>
        </is>
      </c>
      <c r="CD169">
        <f>SQRT(($J$1026-J169)^2)</f>
        <v/>
      </c>
      <c r="CE169">
        <f>SQRT(($R$1026-R169)^2)</f>
        <v/>
      </c>
      <c r="CF169" s="125" t="inlineStr">
        <is>
          <t>W18X45</t>
        </is>
      </c>
    </row>
    <row r="170">
      <c r="A170" s="125" t="inlineStr">
        <is>
          <t>W18X46</t>
        </is>
      </c>
      <c r="B170" s="129" t="inlineStr">
        <is>
          <t>AISC</t>
        </is>
      </c>
      <c r="C170" s="125" t="n">
        <v>68.5</v>
      </c>
      <c r="D170" s="125" t="n">
        <v>458.7</v>
      </c>
      <c r="E170" s="125" t="n">
        <v>153.9</v>
      </c>
      <c r="F170" s="125" t="n">
        <v>15.3</v>
      </c>
      <c r="G170" s="125" t="n">
        <v>9.1</v>
      </c>
      <c r="H170" s="125" t="n">
        <v>10.2</v>
      </c>
      <c r="I170" s="125" t="n">
        <v>407.7</v>
      </c>
      <c r="J170" s="125" t="n">
        <v>87.09999999999999</v>
      </c>
      <c r="K170" s="125">
        <f>((E170-G170)/2)/F170</f>
        <v/>
      </c>
      <c r="L170" s="125">
        <f>I170/G170</f>
        <v/>
      </c>
      <c r="M170" s="125" t="n">
        <v>1.5</v>
      </c>
      <c r="N170" s="125" t="n">
        <v>29530</v>
      </c>
      <c r="O170" s="125" t="n">
        <v>933</v>
      </c>
      <c r="P170" s="125" t="n">
        <v>18.4</v>
      </c>
      <c r="Q170" s="125" t="n">
        <v>3.27</v>
      </c>
      <c r="R170" s="125" t="n">
        <v>1288</v>
      </c>
      <c r="S170" s="125" t="n">
        <v>121</v>
      </c>
      <c r="T170" s="125" t="n">
        <v>1482</v>
      </c>
      <c r="U170" s="125" t="n">
        <v>191</v>
      </c>
      <c r="X170" s="129">
        <f t="array" ref="X170">_xlfn.IFS((D170/F170) &lt;= (640/SQRT($AT$32)), "Compact", L170 &lt;= ($AT$32*(0.79-(0.002*((E170-G170/2)/(2*F170))*SQRT($AT$32)))), "Non-Compact", L170 &gt; ($AT$32*(0.79-(0.002*((E170-G170/2)/(2*F170))*SQRT($AT$32)))), "Slender")</f>
        <v/>
      </c>
      <c r="Y170" s="129">
        <f t="array" ref="Y170">_xlfn.IFS(K170 &lt;= (65/SQRT($AT$32)), "Compact", K170 &lt;= (95/SQRT($AT$32)), "Non-Compact", K170 &gt; (95/SQRT($AT$32)), "Slender")</f>
        <v/>
      </c>
      <c r="Z170" s="125">
        <f>E170/F170</f>
        <v/>
      </c>
      <c r="AA170" s="125">
        <f>D170/G170</f>
        <v/>
      </c>
      <c r="AB170" s="125">
        <f t="array" ref="AB170">_xlfn.IFS(Z170 &lt;= 9, "1", Z170 &lt;= 12, "2", Z170 &lt;= 15, "3", Z170 &gt; 15, "4")</f>
        <v/>
      </c>
      <c r="AC170" s="125">
        <f t="array" ref="AC170">_xlfn.IFS(AA170 &lt;= 200, "1", L170 &lt;= 300, "2", L170 &lt;= 400, "3", L170 &gt; 400, "4")</f>
        <v/>
      </c>
      <c r="AD170" s="129">
        <f>SQRT((((VLOOKUP($AT$4,$A$4:$D$1021,4,FALSE))-D170)^2)+(((VLOOKUP($AT$4,$A$4:$E$1021,5,FALSE))-E170)^2)+(((VLOOKUP($AT$4,$A$4:$N$1021,14,FALSE))-N170)^2)+(((VLOOKUP($AT$4,$A$4:$O$1021,15,FALSE))-O170)^2))</f>
        <v/>
      </c>
      <c r="AG170" s="129">
        <f>SQRT((((VLOOKUP($AT$4,$A$4:$D$1021,4,FALSE))-D170)^2)+(((VLOOKUP($AT$4,$A$4:$E$1021,5,FALSE))-E170)^2)+(((VLOOKUP($AT$4,$A$4:$R$1021,18,FALSE))-R170)^2)+(((VLOOKUP($AT$4,$A$4:$S$1021,19,FALSE))-S170)^2))</f>
        <v/>
      </c>
      <c r="AJ170" s="125" t="inlineStr">
        <is>
          <t>W18X46</t>
        </is>
      </c>
      <c r="AK170" s="125">
        <f>SQRT(((VLOOKUP($AT$4,$A$4:$J$1021,10,FALSE))-J170)^2)</f>
        <v/>
      </c>
      <c r="AL170" s="125" t="n"/>
      <c r="AM170" s="125" t="n"/>
      <c r="AN170" s="125">
        <f>SQRT(((VLOOKUP($AT$4,$A$4:$R$1021,18,FALSE))-R170)^2)</f>
        <v/>
      </c>
      <c r="AO170" s="125" t="n"/>
      <c r="AP170" s="125" t="n"/>
      <c r="AQ170" s="125" t="inlineStr">
        <is>
          <t>W18X46</t>
        </is>
      </c>
      <c r="BB170" s="125">
        <f>SQRT(($J$1022-J170)^2)</f>
        <v/>
      </c>
      <c r="BC170" s="125">
        <f>SQRT(($R$1022-R170)^2)</f>
        <v/>
      </c>
      <c r="BD170" s="125" t="inlineStr">
        <is>
          <t>W18X46</t>
        </is>
      </c>
      <c r="BI170">
        <f>SQRT(($J$1023-J170)^2)</f>
        <v/>
      </c>
      <c r="BJ170">
        <f>SQRT(($R$1023-R170)^2)</f>
        <v/>
      </c>
      <c r="BK170" s="125" t="inlineStr">
        <is>
          <t>W18X46</t>
        </is>
      </c>
      <c r="BP170">
        <f>SQRT(($J$1024-J170)^2)</f>
        <v/>
      </c>
      <c r="BQ170">
        <f>SQRT(($R$1024-R170)^2)</f>
        <v/>
      </c>
      <c r="BR170" s="125" t="inlineStr">
        <is>
          <t>W18X46</t>
        </is>
      </c>
      <c r="BW170">
        <f>SQRT(($J$1025-J170)^2)</f>
        <v/>
      </c>
      <c r="BX170">
        <f>SQRT(($R$1025-R170)^2)</f>
        <v/>
      </c>
      <c r="BY170" s="125" t="inlineStr">
        <is>
          <t>W18X46</t>
        </is>
      </c>
      <c r="CD170">
        <f>SQRT(($J$1026-J170)^2)</f>
        <v/>
      </c>
      <c r="CE170">
        <f>SQRT(($R$1026-R170)^2)</f>
        <v/>
      </c>
      <c r="CF170" s="125" t="inlineStr">
        <is>
          <t>W18X46</t>
        </is>
      </c>
    </row>
    <row r="171">
      <c r="A171" s="125" t="inlineStr">
        <is>
          <t>W18X50</t>
        </is>
      </c>
      <c r="B171" s="129" t="inlineStr">
        <is>
          <t>AISC</t>
        </is>
      </c>
      <c r="C171" s="125" t="n">
        <v>74.2</v>
      </c>
      <c r="D171" s="125" t="n">
        <v>462</v>
      </c>
      <c r="E171" s="125" t="n">
        <v>154.4</v>
      </c>
      <c r="F171" s="125" t="n">
        <v>17</v>
      </c>
      <c r="G171" s="125" t="n">
        <v>9.6</v>
      </c>
      <c r="H171" s="125" t="n">
        <v>10.2</v>
      </c>
      <c r="I171" s="125" t="n">
        <v>407.6</v>
      </c>
      <c r="J171" s="125" t="n">
        <v>94.5</v>
      </c>
      <c r="K171" s="125">
        <f>((E171-G171)/2)/F171</f>
        <v/>
      </c>
      <c r="L171" s="125">
        <f>I171/G171</f>
        <v/>
      </c>
      <c r="M171" s="125" t="n">
        <v>1.5</v>
      </c>
      <c r="N171" s="125" t="n">
        <v>32670</v>
      </c>
      <c r="O171" s="125" t="n">
        <v>1047</v>
      </c>
      <c r="P171" s="125" t="n">
        <v>18.6</v>
      </c>
      <c r="Q171" s="125" t="n">
        <v>3.33</v>
      </c>
      <c r="R171" s="125" t="n">
        <v>1414</v>
      </c>
      <c r="S171" s="125" t="n">
        <v>136</v>
      </c>
      <c r="T171" s="125" t="n">
        <v>1627</v>
      </c>
      <c r="U171" s="125" t="n">
        <v>213</v>
      </c>
      <c r="X171" s="129">
        <f t="array" ref="X171">_xlfn.IFS((D171/F171) &lt;= (640/SQRT($AT$32)), "Compact", L171 &lt;= ($AT$32*(0.79-(0.002*((E171-G171/2)/(2*F171))*SQRT($AT$32)))), "Non-Compact", L171 &gt; ($AT$32*(0.79-(0.002*((E171-G171/2)/(2*F171))*SQRT($AT$32)))), "Slender")</f>
        <v/>
      </c>
      <c r="Y171" s="129">
        <f t="array" ref="Y171">_xlfn.IFS(K171 &lt;= (65/SQRT($AT$32)), "Compact", K171 &lt;= (95/SQRT($AT$32)), "Non-Compact", K171 &gt; (95/SQRT($AT$32)), "Slender")</f>
        <v/>
      </c>
      <c r="Z171" s="125">
        <f>E171/F171</f>
        <v/>
      </c>
      <c r="AA171" s="125">
        <f>D171/G171</f>
        <v/>
      </c>
      <c r="AB171" s="125">
        <f t="array" ref="AB171">_xlfn.IFS(Z171 &lt;= 9, "1", Z171 &lt;= 12, "2", Z171 &lt;= 15, "3", Z171 &gt; 15, "4")</f>
        <v/>
      </c>
      <c r="AC171" s="125">
        <f t="array" ref="AC171">_xlfn.IFS(AA171 &lt;= 200, "1", L171 &lt;= 300, "2", L171 &lt;= 400, "3", L171 &gt; 400, "4")</f>
        <v/>
      </c>
      <c r="AD171" s="129">
        <f>SQRT((((VLOOKUP($AT$4,$A$4:$D$1021,4,FALSE))-D171)^2)+(((VLOOKUP($AT$4,$A$4:$E$1021,5,FALSE))-E171)^2)+(((VLOOKUP($AT$4,$A$4:$N$1021,14,FALSE))-N171)^2)+(((VLOOKUP($AT$4,$A$4:$O$1021,15,FALSE))-O171)^2))</f>
        <v/>
      </c>
      <c r="AG171" s="129">
        <f>SQRT((((VLOOKUP($AT$4,$A$4:$D$1021,4,FALSE))-D171)^2)+(((VLOOKUP($AT$4,$A$4:$E$1021,5,FALSE))-E171)^2)+(((VLOOKUP($AT$4,$A$4:$R$1021,18,FALSE))-R171)^2)+(((VLOOKUP($AT$4,$A$4:$S$1021,19,FALSE))-S171)^2))</f>
        <v/>
      </c>
      <c r="AJ171" s="125" t="inlineStr">
        <is>
          <t>W18X50</t>
        </is>
      </c>
      <c r="AK171" s="125">
        <f>SQRT(((VLOOKUP($AT$4,$A$4:$J$1021,10,FALSE))-J171)^2)</f>
        <v/>
      </c>
      <c r="AL171" s="125" t="n"/>
      <c r="AM171" s="125" t="n"/>
      <c r="AN171" s="125">
        <f>SQRT(((VLOOKUP($AT$4,$A$4:$R$1021,18,FALSE))-R171)^2)</f>
        <v/>
      </c>
      <c r="AO171" s="125" t="n"/>
      <c r="AP171" s="125" t="n"/>
      <c r="AQ171" s="125" t="inlineStr">
        <is>
          <t>W18X50</t>
        </is>
      </c>
      <c r="BB171" s="125">
        <f>SQRT(($J$1022-J171)^2)</f>
        <v/>
      </c>
      <c r="BC171" s="125">
        <f>SQRT(($R$1022-R171)^2)</f>
        <v/>
      </c>
      <c r="BD171" s="125" t="inlineStr">
        <is>
          <t>W18X50</t>
        </is>
      </c>
      <c r="BI171">
        <f>SQRT(($J$1023-J171)^2)</f>
        <v/>
      </c>
      <c r="BJ171">
        <f>SQRT(($R$1023-R171)^2)</f>
        <v/>
      </c>
      <c r="BK171" s="125" t="inlineStr">
        <is>
          <t>W18X50</t>
        </is>
      </c>
      <c r="BP171">
        <f>SQRT(($J$1024-J171)^2)</f>
        <v/>
      </c>
      <c r="BQ171">
        <f>SQRT(($R$1024-R171)^2)</f>
        <v/>
      </c>
      <c r="BR171" s="125" t="inlineStr">
        <is>
          <t>W18X50</t>
        </is>
      </c>
      <c r="BW171">
        <f>SQRT(($J$1025-J171)^2)</f>
        <v/>
      </c>
      <c r="BX171">
        <f>SQRT(($R$1025-R171)^2)</f>
        <v/>
      </c>
      <c r="BY171" s="125" t="inlineStr">
        <is>
          <t>W18X50</t>
        </is>
      </c>
      <c r="CD171">
        <f>SQRT(($J$1026-J171)^2)</f>
        <v/>
      </c>
      <c r="CE171">
        <f>SQRT(($R$1026-R171)^2)</f>
        <v/>
      </c>
      <c r="CF171" s="125" t="inlineStr">
        <is>
          <t>W18X50</t>
        </is>
      </c>
    </row>
    <row r="172">
      <c r="A172" s="125" t="inlineStr">
        <is>
          <t>W18X55</t>
        </is>
      </c>
      <c r="B172" s="129" t="inlineStr">
        <is>
          <t>AISC</t>
        </is>
      </c>
      <c r="C172" s="125" t="n">
        <v>82.09999999999999</v>
      </c>
      <c r="D172" s="125" t="n">
        <v>465.8</v>
      </c>
      <c r="E172" s="125" t="n">
        <v>155.3</v>
      </c>
      <c r="F172" s="125" t="n">
        <v>18.9</v>
      </c>
      <c r="G172" s="125" t="n">
        <v>10.5</v>
      </c>
      <c r="H172" s="125" t="n">
        <v>10.2</v>
      </c>
      <c r="I172" s="125" t="n">
        <v>407.6</v>
      </c>
      <c r="J172" s="125" t="n">
        <v>105</v>
      </c>
      <c r="K172" s="125">
        <f>((E172-G172)/2)/F172</f>
        <v/>
      </c>
      <c r="L172" s="125">
        <f>I172/G172</f>
        <v/>
      </c>
      <c r="M172" s="125" t="n">
        <v>1.51</v>
      </c>
      <c r="N172" s="125" t="n">
        <v>36590</v>
      </c>
      <c r="O172" s="125" t="n">
        <v>1185</v>
      </c>
      <c r="P172" s="125" t="n">
        <v>18.7</v>
      </c>
      <c r="Q172" s="125" t="n">
        <v>3.37</v>
      </c>
      <c r="R172" s="125" t="n">
        <v>1571</v>
      </c>
      <c r="S172" s="125" t="n">
        <v>153</v>
      </c>
      <c r="T172" s="125" t="n">
        <v>1811</v>
      </c>
      <c r="U172" s="125" t="n">
        <v>240</v>
      </c>
      <c r="X172" s="129">
        <f t="array" ref="X172">_xlfn.IFS((D172/F172) &lt;= (640/SQRT($AT$32)), "Compact", L172 &lt;= ($AT$32*(0.79-(0.002*((E172-G172/2)/(2*F172))*SQRT($AT$32)))), "Non-Compact", L172 &gt; ($AT$32*(0.79-(0.002*((E172-G172/2)/(2*F172))*SQRT($AT$32)))), "Slender")</f>
        <v/>
      </c>
      <c r="Y172" s="129">
        <f t="array" ref="Y172">_xlfn.IFS(K172 &lt;= (65/SQRT($AT$32)), "Compact", K172 &lt;= (95/SQRT($AT$32)), "Non-Compact", K172 &gt; (95/SQRT($AT$32)), "Slender")</f>
        <v/>
      </c>
      <c r="Z172" s="125">
        <f>E172/F172</f>
        <v/>
      </c>
      <c r="AA172" s="125">
        <f>D172/G172</f>
        <v/>
      </c>
      <c r="AB172" s="125">
        <f t="array" ref="AB172">_xlfn.IFS(Z172 &lt;= 9, "1", Z172 &lt;= 12, "2", Z172 &lt;= 15, "3", Z172 &gt; 15, "4")</f>
        <v/>
      </c>
      <c r="AC172" s="125">
        <f t="array" ref="AC172">_xlfn.IFS(AA172 &lt;= 200, "1", L172 &lt;= 300, "2", L172 &lt;= 400, "3", L172 &gt; 400, "4")</f>
        <v/>
      </c>
      <c r="AD172" s="129">
        <f>SQRT((((VLOOKUP($AT$4,$A$4:$D$1021,4,FALSE))-D172)^2)+(((VLOOKUP($AT$4,$A$4:$E$1021,5,FALSE))-E172)^2)+(((VLOOKUP($AT$4,$A$4:$N$1021,14,FALSE))-N172)^2)+(((VLOOKUP($AT$4,$A$4:$O$1021,15,FALSE))-O172)^2))</f>
        <v/>
      </c>
      <c r="AG172" s="129">
        <f>SQRT((((VLOOKUP($AT$4,$A$4:$D$1021,4,FALSE))-D172)^2)+(((VLOOKUP($AT$4,$A$4:$E$1021,5,FALSE))-E172)^2)+(((VLOOKUP($AT$4,$A$4:$R$1021,18,FALSE))-R172)^2)+(((VLOOKUP($AT$4,$A$4:$S$1021,19,FALSE))-S172)^2))</f>
        <v/>
      </c>
      <c r="AJ172" s="125" t="inlineStr">
        <is>
          <t>W18X55</t>
        </is>
      </c>
      <c r="AK172" s="125">
        <f>SQRT(((VLOOKUP($AT$4,$A$4:$J$1021,10,FALSE))-J172)^2)</f>
        <v/>
      </c>
      <c r="AL172" s="125" t="n"/>
      <c r="AM172" s="125" t="n"/>
      <c r="AN172" s="125">
        <f>SQRT(((VLOOKUP($AT$4,$A$4:$R$1021,18,FALSE))-R172)^2)</f>
        <v/>
      </c>
      <c r="AO172" s="125" t="n"/>
      <c r="AP172" s="125" t="n"/>
      <c r="AQ172" s="125" t="inlineStr">
        <is>
          <t>W18X55</t>
        </is>
      </c>
      <c r="BB172" s="125">
        <f>SQRT(($J$1022-J172)^2)</f>
        <v/>
      </c>
      <c r="BC172" s="125">
        <f>SQRT(($R$1022-R172)^2)</f>
        <v/>
      </c>
      <c r="BD172" s="125" t="inlineStr">
        <is>
          <t>W18X55</t>
        </is>
      </c>
      <c r="BI172">
        <f>SQRT(($J$1023-J172)^2)</f>
        <v/>
      </c>
      <c r="BJ172">
        <f>SQRT(($R$1023-R172)^2)</f>
        <v/>
      </c>
      <c r="BK172" s="125" t="inlineStr">
        <is>
          <t>W18X55</t>
        </is>
      </c>
      <c r="BP172">
        <f>SQRT(($J$1024-J172)^2)</f>
        <v/>
      </c>
      <c r="BQ172">
        <f>SQRT(($R$1024-R172)^2)</f>
        <v/>
      </c>
      <c r="BR172" s="125" t="inlineStr">
        <is>
          <t>W18X55</t>
        </is>
      </c>
      <c r="BW172">
        <f>SQRT(($J$1025-J172)^2)</f>
        <v/>
      </c>
      <c r="BX172">
        <f>SQRT(($R$1025-R172)^2)</f>
        <v/>
      </c>
      <c r="BY172" s="125" t="inlineStr">
        <is>
          <t>W18X55</t>
        </is>
      </c>
      <c r="CD172">
        <f>SQRT(($J$1026-J172)^2)</f>
        <v/>
      </c>
      <c r="CE172">
        <f>SQRT(($R$1026-R172)^2)</f>
        <v/>
      </c>
      <c r="CF172" s="125" t="inlineStr">
        <is>
          <t>W18X55</t>
        </is>
      </c>
    </row>
    <row r="173">
      <c r="A173" s="125" t="inlineStr">
        <is>
          <t>W18X41</t>
        </is>
      </c>
      <c r="B173" s="129" t="inlineStr">
        <is>
          <t>AISC</t>
        </is>
      </c>
      <c r="C173" s="125" t="n">
        <v>61</v>
      </c>
      <c r="D173" s="125" t="n">
        <v>450</v>
      </c>
      <c r="E173" s="125" t="n">
        <v>189</v>
      </c>
      <c r="F173" s="125" t="n">
        <v>10.8</v>
      </c>
      <c r="G173" s="125" t="n">
        <v>8.1</v>
      </c>
      <c r="H173" s="125" t="n">
        <v>10.2</v>
      </c>
      <c r="I173" s="125" t="n">
        <v>408.4</v>
      </c>
      <c r="J173" s="125" t="n">
        <v>76</v>
      </c>
      <c r="K173" s="125">
        <f>((E173-G173)/2)/F173</f>
        <v/>
      </c>
      <c r="L173" s="125">
        <f>I173/G173</f>
        <v/>
      </c>
      <c r="M173" s="125" t="n">
        <v>1.62</v>
      </c>
      <c r="N173" s="125" t="n">
        <v>25380</v>
      </c>
      <c r="O173" s="125" t="n">
        <v>1218</v>
      </c>
      <c r="P173" s="125" t="n">
        <v>18.2</v>
      </c>
      <c r="Q173" s="125" t="n">
        <v>3.99</v>
      </c>
      <c r="R173" s="125" t="n">
        <v>1128</v>
      </c>
      <c r="S173" s="125" t="n">
        <v>129</v>
      </c>
      <c r="T173" s="125" t="n">
        <v>1286</v>
      </c>
      <c r="U173" s="125" t="n">
        <v>201</v>
      </c>
      <c r="X173" s="129">
        <f t="array" ref="X173">_xlfn.IFS((D173/F173) &lt;= (640/SQRT($AT$32)), "Compact", L173 &lt;= ($AT$32*(0.79-(0.002*((E173-G173/2)/(2*F173))*SQRT($AT$32)))), "Non-Compact", L173 &gt; ($AT$32*(0.79-(0.002*((E173-G173/2)/(2*F173))*SQRT($AT$32)))), "Slender")</f>
        <v/>
      </c>
      <c r="Y173" s="129">
        <f t="array" ref="Y173">_xlfn.IFS(K173 &lt;= (65/SQRT($AT$32)), "Compact", K173 &lt;= (95/SQRT($AT$32)), "Non-Compact", K173 &gt; (95/SQRT($AT$32)), "Slender")</f>
        <v/>
      </c>
      <c r="Z173" s="125">
        <f>E173/F173</f>
        <v/>
      </c>
      <c r="AA173" s="125">
        <f>D173/G173</f>
        <v/>
      </c>
      <c r="AB173" s="125">
        <f t="array" ref="AB173">_xlfn.IFS(Z173 &lt;= 9, "1", Z173 &lt;= 12, "2", Z173 &lt;= 15, "3", Z173 &gt; 15, "4")</f>
        <v/>
      </c>
      <c r="AC173" s="125">
        <f t="array" ref="AC173">_xlfn.IFS(AA173 &lt;= 200, "1", L173 &lt;= 300, "2", L173 &lt;= 400, "3", L173 &gt; 400, "4")</f>
        <v/>
      </c>
      <c r="AD173" s="129">
        <f>SQRT((((VLOOKUP($AT$4,$A$4:$D$1021,4,FALSE))-D173)^2)+(((VLOOKUP($AT$4,$A$4:$E$1021,5,FALSE))-E173)^2)+(((VLOOKUP($AT$4,$A$4:$N$1021,14,FALSE))-N173)^2)+(((VLOOKUP($AT$4,$A$4:$O$1021,15,FALSE))-O173)^2))</f>
        <v/>
      </c>
      <c r="AG173" s="129">
        <f>SQRT((((VLOOKUP($AT$4,$A$4:$D$1021,4,FALSE))-D173)^2)+(((VLOOKUP($AT$4,$A$4:$E$1021,5,FALSE))-E173)^2)+(((VLOOKUP($AT$4,$A$4:$R$1021,18,FALSE))-R173)^2)+(((VLOOKUP($AT$4,$A$4:$S$1021,19,FALSE))-S173)^2))</f>
        <v/>
      </c>
      <c r="AJ173" s="125" t="inlineStr">
        <is>
          <t>W18X41</t>
        </is>
      </c>
      <c r="AK173" s="125">
        <f>SQRT(((VLOOKUP($AT$4,$A$4:$J$1021,10,FALSE))-J173)^2)</f>
        <v/>
      </c>
      <c r="AL173" s="125" t="n"/>
      <c r="AM173" s="125" t="n"/>
      <c r="AN173" s="125">
        <f>SQRT(((VLOOKUP($AT$4,$A$4:$R$1021,18,FALSE))-R173)^2)</f>
        <v/>
      </c>
      <c r="AO173" s="125" t="n"/>
      <c r="AP173" s="125" t="n"/>
      <c r="AQ173" s="125" t="inlineStr">
        <is>
          <t>W18X41</t>
        </is>
      </c>
      <c r="BB173" s="125">
        <f>SQRT(($J$1022-J173)^2)</f>
        <v/>
      </c>
      <c r="BC173" s="125">
        <f>SQRT(($R$1022-R173)^2)</f>
        <v/>
      </c>
      <c r="BD173" s="125" t="inlineStr">
        <is>
          <t>W18X41</t>
        </is>
      </c>
      <c r="BI173">
        <f>SQRT(($J$1023-J173)^2)</f>
        <v/>
      </c>
      <c r="BJ173">
        <f>SQRT(($R$1023-R173)^2)</f>
        <v/>
      </c>
      <c r="BK173" s="125" t="inlineStr">
        <is>
          <t>W18X41</t>
        </is>
      </c>
      <c r="BP173">
        <f>SQRT(($J$1024-J173)^2)</f>
        <v/>
      </c>
      <c r="BQ173">
        <f>SQRT(($R$1024-R173)^2)</f>
        <v/>
      </c>
      <c r="BR173" s="125" t="inlineStr">
        <is>
          <t>W18X41</t>
        </is>
      </c>
      <c r="BW173">
        <f>SQRT(($J$1025-J173)^2)</f>
        <v/>
      </c>
      <c r="BX173">
        <f>SQRT(($R$1025-R173)^2)</f>
        <v/>
      </c>
      <c r="BY173" s="125" t="inlineStr">
        <is>
          <t>W18X41</t>
        </is>
      </c>
      <c r="CD173">
        <f>SQRT(($J$1026-J173)^2)</f>
        <v/>
      </c>
      <c r="CE173">
        <f>SQRT(($R$1026-R173)^2)</f>
        <v/>
      </c>
      <c r="CF173" s="125" t="inlineStr">
        <is>
          <t>W18X41</t>
        </is>
      </c>
    </row>
    <row r="174">
      <c r="A174" s="125" t="inlineStr">
        <is>
          <t>W18X45*</t>
        </is>
      </c>
      <c r="B174" s="129" t="inlineStr">
        <is>
          <t>AISC</t>
        </is>
      </c>
      <c r="C174" s="125" t="n">
        <v>67.09999999999999</v>
      </c>
      <c r="D174" s="125" t="n">
        <v>453.4</v>
      </c>
      <c r="E174" s="125" t="n">
        <v>189.9</v>
      </c>
      <c r="F174" s="125" t="n">
        <v>12.7</v>
      </c>
      <c r="G174" s="125" t="n">
        <v>8.5</v>
      </c>
      <c r="H174" s="125" t="n">
        <v>10.2</v>
      </c>
      <c r="I174" s="125" t="n">
        <v>407.6</v>
      </c>
      <c r="J174" s="125" t="n">
        <v>85.5</v>
      </c>
      <c r="K174" s="125">
        <f>((E174-G174)/2)/F174</f>
        <v/>
      </c>
      <c r="L174" s="125">
        <f>I174/G174</f>
        <v/>
      </c>
      <c r="M174" s="125" t="n">
        <v>1.63</v>
      </c>
      <c r="N174" s="125" t="n">
        <v>29380</v>
      </c>
      <c r="O174" s="125" t="n">
        <v>1452</v>
      </c>
      <c r="P174" s="125" t="n">
        <v>18.5</v>
      </c>
      <c r="Q174" s="125" t="n">
        <v>4.12</v>
      </c>
      <c r="R174" s="125" t="n">
        <v>1296</v>
      </c>
      <c r="S174" s="125" t="n">
        <v>153</v>
      </c>
      <c r="T174" s="125" t="n">
        <v>1471</v>
      </c>
      <c r="U174" s="125" t="n">
        <v>237</v>
      </c>
      <c r="X174" s="129">
        <f t="array" ref="X174">_xlfn.IFS((D174/F174) &lt;= (640/SQRT($AT$32)), "Compact", L174 &lt;= ($AT$32*(0.79-(0.002*((E174-G174/2)/(2*F174))*SQRT($AT$32)))), "Non-Compact", L174 &gt; ($AT$32*(0.79-(0.002*((E174-G174/2)/(2*F174))*SQRT($AT$32)))), "Slender")</f>
        <v/>
      </c>
      <c r="Y174" s="129">
        <f t="array" ref="Y174">_xlfn.IFS(K174 &lt;= (65/SQRT($AT$32)), "Compact", K174 &lt;= (95/SQRT($AT$32)), "Non-Compact", K174 &gt; (95/SQRT($AT$32)), "Slender")</f>
        <v/>
      </c>
      <c r="Z174" s="125">
        <f>E174/F174</f>
        <v/>
      </c>
      <c r="AA174" s="125">
        <f>D174/G174</f>
        <v/>
      </c>
      <c r="AB174" s="125">
        <f t="array" ref="AB174">_xlfn.IFS(Z174 &lt;= 9, "1", Z174 &lt;= 12, "2", Z174 &lt;= 15, "3", Z174 &gt; 15, "4")</f>
        <v/>
      </c>
      <c r="AC174" s="125">
        <f t="array" ref="AC174">_xlfn.IFS(AA174 &lt;= 200, "1", L174 &lt;= 300, "2", L174 &lt;= 400, "3", L174 &gt; 400, "4")</f>
        <v/>
      </c>
      <c r="AD174" s="129">
        <f>SQRT((((VLOOKUP($AT$4,$A$4:$D$1021,4,FALSE))-D174)^2)+(((VLOOKUP($AT$4,$A$4:$E$1021,5,FALSE))-E174)^2)+(((VLOOKUP($AT$4,$A$4:$N$1021,14,FALSE))-N174)^2)+(((VLOOKUP($AT$4,$A$4:$O$1021,15,FALSE))-O174)^2))</f>
        <v/>
      </c>
      <c r="AG174" s="129">
        <f>SQRT((((VLOOKUP($AT$4,$A$4:$D$1021,4,FALSE))-D174)^2)+(((VLOOKUP($AT$4,$A$4:$E$1021,5,FALSE))-E174)^2)+(((VLOOKUP($AT$4,$A$4:$R$1021,18,FALSE))-R174)^2)+(((VLOOKUP($AT$4,$A$4:$S$1021,19,FALSE))-S174)^2))</f>
        <v/>
      </c>
      <c r="AJ174" s="125" t="inlineStr">
        <is>
          <t>W18X45*</t>
        </is>
      </c>
      <c r="AK174" s="125">
        <f>SQRT(((VLOOKUP($AT$4,$A$4:$J$1021,10,FALSE))-J174)^2)</f>
        <v/>
      </c>
      <c r="AL174" s="125" t="n"/>
      <c r="AM174" s="125" t="n"/>
      <c r="AN174" s="125">
        <f>SQRT(((VLOOKUP($AT$4,$A$4:$R$1021,18,FALSE))-R174)^2)</f>
        <v/>
      </c>
      <c r="AO174" s="125" t="n"/>
      <c r="AP174" s="125" t="n"/>
      <c r="AQ174" s="125" t="inlineStr">
        <is>
          <t>W18X45*</t>
        </is>
      </c>
      <c r="BB174" s="125">
        <f>SQRT(($J$1022-J174)^2)</f>
        <v/>
      </c>
      <c r="BC174" s="125">
        <f>SQRT(($R$1022-R174)^2)</f>
        <v/>
      </c>
      <c r="BD174" s="125" t="inlineStr">
        <is>
          <t>W18X45*</t>
        </is>
      </c>
      <c r="BI174">
        <f>SQRT(($J$1023-J174)^2)</f>
        <v/>
      </c>
      <c r="BJ174">
        <f>SQRT(($R$1023-R174)^2)</f>
        <v/>
      </c>
      <c r="BK174" s="125" t="inlineStr">
        <is>
          <t>W18X45*</t>
        </is>
      </c>
      <c r="BP174">
        <f>SQRT(($J$1024-J174)^2)</f>
        <v/>
      </c>
      <c r="BQ174">
        <f>SQRT(($R$1024-R174)^2)</f>
        <v/>
      </c>
      <c r="BR174" s="125" t="inlineStr">
        <is>
          <t>W18X45*</t>
        </is>
      </c>
      <c r="BW174">
        <f>SQRT(($J$1025-J174)^2)</f>
        <v/>
      </c>
      <c r="BX174">
        <f>SQRT(($R$1025-R174)^2)</f>
        <v/>
      </c>
      <c r="BY174" s="125" t="inlineStr">
        <is>
          <t>W18X45*</t>
        </is>
      </c>
      <c r="CD174">
        <f>SQRT(($J$1026-J174)^2)</f>
        <v/>
      </c>
      <c r="CE174">
        <f>SQRT(($R$1026-R174)^2)</f>
        <v/>
      </c>
      <c r="CF174" s="125" t="inlineStr">
        <is>
          <t>W18X45*</t>
        </is>
      </c>
    </row>
    <row r="175">
      <c r="A175" s="125" t="inlineStr">
        <is>
          <t>W18X50*</t>
        </is>
      </c>
      <c r="B175" s="129" t="inlineStr">
        <is>
          <t>AISC</t>
        </is>
      </c>
      <c r="C175" s="125" t="n">
        <v>74.3</v>
      </c>
      <c r="D175" s="125" t="n">
        <v>457</v>
      </c>
      <c r="E175" s="125" t="n">
        <v>190.4</v>
      </c>
      <c r="F175" s="125" t="n">
        <v>14.5</v>
      </c>
      <c r="G175" s="125" t="n">
        <v>9</v>
      </c>
      <c r="H175" s="125" t="n">
        <v>10.2</v>
      </c>
      <c r="I175" s="125" t="n">
        <v>407.6</v>
      </c>
      <c r="J175" s="125" t="n">
        <v>94.59999999999999</v>
      </c>
      <c r="K175" s="125">
        <f>((E175-G175)/2)/F175</f>
        <v/>
      </c>
      <c r="L175" s="125">
        <f>I175/G175</f>
        <v/>
      </c>
      <c r="M175" s="125" t="n">
        <v>1.64</v>
      </c>
      <c r="N175" s="125" t="n">
        <v>33320</v>
      </c>
      <c r="O175" s="125" t="n">
        <v>1671</v>
      </c>
      <c r="P175" s="125" t="n">
        <v>18.8</v>
      </c>
      <c r="Q175" s="125" t="n">
        <v>4.2</v>
      </c>
      <c r="R175" s="125" t="n">
        <v>1458</v>
      </c>
      <c r="S175" s="125" t="n">
        <v>176</v>
      </c>
      <c r="T175" s="125" t="n">
        <v>1653</v>
      </c>
      <c r="U175" s="125" t="n">
        <v>272</v>
      </c>
      <c r="X175" s="129">
        <f t="array" ref="X175">_xlfn.IFS((D175/F175) &lt;= (640/SQRT($AT$32)), "Compact", L175 &lt;= ($AT$32*(0.79-(0.002*((E175-G175/2)/(2*F175))*SQRT($AT$32)))), "Non-Compact", L175 &gt; ($AT$32*(0.79-(0.002*((E175-G175/2)/(2*F175))*SQRT($AT$32)))), "Slender")</f>
        <v/>
      </c>
      <c r="Y175" s="129">
        <f t="array" ref="Y175">_xlfn.IFS(K175 &lt;= (65/SQRT($AT$32)), "Compact", K175 &lt;= (95/SQRT($AT$32)), "Non-Compact", K175 &gt; (95/SQRT($AT$32)), "Slender")</f>
        <v/>
      </c>
      <c r="Z175" s="125">
        <f>E175/F175</f>
        <v/>
      </c>
      <c r="AA175" s="125">
        <f>D175/G175</f>
        <v/>
      </c>
      <c r="AB175" s="125">
        <f t="array" ref="AB175">_xlfn.IFS(Z175 &lt;= 9, "1", Z175 &lt;= 12, "2", Z175 &lt;= 15, "3", Z175 &gt; 15, "4")</f>
        <v/>
      </c>
      <c r="AC175" s="125">
        <f t="array" ref="AC175">_xlfn.IFS(AA175 &lt;= 200, "1", L175 &lt;= 300, "2", L175 &lt;= 400, "3", L175 &gt; 400, "4")</f>
        <v/>
      </c>
      <c r="AD175" s="129">
        <f>SQRT((((VLOOKUP($AT$4,$A$4:$D$1021,4,FALSE))-D175)^2)+(((VLOOKUP($AT$4,$A$4:$E$1021,5,FALSE))-E175)^2)+(((VLOOKUP($AT$4,$A$4:$N$1021,14,FALSE))-N175)^2)+(((VLOOKUP($AT$4,$A$4:$O$1021,15,FALSE))-O175)^2))</f>
        <v/>
      </c>
      <c r="AG175" s="129">
        <f>SQRT((((VLOOKUP($AT$4,$A$4:$D$1021,4,FALSE))-D175)^2)+(((VLOOKUP($AT$4,$A$4:$E$1021,5,FALSE))-E175)^2)+(((VLOOKUP($AT$4,$A$4:$R$1021,18,FALSE))-R175)^2)+(((VLOOKUP($AT$4,$A$4:$S$1021,19,FALSE))-S175)^2))</f>
        <v/>
      </c>
      <c r="AJ175" s="125" t="inlineStr">
        <is>
          <t>W18X50*</t>
        </is>
      </c>
      <c r="AK175" s="125">
        <f>SQRT(((VLOOKUP($AT$4,$A$4:$J$1021,10,FALSE))-J175)^2)</f>
        <v/>
      </c>
      <c r="AL175" s="125" t="n"/>
      <c r="AM175" s="125" t="n"/>
      <c r="AN175" s="125">
        <f>SQRT(((VLOOKUP($AT$4,$A$4:$R$1021,18,FALSE))-R175)^2)</f>
        <v/>
      </c>
      <c r="AO175" s="125" t="n"/>
      <c r="AP175" s="125" t="n"/>
      <c r="AQ175" s="125" t="inlineStr">
        <is>
          <t>W18X50*</t>
        </is>
      </c>
      <c r="BB175" s="125">
        <f>SQRT(($J$1022-J175)^2)</f>
        <v/>
      </c>
      <c r="BC175" s="125">
        <f>SQRT(($R$1022-R175)^2)</f>
        <v/>
      </c>
      <c r="BD175" s="125" t="inlineStr">
        <is>
          <t>W18X50*</t>
        </is>
      </c>
      <c r="BI175">
        <f>SQRT(($J$1023-J175)^2)</f>
        <v/>
      </c>
      <c r="BJ175">
        <f>SQRT(($R$1023-R175)^2)</f>
        <v/>
      </c>
      <c r="BK175" s="125" t="inlineStr">
        <is>
          <t>W18X50*</t>
        </is>
      </c>
      <c r="BP175">
        <f>SQRT(($J$1024-J175)^2)</f>
        <v/>
      </c>
      <c r="BQ175">
        <f>SQRT(($R$1024-R175)^2)</f>
        <v/>
      </c>
      <c r="BR175" s="125" t="inlineStr">
        <is>
          <t>W18X50*</t>
        </is>
      </c>
      <c r="BW175">
        <f>SQRT(($J$1025-J175)^2)</f>
        <v/>
      </c>
      <c r="BX175">
        <f>SQRT(($R$1025-R175)^2)</f>
        <v/>
      </c>
      <c r="BY175" s="125" t="inlineStr">
        <is>
          <t>W18X50*</t>
        </is>
      </c>
      <c r="CD175">
        <f>SQRT(($J$1026-J175)^2)</f>
        <v/>
      </c>
      <c r="CE175">
        <f>SQRT(($R$1026-R175)^2)</f>
        <v/>
      </c>
      <c r="CF175" s="125" t="inlineStr">
        <is>
          <t>W18X50*</t>
        </is>
      </c>
    </row>
    <row r="176">
      <c r="A176" s="125" t="inlineStr">
        <is>
          <t>W18X55*</t>
        </is>
      </c>
      <c r="B176" s="129" t="inlineStr">
        <is>
          <t>AISC</t>
        </is>
      </c>
      <c r="C176" s="125" t="n">
        <v>82</v>
      </c>
      <c r="D176" s="125" t="n">
        <v>460</v>
      </c>
      <c r="E176" s="125" t="n">
        <v>191.3</v>
      </c>
      <c r="F176" s="125" t="n">
        <v>16</v>
      </c>
      <c r="G176" s="125" t="n">
        <v>9.9</v>
      </c>
      <c r="H176" s="125" t="n">
        <v>10.2</v>
      </c>
      <c r="I176" s="125" t="n">
        <v>407.6</v>
      </c>
      <c r="J176" s="125" t="n">
        <v>104</v>
      </c>
      <c r="K176" s="125">
        <f>((E176-G176)/2)/F176</f>
        <v/>
      </c>
      <c r="L176" s="125">
        <f>I176/G176</f>
        <v/>
      </c>
      <c r="M176" s="125" t="n">
        <v>1.65</v>
      </c>
      <c r="N176" s="125" t="n">
        <v>37050</v>
      </c>
      <c r="O176" s="125" t="n">
        <v>1871</v>
      </c>
      <c r="P176" s="125" t="n">
        <v>18.8</v>
      </c>
      <c r="Q176" s="125" t="n">
        <v>4.23</v>
      </c>
      <c r="R176" s="125" t="n">
        <v>1611</v>
      </c>
      <c r="S176" s="125" t="n">
        <v>196</v>
      </c>
      <c r="T176" s="125" t="n">
        <v>1831</v>
      </c>
      <c r="U176" s="125" t="n">
        <v>304</v>
      </c>
      <c r="X176" s="129">
        <f t="array" ref="X176">_xlfn.IFS((D176/F176) &lt;= (640/SQRT($AT$32)), "Compact", L176 &lt;= ($AT$32*(0.79-(0.002*((E176-G176/2)/(2*F176))*SQRT($AT$32)))), "Non-Compact", L176 &gt; ($AT$32*(0.79-(0.002*((E176-G176/2)/(2*F176))*SQRT($AT$32)))), "Slender")</f>
        <v/>
      </c>
      <c r="Y176" s="129">
        <f t="array" ref="Y176">_xlfn.IFS(K176 &lt;= (65/SQRT($AT$32)), "Compact", K176 &lt;= (95/SQRT($AT$32)), "Non-Compact", K176 &gt; (95/SQRT($AT$32)), "Slender")</f>
        <v/>
      </c>
      <c r="Z176" s="125">
        <f>E176/F176</f>
        <v/>
      </c>
      <c r="AA176" s="125">
        <f>D176/G176</f>
        <v/>
      </c>
      <c r="AB176" s="125">
        <f t="array" ref="AB176">_xlfn.IFS(Z176 &lt;= 9, "1", Z176 &lt;= 12, "2", Z176 &lt;= 15, "3", Z176 &gt; 15, "4")</f>
        <v/>
      </c>
      <c r="AC176" s="125">
        <f t="array" ref="AC176">_xlfn.IFS(AA176 &lt;= 200, "1", L176 &lt;= 300, "2", L176 &lt;= 400, "3", L176 &gt; 400, "4")</f>
        <v/>
      </c>
      <c r="AD176" s="129">
        <f>SQRT((((VLOOKUP($AT$4,$A$4:$D$1021,4,FALSE))-D176)^2)+(((VLOOKUP($AT$4,$A$4:$E$1021,5,FALSE))-E176)^2)+(((VLOOKUP($AT$4,$A$4:$N$1021,14,FALSE))-N176)^2)+(((VLOOKUP($AT$4,$A$4:$O$1021,15,FALSE))-O176)^2))</f>
        <v/>
      </c>
      <c r="AG176" s="129">
        <f>SQRT((((VLOOKUP($AT$4,$A$4:$D$1021,4,FALSE))-D176)^2)+(((VLOOKUP($AT$4,$A$4:$E$1021,5,FALSE))-E176)^2)+(((VLOOKUP($AT$4,$A$4:$R$1021,18,FALSE))-R176)^2)+(((VLOOKUP($AT$4,$A$4:$S$1021,19,FALSE))-S176)^2))</f>
        <v/>
      </c>
      <c r="AJ176" s="125" t="inlineStr">
        <is>
          <t>W18X55*</t>
        </is>
      </c>
      <c r="AK176" s="125">
        <f>SQRT(((VLOOKUP($AT$4,$A$4:$J$1021,10,FALSE))-J176)^2)</f>
        <v/>
      </c>
      <c r="AL176" s="125" t="n"/>
      <c r="AM176" s="125" t="n"/>
      <c r="AN176" s="125">
        <f>SQRT(((VLOOKUP($AT$4,$A$4:$R$1021,18,FALSE))-R176)^2)</f>
        <v/>
      </c>
      <c r="AO176" s="125" t="n"/>
      <c r="AP176" s="125" t="n"/>
      <c r="AQ176" s="125" t="inlineStr">
        <is>
          <t>W18X55*</t>
        </is>
      </c>
      <c r="BB176" s="125">
        <f>SQRT(($J$1022-J176)^2)</f>
        <v/>
      </c>
      <c r="BC176" s="125">
        <f>SQRT(($R$1022-R176)^2)</f>
        <v/>
      </c>
      <c r="BD176" s="125" t="inlineStr">
        <is>
          <t>W18X55*</t>
        </is>
      </c>
      <c r="BI176">
        <f>SQRT(($J$1023-J176)^2)</f>
        <v/>
      </c>
      <c r="BJ176">
        <f>SQRT(($R$1023-R176)^2)</f>
        <v/>
      </c>
      <c r="BK176" s="125" t="inlineStr">
        <is>
          <t>W18X55*</t>
        </is>
      </c>
      <c r="BP176">
        <f>SQRT(($J$1024-J176)^2)</f>
        <v/>
      </c>
      <c r="BQ176">
        <f>SQRT(($R$1024-R176)^2)</f>
        <v/>
      </c>
      <c r="BR176" s="125" t="inlineStr">
        <is>
          <t>W18X55*</t>
        </is>
      </c>
      <c r="BW176">
        <f>SQRT(($J$1025-J176)^2)</f>
        <v/>
      </c>
      <c r="BX176">
        <f>SQRT(($R$1025-R176)^2)</f>
        <v/>
      </c>
      <c r="BY176" s="125" t="inlineStr">
        <is>
          <t>W18X55*</t>
        </is>
      </c>
      <c r="CD176">
        <f>SQRT(($J$1026-J176)^2)</f>
        <v/>
      </c>
      <c r="CE176">
        <f>SQRT(($R$1026-R176)^2)</f>
        <v/>
      </c>
      <c r="CF176" s="125" t="inlineStr">
        <is>
          <t>W18X55*</t>
        </is>
      </c>
    </row>
    <row r="177">
      <c r="A177" s="125" t="inlineStr">
        <is>
          <t>W18X60</t>
        </is>
      </c>
      <c r="B177" s="129" t="inlineStr">
        <is>
          <t>AISC</t>
        </is>
      </c>
      <c r="C177" s="125" t="n">
        <v>89.3</v>
      </c>
      <c r="D177" s="125" t="n">
        <v>463.4</v>
      </c>
      <c r="E177" s="125" t="n">
        <v>191.9</v>
      </c>
      <c r="F177" s="125" t="n">
        <v>17.7</v>
      </c>
      <c r="G177" s="125" t="n">
        <v>10.5</v>
      </c>
      <c r="H177" s="125" t="n">
        <v>10.2</v>
      </c>
      <c r="I177" s="125" t="n">
        <v>407.6</v>
      </c>
      <c r="J177" s="125" t="n">
        <v>114</v>
      </c>
      <c r="K177" s="125">
        <f>((E177-G177)/2)/F177</f>
        <v/>
      </c>
      <c r="L177" s="125">
        <f>I177/G177</f>
        <v/>
      </c>
      <c r="M177" s="125" t="n">
        <v>1.66</v>
      </c>
      <c r="N177" s="125" t="n">
        <v>41020</v>
      </c>
      <c r="O177" s="125" t="n">
        <v>2089</v>
      </c>
      <c r="P177" s="125" t="n">
        <v>19</v>
      </c>
      <c r="Q177" s="125" t="n">
        <v>4.29</v>
      </c>
      <c r="R177" s="125" t="n">
        <v>1770</v>
      </c>
      <c r="S177" s="125" t="n">
        <v>218</v>
      </c>
      <c r="T177" s="125" t="n">
        <v>2014</v>
      </c>
      <c r="U177" s="125" t="n">
        <v>338</v>
      </c>
      <c r="X177" s="129">
        <f t="array" ref="X177">_xlfn.IFS((D177/F177) &lt;= (640/SQRT($AT$32)), "Compact", L177 &lt;= ($AT$32*(0.79-(0.002*((E177-G177/2)/(2*F177))*SQRT($AT$32)))), "Non-Compact", L177 &gt; ($AT$32*(0.79-(0.002*((E177-G177/2)/(2*F177))*SQRT($AT$32)))), "Slender")</f>
        <v/>
      </c>
      <c r="Y177" s="129">
        <f t="array" ref="Y177">_xlfn.IFS(K177 &lt;= (65/SQRT($AT$32)), "Compact", K177 &lt;= (95/SQRT($AT$32)), "Non-Compact", K177 &gt; (95/SQRT($AT$32)), "Slender")</f>
        <v/>
      </c>
      <c r="Z177" s="125">
        <f>E177/F177</f>
        <v/>
      </c>
      <c r="AA177" s="125">
        <f>D177/G177</f>
        <v/>
      </c>
      <c r="AB177" s="125">
        <f t="array" ref="AB177">_xlfn.IFS(Z177 &lt;= 9, "1", Z177 &lt;= 12, "2", Z177 &lt;= 15, "3", Z177 &gt; 15, "4")</f>
        <v/>
      </c>
      <c r="AC177" s="125">
        <f t="array" ref="AC177">_xlfn.IFS(AA177 &lt;= 200, "1", L177 &lt;= 300, "2", L177 &lt;= 400, "3", L177 &gt; 400, "4")</f>
        <v/>
      </c>
      <c r="AD177" s="129">
        <f>SQRT((((VLOOKUP($AT$4,$A$4:$D$1021,4,FALSE))-D177)^2)+(((VLOOKUP($AT$4,$A$4:$E$1021,5,FALSE))-E177)^2)+(((VLOOKUP($AT$4,$A$4:$N$1021,14,FALSE))-N177)^2)+(((VLOOKUP($AT$4,$A$4:$O$1021,15,FALSE))-O177)^2))</f>
        <v/>
      </c>
      <c r="AG177" s="129">
        <f>SQRT((((VLOOKUP($AT$4,$A$4:$D$1021,4,FALSE))-D177)^2)+(((VLOOKUP($AT$4,$A$4:$E$1021,5,FALSE))-E177)^2)+(((VLOOKUP($AT$4,$A$4:$R$1021,18,FALSE))-R177)^2)+(((VLOOKUP($AT$4,$A$4:$S$1021,19,FALSE))-S177)^2))</f>
        <v/>
      </c>
      <c r="AJ177" s="125" t="inlineStr">
        <is>
          <t>W18X60</t>
        </is>
      </c>
      <c r="AK177" s="125">
        <f>SQRT(((VLOOKUP($AT$4,$A$4:$J$1021,10,FALSE))-J177)^2)</f>
        <v/>
      </c>
      <c r="AL177" s="125" t="n"/>
      <c r="AM177" s="125" t="n"/>
      <c r="AN177" s="125">
        <f>SQRT(((VLOOKUP($AT$4,$A$4:$R$1021,18,FALSE))-R177)^2)</f>
        <v/>
      </c>
      <c r="AO177" s="125" t="n"/>
      <c r="AP177" s="125" t="n"/>
      <c r="AQ177" s="125" t="inlineStr">
        <is>
          <t>W18X60</t>
        </is>
      </c>
      <c r="BB177" s="125">
        <f>SQRT(($J$1022-J177)^2)</f>
        <v/>
      </c>
      <c r="BC177" s="125">
        <f>SQRT(($R$1022-R177)^2)</f>
        <v/>
      </c>
      <c r="BD177" s="125" t="inlineStr">
        <is>
          <t>W18X60</t>
        </is>
      </c>
      <c r="BI177">
        <f>SQRT(($J$1023-J177)^2)</f>
        <v/>
      </c>
      <c r="BJ177">
        <f>SQRT(($R$1023-R177)^2)</f>
        <v/>
      </c>
      <c r="BK177" s="125" t="inlineStr">
        <is>
          <t>W18X60</t>
        </is>
      </c>
      <c r="BP177">
        <f>SQRT(($J$1024-J177)^2)</f>
        <v/>
      </c>
      <c r="BQ177">
        <f>SQRT(($R$1024-R177)^2)</f>
        <v/>
      </c>
      <c r="BR177" s="125" t="inlineStr">
        <is>
          <t>W18X60</t>
        </is>
      </c>
      <c r="BW177">
        <f>SQRT(($J$1025-J177)^2)</f>
        <v/>
      </c>
      <c r="BX177">
        <f>SQRT(($R$1025-R177)^2)</f>
        <v/>
      </c>
      <c r="BY177" s="125" t="inlineStr">
        <is>
          <t>W18X60</t>
        </is>
      </c>
      <c r="CD177">
        <f>SQRT(($J$1026-J177)^2)</f>
        <v/>
      </c>
      <c r="CE177">
        <f>SQRT(($R$1026-R177)^2)</f>
        <v/>
      </c>
      <c r="CF177" s="125" t="inlineStr">
        <is>
          <t>W18X60</t>
        </is>
      </c>
    </row>
    <row r="178">
      <c r="A178" s="125" t="inlineStr">
        <is>
          <t>W18X65</t>
        </is>
      </c>
      <c r="B178" s="129" t="inlineStr">
        <is>
          <t>AISC</t>
        </is>
      </c>
      <c r="C178" s="125" t="n">
        <v>96.7</v>
      </c>
      <c r="D178" s="125" t="n">
        <v>466.1</v>
      </c>
      <c r="E178" s="125" t="n">
        <v>192.8</v>
      </c>
      <c r="F178" s="125" t="n">
        <v>19.1</v>
      </c>
      <c r="G178" s="125" t="n">
        <v>11.4</v>
      </c>
      <c r="H178" s="125" t="n">
        <v>10.2</v>
      </c>
      <c r="I178" s="125" t="n">
        <v>407.6</v>
      </c>
      <c r="J178" s="125" t="n">
        <v>123</v>
      </c>
      <c r="K178" s="125">
        <f>((E178-G178)/2)/F178</f>
        <v/>
      </c>
      <c r="L178" s="125">
        <f>I178/G178</f>
        <v/>
      </c>
      <c r="M178" s="125" t="n">
        <v>1.66</v>
      </c>
      <c r="N178" s="125" t="n">
        <v>44590</v>
      </c>
      <c r="O178" s="125" t="n">
        <v>2281</v>
      </c>
      <c r="P178" s="125" t="n">
        <v>19</v>
      </c>
      <c r="Q178" s="125" t="n">
        <v>4.3</v>
      </c>
      <c r="R178" s="125" t="n">
        <v>1913</v>
      </c>
      <c r="S178" s="125" t="n">
        <v>237</v>
      </c>
      <c r="T178" s="125" t="n">
        <v>2184</v>
      </c>
      <c r="U178" s="125" t="n">
        <v>369</v>
      </c>
      <c r="X178" s="129">
        <f t="array" ref="X178">_xlfn.IFS((D178/F178) &lt;= (640/SQRT($AT$32)), "Compact", L178 &lt;= ($AT$32*(0.79-(0.002*((E178-G178/2)/(2*F178))*SQRT($AT$32)))), "Non-Compact", L178 &gt; ($AT$32*(0.79-(0.002*((E178-G178/2)/(2*F178))*SQRT($AT$32)))), "Slender")</f>
        <v/>
      </c>
      <c r="Y178" s="129">
        <f t="array" ref="Y178">_xlfn.IFS(K178 &lt;= (65/SQRT($AT$32)), "Compact", K178 &lt;= (95/SQRT($AT$32)), "Non-Compact", K178 &gt; (95/SQRT($AT$32)), "Slender")</f>
        <v/>
      </c>
      <c r="Z178" s="125">
        <f>E178/F178</f>
        <v/>
      </c>
      <c r="AA178" s="125">
        <f>D178/G178</f>
        <v/>
      </c>
      <c r="AB178" s="125">
        <f t="array" ref="AB178">_xlfn.IFS(Z178 &lt;= 9, "1", Z178 &lt;= 12, "2", Z178 &lt;= 15, "3", Z178 &gt; 15, "4")</f>
        <v/>
      </c>
      <c r="AC178" s="125">
        <f t="array" ref="AC178">_xlfn.IFS(AA178 &lt;= 200, "1", L178 &lt;= 300, "2", L178 &lt;= 400, "3", L178 &gt; 400, "4")</f>
        <v/>
      </c>
      <c r="AD178" s="129">
        <f>SQRT((((VLOOKUP($AT$4,$A$4:$D$1021,4,FALSE))-D178)^2)+(((VLOOKUP($AT$4,$A$4:$E$1021,5,FALSE))-E178)^2)+(((VLOOKUP($AT$4,$A$4:$N$1021,14,FALSE))-N178)^2)+(((VLOOKUP($AT$4,$A$4:$O$1021,15,FALSE))-O178)^2))</f>
        <v/>
      </c>
      <c r="AG178" s="129">
        <f>SQRT((((VLOOKUP($AT$4,$A$4:$D$1021,4,FALSE))-D178)^2)+(((VLOOKUP($AT$4,$A$4:$E$1021,5,FALSE))-E178)^2)+(((VLOOKUP($AT$4,$A$4:$R$1021,18,FALSE))-R178)^2)+(((VLOOKUP($AT$4,$A$4:$S$1021,19,FALSE))-S178)^2))</f>
        <v/>
      </c>
      <c r="AJ178" s="125" t="inlineStr">
        <is>
          <t>W18X65</t>
        </is>
      </c>
      <c r="AK178" s="125">
        <f>SQRT(((VLOOKUP($AT$4,$A$4:$J$1021,10,FALSE))-J178)^2)</f>
        <v/>
      </c>
      <c r="AL178" s="125" t="n"/>
      <c r="AM178" s="125" t="n"/>
      <c r="AN178" s="125">
        <f>SQRT(((VLOOKUP($AT$4,$A$4:$R$1021,18,FALSE))-R178)^2)</f>
        <v/>
      </c>
      <c r="AO178" s="125" t="n"/>
      <c r="AP178" s="125" t="n"/>
      <c r="AQ178" s="125" t="inlineStr">
        <is>
          <t>W18X65</t>
        </is>
      </c>
      <c r="BB178" s="125">
        <f>SQRT(($J$1022-J178)^2)</f>
        <v/>
      </c>
      <c r="BC178" s="125">
        <f>SQRT(($R$1022-R178)^2)</f>
        <v/>
      </c>
      <c r="BD178" s="125" t="inlineStr">
        <is>
          <t>W18X65</t>
        </is>
      </c>
      <c r="BI178">
        <f>SQRT(($J$1023-J178)^2)</f>
        <v/>
      </c>
      <c r="BJ178">
        <f>SQRT(($R$1023-R178)^2)</f>
        <v/>
      </c>
      <c r="BK178" s="125" t="inlineStr">
        <is>
          <t>W18X65</t>
        </is>
      </c>
      <c r="BP178">
        <f>SQRT(($J$1024-J178)^2)</f>
        <v/>
      </c>
      <c r="BQ178">
        <f>SQRT(($R$1024-R178)^2)</f>
        <v/>
      </c>
      <c r="BR178" s="125" t="inlineStr">
        <is>
          <t>W18X65</t>
        </is>
      </c>
      <c r="BW178">
        <f>SQRT(($J$1025-J178)^2)</f>
        <v/>
      </c>
      <c r="BX178">
        <f>SQRT(($R$1025-R178)^2)</f>
        <v/>
      </c>
      <c r="BY178" s="125" t="inlineStr">
        <is>
          <t>W18X65</t>
        </is>
      </c>
      <c r="CD178">
        <f>SQRT(($J$1026-J178)^2)</f>
        <v/>
      </c>
      <c r="CE178">
        <f>SQRT(($R$1026-R178)^2)</f>
        <v/>
      </c>
      <c r="CF178" s="125" t="inlineStr">
        <is>
          <t>W18X65</t>
        </is>
      </c>
    </row>
    <row r="179">
      <c r="A179" s="125" t="inlineStr">
        <is>
          <t>W18X66</t>
        </is>
      </c>
      <c r="B179" s="129" t="inlineStr">
        <is>
          <t>AISC</t>
        </is>
      </c>
      <c r="C179" s="125" t="n">
        <v>98.3</v>
      </c>
      <c r="D179" s="125" t="n">
        <v>467.2</v>
      </c>
      <c r="E179" s="125" t="n">
        <v>192.8</v>
      </c>
      <c r="F179" s="125" t="n">
        <v>19.6</v>
      </c>
      <c r="G179" s="125" t="n">
        <v>11.4</v>
      </c>
      <c r="H179" s="125" t="n">
        <v>10.2</v>
      </c>
      <c r="I179" s="125" t="n">
        <v>407.6</v>
      </c>
      <c r="J179" s="125" t="n">
        <v>125</v>
      </c>
      <c r="K179" s="125">
        <f>((E179-G179)/2)/F179</f>
        <v/>
      </c>
      <c r="L179" s="125">
        <f>I179/G179</f>
        <v/>
      </c>
      <c r="M179" s="125" t="n">
        <v>1.67</v>
      </c>
      <c r="N179" s="125" t="n">
        <v>45730</v>
      </c>
      <c r="O179" s="125" t="n">
        <v>2347</v>
      </c>
      <c r="P179" s="125" t="n">
        <v>19.1</v>
      </c>
      <c r="Q179" s="125" t="n">
        <v>4.33</v>
      </c>
      <c r="R179" s="125" t="n">
        <v>1957</v>
      </c>
      <c r="S179" s="125" t="n">
        <v>243</v>
      </c>
      <c r="T179" s="125" t="n">
        <v>2232</v>
      </c>
      <c r="U179" s="125" t="n">
        <v>379</v>
      </c>
      <c r="X179" s="129">
        <f t="array" ref="X179">_xlfn.IFS((D179/F179) &lt;= (640/SQRT($AT$32)), "Compact", L179 &lt;= ($AT$32*(0.79-(0.002*((E179-G179/2)/(2*F179))*SQRT($AT$32)))), "Non-Compact", L179 &gt; ($AT$32*(0.79-(0.002*((E179-G179/2)/(2*F179))*SQRT($AT$32)))), "Slender")</f>
        <v/>
      </c>
      <c r="Y179" s="129">
        <f t="array" ref="Y179">_xlfn.IFS(K179 &lt;= (65/SQRT($AT$32)), "Compact", K179 &lt;= (95/SQRT($AT$32)), "Non-Compact", K179 &gt; (95/SQRT($AT$32)), "Slender")</f>
        <v/>
      </c>
      <c r="Z179" s="125">
        <f>E179/F179</f>
        <v/>
      </c>
      <c r="AA179" s="125">
        <f>D179/G179</f>
        <v/>
      </c>
      <c r="AB179" s="125">
        <f t="array" ref="AB179">_xlfn.IFS(Z179 &lt;= 9, "1", Z179 &lt;= 12, "2", Z179 &lt;= 15, "3", Z179 &gt; 15, "4")</f>
        <v/>
      </c>
      <c r="AC179" s="125">
        <f t="array" ref="AC179">_xlfn.IFS(AA179 &lt;= 200, "1", L179 &lt;= 300, "2", L179 &lt;= 400, "3", L179 &gt; 400, "4")</f>
        <v/>
      </c>
      <c r="AD179" s="129">
        <f>SQRT((((VLOOKUP($AT$4,$A$4:$D$1021,4,FALSE))-D179)^2)+(((VLOOKUP($AT$4,$A$4:$E$1021,5,FALSE))-E179)^2)+(((VLOOKUP($AT$4,$A$4:$N$1021,14,FALSE))-N179)^2)+(((VLOOKUP($AT$4,$A$4:$O$1021,15,FALSE))-O179)^2))</f>
        <v/>
      </c>
      <c r="AG179" s="129">
        <f>SQRT((((VLOOKUP($AT$4,$A$4:$D$1021,4,FALSE))-D179)^2)+(((VLOOKUP($AT$4,$A$4:$E$1021,5,FALSE))-E179)^2)+(((VLOOKUP($AT$4,$A$4:$R$1021,18,FALSE))-R179)^2)+(((VLOOKUP($AT$4,$A$4:$S$1021,19,FALSE))-S179)^2))</f>
        <v/>
      </c>
      <c r="AJ179" s="125" t="inlineStr">
        <is>
          <t>W18X66</t>
        </is>
      </c>
      <c r="AK179" s="125">
        <f>SQRT(((VLOOKUP($AT$4,$A$4:$J$1021,10,FALSE))-J179)^2)</f>
        <v/>
      </c>
      <c r="AL179" s="125" t="n"/>
      <c r="AM179" s="125" t="n"/>
      <c r="AN179" s="125">
        <f>SQRT(((VLOOKUP($AT$4,$A$4:$R$1021,18,FALSE))-R179)^2)</f>
        <v/>
      </c>
      <c r="AO179" s="125" t="n"/>
      <c r="AP179" s="125" t="n"/>
      <c r="AQ179" s="125" t="inlineStr">
        <is>
          <t>W18X66</t>
        </is>
      </c>
      <c r="BB179" s="125">
        <f>SQRT(($J$1022-J179)^2)</f>
        <v/>
      </c>
      <c r="BC179" s="125">
        <f>SQRT(($R$1022-R179)^2)</f>
        <v/>
      </c>
      <c r="BD179" s="125" t="inlineStr">
        <is>
          <t>W18X66</t>
        </is>
      </c>
      <c r="BI179">
        <f>SQRT(($J$1023-J179)^2)</f>
        <v/>
      </c>
      <c r="BJ179">
        <f>SQRT(($R$1023-R179)^2)</f>
        <v/>
      </c>
      <c r="BK179" s="125" t="inlineStr">
        <is>
          <t>W18X66</t>
        </is>
      </c>
      <c r="BP179">
        <f>SQRT(($J$1024-J179)^2)</f>
        <v/>
      </c>
      <c r="BQ179">
        <f>SQRT(($R$1024-R179)^2)</f>
        <v/>
      </c>
      <c r="BR179" s="125" t="inlineStr">
        <is>
          <t>W18X66</t>
        </is>
      </c>
      <c r="BW179">
        <f>SQRT(($J$1025-J179)^2)</f>
        <v/>
      </c>
      <c r="BX179">
        <f>SQRT(($R$1025-R179)^2)</f>
        <v/>
      </c>
      <c r="BY179" s="125" t="inlineStr">
        <is>
          <t>W18X66</t>
        </is>
      </c>
      <c r="CD179">
        <f>SQRT(($J$1026-J179)^2)</f>
        <v/>
      </c>
      <c r="CE179">
        <f>SQRT(($R$1026-R179)^2)</f>
        <v/>
      </c>
      <c r="CF179" s="125" t="inlineStr">
        <is>
          <t>W18X66</t>
        </is>
      </c>
    </row>
    <row r="180">
      <c r="A180" s="125" t="inlineStr">
        <is>
          <t>W18X71</t>
        </is>
      </c>
      <c r="B180" s="129" t="inlineStr">
        <is>
          <t>AISC</t>
        </is>
      </c>
      <c r="C180" s="125" t="n">
        <v>105.7</v>
      </c>
      <c r="D180" s="125" t="n">
        <v>469.1</v>
      </c>
      <c r="E180" s="125" t="n">
        <v>193.9</v>
      </c>
      <c r="F180" s="125" t="n">
        <v>20.6</v>
      </c>
      <c r="G180" s="125" t="n">
        <v>12.6</v>
      </c>
      <c r="H180" s="125" t="n">
        <v>10.2</v>
      </c>
      <c r="I180" s="125" t="n">
        <v>407.6</v>
      </c>
      <c r="J180" s="125" t="n">
        <v>134</v>
      </c>
      <c r="K180" s="125">
        <f>((E180-G180)/2)/F180</f>
        <v/>
      </c>
      <c r="L180" s="125">
        <f>I180/G180</f>
        <v/>
      </c>
      <c r="M180" s="125" t="n">
        <v>1.67</v>
      </c>
      <c r="N180" s="125" t="n">
        <v>48760</v>
      </c>
      <c r="O180" s="125" t="n">
        <v>2507</v>
      </c>
      <c r="P180" s="125" t="n">
        <v>19</v>
      </c>
      <c r="Q180" s="125" t="n">
        <v>4.32</v>
      </c>
      <c r="R180" s="125" t="n">
        <v>2079</v>
      </c>
      <c r="S180" s="125" t="n">
        <v>259</v>
      </c>
      <c r="T180" s="125" t="n">
        <v>2383</v>
      </c>
      <c r="U180" s="125" t="n">
        <v>404</v>
      </c>
      <c r="X180" s="129">
        <f t="array" ref="X180">_xlfn.IFS((D180/F180) &lt;= (640/SQRT($AT$32)), "Compact", L180 &lt;= ($AT$32*(0.79-(0.002*((E180-G180/2)/(2*F180))*SQRT($AT$32)))), "Non-Compact", L180 &gt; ($AT$32*(0.79-(0.002*((E180-G180/2)/(2*F180))*SQRT($AT$32)))), "Slender")</f>
        <v/>
      </c>
      <c r="Y180" s="129">
        <f t="array" ref="Y180">_xlfn.IFS(K180 &lt;= (65/SQRT($AT$32)), "Compact", K180 &lt;= (95/SQRT($AT$32)), "Non-Compact", K180 &gt; (95/SQRT($AT$32)), "Slender")</f>
        <v/>
      </c>
      <c r="Z180" s="125">
        <f>E180/F180</f>
        <v/>
      </c>
      <c r="AA180" s="125">
        <f>D180/G180</f>
        <v/>
      </c>
      <c r="AB180" s="125">
        <f t="array" ref="AB180">_xlfn.IFS(Z180 &lt;= 9, "1", Z180 &lt;= 12, "2", Z180 &lt;= 15, "3", Z180 &gt; 15, "4")</f>
        <v/>
      </c>
      <c r="AC180" s="125">
        <f t="array" ref="AC180">_xlfn.IFS(AA180 &lt;= 200, "1", L180 &lt;= 300, "2", L180 &lt;= 400, "3", L180 &gt; 400, "4")</f>
        <v/>
      </c>
      <c r="AD180" s="129">
        <f>SQRT((((VLOOKUP($AT$4,$A$4:$D$1021,4,FALSE))-D180)^2)+(((VLOOKUP($AT$4,$A$4:$E$1021,5,FALSE))-E180)^2)+(((VLOOKUP($AT$4,$A$4:$N$1021,14,FALSE))-N180)^2)+(((VLOOKUP($AT$4,$A$4:$O$1021,15,FALSE))-O180)^2))</f>
        <v/>
      </c>
      <c r="AG180" s="129">
        <f>SQRT((((VLOOKUP($AT$4,$A$4:$D$1021,4,FALSE))-D180)^2)+(((VLOOKUP($AT$4,$A$4:$E$1021,5,FALSE))-E180)^2)+(((VLOOKUP($AT$4,$A$4:$R$1021,18,FALSE))-R180)^2)+(((VLOOKUP($AT$4,$A$4:$S$1021,19,FALSE))-S180)^2))</f>
        <v/>
      </c>
      <c r="AJ180" s="125" t="inlineStr">
        <is>
          <t>W18X71</t>
        </is>
      </c>
      <c r="AK180" s="125">
        <f>SQRT(((VLOOKUP($AT$4,$A$4:$J$1021,10,FALSE))-J180)^2)</f>
        <v/>
      </c>
      <c r="AL180" s="125" t="n"/>
      <c r="AM180" s="125" t="n"/>
      <c r="AN180" s="125">
        <f>SQRT(((VLOOKUP($AT$4,$A$4:$R$1021,18,FALSE))-R180)^2)</f>
        <v/>
      </c>
      <c r="AO180" s="125" t="n"/>
      <c r="AP180" s="125" t="n"/>
      <c r="AQ180" s="125" t="inlineStr">
        <is>
          <t>W18X71</t>
        </is>
      </c>
      <c r="BB180" s="125">
        <f>SQRT(($J$1022-J180)^2)</f>
        <v/>
      </c>
      <c r="BC180" s="125">
        <f>SQRT(($R$1022-R180)^2)</f>
        <v/>
      </c>
      <c r="BD180" s="125" t="inlineStr">
        <is>
          <t>W18X71</t>
        </is>
      </c>
      <c r="BI180">
        <f>SQRT(($J$1023-J180)^2)</f>
        <v/>
      </c>
      <c r="BJ180">
        <f>SQRT(($R$1023-R180)^2)</f>
        <v/>
      </c>
      <c r="BK180" s="125" t="inlineStr">
        <is>
          <t>W18X71</t>
        </is>
      </c>
      <c r="BP180">
        <f>SQRT(($J$1024-J180)^2)</f>
        <v/>
      </c>
      <c r="BQ180">
        <f>SQRT(($R$1024-R180)^2)</f>
        <v/>
      </c>
      <c r="BR180" s="125" t="inlineStr">
        <is>
          <t>W18X71</t>
        </is>
      </c>
      <c r="BW180">
        <f>SQRT(($J$1025-J180)^2)</f>
        <v/>
      </c>
      <c r="BX180">
        <f>SQRT(($R$1025-R180)^2)</f>
        <v/>
      </c>
      <c r="BY180" s="125" t="inlineStr">
        <is>
          <t>W18X71</t>
        </is>
      </c>
      <c r="CD180">
        <f>SQRT(($J$1026-J180)^2)</f>
        <v/>
      </c>
      <c r="CE180">
        <f>SQRT(($R$1026-R180)^2)</f>
        <v/>
      </c>
      <c r="CF180" s="125" t="inlineStr">
        <is>
          <t>W18X71</t>
        </is>
      </c>
    </row>
    <row r="181">
      <c r="A181" s="125" t="inlineStr">
        <is>
          <t>W18X76</t>
        </is>
      </c>
      <c r="B181" s="129" t="inlineStr">
        <is>
          <t>AISC</t>
        </is>
      </c>
      <c r="C181" s="125" t="n">
        <v>113.1</v>
      </c>
      <c r="D181" s="125" t="n">
        <v>462.5</v>
      </c>
      <c r="E181" s="125" t="n">
        <v>280.3</v>
      </c>
      <c r="F181" s="125" t="n">
        <v>17.3</v>
      </c>
      <c r="G181" s="125" t="n">
        <v>10.8</v>
      </c>
      <c r="H181" s="125" t="n">
        <v>10.2</v>
      </c>
      <c r="I181" s="125" t="n">
        <v>407.6</v>
      </c>
      <c r="J181" s="125" t="n">
        <v>144</v>
      </c>
      <c r="K181" s="125">
        <f>((E181-G181)/2)/F181</f>
        <v/>
      </c>
      <c r="L181" s="125">
        <f>I181/G181</f>
        <v/>
      </c>
      <c r="M181" s="125" t="n">
        <v>2.01</v>
      </c>
      <c r="N181" s="125" t="n">
        <v>55460</v>
      </c>
      <c r="O181" s="125" t="n">
        <v>6344</v>
      </c>
      <c r="P181" s="125" t="n">
        <v>19.6</v>
      </c>
      <c r="Q181" s="125" t="n">
        <v>6.64</v>
      </c>
      <c r="R181" s="125" t="n">
        <v>2398</v>
      </c>
      <c r="S181" s="125" t="n">
        <v>453</v>
      </c>
      <c r="T181" s="125" t="n">
        <v>2669</v>
      </c>
      <c r="U181" s="125" t="n">
        <v>692</v>
      </c>
      <c r="X181" s="129">
        <f t="array" ref="X181">_xlfn.IFS((D181/F181) &lt;= (640/SQRT($AT$32)), "Compact", L181 &lt;= ($AT$32*(0.79-(0.002*((E181-G181/2)/(2*F181))*SQRT($AT$32)))), "Non-Compact", L181 &gt; ($AT$32*(0.79-(0.002*((E181-G181/2)/(2*F181))*SQRT($AT$32)))), "Slender")</f>
        <v/>
      </c>
      <c r="Y181" s="129">
        <f t="array" ref="Y181">_xlfn.IFS(K181 &lt;= (65/SQRT($AT$32)), "Compact", K181 &lt;= (95/SQRT($AT$32)), "Non-Compact", K181 &gt; (95/SQRT($AT$32)), "Slender")</f>
        <v/>
      </c>
      <c r="Z181" s="125">
        <f>E181/F181</f>
        <v/>
      </c>
      <c r="AA181" s="125">
        <f>D181/G181</f>
        <v/>
      </c>
      <c r="AB181" s="125">
        <f t="array" ref="AB181">_xlfn.IFS(Z181 &lt;= 9, "1", Z181 &lt;= 12, "2", Z181 &lt;= 15, "3", Z181 &gt; 15, "4")</f>
        <v/>
      </c>
      <c r="AC181" s="125">
        <f t="array" ref="AC181">_xlfn.IFS(AA181 &lt;= 200, "1", L181 &lt;= 300, "2", L181 &lt;= 400, "3", L181 &gt; 400, "4")</f>
        <v/>
      </c>
      <c r="AD181" s="129">
        <f>SQRT((((VLOOKUP($AT$4,$A$4:$D$1021,4,FALSE))-D181)^2)+(((VLOOKUP($AT$4,$A$4:$E$1021,5,FALSE))-E181)^2)+(((VLOOKUP($AT$4,$A$4:$N$1021,14,FALSE))-N181)^2)+(((VLOOKUP($AT$4,$A$4:$O$1021,15,FALSE))-O181)^2))</f>
        <v/>
      </c>
      <c r="AG181" s="129">
        <f>SQRT((((VLOOKUP($AT$4,$A$4:$D$1021,4,FALSE))-D181)^2)+(((VLOOKUP($AT$4,$A$4:$E$1021,5,FALSE))-E181)^2)+(((VLOOKUP($AT$4,$A$4:$R$1021,18,FALSE))-R181)^2)+(((VLOOKUP($AT$4,$A$4:$S$1021,19,FALSE))-S181)^2))</f>
        <v/>
      </c>
      <c r="AJ181" s="125" t="inlineStr">
        <is>
          <t>W18X76</t>
        </is>
      </c>
      <c r="AK181" s="125">
        <f>SQRT(((VLOOKUP($AT$4,$A$4:$J$1021,10,FALSE))-J181)^2)</f>
        <v/>
      </c>
      <c r="AL181" s="125" t="n"/>
      <c r="AM181" s="125" t="n"/>
      <c r="AN181" s="125">
        <f>SQRT(((VLOOKUP($AT$4,$A$4:$R$1021,18,FALSE))-R181)^2)</f>
        <v/>
      </c>
      <c r="AO181" s="125" t="n"/>
      <c r="AP181" s="125" t="n"/>
      <c r="AQ181" s="125" t="inlineStr">
        <is>
          <t>W18X76</t>
        </is>
      </c>
      <c r="BB181" s="125">
        <f>SQRT(($J$1022-J181)^2)</f>
        <v/>
      </c>
      <c r="BC181" s="125">
        <f>SQRT(($R$1022-R181)^2)</f>
        <v/>
      </c>
      <c r="BD181" s="125" t="inlineStr">
        <is>
          <t>W18X76</t>
        </is>
      </c>
      <c r="BI181">
        <f>SQRT(($J$1023-J181)^2)</f>
        <v/>
      </c>
      <c r="BJ181">
        <f>SQRT(($R$1023-R181)^2)</f>
        <v/>
      </c>
      <c r="BK181" s="125" t="inlineStr">
        <is>
          <t>W18X76</t>
        </is>
      </c>
      <c r="BP181">
        <f>SQRT(($J$1024-J181)^2)</f>
        <v/>
      </c>
      <c r="BQ181">
        <f>SQRT(($R$1024-R181)^2)</f>
        <v/>
      </c>
      <c r="BR181" s="125" t="inlineStr">
        <is>
          <t>W18X76</t>
        </is>
      </c>
      <c r="BW181">
        <f>SQRT(($J$1025-J181)^2)</f>
        <v/>
      </c>
      <c r="BX181">
        <f>SQRT(($R$1025-R181)^2)</f>
        <v/>
      </c>
      <c r="BY181" s="125" t="inlineStr">
        <is>
          <t>W18X76</t>
        </is>
      </c>
      <c r="CD181">
        <f>SQRT(($J$1026-J181)^2)</f>
        <v/>
      </c>
      <c r="CE181">
        <f>SQRT(($R$1026-R181)^2)</f>
        <v/>
      </c>
      <c r="CF181" s="125" t="inlineStr">
        <is>
          <t>W18X76</t>
        </is>
      </c>
    </row>
    <row r="182">
      <c r="A182" s="125" t="inlineStr">
        <is>
          <t>W18X86</t>
        </is>
      </c>
      <c r="B182" s="129" t="inlineStr">
        <is>
          <t>AISC</t>
        </is>
      </c>
      <c r="C182" s="125" t="n">
        <v>128</v>
      </c>
      <c r="D182" s="125" t="n">
        <v>467.1</v>
      </c>
      <c r="E182" s="125" t="n">
        <v>281.7</v>
      </c>
      <c r="F182" s="125" t="n">
        <v>19.6</v>
      </c>
      <c r="G182" s="125" t="n">
        <v>12.1</v>
      </c>
      <c r="H182" s="125" t="n">
        <v>10.2</v>
      </c>
      <c r="I182" s="125" t="n">
        <v>407.6</v>
      </c>
      <c r="J182" s="125" t="n">
        <v>163</v>
      </c>
      <c r="K182" s="125">
        <f>((E182-G182)/2)/F182</f>
        <v/>
      </c>
      <c r="L182" s="125">
        <f>I182/G182</f>
        <v/>
      </c>
      <c r="M182" s="125" t="n">
        <v>2.02</v>
      </c>
      <c r="N182" s="125" t="n">
        <v>63520</v>
      </c>
      <c r="O182" s="125" t="n">
        <v>7295</v>
      </c>
      <c r="P182" s="125" t="n">
        <v>19.7</v>
      </c>
      <c r="Q182" s="125" t="n">
        <v>6.69</v>
      </c>
      <c r="R182" s="125" t="n">
        <v>2720</v>
      </c>
      <c r="S182" s="125" t="n">
        <v>518</v>
      </c>
      <c r="T182" s="125" t="n">
        <v>3039</v>
      </c>
      <c r="U182" s="125" t="n">
        <v>792</v>
      </c>
      <c r="X182" s="129">
        <f t="array" ref="X182">_xlfn.IFS((D182/F182) &lt;= (640/SQRT($AT$32)), "Compact", L182 &lt;= ($AT$32*(0.79-(0.002*((E182-G182/2)/(2*F182))*SQRT($AT$32)))), "Non-Compact", L182 &gt; ($AT$32*(0.79-(0.002*((E182-G182/2)/(2*F182))*SQRT($AT$32)))), "Slender")</f>
        <v/>
      </c>
      <c r="Y182" s="129">
        <f t="array" ref="Y182">_xlfn.IFS(K182 &lt;= (65/SQRT($AT$32)), "Compact", K182 &lt;= (95/SQRT($AT$32)), "Non-Compact", K182 &gt; (95/SQRT($AT$32)), "Slender")</f>
        <v/>
      </c>
      <c r="Z182" s="125">
        <f>E182/F182</f>
        <v/>
      </c>
      <c r="AA182" s="125">
        <f>D182/G182</f>
        <v/>
      </c>
      <c r="AB182" s="125">
        <f t="array" ref="AB182">_xlfn.IFS(Z182 &lt;= 9, "1", Z182 &lt;= 12, "2", Z182 &lt;= 15, "3", Z182 &gt; 15, "4")</f>
        <v/>
      </c>
      <c r="AC182" s="125">
        <f t="array" ref="AC182">_xlfn.IFS(AA182 &lt;= 200, "1", L182 &lt;= 300, "2", L182 &lt;= 400, "3", L182 &gt; 400, "4")</f>
        <v/>
      </c>
      <c r="AD182" s="129">
        <f>SQRT((((VLOOKUP($AT$4,$A$4:$D$1021,4,FALSE))-D182)^2)+(((VLOOKUP($AT$4,$A$4:$E$1021,5,FALSE))-E182)^2)+(((VLOOKUP($AT$4,$A$4:$N$1021,14,FALSE))-N182)^2)+(((VLOOKUP($AT$4,$A$4:$O$1021,15,FALSE))-O182)^2))</f>
        <v/>
      </c>
      <c r="AG182" s="129">
        <f>SQRT((((VLOOKUP($AT$4,$A$4:$D$1021,4,FALSE))-D182)^2)+(((VLOOKUP($AT$4,$A$4:$E$1021,5,FALSE))-E182)^2)+(((VLOOKUP($AT$4,$A$4:$R$1021,18,FALSE))-R182)^2)+(((VLOOKUP($AT$4,$A$4:$S$1021,19,FALSE))-S182)^2))</f>
        <v/>
      </c>
      <c r="AJ182" s="125" t="inlineStr">
        <is>
          <t>W18X86</t>
        </is>
      </c>
      <c r="AK182" s="125">
        <f>SQRT(((VLOOKUP($AT$4,$A$4:$J$1021,10,FALSE))-J182)^2)</f>
        <v/>
      </c>
      <c r="AL182" s="125" t="n"/>
      <c r="AM182" s="125" t="n"/>
      <c r="AN182" s="125">
        <f>SQRT(((VLOOKUP($AT$4,$A$4:$R$1021,18,FALSE))-R182)^2)</f>
        <v/>
      </c>
      <c r="AO182" s="125" t="n"/>
      <c r="AP182" s="125" t="n"/>
      <c r="AQ182" s="125" t="inlineStr">
        <is>
          <t>W18X86</t>
        </is>
      </c>
      <c r="BB182" s="125">
        <f>SQRT(($J$1022-J182)^2)</f>
        <v/>
      </c>
      <c r="BC182" s="125">
        <f>SQRT(($R$1022-R182)^2)</f>
        <v/>
      </c>
      <c r="BD182" s="125" t="inlineStr">
        <is>
          <t>W18X86</t>
        </is>
      </c>
      <c r="BI182">
        <f>SQRT(($J$1023-J182)^2)</f>
        <v/>
      </c>
      <c r="BJ182">
        <f>SQRT(($R$1023-R182)^2)</f>
        <v/>
      </c>
      <c r="BK182" s="125" t="inlineStr">
        <is>
          <t>W18X86</t>
        </is>
      </c>
      <c r="BP182">
        <f>SQRT(($J$1024-J182)^2)</f>
        <v/>
      </c>
      <c r="BQ182">
        <f>SQRT(($R$1024-R182)^2)</f>
        <v/>
      </c>
      <c r="BR182" s="125" t="inlineStr">
        <is>
          <t>W18X86</t>
        </is>
      </c>
      <c r="BW182">
        <f>SQRT(($J$1025-J182)^2)</f>
        <v/>
      </c>
      <c r="BX182">
        <f>SQRT(($R$1025-R182)^2)</f>
        <v/>
      </c>
      <c r="BY182" s="125" t="inlineStr">
        <is>
          <t>W18X86</t>
        </is>
      </c>
      <c r="CD182">
        <f>SQRT(($J$1026-J182)^2)</f>
        <v/>
      </c>
      <c r="CE182">
        <f>SQRT(($R$1026-R182)^2)</f>
        <v/>
      </c>
      <c r="CF182" s="125" t="inlineStr">
        <is>
          <t>W18X86</t>
        </is>
      </c>
    </row>
    <row r="183">
      <c r="A183" s="125" t="inlineStr">
        <is>
          <t>W18X97</t>
        </is>
      </c>
      <c r="B183" s="129" t="inlineStr">
        <is>
          <t>AISC</t>
        </is>
      </c>
      <c r="C183" s="125" t="n">
        <v>144.4</v>
      </c>
      <c r="D183" s="125" t="n">
        <v>472.2</v>
      </c>
      <c r="E183" s="125" t="n">
        <v>283.1</v>
      </c>
      <c r="F183" s="125" t="n">
        <v>22.1</v>
      </c>
      <c r="G183" s="125" t="n">
        <v>13.6</v>
      </c>
      <c r="H183" s="125" t="n">
        <v>10.2</v>
      </c>
      <c r="I183" s="125" t="n">
        <v>407.6</v>
      </c>
      <c r="J183" s="125" t="n">
        <v>184</v>
      </c>
      <c r="K183" s="125">
        <f>((E183-G183)/2)/F183</f>
        <v/>
      </c>
      <c r="L183" s="125">
        <f>I183/G183</f>
        <v/>
      </c>
      <c r="M183" s="125" t="n">
        <v>2.03</v>
      </c>
      <c r="N183" s="125" t="n">
        <v>72710</v>
      </c>
      <c r="O183" s="125" t="n">
        <v>8367</v>
      </c>
      <c r="P183" s="125" t="n">
        <v>19.9</v>
      </c>
      <c r="Q183" s="125" t="n">
        <v>6.74</v>
      </c>
      <c r="R183" s="125" t="n">
        <v>3079</v>
      </c>
      <c r="S183" s="125" t="n">
        <v>591</v>
      </c>
      <c r="T183" s="125" t="n">
        <v>3457</v>
      </c>
      <c r="U183" s="125" t="n">
        <v>906</v>
      </c>
      <c r="X183" s="129">
        <f t="array" ref="X183">_xlfn.IFS((D183/F183) &lt;= (640/SQRT($AT$32)), "Compact", L183 &lt;= ($AT$32*(0.79-(0.002*((E183-G183/2)/(2*F183))*SQRT($AT$32)))), "Non-Compact", L183 &gt; ($AT$32*(0.79-(0.002*((E183-G183/2)/(2*F183))*SQRT($AT$32)))), "Slender")</f>
        <v/>
      </c>
      <c r="Y183" s="129">
        <f t="array" ref="Y183">_xlfn.IFS(K183 &lt;= (65/SQRT($AT$32)), "Compact", K183 &lt;= (95/SQRT($AT$32)), "Non-Compact", K183 &gt; (95/SQRT($AT$32)), "Slender")</f>
        <v/>
      </c>
      <c r="Z183" s="125">
        <f>E183/F183</f>
        <v/>
      </c>
      <c r="AA183" s="125">
        <f>D183/G183</f>
        <v/>
      </c>
      <c r="AB183" s="125">
        <f t="array" ref="AB183">_xlfn.IFS(Z183 &lt;= 9, "1", Z183 &lt;= 12, "2", Z183 &lt;= 15, "3", Z183 &gt; 15, "4")</f>
        <v/>
      </c>
      <c r="AC183" s="125">
        <f t="array" ref="AC183">_xlfn.IFS(AA183 &lt;= 200, "1", L183 &lt;= 300, "2", L183 &lt;= 400, "3", L183 &gt; 400, "4")</f>
        <v/>
      </c>
      <c r="AD183" s="129">
        <f>SQRT((((VLOOKUP($AT$4,$A$4:$D$1021,4,FALSE))-D183)^2)+(((VLOOKUP($AT$4,$A$4:$E$1021,5,FALSE))-E183)^2)+(((VLOOKUP($AT$4,$A$4:$N$1021,14,FALSE))-N183)^2)+(((VLOOKUP($AT$4,$A$4:$O$1021,15,FALSE))-O183)^2))</f>
        <v/>
      </c>
      <c r="AG183" s="129">
        <f>SQRT((((VLOOKUP($AT$4,$A$4:$D$1021,4,FALSE))-D183)^2)+(((VLOOKUP($AT$4,$A$4:$E$1021,5,FALSE))-E183)^2)+(((VLOOKUP($AT$4,$A$4:$R$1021,18,FALSE))-R183)^2)+(((VLOOKUP($AT$4,$A$4:$S$1021,19,FALSE))-S183)^2))</f>
        <v/>
      </c>
      <c r="AJ183" s="125" t="inlineStr">
        <is>
          <t>W18X97</t>
        </is>
      </c>
      <c r="AK183" s="125">
        <f>SQRT(((VLOOKUP($AT$4,$A$4:$J$1021,10,FALSE))-J183)^2)</f>
        <v/>
      </c>
      <c r="AL183" s="125" t="n"/>
      <c r="AM183" s="125" t="n"/>
      <c r="AN183" s="125">
        <f>SQRT(((VLOOKUP($AT$4,$A$4:$R$1021,18,FALSE))-R183)^2)</f>
        <v/>
      </c>
      <c r="AO183" s="125" t="n"/>
      <c r="AP183" s="125" t="n"/>
      <c r="AQ183" s="125" t="inlineStr">
        <is>
          <t>W18X97</t>
        </is>
      </c>
      <c r="BB183" s="125">
        <f>SQRT(($J$1022-J183)^2)</f>
        <v/>
      </c>
      <c r="BC183" s="125">
        <f>SQRT(($R$1022-R183)^2)</f>
        <v/>
      </c>
      <c r="BD183" s="125" t="inlineStr">
        <is>
          <t>W18X97</t>
        </is>
      </c>
      <c r="BI183">
        <f>SQRT(($J$1023-J183)^2)</f>
        <v/>
      </c>
      <c r="BJ183">
        <f>SQRT(($R$1023-R183)^2)</f>
        <v/>
      </c>
      <c r="BK183" s="125" t="inlineStr">
        <is>
          <t>W18X97</t>
        </is>
      </c>
      <c r="BP183">
        <f>SQRT(($J$1024-J183)^2)</f>
        <v/>
      </c>
      <c r="BQ183">
        <f>SQRT(($R$1024-R183)^2)</f>
        <v/>
      </c>
      <c r="BR183" s="125" t="inlineStr">
        <is>
          <t>W18X97</t>
        </is>
      </c>
      <c r="BW183">
        <f>SQRT(($J$1025-J183)^2)</f>
        <v/>
      </c>
      <c r="BX183">
        <f>SQRT(($R$1025-R183)^2)</f>
        <v/>
      </c>
      <c r="BY183" s="125" t="inlineStr">
        <is>
          <t>W18X97</t>
        </is>
      </c>
      <c r="CD183">
        <f>SQRT(($J$1026-J183)^2)</f>
        <v/>
      </c>
      <c r="CE183">
        <f>SQRT(($R$1026-R183)^2)</f>
        <v/>
      </c>
      <c r="CF183" s="125" t="inlineStr">
        <is>
          <t>W18X97</t>
        </is>
      </c>
    </row>
    <row r="184">
      <c r="A184" s="125" t="inlineStr">
        <is>
          <t>W18X106</t>
        </is>
      </c>
      <c r="B184" s="129" t="inlineStr">
        <is>
          <t>AISC</t>
        </is>
      </c>
      <c r="C184" s="125" t="n">
        <v>157.7</v>
      </c>
      <c r="D184" s="125" t="n">
        <v>475.7</v>
      </c>
      <c r="E184" s="125" t="n">
        <v>284.5</v>
      </c>
      <c r="F184" s="125" t="n">
        <v>23.9</v>
      </c>
      <c r="G184" s="125" t="n">
        <v>15</v>
      </c>
      <c r="H184" s="125" t="n">
        <v>10.2</v>
      </c>
      <c r="I184" s="125" t="n">
        <v>407.5</v>
      </c>
      <c r="J184" s="125" t="n">
        <v>201</v>
      </c>
      <c r="K184" s="125">
        <f>((E184-G184)/2)/F184</f>
        <v/>
      </c>
      <c r="L184" s="125">
        <f>I184/G184</f>
        <v/>
      </c>
      <c r="M184" s="125" t="n">
        <v>2.04</v>
      </c>
      <c r="N184" s="125" t="n">
        <v>79600</v>
      </c>
      <c r="O184" s="125" t="n">
        <v>9178</v>
      </c>
      <c r="P184" s="125" t="n">
        <v>19.9</v>
      </c>
      <c r="Q184" s="125" t="n">
        <v>6.76</v>
      </c>
      <c r="R184" s="125" t="n">
        <v>3347</v>
      </c>
      <c r="S184" s="125" t="n">
        <v>645</v>
      </c>
      <c r="T184" s="125" t="n">
        <v>3775</v>
      </c>
      <c r="U184" s="125" t="n">
        <v>991</v>
      </c>
      <c r="X184" s="129">
        <f t="array" ref="X184">_xlfn.IFS((D184/F184) &lt;= (640/SQRT($AT$32)), "Compact", L184 &lt;= ($AT$32*(0.79-(0.002*((E184-G184/2)/(2*F184))*SQRT($AT$32)))), "Non-Compact", L184 &gt; ($AT$32*(0.79-(0.002*((E184-G184/2)/(2*F184))*SQRT($AT$32)))), "Slender")</f>
        <v/>
      </c>
      <c r="Y184" s="129">
        <f t="array" ref="Y184">_xlfn.IFS(K184 &lt;= (65/SQRT($AT$32)), "Compact", K184 &lt;= (95/SQRT($AT$32)), "Non-Compact", K184 &gt; (95/SQRT($AT$32)), "Slender")</f>
        <v/>
      </c>
      <c r="Z184" s="125">
        <f>E184/F184</f>
        <v/>
      </c>
      <c r="AA184" s="125">
        <f>D184/G184</f>
        <v/>
      </c>
      <c r="AB184" s="125">
        <f t="array" ref="AB184">_xlfn.IFS(Z184 &lt;= 9, "1", Z184 &lt;= 12, "2", Z184 &lt;= 15, "3", Z184 &gt; 15, "4")</f>
        <v/>
      </c>
      <c r="AC184" s="125">
        <f t="array" ref="AC184">_xlfn.IFS(AA184 &lt;= 200, "1", L184 &lt;= 300, "2", L184 &lt;= 400, "3", L184 &gt; 400, "4")</f>
        <v/>
      </c>
      <c r="AD184" s="129">
        <f>SQRT((((VLOOKUP($AT$4,$A$4:$D$1021,4,FALSE))-D184)^2)+(((VLOOKUP($AT$4,$A$4:$E$1021,5,FALSE))-E184)^2)+(((VLOOKUP($AT$4,$A$4:$N$1021,14,FALSE))-N184)^2)+(((VLOOKUP($AT$4,$A$4:$O$1021,15,FALSE))-O184)^2))</f>
        <v/>
      </c>
      <c r="AG184" s="129">
        <f>SQRT((((VLOOKUP($AT$4,$A$4:$D$1021,4,FALSE))-D184)^2)+(((VLOOKUP($AT$4,$A$4:$E$1021,5,FALSE))-E184)^2)+(((VLOOKUP($AT$4,$A$4:$R$1021,18,FALSE))-R184)^2)+(((VLOOKUP($AT$4,$A$4:$S$1021,19,FALSE))-S184)^2))</f>
        <v/>
      </c>
      <c r="AJ184" s="125" t="inlineStr">
        <is>
          <t>W18X106</t>
        </is>
      </c>
      <c r="AK184" s="125">
        <f>SQRT(((VLOOKUP($AT$4,$A$4:$J$1021,10,FALSE))-J184)^2)</f>
        <v/>
      </c>
      <c r="AL184" s="125" t="n"/>
      <c r="AM184" s="125" t="n"/>
      <c r="AN184" s="125">
        <f>SQRT(((VLOOKUP($AT$4,$A$4:$R$1021,18,FALSE))-R184)^2)</f>
        <v/>
      </c>
      <c r="AO184" s="125" t="n"/>
      <c r="AP184" s="125" t="n"/>
      <c r="AQ184" s="125" t="inlineStr">
        <is>
          <t>W18X106</t>
        </is>
      </c>
      <c r="BB184" s="125">
        <f>SQRT(($J$1022-J184)^2)</f>
        <v/>
      </c>
      <c r="BC184" s="125">
        <f>SQRT(($R$1022-R184)^2)</f>
        <v/>
      </c>
      <c r="BD184" s="125" t="inlineStr">
        <is>
          <t>W18X106</t>
        </is>
      </c>
      <c r="BI184">
        <f>SQRT(($J$1023-J184)^2)</f>
        <v/>
      </c>
      <c r="BJ184">
        <f>SQRT(($R$1023-R184)^2)</f>
        <v/>
      </c>
      <c r="BK184" s="125" t="inlineStr">
        <is>
          <t>W18X106</t>
        </is>
      </c>
      <c r="BP184">
        <f>SQRT(($J$1024-J184)^2)</f>
        <v/>
      </c>
      <c r="BQ184">
        <f>SQRT(($R$1024-R184)^2)</f>
        <v/>
      </c>
      <c r="BR184" s="125" t="inlineStr">
        <is>
          <t>W18X106</t>
        </is>
      </c>
      <c r="BW184">
        <f>SQRT(($J$1025-J184)^2)</f>
        <v/>
      </c>
      <c r="BX184">
        <f>SQRT(($R$1025-R184)^2)</f>
        <v/>
      </c>
      <c r="BY184" s="125" t="inlineStr">
        <is>
          <t>W18X106</t>
        </is>
      </c>
      <c r="CD184">
        <f>SQRT(($J$1026-J184)^2)</f>
        <v/>
      </c>
      <c r="CE184">
        <f>SQRT(($R$1026-R184)^2)</f>
        <v/>
      </c>
      <c r="CF184" s="125" t="inlineStr">
        <is>
          <t>W18X106</t>
        </is>
      </c>
    </row>
    <row r="185">
      <c r="A185" s="125" t="inlineStr">
        <is>
          <t>W18X119</t>
        </is>
      </c>
      <c r="B185" s="129" t="inlineStr">
        <is>
          <t>AISC</t>
        </is>
      </c>
      <c r="C185" s="125" t="n">
        <v>177.1</v>
      </c>
      <c r="D185" s="125" t="n">
        <v>481.8</v>
      </c>
      <c r="E185" s="125" t="n">
        <v>286.1</v>
      </c>
      <c r="F185" s="125" t="n">
        <v>26.9</v>
      </c>
      <c r="G185" s="125" t="n">
        <v>16.6</v>
      </c>
      <c r="H185" s="125" t="n">
        <v>10.2</v>
      </c>
      <c r="I185" s="125" t="n">
        <v>407.6</v>
      </c>
      <c r="J185" s="125" t="n">
        <v>226</v>
      </c>
      <c r="K185" s="125">
        <f>((E185-G185)/2)/F185</f>
        <v/>
      </c>
      <c r="L185" s="125">
        <f>I185/G185</f>
        <v/>
      </c>
      <c r="M185" s="125" t="n">
        <v>2.06</v>
      </c>
      <c r="N185" s="125" t="n">
        <v>91040</v>
      </c>
      <c r="O185" s="125" t="n">
        <v>10530</v>
      </c>
      <c r="P185" s="125" t="n">
        <v>20.1</v>
      </c>
      <c r="Q185" s="125" t="n">
        <v>6.82</v>
      </c>
      <c r="R185" s="125" t="n">
        <v>3779</v>
      </c>
      <c r="S185" s="125" t="n">
        <v>736</v>
      </c>
      <c r="T185" s="125" t="n">
        <v>4284</v>
      </c>
      <c r="U185" s="125" t="n">
        <v>1132</v>
      </c>
      <c r="X185" s="129">
        <f t="array" ref="X185">_xlfn.IFS((D185/F185) &lt;= (640/SQRT($AT$32)), "Compact", L185 &lt;= ($AT$32*(0.79-(0.002*((E185-G185/2)/(2*F185))*SQRT($AT$32)))), "Non-Compact", L185 &gt; ($AT$32*(0.79-(0.002*((E185-G185/2)/(2*F185))*SQRT($AT$32)))), "Slender")</f>
        <v/>
      </c>
      <c r="Y185" s="129">
        <f t="array" ref="Y185">_xlfn.IFS(K185 &lt;= (65/SQRT($AT$32)), "Compact", K185 &lt;= (95/SQRT($AT$32)), "Non-Compact", K185 &gt; (95/SQRT($AT$32)), "Slender")</f>
        <v/>
      </c>
      <c r="Z185" s="125">
        <f>E185/F185</f>
        <v/>
      </c>
      <c r="AA185" s="125">
        <f>D185/G185</f>
        <v/>
      </c>
      <c r="AB185" s="125">
        <f t="array" ref="AB185">_xlfn.IFS(Z185 &lt;= 9, "1", Z185 &lt;= 12, "2", Z185 &lt;= 15, "3", Z185 &gt; 15, "4")</f>
        <v/>
      </c>
      <c r="AC185" s="125">
        <f t="array" ref="AC185">_xlfn.IFS(AA185 &lt;= 200, "1", L185 &lt;= 300, "2", L185 &lt;= 400, "3", L185 &gt; 400, "4")</f>
        <v/>
      </c>
      <c r="AD185" s="129">
        <f>SQRT((((VLOOKUP($AT$4,$A$4:$D$1021,4,FALSE))-D185)^2)+(((VLOOKUP($AT$4,$A$4:$E$1021,5,FALSE))-E185)^2)+(((VLOOKUP($AT$4,$A$4:$N$1021,14,FALSE))-N185)^2)+(((VLOOKUP($AT$4,$A$4:$O$1021,15,FALSE))-O185)^2))</f>
        <v/>
      </c>
      <c r="AG185" s="129">
        <f>SQRT((((VLOOKUP($AT$4,$A$4:$D$1021,4,FALSE))-D185)^2)+(((VLOOKUP($AT$4,$A$4:$E$1021,5,FALSE))-E185)^2)+(((VLOOKUP($AT$4,$A$4:$R$1021,18,FALSE))-R185)^2)+(((VLOOKUP($AT$4,$A$4:$S$1021,19,FALSE))-S185)^2))</f>
        <v/>
      </c>
      <c r="AJ185" s="125" t="inlineStr">
        <is>
          <t>W18X119</t>
        </is>
      </c>
      <c r="AK185" s="125">
        <f>SQRT(((VLOOKUP($AT$4,$A$4:$J$1021,10,FALSE))-J185)^2)</f>
        <v/>
      </c>
      <c r="AL185" s="125" t="n"/>
      <c r="AM185" s="125" t="n"/>
      <c r="AN185" s="125">
        <f>SQRT(((VLOOKUP($AT$4,$A$4:$R$1021,18,FALSE))-R185)^2)</f>
        <v/>
      </c>
      <c r="AO185" s="125" t="n"/>
      <c r="AP185" s="125" t="n"/>
      <c r="AQ185" s="125" t="inlineStr">
        <is>
          <t>W18X119</t>
        </is>
      </c>
      <c r="BB185" s="125">
        <f>SQRT(($J$1022-J185)^2)</f>
        <v/>
      </c>
      <c r="BC185" s="125">
        <f>SQRT(($R$1022-R185)^2)</f>
        <v/>
      </c>
      <c r="BD185" s="125" t="inlineStr">
        <is>
          <t>W18X119</t>
        </is>
      </c>
      <c r="BI185">
        <f>SQRT(($J$1023-J185)^2)</f>
        <v/>
      </c>
      <c r="BJ185">
        <f>SQRT(($R$1023-R185)^2)</f>
        <v/>
      </c>
      <c r="BK185" s="125" t="inlineStr">
        <is>
          <t>W18X119</t>
        </is>
      </c>
      <c r="BP185">
        <f>SQRT(($J$1024-J185)^2)</f>
        <v/>
      </c>
      <c r="BQ185">
        <f>SQRT(($R$1024-R185)^2)</f>
        <v/>
      </c>
      <c r="BR185" s="125" t="inlineStr">
        <is>
          <t>W18X119</t>
        </is>
      </c>
      <c r="BW185">
        <f>SQRT(($J$1025-J185)^2)</f>
        <v/>
      </c>
      <c r="BX185">
        <f>SQRT(($R$1025-R185)^2)</f>
        <v/>
      </c>
      <c r="BY185" s="125" t="inlineStr">
        <is>
          <t>W18X119</t>
        </is>
      </c>
      <c r="CD185">
        <f>SQRT(($J$1026-J185)^2)</f>
        <v/>
      </c>
      <c r="CE185">
        <f>SQRT(($R$1026-R185)^2)</f>
        <v/>
      </c>
      <c r="CF185" s="125" t="inlineStr">
        <is>
          <t>W18X119</t>
        </is>
      </c>
    </row>
    <row r="186">
      <c r="A186" s="125" t="inlineStr">
        <is>
          <t>W18X130</t>
        </is>
      </c>
      <c r="B186" s="129" t="inlineStr">
        <is>
          <t>AISC</t>
        </is>
      </c>
      <c r="C186" s="125" t="n">
        <v>193.5</v>
      </c>
      <c r="D186" s="125" t="n">
        <v>489</v>
      </c>
      <c r="E186" s="125" t="n">
        <v>283.5</v>
      </c>
      <c r="F186" s="125" t="n">
        <v>30.5</v>
      </c>
      <c r="G186" s="125" t="n">
        <v>17</v>
      </c>
      <c r="H186" s="125" t="n">
        <v>10.2</v>
      </c>
      <c r="I186" s="125" t="n">
        <v>407.6</v>
      </c>
      <c r="J186" s="125" t="n">
        <v>247</v>
      </c>
      <c r="K186" s="125">
        <f>((E186-G186)/2)/F186</f>
        <v/>
      </c>
      <c r="L186" s="125">
        <f>I186/G186</f>
        <v/>
      </c>
      <c r="M186" s="125" t="n">
        <v>2.06</v>
      </c>
      <c r="N186" s="125" t="n">
        <v>102500</v>
      </c>
      <c r="O186" s="125" t="n">
        <v>11590</v>
      </c>
      <c r="P186" s="125" t="n">
        <v>20.4</v>
      </c>
      <c r="Q186" s="125" t="n">
        <v>6.86</v>
      </c>
      <c r="R186" s="125" t="n">
        <v>4192</v>
      </c>
      <c r="S186" s="125" t="n">
        <v>818</v>
      </c>
      <c r="T186" s="125" t="n">
        <v>4761</v>
      </c>
      <c r="U186" s="125" t="n">
        <v>1257</v>
      </c>
      <c r="X186" s="129">
        <f t="array" ref="X186">_xlfn.IFS((D186/F186) &lt;= (640/SQRT($AT$32)), "Compact", L186 &lt;= ($AT$32*(0.79-(0.002*((E186-G186/2)/(2*F186))*SQRT($AT$32)))), "Non-Compact", L186 &gt; ($AT$32*(0.79-(0.002*((E186-G186/2)/(2*F186))*SQRT($AT$32)))), "Slender")</f>
        <v/>
      </c>
      <c r="Y186" s="129">
        <f t="array" ref="Y186">_xlfn.IFS(K186 &lt;= (65/SQRT($AT$32)), "Compact", K186 &lt;= (95/SQRT($AT$32)), "Non-Compact", K186 &gt; (95/SQRT($AT$32)), "Slender")</f>
        <v/>
      </c>
      <c r="Z186" s="125">
        <f>E186/F186</f>
        <v/>
      </c>
      <c r="AA186" s="125">
        <f>D186/G186</f>
        <v/>
      </c>
      <c r="AB186" s="125">
        <f t="array" ref="AB186">_xlfn.IFS(Z186 &lt;= 9, "1", Z186 &lt;= 12, "2", Z186 &lt;= 15, "3", Z186 &gt; 15, "4")</f>
        <v/>
      </c>
      <c r="AC186" s="125">
        <f t="array" ref="AC186">_xlfn.IFS(AA186 &lt;= 200, "1", L186 &lt;= 300, "2", L186 &lt;= 400, "3", L186 &gt; 400, "4")</f>
        <v/>
      </c>
      <c r="AD186" s="129">
        <f>SQRT((((VLOOKUP($AT$4,$A$4:$D$1021,4,FALSE))-D186)^2)+(((VLOOKUP($AT$4,$A$4:$E$1021,5,FALSE))-E186)^2)+(((VLOOKUP($AT$4,$A$4:$N$1021,14,FALSE))-N186)^2)+(((VLOOKUP($AT$4,$A$4:$O$1021,15,FALSE))-O186)^2))</f>
        <v/>
      </c>
      <c r="AG186" s="129">
        <f>SQRT((((VLOOKUP($AT$4,$A$4:$D$1021,4,FALSE))-D186)^2)+(((VLOOKUP($AT$4,$A$4:$E$1021,5,FALSE))-E186)^2)+(((VLOOKUP($AT$4,$A$4:$R$1021,18,FALSE))-R186)^2)+(((VLOOKUP($AT$4,$A$4:$S$1021,19,FALSE))-S186)^2))</f>
        <v/>
      </c>
      <c r="AJ186" s="125" t="inlineStr">
        <is>
          <t>W18X130</t>
        </is>
      </c>
      <c r="AK186" s="125">
        <f>SQRT(((VLOOKUP($AT$4,$A$4:$J$1021,10,FALSE))-J186)^2)</f>
        <v/>
      </c>
      <c r="AL186" s="125" t="n"/>
      <c r="AM186" s="125" t="n"/>
      <c r="AN186" s="125">
        <f>SQRT(((VLOOKUP($AT$4,$A$4:$R$1021,18,FALSE))-R186)^2)</f>
        <v/>
      </c>
      <c r="AO186" s="125" t="n"/>
      <c r="AP186" s="125" t="n"/>
      <c r="AQ186" s="125" t="inlineStr">
        <is>
          <t>W18X130</t>
        </is>
      </c>
      <c r="BB186" s="125">
        <f>SQRT(($J$1022-J186)^2)</f>
        <v/>
      </c>
      <c r="BC186" s="125">
        <f>SQRT(($R$1022-R186)^2)</f>
        <v/>
      </c>
      <c r="BD186" s="125" t="inlineStr">
        <is>
          <t>W18X130</t>
        </is>
      </c>
      <c r="BI186">
        <f>SQRT(($J$1023-J186)^2)</f>
        <v/>
      </c>
      <c r="BJ186">
        <f>SQRT(($R$1023-R186)^2)</f>
        <v/>
      </c>
      <c r="BK186" s="125" t="inlineStr">
        <is>
          <t>W18X130</t>
        </is>
      </c>
      <c r="BP186">
        <f>SQRT(($J$1024-J186)^2)</f>
        <v/>
      </c>
      <c r="BQ186">
        <f>SQRT(($R$1024-R186)^2)</f>
        <v/>
      </c>
      <c r="BR186" s="125" t="inlineStr">
        <is>
          <t>W18X130</t>
        </is>
      </c>
      <c r="BW186">
        <f>SQRT(($J$1025-J186)^2)</f>
        <v/>
      </c>
      <c r="BX186">
        <f>SQRT(($R$1025-R186)^2)</f>
        <v/>
      </c>
      <c r="BY186" s="125" t="inlineStr">
        <is>
          <t>W18X130</t>
        </is>
      </c>
      <c r="CD186">
        <f>SQRT(($J$1026-J186)^2)</f>
        <v/>
      </c>
      <c r="CE186">
        <f>SQRT(($R$1026-R186)^2)</f>
        <v/>
      </c>
      <c r="CF186" s="125" t="inlineStr">
        <is>
          <t>W18X130</t>
        </is>
      </c>
    </row>
    <row r="187">
      <c r="A187" s="125" t="inlineStr">
        <is>
          <t>W18X143</t>
        </is>
      </c>
      <c r="B187" s="129" t="inlineStr">
        <is>
          <t>AISC</t>
        </is>
      </c>
      <c r="C187" s="125" t="n">
        <v>212.8</v>
      </c>
      <c r="D187" s="125" t="n">
        <v>495</v>
      </c>
      <c r="E187" s="125" t="n">
        <v>285</v>
      </c>
      <c r="F187" s="125" t="n">
        <v>33.5</v>
      </c>
      <c r="G187" s="125" t="n">
        <v>18.5</v>
      </c>
      <c r="H187" s="125" t="n">
        <v>10.2</v>
      </c>
      <c r="I187" s="125" t="n">
        <v>407.5</v>
      </c>
      <c r="J187" s="125" t="n">
        <v>271</v>
      </c>
      <c r="K187" s="125">
        <f>((E187-G187)/2)/F187</f>
        <v/>
      </c>
      <c r="L187" s="125">
        <f>I187/G187</f>
        <v/>
      </c>
      <c r="M187" s="125" t="n">
        <v>2.08</v>
      </c>
      <c r="N187" s="125" t="n">
        <v>114400</v>
      </c>
      <c r="O187" s="125" t="n">
        <v>12960</v>
      </c>
      <c r="P187" s="125" t="n">
        <v>20.5</v>
      </c>
      <c r="Q187" s="125" t="n">
        <v>6.91</v>
      </c>
      <c r="R187" s="125" t="n">
        <v>4624</v>
      </c>
      <c r="S187" s="125" t="n">
        <v>910</v>
      </c>
      <c r="T187" s="125" t="n">
        <v>5278</v>
      </c>
      <c r="U187" s="125" t="n">
        <v>1400</v>
      </c>
      <c r="X187" s="129">
        <f t="array" ref="X187">_xlfn.IFS((D187/F187) &lt;= (640/SQRT($AT$32)), "Compact", L187 &lt;= ($AT$32*(0.79-(0.002*((E187-G187/2)/(2*F187))*SQRT($AT$32)))), "Non-Compact", L187 &gt; ($AT$32*(0.79-(0.002*((E187-G187/2)/(2*F187))*SQRT($AT$32)))), "Slender")</f>
        <v/>
      </c>
      <c r="Y187" s="129">
        <f t="array" ref="Y187">_xlfn.IFS(K187 &lt;= (65/SQRT($AT$32)), "Compact", K187 &lt;= (95/SQRT($AT$32)), "Non-Compact", K187 &gt; (95/SQRT($AT$32)), "Slender")</f>
        <v/>
      </c>
      <c r="Z187" s="125">
        <f>E187/F187</f>
        <v/>
      </c>
      <c r="AA187" s="125">
        <f>D187/G187</f>
        <v/>
      </c>
      <c r="AB187" s="125">
        <f t="array" ref="AB187">_xlfn.IFS(Z187 &lt;= 9, "1", Z187 &lt;= 12, "2", Z187 &lt;= 15, "3", Z187 &gt; 15, "4")</f>
        <v/>
      </c>
      <c r="AC187" s="125">
        <f t="array" ref="AC187">_xlfn.IFS(AA187 &lt;= 200, "1", L187 &lt;= 300, "2", L187 &lt;= 400, "3", L187 &gt; 400, "4")</f>
        <v/>
      </c>
      <c r="AD187" s="129">
        <f>SQRT((((VLOOKUP($AT$4,$A$4:$D$1021,4,FALSE))-D187)^2)+(((VLOOKUP($AT$4,$A$4:$E$1021,5,FALSE))-E187)^2)+(((VLOOKUP($AT$4,$A$4:$N$1021,14,FALSE))-N187)^2)+(((VLOOKUP($AT$4,$A$4:$O$1021,15,FALSE))-O187)^2))</f>
        <v/>
      </c>
      <c r="AG187" s="129">
        <f>SQRT((((VLOOKUP($AT$4,$A$4:$D$1021,4,FALSE))-D187)^2)+(((VLOOKUP($AT$4,$A$4:$E$1021,5,FALSE))-E187)^2)+(((VLOOKUP($AT$4,$A$4:$R$1021,18,FALSE))-R187)^2)+(((VLOOKUP($AT$4,$A$4:$S$1021,19,FALSE))-S187)^2))</f>
        <v/>
      </c>
      <c r="AJ187" s="125" t="inlineStr">
        <is>
          <t>W18X143</t>
        </is>
      </c>
      <c r="AK187" s="125">
        <f>SQRT(((VLOOKUP($AT$4,$A$4:$J$1021,10,FALSE))-J187)^2)</f>
        <v/>
      </c>
      <c r="AL187" s="125" t="n"/>
      <c r="AM187" s="125" t="n"/>
      <c r="AN187" s="125">
        <f>SQRT(((VLOOKUP($AT$4,$A$4:$R$1021,18,FALSE))-R187)^2)</f>
        <v/>
      </c>
      <c r="AO187" s="125" t="n"/>
      <c r="AP187" s="125" t="n"/>
      <c r="AQ187" s="125" t="inlineStr">
        <is>
          <t>W18X143</t>
        </is>
      </c>
      <c r="BB187" s="125">
        <f>SQRT(($J$1022-J187)^2)</f>
        <v/>
      </c>
      <c r="BC187" s="125">
        <f>SQRT(($R$1022-R187)^2)</f>
        <v/>
      </c>
      <c r="BD187" s="125" t="inlineStr">
        <is>
          <t>W18X143</t>
        </is>
      </c>
      <c r="BI187">
        <f>SQRT(($J$1023-J187)^2)</f>
        <v/>
      </c>
      <c r="BJ187">
        <f>SQRT(($R$1023-R187)^2)</f>
        <v/>
      </c>
      <c r="BK187" s="125" t="inlineStr">
        <is>
          <t>W18X143</t>
        </is>
      </c>
      <c r="BP187">
        <f>SQRT(($J$1024-J187)^2)</f>
        <v/>
      </c>
      <c r="BQ187">
        <f>SQRT(($R$1024-R187)^2)</f>
        <v/>
      </c>
      <c r="BR187" s="125" t="inlineStr">
        <is>
          <t>W18X143</t>
        </is>
      </c>
      <c r="BW187">
        <f>SQRT(($J$1025-J187)^2)</f>
        <v/>
      </c>
      <c r="BX187">
        <f>SQRT(($R$1025-R187)^2)</f>
        <v/>
      </c>
      <c r="BY187" s="125" t="inlineStr">
        <is>
          <t>W18X143</t>
        </is>
      </c>
      <c r="CD187">
        <f>SQRT(($J$1026-J187)^2)</f>
        <v/>
      </c>
      <c r="CE187">
        <f>SQRT(($R$1026-R187)^2)</f>
        <v/>
      </c>
      <c r="CF187" s="125" t="inlineStr">
        <is>
          <t>W18X143</t>
        </is>
      </c>
    </row>
    <row r="188">
      <c r="A188" s="125" t="inlineStr">
        <is>
          <t>W18X158</t>
        </is>
      </c>
      <c r="B188" s="129" t="inlineStr">
        <is>
          <t>AISC</t>
        </is>
      </c>
      <c r="C188" s="125" t="n">
        <v>235</v>
      </c>
      <c r="D188" s="125" t="n">
        <v>501</v>
      </c>
      <c r="E188" s="125" t="n">
        <v>287</v>
      </c>
      <c r="F188" s="125" t="n">
        <v>36.6</v>
      </c>
      <c r="G188" s="125" t="n">
        <v>20.6</v>
      </c>
      <c r="H188" s="125" t="n">
        <v>10.2</v>
      </c>
      <c r="I188" s="125" t="n">
        <v>407.8</v>
      </c>
      <c r="J188" s="125" t="n">
        <v>299</v>
      </c>
      <c r="K188" s="125">
        <f>((E188-G188)/2)/F188</f>
        <v/>
      </c>
      <c r="L188" s="125">
        <f>I188/G188</f>
        <v/>
      </c>
      <c r="M188" s="125" t="n">
        <v>2.09</v>
      </c>
      <c r="N188" s="125" t="n">
        <v>127300</v>
      </c>
      <c r="O188" s="125" t="n">
        <v>14450</v>
      </c>
      <c r="P188" s="125" t="n">
        <v>20.6</v>
      </c>
      <c r="Q188" s="125" t="n">
        <v>6.95</v>
      </c>
      <c r="R188" s="125" t="n">
        <v>5083</v>
      </c>
      <c r="S188" s="125" t="n">
        <v>1007</v>
      </c>
      <c r="T188" s="125" t="n">
        <v>5839</v>
      </c>
      <c r="U188" s="125" t="n">
        <v>1554</v>
      </c>
      <c r="X188" s="129">
        <f t="array" ref="X188">_xlfn.IFS((D188/F188) &lt;= (640/SQRT($AT$32)), "Compact", L188 &lt;= ($AT$32*(0.79-(0.002*((E188-G188/2)/(2*F188))*SQRT($AT$32)))), "Non-Compact", L188 &gt; ($AT$32*(0.79-(0.002*((E188-G188/2)/(2*F188))*SQRT($AT$32)))), "Slender")</f>
        <v/>
      </c>
      <c r="Y188" s="129">
        <f t="array" ref="Y188">_xlfn.IFS(K188 &lt;= (65/SQRT($AT$32)), "Compact", K188 &lt;= (95/SQRT($AT$32)), "Non-Compact", K188 &gt; (95/SQRT($AT$32)), "Slender")</f>
        <v/>
      </c>
      <c r="Z188" s="125">
        <f>E188/F188</f>
        <v/>
      </c>
      <c r="AA188" s="125">
        <f>D188/G188</f>
        <v/>
      </c>
      <c r="AB188" s="125">
        <f t="array" ref="AB188">_xlfn.IFS(Z188 &lt;= 9, "1", Z188 &lt;= 12, "2", Z188 &lt;= 15, "3", Z188 &gt; 15, "4")</f>
        <v/>
      </c>
      <c r="AC188" s="125">
        <f t="array" ref="AC188">_xlfn.IFS(AA188 &lt;= 200, "1", L188 &lt;= 300, "2", L188 &lt;= 400, "3", L188 &gt; 400, "4")</f>
        <v/>
      </c>
      <c r="AD188" s="129">
        <f>SQRT((((VLOOKUP($AT$4,$A$4:$D$1021,4,FALSE))-D188)^2)+(((VLOOKUP($AT$4,$A$4:$E$1021,5,FALSE))-E188)^2)+(((VLOOKUP($AT$4,$A$4:$N$1021,14,FALSE))-N188)^2)+(((VLOOKUP($AT$4,$A$4:$O$1021,15,FALSE))-O188)^2))</f>
        <v/>
      </c>
      <c r="AG188" s="129">
        <f>SQRT((((VLOOKUP($AT$4,$A$4:$D$1021,4,FALSE))-D188)^2)+(((VLOOKUP($AT$4,$A$4:$E$1021,5,FALSE))-E188)^2)+(((VLOOKUP($AT$4,$A$4:$R$1021,18,FALSE))-R188)^2)+(((VLOOKUP($AT$4,$A$4:$S$1021,19,FALSE))-S188)^2))</f>
        <v/>
      </c>
      <c r="AJ188" s="125" t="inlineStr">
        <is>
          <t>W18X158</t>
        </is>
      </c>
      <c r="AK188" s="125">
        <f>SQRT(((VLOOKUP($AT$4,$A$4:$J$1021,10,FALSE))-J188)^2)</f>
        <v/>
      </c>
      <c r="AL188" s="125" t="n"/>
      <c r="AM188" s="125" t="n"/>
      <c r="AN188" s="125">
        <f>SQRT(((VLOOKUP($AT$4,$A$4:$R$1021,18,FALSE))-R188)^2)</f>
        <v/>
      </c>
      <c r="AO188" s="125" t="n"/>
      <c r="AP188" s="125" t="n"/>
      <c r="AQ188" s="125" t="inlineStr">
        <is>
          <t>W18X158</t>
        </is>
      </c>
      <c r="BB188" s="125">
        <f>SQRT(($J$1022-J188)^2)</f>
        <v/>
      </c>
      <c r="BC188" s="125">
        <f>SQRT(($R$1022-R188)^2)</f>
        <v/>
      </c>
      <c r="BD188" s="125" t="inlineStr">
        <is>
          <t>W18X158</t>
        </is>
      </c>
      <c r="BI188">
        <f>SQRT(($J$1023-J188)^2)</f>
        <v/>
      </c>
      <c r="BJ188">
        <f>SQRT(($R$1023-R188)^2)</f>
        <v/>
      </c>
      <c r="BK188" s="125" t="inlineStr">
        <is>
          <t>W18X158</t>
        </is>
      </c>
      <c r="BP188">
        <f>SQRT(($J$1024-J188)^2)</f>
        <v/>
      </c>
      <c r="BQ188">
        <f>SQRT(($R$1024-R188)^2)</f>
        <v/>
      </c>
      <c r="BR188" s="125" t="inlineStr">
        <is>
          <t>W18X158</t>
        </is>
      </c>
      <c r="BW188">
        <f>SQRT(($J$1025-J188)^2)</f>
        <v/>
      </c>
      <c r="BX188">
        <f>SQRT(($R$1025-R188)^2)</f>
        <v/>
      </c>
      <c r="BY188" s="125" t="inlineStr">
        <is>
          <t>W18X158</t>
        </is>
      </c>
      <c r="CD188">
        <f>SQRT(($J$1026-J188)^2)</f>
        <v/>
      </c>
      <c r="CE188">
        <f>SQRT(($R$1026-R188)^2)</f>
        <v/>
      </c>
      <c r="CF188" s="125" t="inlineStr">
        <is>
          <t>W18X158</t>
        </is>
      </c>
    </row>
    <row r="189">
      <c r="A189" s="125" t="inlineStr">
        <is>
          <t>W18X175</t>
        </is>
      </c>
      <c r="B189" s="129" t="inlineStr">
        <is>
          <t>AISC</t>
        </is>
      </c>
      <c r="C189" s="125" t="n">
        <v>260</v>
      </c>
      <c r="D189" s="125" t="n">
        <v>509</v>
      </c>
      <c r="E189" s="125" t="n">
        <v>289</v>
      </c>
      <c r="F189" s="125" t="n">
        <v>40.4</v>
      </c>
      <c r="G189" s="125" t="n">
        <v>22.6</v>
      </c>
      <c r="H189" s="125" t="n">
        <v>10.2</v>
      </c>
      <c r="I189" s="125" t="n">
        <v>408.2</v>
      </c>
      <c r="J189" s="125" t="n">
        <v>331</v>
      </c>
      <c r="K189" s="125">
        <f>((E189-G189)/2)/F189</f>
        <v/>
      </c>
      <c r="L189" s="125">
        <f>I189/G189</f>
        <v/>
      </c>
      <c r="M189" s="125" t="n">
        <v>2.11</v>
      </c>
      <c r="N189" s="125" t="n">
        <v>143700</v>
      </c>
      <c r="O189" s="125" t="n">
        <v>16300</v>
      </c>
      <c r="P189" s="125" t="n">
        <v>20.8</v>
      </c>
      <c r="Q189" s="125" t="n">
        <v>7.01</v>
      </c>
      <c r="R189" s="125" t="n">
        <v>5646</v>
      </c>
      <c r="S189" s="125" t="n">
        <v>1128</v>
      </c>
      <c r="T189" s="125" t="n">
        <v>6525</v>
      </c>
      <c r="U189" s="125" t="n">
        <v>1743</v>
      </c>
      <c r="X189" s="129">
        <f t="array" ref="X189">_xlfn.IFS((D189/F189) &lt;= (640/SQRT($AT$32)), "Compact", L189 &lt;= ($AT$32*(0.79-(0.002*((E189-G189/2)/(2*F189))*SQRT($AT$32)))), "Non-Compact", L189 &gt; ($AT$32*(0.79-(0.002*((E189-G189/2)/(2*F189))*SQRT($AT$32)))), "Slender")</f>
        <v/>
      </c>
      <c r="Y189" s="129">
        <f t="array" ref="Y189">_xlfn.IFS(K189 &lt;= (65/SQRT($AT$32)), "Compact", K189 &lt;= (95/SQRT($AT$32)), "Non-Compact", K189 &gt; (95/SQRT($AT$32)), "Slender")</f>
        <v/>
      </c>
      <c r="Z189" s="125">
        <f>E189/F189</f>
        <v/>
      </c>
      <c r="AA189" s="125">
        <f>D189/G189</f>
        <v/>
      </c>
      <c r="AB189" s="125">
        <f t="array" ref="AB189">_xlfn.IFS(Z189 &lt;= 9, "1", Z189 &lt;= 12, "2", Z189 &lt;= 15, "3", Z189 &gt; 15, "4")</f>
        <v/>
      </c>
      <c r="AC189" s="125">
        <f t="array" ref="AC189">_xlfn.IFS(AA189 &lt;= 200, "1", L189 &lt;= 300, "2", L189 &lt;= 400, "3", L189 &gt; 400, "4")</f>
        <v/>
      </c>
      <c r="AD189" s="129">
        <f>SQRT((((VLOOKUP($AT$4,$A$4:$D$1021,4,FALSE))-D189)^2)+(((VLOOKUP($AT$4,$A$4:$E$1021,5,FALSE))-E189)^2)+(((VLOOKUP($AT$4,$A$4:$N$1021,14,FALSE))-N189)^2)+(((VLOOKUP($AT$4,$A$4:$O$1021,15,FALSE))-O189)^2))</f>
        <v/>
      </c>
      <c r="AG189" s="129">
        <f>SQRT((((VLOOKUP($AT$4,$A$4:$D$1021,4,FALSE))-D189)^2)+(((VLOOKUP($AT$4,$A$4:$E$1021,5,FALSE))-E189)^2)+(((VLOOKUP($AT$4,$A$4:$R$1021,18,FALSE))-R189)^2)+(((VLOOKUP($AT$4,$A$4:$S$1021,19,FALSE))-S189)^2))</f>
        <v/>
      </c>
      <c r="AJ189" s="125" t="inlineStr">
        <is>
          <t>W18X175</t>
        </is>
      </c>
      <c r="AK189" s="125">
        <f>SQRT(((VLOOKUP($AT$4,$A$4:$J$1021,10,FALSE))-J189)^2)</f>
        <v/>
      </c>
      <c r="AL189" s="125" t="n"/>
      <c r="AM189" s="125" t="n"/>
      <c r="AN189" s="125">
        <f>SQRT(((VLOOKUP($AT$4,$A$4:$R$1021,18,FALSE))-R189)^2)</f>
        <v/>
      </c>
      <c r="AO189" s="125" t="n"/>
      <c r="AP189" s="125" t="n"/>
      <c r="AQ189" s="125" t="inlineStr">
        <is>
          <t>W18X175</t>
        </is>
      </c>
      <c r="BB189" s="125">
        <f>SQRT(($J$1022-J189)^2)</f>
        <v/>
      </c>
      <c r="BC189" s="125">
        <f>SQRT(($R$1022-R189)^2)</f>
        <v/>
      </c>
      <c r="BD189" s="125" t="inlineStr">
        <is>
          <t>W18X175</t>
        </is>
      </c>
      <c r="BI189">
        <f>SQRT(($J$1023-J189)^2)</f>
        <v/>
      </c>
      <c r="BJ189">
        <f>SQRT(($R$1023-R189)^2)</f>
        <v/>
      </c>
      <c r="BK189" s="125" t="inlineStr">
        <is>
          <t>W18X175</t>
        </is>
      </c>
      <c r="BP189">
        <f>SQRT(($J$1024-J189)^2)</f>
        <v/>
      </c>
      <c r="BQ189">
        <f>SQRT(($R$1024-R189)^2)</f>
        <v/>
      </c>
      <c r="BR189" s="125" t="inlineStr">
        <is>
          <t>W18X175</t>
        </is>
      </c>
      <c r="BW189">
        <f>SQRT(($J$1025-J189)^2)</f>
        <v/>
      </c>
      <c r="BX189">
        <f>SQRT(($R$1025-R189)^2)</f>
        <v/>
      </c>
      <c r="BY189" s="125" t="inlineStr">
        <is>
          <t>W18X175</t>
        </is>
      </c>
      <c r="CD189">
        <f>SQRT(($J$1026-J189)^2)</f>
        <v/>
      </c>
      <c r="CE189">
        <f>SQRT(($R$1026-R189)^2)</f>
        <v/>
      </c>
      <c r="CF189" s="125" t="inlineStr">
        <is>
          <t>W18X175</t>
        </is>
      </c>
    </row>
    <row r="190">
      <c r="A190" s="125" t="inlineStr">
        <is>
          <t>W21X44</t>
        </is>
      </c>
      <c r="B190" s="129" t="inlineStr">
        <is>
          <t>AISC</t>
        </is>
      </c>
      <c r="C190" s="125" t="n">
        <v>65.5</v>
      </c>
      <c r="D190" s="125" t="n">
        <v>524.8</v>
      </c>
      <c r="E190" s="125" t="n">
        <v>165.1</v>
      </c>
      <c r="F190" s="125" t="n">
        <v>11.4</v>
      </c>
      <c r="G190" s="125" t="n">
        <v>8.9</v>
      </c>
      <c r="H190" s="125" t="n">
        <v>12.7</v>
      </c>
      <c r="I190" s="125" t="n">
        <v>476.6</v>
      </c>
      <c r="J190" s="125" t="n">
        <v>84</v>
      </c>
      <c r="K190" s="125">
        <f>((E190-G190)/2)/F190</f>
        <v/>
      </c>
      <c r="L190" s="125">
        <f>I190/G190</f>
        <v/>
      </c>
      <c r="M190" s="125" t="n">
        <v>1.67</v>
      </c>
      <c r="N190" s="125" t="n">
        <v>35030</v>
      </c>
      <c r="O190" s="125" t="n">
        <v>859</v>
      </c>
      <c r="P190" s="125" t="n">
        <v>20.5</v>
      </c>
      <c r="Q190" s="125" t="n">
        <v>3.2</v>
      </c>
      <c r="R190" s="125" t="n">
        <v>1335</v>
      </c>
      <c r="S190" s="125" t="n">
        <v>104</v>
      </c>
      <c r="T190" s="125" t="n">
        <v>1561</v>
      </c>
      <c r="U190" s="125" t="n">
        <v>166</v>
      </c>
      <c r="X190" s="129">
        <f t="array" ref="X190">_xlfn.IFS((D190/F190) &lt;= (640/SQRT($AT$32)), "Compact", L190 &lt;= ($AT$32*(0.79-(0.002*((E190-G190/2)/(2*F190))*SQRT($AT$32)))), "Non-Compact", L190 &gt; ($AT$32*(0.79-(0.002*((E190-G190/2)/(2*F190))*SQRT($AT$32)))), "Slender")</f>
        <v/>
      </c>
      <c r="Y190" s="129">
        <f t="array" ref="Y190">_xlfn.IFS(K190 &lt;= (65/SQRT($AT$32)), "Compact", K190 &lt;= (95/SQRT($AT$32)), "Non-Compact", K190 &gt; (95/SQRT($AT$32)), "Slender")</f>
        <v/>
      </c>
      <c r="Z190" s="125">
        <f>E190/F190</f>
        <v/>
      </c>
      <c r="AA190" s="125">
        <f>D190/G190</f>
        <v/>
      </c>
      <c r="AB190" s="125">
        <f t="array" ref="AB190">_xlfn.IFS(Z190 &lt;= 9, "1", Z190 &lt;= 12, "2", Z190 &lt;= 15, "3", Z190 &gt; 15, "4")</f>
        <v/>
      </c>
      <c r="AC190" s="125">
        <f t="array" ref="AC190">_xlfn.IFS(AA190 &lt;= 200, "1", L190 &lt;= 300, "2", L190 &lt;= 400, "3", L190 &gt; 400, "4")</f>
        <v/>
      </c>
      <c r="AD190" s="129">
        <f>SQRT((((VLOOKUP($AT$4,$A$4:$D$1021,4,FALSE))-D190)^2)+(((VLOOKUP($AT$4,$A$4:$E$1021,5,FALSE))-E190)^2)+(((VLOOKUP($AT$4,$A$4:$N$1021,14,FALSE))-N190)^2)+(((VLOOKUP($AT$4,$A$4:$O$1021,15,FALSE))-O190)^2))</f>
        <v/>
      </c>
      <c r="AG190" s="129">
        <f>SQRT((((VLOOKUP($AT$4,$A$4:$D$1021,4,FALSE))-D190)^2)+(((VLOOKUP($AT$4,$A$4:$E$1021,5,FALSE))-E190)^2)+(((VLOOKUP($AT$4,$A$4:$R$1021,18,FALSE))-R190)^2)+(((VLOOKUP($AT$4,$A$4:$S$1021,19,FALSE))-S190)^2))</f>
        <v/>
      </c>
      <c r="AJ190" s="125" t="inlineStr">
        <is>
          <t>W21X44</t>
        </is>
      </c>
      <c r="AK190" s="125">
        <f>SQRT(((VLOOKUP($AT$4,$A$4:$J$1021,10,FALSE))-J190)^2)</f>
        <v/>
      </c>
      <c r="AL190" s="125" t="n"/>
      <c r="AM190" s="125" t="n"/>
      <c r="AN190" s="125">
        <f>SQRT(((VLOOKUP($AT$4,$A$4:$R$1021,18,FALSE))-R190)^2)</f>
        <v/>
      </c>
      <c r="AO190" s="125" t="n"/>
      <c r="AP190" s="125" t="n"/>
      <c r="AQ190" s="125" t="inlineStr">
        <is>
          <t>W21X44</t>
        </is>
      </c>
      <c r="BB190" s="125">
        <f>SQRT(($J$1022-J190)^2)</f>
        <v/>
      </c>
      <c r="BC190" s="125">
        <f>SQRT(($R$1022-R190)^2)</f>
        <v/>
      </c>
      <c r="BD190" s="125" t="inlineStr">
        <is>
          <t>W21X44</t>
        </is>
      </c>
      <c r="BI190">
        <f>SQRT(($J$1023-J190)^2)</f>
        <v/>
      </c>
      <c r="BJ190">
        <f>SQRT(($R$1023-R190)^2)</f>
        <v/>
      </c>
      <c r="BK190" s="125" t="inlineStr">
        <is>
          <t>W21X44</t>
        </is>
      </c>
      <c r="BP190">
        <f>SQRT(($J$1024-J190)^2)</f>
        <v/>
      </c>
      <c r="BQ190">
        <f>SQRT(($R$1024-R190)^2)</f>
        <v/>
      </c>
      <c r="BR190" s="125" t="inlineStr">
        <is>
          <t>W21X44</t>
        </is>
      </c>
      <c r="BW190">
        <f>SQRT(($J$1025-J190)^2)</f>
        <v/>
      </c>
      <c r="BX190">
        <f>SQRT(($R$1025-R190)^2)</f>
        <v/>
      </c>
      <c r="BY190" s="125" t="inlineStr">
        <is>
          <t>W21X44</t>
        </is>
      </c>
      <c r="CD190">
        <f>SQRT(($J$1026-J190)^2)</f>
        <v/>
      </c>
      <c r="CE190">
        <f>SQRT(($R$1026-R190)^2)</f>
        <v/>
      </c>
      <c r="CF190" s="125" t="inlineStr">
        <is>
          <t>W21X44</t>
        </is>
      </c>
    </row>
    <row r="191">
      <c r="A191" s="125" t="inlineStr">
        <is>
          <t>W21X50</t>
        </is>
      </c>
      <c r="B191" s="129" t="inlineStr">
        <is>
          <t>AISC</t>
        </is>
      </c>
      <c r="C191" s="125" t="n">
        <v>74.40000000000001</v>
      </c>
      <c r="D191" s="125" t="n">
        <v>529.1</v>
      </c>
      <c r="E191" s="125" t="n">
        <v>165.9</v>
      </c>
      <c r="F191" s="125" t="n">
        <v>13.5</v>
      </c>
      <c r="G191" s="125" t="n">
        <v>9.699999999999999</v>
      </c>
      <c r="H191" s="125" t="n">
        <v>12.7</v>
      </c>
      <c r="I191" s="125" t="n">
        <v>476.7</v>
      </c>
      <c r="J191" s="125" t="n">
        <v>95</v>
      </c>
      <c r="K191" s="125">
        <f>((E191-G191)/2)/F191</f>
        <v/>
      </c>
      <c r="L191" s="125">
        <f>I191/G191</f>
        <v/>
      </c>
      <c r="M191" s="125" t="n">
        <v>1.68</v>
      </c>
      <c r="N191" s="125" t="n">
        <v>40810</v>
      </c>
      <c r="O191" s="125" t="n">
        <v>1032</v>
      </c>
      <c r="P191" s="125" t="n">
        <v>20.8</v>
      </c>
      <c r="Q191" s="125" t="n">
        <v>3.3</v>
      </c>
      <c r="R191" s="125" t="n">
        <v>1543</v>
      </c>
      <c r="S191" s="125" t="n">
        <v>124</v>
      </c>
      <c r="T191" s="125" t="n">
        <v>1797</v>
      </c>
      <c r="U191" s="125" t="n">
        <v>199</v>
      </c>
      <c r="X191" s="129">
        <f t="array" ref="X191">_xlfn.IFS((D191/F191) &lt;= (640/SQRT($AT$32)), "Compact", L191 &lt;= ($AT$32*(0.79-(0.002*((E191-G191/2)/(2*F191))*SQRT($AT$32)))), "Non-Compact", L191 &gt; ($AT$32*(0.79-(0.002*((E191-G191/2)/(2*F191))*SQRT($AT$32)))), "Slender")</f>
        <v/>
      </c>
      <c r="Y191" s="129">
        <f t="array" ref="Y191">_xlfn.IFS(K191 &lt;= (65/SQRT($AT$32)), "Compact", K191 &lt;= (95/SQRT($AT$32)), "Non-Compact", K191 &gt; (95/SQRT($AT$32)), "Slender")</f>
        <v/>
      </c>
      <c r="Z191" s="125">
        <f>E191/F191</f>
        <v/>
      </c>
      <c r="AA191" s="125">
        <f>D191/G191</f>
        <v/>
      </c>
      <c r="AB191" s="125">
        <f t="array" ref="AB191">_xlfn.IFS(Z191 &lt;= 9, "1", Z191 &lt;= 12, "2", Z191 &lt;= 15, "3", Z191 &gt; 15, "4")</f>
        <v/>
      </c>
      <c r="AC191" s="125">
        <f t="array" ref="AC191">_xlfn.IFS(AA191 &lt;= 200, "1", L191 &lt;= 300, "2", L191 &lt;= 400, "3", L191 &gt; 400, "4")</f>
        <v/>
      </c>
      <c r="AD191" s="129">
        <f>SQRT((((VLOOKUP($AT$4,$A$4:$D$1021,4,FALSE))-D191)^2)+(((VLOOKUP($AT$4,$A$4:$E$1021,5,FALSE))-E191)^2)+(((VLOOKUP($AT$4,$A$4:$N$1021,14,FALSE))-N191)^2)+(((VLOOKUP($AT$4,$A$4:$O$1021,15,FALSE))-O191)^2))</f>
        <v/>
      </c>
      <c r="AG191" s="129">
        <f>SQRT((((VLOOKUP($AT$4,$A$4:$D$1021,4,FALSE))-D191)^2)+(((VLOOKUP($AT$4,$A$4:$E$1021,5,FALSE))-E191)^2)+(((VLOOKUP($AT$4,$A$4:$R$1021,18,FALSE))-R191)^2)+(((VLOOKUP($AT$4,$A$4:$S$1021,19,FALSE))-S191)^2))</f>
        <v/>
      </c>
      <c r="AJ191" s="125" t="inlineStr">
        <is>
          <t>W21X50</t>
        </is>
      </c>
      <c r="AK191" s="125">
        <f>SQRT(((VLOOKUP($AT$4,$A$4:$J$1021,10,FALSE))-J191)^2)</f>
        <v/>
      </c>
      <c r="AL191" s="125" t="n"/>
      <c r="AM191" s="125" t="n"/>
      <c r="AN191" s="125">
        <f>SQRT(((VLOOKUP($AT$4,$A$4:$R$1021,18,FALSE))-R191)^2)</f>
        <v/>
      </c>
      <c r="AO191" s="125" t="n"/>
      <c r="AP191" s="125" t="n"/>
      <c r="AQ191" s="125" t="inlineStr">
        <is>
          <t>W21X50</t>
        </is>
      </c>
      <c r="BB191" s="125">
        <f>SQRT(($J$1022-J191)^2)</f>
        <v/>
      </c>
      <c r="BC191" s="125">
        <f>SQRT(($R$1022-R191)^2)</f>
        <v/>
      </c>
      <c r="BD191" s="125" t="inlineStr">
        <is>
          <t>W21X50</t>
        </is>
      </c>
      <c r="BI191">
        <f>SQRT(($J$1023-J191)^2)</f>
        <v/>
      </c>
      <c r="BJ191">
        <f>SQRT(($R$1023-R191)^2)</f>
        <v/>
      </c>
      <c r="BK191" s="125" t="inlineStr">
        <is>
          <t>W21X50</t>
        </is>
      </c>
      <c r="BP191">
        <f>SQRT(($J$1024-J191)^2)</f>
        <v/>
      </c>
      <c r="BQ191">
        <f>SQRT(($R$1024-R191)^2)</f>
        <v/>
      </c>
      <c r="BR191" s="125" t="inlineStr">
        <is>
          <t>W21X50</t>
        </is>
      </c>
      <c r="BW191">
        <f>SQRT(($J$1025-J191)^2)</f>
        <v/>
      </c>
      <c r="BX191">
        <f>SQRT(($R$1025-R191)^2)</f>
        <v/>
      </c>
      <c r="BY191" s="125" t="inlineStr">
        <is>
          <t>W21X50</t>
        </is>
      </c>
      <c r="CD191">
        <f>SQRT(($J$1026-J191)^2)</f>
        <v/>
      </c>
      <c r="CE191">
        <f>SQRT(($R$1026-R191)^2)</f>
        <v/>
      </c>
      <c r="CF191" s="125" t="inlineStr">
        <is>
          <t>W21X50</t>
        </is>
      </c>
    </row>
    <row r="192">
      <c r="A192" s="125" t="inlineStr">
        <is>
          <t>W21X57</t>
        </is>
      </c>
      <c r="B192" s="129" t="inlineStr">
        <is>
          <t>AISC</t>
        </is>
      </c>
      <c r="C192" s="125" t="n">
        <v>84.8</v>
      </c>
      <c r="D192" s="125" t="n">
        <v>534.9</v>
      </c>
      <c r="E192" s="125" t="n">
        <v>166.5</v>
      </c>
      <c r="F192" s="125" t="n">
        <v>16.5</v>
      </c>
      <c r="G192" s="125" t="n">
        <v>10.3</v>
      </c>
      <c r="H192" s="125" t="n">
        <v>12.7</v>
      </c>
      <c r="I192" s="125" t="n">
        <v>476.5</v>
      </c>
      <c r="J192" s="125" t="n">
        <v>108</v>
      </c>
      <c r="K192" s="125">
        <f>((E192-G192)/2)/F192</f>
        <v/>
      </c>
      <c r="L192" s="125">
        <f>I192/G192</f>
        <v/>
      </c>
      <c r="M192" s="125" t="n">
        <v>1.69</v>
      </c>
      <c r="N192" s="125" t="n">
        <v>48640</v>
      </c>
      <c r="O192" s="125" t="n">
        <v>1276</v>
      </c>
      <c r="P192" s="125" t="n">
        <v>21.2</v>
      </c>
      <c r="Q192" s="125" t="n">
        <v>3.44</v>
      </c>
      <c r="R192" s="125" t="n">
        <v>1819</v>
      </c>
      <c r="S192" s="125" t="n">
        <v>153</v>
      </c>
      <c r="T192" s="125" t="n">
        <v>2107</v>
      </c>
      <c r="U192" s="125" t="n">
        <v>243</v>
      </c>
      <c r="X192" s="129">
        <f t="array" ref="X192">_xlfn.IFS((D192/F192) &lt;= (640/SQRT($AT$32)), "Compact", L192 &lt;= ($AT$32*(0.79-(0.002*((E192-G192/2)/(2*F192))*SQRT($AT$32)))), "Non-Compact", L192 &gt; ($AT$32*(0.79-(0.002*((E192-G192/2)/(2*F192))*SQRT($AT$32)))), "Slender")</f>
        <v/>
      </c>
      <c r="Y192" s="129">
        <f t="array" ref="Y192">_xlfn.IFS(K192 &lt;= (65/SQRT($AT$32)), "Compact", K192 &lt;= (95/SQRT($AT$32)), "Non-Compact", K192 &gt; (95/SQRT($AT$32)), "Slender")</f>
        <v/>
      </c>
      <c r="Z192" s="125">
        <f>E192/F192</f>
        <v/>
      </c>
      <c r="AA192" s="125">
        <f>D192/G192</f>
        <v/>
      </c>
      <c r="AB192" s="125">
        <f t="array" ref="AB192">_xlfn.IFS(Z192 &lt;= 9, "1", Z192 &lt;= 12, "2", Z192 &lt;= 15, "3", Z192 &gt; 15, "4")</f>
        <v/>
      </c>
      <c r="AC192" s="125">
        <f t="array" ref="AC192">_xlfn.IFS(AA192 &lt;= 200, "1", L192 &lt;= 300, "2", L192 &lt;= 400, "3", L192 &gt; 400, "4")</f>
        <v/>
      </c>
      <c r="AD192" s="129">
        <f>SQRT((((VLOOKUP($AT$4,$A$4:$D$1021,4,FALSE))-D192)^2)+(((VLOOKUP($AT$4,$A$4:$E$1021,5,FALSE))-E192)^2)+(((VLOOKUP($AT$4,$A$4:$N$1021,14,FALSE))-N192)^2)+(((VLOOKUP($AT$4,$A$4:$O$1021,15,FALSE))-O192)^2))</f>
        <v/>
      </c>
      <c r="AG192" s="129">
        <f>SQRT((((VLOOKUP($AT$4,$A$4:$D$1021,4,FALSE))-D192)^2)+(((VLOOKUP($AT$4,$A$4:$E$1021,5,FALSE))-E192)^2)+(((VLOOKUP($AT$4,$A$4:$R$1021,18,FALSE))-R192)^2)+(((VLOOKUP($AT$4,$A$4:$S$1021,19,FALSE))-S192)^2))</f>
        <v/>
      </c>
      <c r="AJ192" s="125" t="inlineStr">
        <is>
          <t>W21X57</t>
        </is>
      </c>
      <c r="AK192" s="125">
        <f>SQRT(((VLOOKUP($AT$4,$A$4:$J$1021,10,FALSE))-J192)^2)</f>
        <v/>
      </c>
      <c r="AL192" s="125" t="n"/>
      <c r="AM192" s="125" t="n"/>
      <c r="AN192" s="125">
        <f>SQRT(((VLOOKUP($AT$4,$A$4:$R$1021,18,FALSE))-R192)^2)</f>
        <v/>
      </c>
      <c r="AO192" s="125" t="n"/>
      <c r="AP192" s="125" t="n"/>
      <c r="AQ192" s="125" t="inlineStr">
        <is>
          <t>W21X57</t>
        </is>
      </c>
      <c r="BB192" s="125">
        <f>SQRT(($J$1022-J192)^2)</f>
        <v/>
      </c>
      <c r="BC192" s="125">
        <f>SQRT(($R$1022-R192)^2)</f>
        <v/>
      </c>
      <c r="BD192" s="125" t="inlineStr">
        <is>
          <t>W21X57</t>
        </is>
      </c>
      <c r="BI192">
        <f>SQRT(($J$1023-J192)^2)</f>
        <v/>
      </c>
      <c r="BJ192">
        <f>SQRT(($R$1023-R192)^2)</f>
        <v/>
      </c>
      <c r="BK192" s="125" t="inlineStr">
        <is>
          <t>W21X57</t>
        </is>
      </c>
      <c r="BP192">
        <f>SQRT(($J$1024-J192)^2)</f>
        <v/>
      </c>
      <c r="BQ192">
        <f>SQRT(($R$1024-R192)^2)</f>
        <v/>
      </c>
      <c r="BR192" s="125" t="inlineStr">
        <is>
          <t>W21X57</t>
        </is>
      </c>
      <c r="BW192">
        <f>SQRT(($J$1025-J192)^2)</f>
        <v/>
      </c>
      <c r="BX192">
        <f>SQRT(($R$1025-R192)^2)</f>
        <v/>
      </c>
      <c r="BY192" s="125" t="inlineStr">
        <is>
          <t>W21X57</t>
        </is>
      </c>
      <c r="CD192">
        <f>SQRT(($J$1026-J192)^2)</f>
        <v/>
      </c>
      <c r="CE192">
        <f>SQRT(($R$1026-R192)^2)</f>
        <v/>
      </c>
      <c r="CF192" s="125" t="inlineStr">
        <is>
          <t>W21X57</t>
        </is>
      </c>
    </row>
    <row r="193">
      <c r="A193" s="125" t="inlineStr">
        <is>
          <t>W21X48</t>
        </is>
      </c>
      <c r="B193" s="129" t="inlineStr">
        <is>
          <t>AISC</t>
        </is>
      </c>
      <c r="C193" s="125" t="n">
        <v>71.40000000000001</v>
      </c>
      <c r="D193" s="125" t="n">
        <v>523.2</v>
      </c>
      <c r="E193" s="125" t="n">
        <v>206.8</v>
      </c>
      <c r="F193" s="125" t="n">
        <v>10.9</v>
      </c>
      <c r="G193" s="125" t="n">
        <v>8.9</v>
      </c>
      <c r="H193" s="125" t="n">
        <v>12.7</v>
      </c>
      <c r="I193" s="125" t="n">
        <v>476.5</v>
      </c>
      <c r="J193" s="125" t="n">
        <v>91</v>
      </c>
      <c r="K193" s="125">
        <f>((E193-G193)/2)/F193</f>
        <v/>
      </c>
      <c r="L193" s="125">
        <f>I193/G193</f>
        <v/>
      </c>
      <c r="M193" s="125" t="n">
        <v>1.85</v>
      </c>
      <c r="N193" s="125" t="n">
        <v>39917</v>
      </c>
      <c r="O193" s="125" t="n">
        <v>1611</v>
      </c>
      <c r="P193" s="125" t="n">
        <v>20.9</v>
      </c>
      <c r="Q193" s="125" t="n">
        <v>4.2</v>
      </c>
      <c r="R193" s="125" t="n">
        <v>1524</v>
      </c>
      <c r="S193" s="125" t="n">
        <v>156</v>
      </c>
      <c r="T193" s="125" t="n">
        <v>1753</v>
      </c>
      <c r="U193" s="125" t="n">
        <v>244</v>
      </c>
      <c r="X193" s="129">
        <f t="array" ref="X193">_xlfn.IFS((D193/F193) &lt;= (640/SQRT($AT$32)), "Compact", L193 &lt;= ($AT$32*(0.79-(0.002*((E193-G193/2)/(2*F193))*SQRT($AT$32)))), "Non-Compact", L193 &gt; ($AT$32*(0.79-(0.002*((E193-G193/2)/(2*F193))*SQRT($AT$32)))), "Slender")</f>
        <v/>
      </c>
      <c r="Y193" s="129">
        <f t="array" ref="Y193">_xlfn.IFS(K193 &lt;= (65/SQRT($AT$32)), "Compact", K193 &lt;= (95/SQRT($AT$32)), "Non-Compact", K193 &gt; (95/SQRT($AT$32)), "Slender")</f>
        <v/>
      </c>
      <c r="Z193" s="125">
        <f>E193/F193</f>
        <v/>
      </c>
      <c r="AA193" s="125">
        <f>D193/G193</f>
        <v/>
      </c>
      <c r="AB193" s="125">
        <f t="array" ref="AB193">_xlfn.IFS(Z193 &lt;= 9, "1", Z193 &lt;= 12, "2", Z193 &lt;= 15, "3", Z193 &gt; 15, "4")</f>
        <v/>
      </c>
      <c r="AC193" s="125">
        <f t="array" ref="AC193">_xlfn.IFS(AA193 &lt;= 200, "1", L193 &lt;= 300, "2", L193 &lt;= 400, "3", L193 &gt; 400, "4")</f>
        <v/>
      </c>
      <c r="AD193" s="129">
        <f>SQRT((((VLOOKUP($AT$4,$A$4:$D$1021,4,FALSE))-D193)^2)+(((VLOOKUP($AT$4,$A$4:$E$1021,5,FALSE))-E193)^2)+(((VLOOKUP($AT$4,$A$4:$N$1021,14,FALSE))-N193)^2)+(((VLOOKUP($AT$4,$A$4:$O$1021,15,FALSE))-O193)^2))</f>
        <v/>
      </c>
      <c r="AG193" s="129">
        <f>SQRT((((VLOOKUP($AT$4,$A$4:$D$1021,4,FALSE))-D193)^2)+(((VLOOKUP($AT$4,$A$4:$E$1021,5,FALSE))-E193)^2)+(((VLOOKUP($AT$4,$A$4:$R$1021,18,FALSE))-R193)^2)+(((VLOOKUP($AT$4,$A$4:$S$1021,19,FALSE))-S193)^2))</f>
        <v/>
      </c>
      <c r="AJ193" s="125" t="inlineStr">
        <is>
          <t>W21X48</t>
        </is>
      </c>
      <c r="AK193" s="125">
        <f>SQRT(((VLOOKUP($AT$4,$A$4:$J$1021,10,FALSE))-J193)^2)</f>
        <v/>
      </c>
      <c r="AL193" s="125" t="n"/>
      <c r="AM193" s="125" t="n"/>
      <c r="AN193" s="125">
        <f>SQRT(((VLOOKUP($AT$4,$A$4:$R$1021,18,FALSE))-R193)^2)</f>
        <v/>
      </c>
      <c r="AO193" s="125" t="n"/>
      <c r="AP193" s="125" t="n"/>
      <c r="AQ193" s="125" t="inlineStr">
        <is>
          <t>W21X48</t>
        </is>
      </c>
      <c r="BB193" s="125">
        <f>SQRT(($J$1022-J193)^2)</f>
        <v/>
      </c>
      <c r="BC193" s="125">
        <f>SQRT(($R$1022-R193)^2)</f>
        <v/>
      </c>
      <c r="BD193" s="125" t="inlineStr">
        <is>
          <t>W21X48</t>
        </is>
      </c>
      <c r="BI193">
        <f>SQRT(($J$1023-J193)^2)</f>
        <v/>
      </c>
      <c r="BJ193">
        <f>SQRT(($R$1023-R193)^2)</f>
        <v/>
      </c>
      <c r="BK193" s="125" t="inlineStr">
        <is>
          <t>W21X48</t>
        </is>
      </c>
      <c r="BP193">
        <f>SQRT(($J$1024-J193)^2)</f>
        <v/>
      </c>
      <c r="BQ193">
        <f>SQRT(($R$1024-R193)^2)</f>
        <v/>
      </c>
      <c r="BR193" s="125" t="inlineStr">
        <is>
          <t>W21X48</t>
        </is>
      </c>
      <c r="BW193">
        <f>SQRT(($J$1025-J193)^2)</f>
        <v/>
      </c>
      <c r="BX193">
        <f>SQRT(($R$1025-R193)^2)</f>
        <v/>
      </c>
      <c r="BY193" s="125" t="inlineStr">
        <is>
          <t>W21X48</t>
        </is>
      </c>
      <c r="CD193">
        <f>SQRT(($J$1026-J193)^2)</f>
        <v/>
      </c>
      <c r="CE193">
        <f>SQRT(($R$1026-R193)^2)</f>
        <v/>
      </c>
      <c r="CF193" s="125" t="inlineStr">
        <is>
          <t>W21X48</t>
        </is>
      </c>
    </row>
    <row r="194">
      <c r="A194" s="125" t="inlineStr">
        <is>
          <t>W21X55</t>
        </is>
      </c>
      <c r="B194" s="129" t="inlineStr">
        <is>
          <t>AISC</t>
        </is>
      </c>
      <c r="C194" s="125" t="n">
        <v>82.2</v>
      </c>
      <c r="D194" s="125" t="n">
        <v>528.3</v>
      </c>
      <c r="E194" s="125" t="n">
        <v>208.8</v>
      </c>
      <c r="F194" s="125" t="n">
        <v>13.2</v>
      </c>
      <c r="G194" s="125" t="n">
        <v>9.6</v>
      </c>
      <c r="H194" s="125" t="n">
        <v>12.7</v>
      </c>
      <c r="I194" s="125" t="n">
        <v>476.5</v>
      </c>
      <c r="J194" s="125" t="n">
        <v>105</v>
      </c>
      <c r="K194" s="125">
        <f>((E194-G194)/2)/F194</f>
        <v/>
      </c>
      <c r="L194" s="125">
        <f>I194/G194</f>
        <v/>
      </c>
      <c r="M194" s="125" t="n">
        <v>1.85</v>
      </c>
      <c r="N194" s="125" t="n">
        <v>47540</v>
      </c>
      <c r="O194" s="125" t="n">
        <v>2008</v>
      </c>
      <c r="P194" s="125" t="n">
        <v>21.3</v>
      </c>
      <c r="Q194" s="125" t="n">
        <v>4.38</v>
      </c>
      <c r="R194" s="125" t="n">
        <v>1800</v>
      </c>
      <c r="S194" s="125" t="n">
        <v>192</v>
      </c>
      <c r="T194" s="125" t="n">
        <v>2059</v>
      </c>
      <c r="U194" s="125" t="n">
        <v>300</v>
      </c>
      <c r="X194" s="129">
        <f t="array" ref="X194">_xlfn.IFS((D194/F194) &lt;= (640/SQRT($AT$32)), "Compact", L194 &lt;= ($AT$32*(0.79-(0.002*((E194-G194/2)/(2*F194))*SQRT($AT$32)))), "Non-Compact", L194 &gt; ($AT$32*(0.79-(0.002*((E194-G194/2)/(2*F194))*SQRT($AT$32)))), "Slender")</f>
        <v/>
      </c>
      <c r="Y194" s="129">
        <f t="array" ref="Y194">_xlfn.IFS(K194 &lt;= (65/SQRT($AT$32)), "Compact", K194 &lt;= (95/SQRT($AT$32)), "Non-Compact", K194 &gt; (95/SQRT($AT$32)), "Slender")</f>
        <v/>
      </c>
      <c r="Z194" s="125">
        <f>E194/F194</f>
        <v/>
      </c>
      <c r="AA194" s="125">
        <f>D194/G194</f>
        <v/>
      </c>
      <c r="AB194" s="125">
        <f t="array" ref="AB194">_xlfn.IFS(Z194 &lt;= 9, "1", Z194 &lt;= 12, "2", Z194 &lt;= 15, "3", Z194 &gt; 15, "4")</f>
        <v/>
      </c>
      <c r="AC194" s="125">
        <f t="array" ref="AC194">_xlfn.IFS(AA194 &lt;= 200, "1", L194 &lt;= 300, "2", L194 &lt;= 400, "3", L194 &gt; 400, "4")</f>
        <v/>
      </c>
      <c r="AD194" s="129">
        <f>SQRT((((VLOOKUP($AT$4,$A$4:$D$1021,4,FALSE))-D194)^2)+(((VLOOKUP($AT$4,$A$4:$E$1021,5,FALSE))-E194)^2)+(((VLOOKUP($AT$4,$A$4:$N$1021,14,FALSE))-N194)^2)+(((VLOOKUP($AT$4,$A$4:$O$1021,15,FALSE))-O194)^2))</f>
        <v/>
      </c>
      <c r="AG194" s="129">
        <f>SQRT((((VLOOKUP($AT$4,$A$4:$D$1021,4,FALSE))-D194)^2)+(((VLOOKUP($AT$4,$A$4:$E$1021,5,FALSE))-E194)^2)+(((VLOOKUP($AT$4,$A$4:$R$1021,18,FALSE))-R194)^2)+(((VLOOKUP($AT$4,$A$4:$S$1021,19,FALSE))-S194)^2))</f>
        <v/>
      </c>
      <c r="AJ194" s="125" t="inlineStr">
        <is>
          <t>W21X55</t>
        </is>
      </c>
      <c r="AK194" s="125">
        <f>SQRT(((VLOOKUP($AT$4,$A$4:$J$1021,10,FALSE))-J194)^2)</f>
        <v/>
      </c>
      <c r="AL194" s="125" t="n"/>
      <c r="AM194" s="125" t="n"/>
      <c r="AN194" s="125">
        <f>SQRT(((VLOOKUP($AT$4,$A$4:$R$1021,18,FALSE))-R194)^2)</f>
        <v/>
      </c>
      <c r="AO194" s="125" t="n"/>
      <c r="AP194" s="125" t="n"/>
      <c r="AQ194" s="125" t="inlineStr">
        <is>
          <t>W21X55</t>
        </is>
      </c>
      <c r="BB194" s="125">
        <f>SQRT(($J$1022-J194)^2)</f>
        <v/>
      </c>
      <c r="BC194" s="125">
        <f>SQRT(($R$1022-R194)^2)</f>
        <v/>
      </c>
      <c r="BD194" s="125" t="inlineStr">
        <is>
          <t>W21X55</t>
        </is>
      </c>
      <c r="BI194">
        <f>SQRT(($J$1023-J194)^2)</f>
        <v/>
      </c>
      <c r="BJ194">
        <f>SQRT(($R$1023-R194)^2)</f>
        <v/>
      </c>
      <c r="BK194" s="125" t="inlineStr">
        <is>
          <t>W21X55</t>
        </is>
      </c>
      <c r="BP194">
        <f>SQRT(($J$1024-J194)^2)</f>
        <v/>
      </c>
      <c r="BQ194">
        <f>SQRT(($R$1024-R194)^2)</f>
        <v/>
      </c>
      <c r="BR194" s="125" t="inlineStr">
        <is>
          <t>W21X55</t>
        </is>
      </c>
      <c r="BW194">
        <f>SQRT(($J$1025-J194)^2)</f>
        <v/>
      </c>
      <c r="BX194">
        <f>SQRT(($R$1025-R194)^2)</f>
        <v/>
      </c>
      <c r="BY194" s="125" t="inlineStr">
        <is>
          <t>W21X55</t>
        </is>
      </c>
      <c r="CD194">
        <f>SQRT(($J$1026-J194)^2)</f>
        <v/>
      </c>
      <c r="CE194">
        <f>SQRT(($R$1026-R194)^2)</f>
        <v/>
      </c>
      <c r="CF194" s="125" t="inlineStr">
        <is>
          <t>W21X55</t>
        </is>
      </c>
    </row>
    <row r="195">
      <c r="A195" s="125" t="inlineStr">
        <is>
          <t>W21X62</t>
        </is>
      </c>
      <c r="B195" s="129" t="inlineStr">
        <is>
          <t>AISC</t>
        </is>
      </c>
      <c r="C195" s="125" t="n">
        <v>92.09999999999999</v>
      </c>
      <c r="D195" s="125" t="n">
        <v>533.1</v>
      </c>
      <c r="E195" s="125" t="n">
        <v>209.3</v>
      </c>
      <c r="F195" s="125" t="n">
        <v>15.6</v>
      </c>
      <c r="G195" s="125" t="n">
        <v>10.1</v>
      </c>
      <c r="H195" s="125" t="n">
        <v>12.7</v>
      </c>
      <c r="I195" s="125" t="n">
        <v>476.5</v>
      </c>
      <c r="J195" s="125" t="n">
        <v>117</v>
      </c>
      <c r="K195" s="125">
        <f>((E195-G195)/2)/F195</f>
        <v/>
      </c>
      <c r="L195" s="125">
        <f>I195/G195</f>
        <v/>
      </c>
      <c r="M195" s="125" t="n">
        <v>1.86</v>
      </c>
      <c r="N195" s="125" t="n">
        <v>55230</v>
      </c>
      <c r="O195" s="125" t="n">
        <v>2389</v>
      </c>
      <c r="P195" s="125" t="n">
        <v>21.7</v>
      </c>
      <c r="Q195" s="125" t="n">
        <v>4.51</v>
      </c>
      <c r="R195" s="125" t="n">
        <v>2072</v>
      </c>
      <c r="S195" s="125" t="n">
        <v>228</v>
      </c>
      <c r="T195" s="125" t="n">
        <v>2360</v>
      </c>
      <c r="U195" s="125" t="n">
        <v>356</v>
      </c>
      <c r="X195" s="129">
        <f t="array" ref="X195">_xlfn.IFS((D195/F195) &lt;= (640/SQRT($AT$32)), "Compact", L195 &lt;= ($AT$32*(0.79-(0.002*((E195-G195/2)/(2*F195))*SQRT($AT$32)))), "Non-Compact", L195 &gt; ($AT$32*(0.79-(0.002*((E195-G195/2)/(2*F195))*SQRT($AT$32)))), "Slender")</f>
        <v/>
      </c>
      <c r="Y195" s="129">
        <f t="array" ref="Y195">_xlfn.IFS(K195 &lt;= (65/SQRT($AT$32)), "Compact", K195 &lt;= (95/SQRT($AT$32)), "Non-Compact", K195 &gt; (95/SQRT($AT$32)), "Slender")</f>
        <v/>
      </c>
      <c r="Z195" s="125">
        <f>E195/F195</f>
        <v/>
      </c>
      <c r="AA195" s="125">
        <f>D195/G195</f>
        <v/>
      </c>
      <c r="AB195" s="125">
        <f t="array" ref="AB195">_xlfn.IFS(Z195 &lt;= 9, "1", Z195 &lt;= 12, "2", Z195 &lt;= 15, "3", Z195 &gt; 15, "4")</f>
        <v/>
      </c>
      <c r="AC195" s="125">
        <f t="array" ref="AC195">_xlfn.IFS(AA195 &lt;= 200, "1", L195 &lt;= 300, "2", L195 &lt;= 400, "3", L195 &gt; 400, "4")</f>
        <v/>
      </c>
      <c r="AD195" s="129">
        <f>SQRT((((VLOOKUP($AT$4,$A$4:$D$1021,4,FALSE))-D195)^2)+(((VLOOKUP($AT$4,$A$4:$E$1021,5,FALSE))-E195)^2)+(((VLOOKUP($AT$4,$A$4:$N$1021,14,FALSE))-N195)^2)+(((VLOOKUP($AT$4,$A$4:$O$1021,15,FALSE))-O195)^2))</f>
        <v/>
      </c>
      <c r="AG195" s="129">
        <f>SQRT((((VLOOKUP($AT$4,$A$4:$D$1021,4,FALSE))-D195)^2)+(((VLOOKUP($AT$4,$A$4:$E$1021,5,FALSE))-E195)^2)+(((VLOOKUP($AT$4,$A$4:$R$1021,18,FALSE))-R195)^2)+(((VLOOKUP($AT$4,$A$4:$S$1021,19,FALSE))-S195)^2))</f>
        <v/>
      </c>
      <c r="AJ195" s="125" t="inlineStr">
        <is>
          <t>W21X62</t>
        </is>
      </c>
      <c r="AK195" s="125">
        <f>SQRT(((VLOOKUP($AT$4,$A$4:$J$1021,10,FALSE))-J195)^2)</f>
        <v/>
      </c>
      <c r="AL195" s="125" t="n"/>
      <c r="AM195" s="125" t="n"/>
      <c r="AN195" s="125">
        <f>SQRT(((VLOOKUP($AT$4,$A$4:$R$1021,18,FALSE))-R195)^2)</f>
        <v/>
      </c>
      <c r="AO195" s="125" t="n"/>
      <c r="AP195" s="125" t="n"/>
      <c r="AQ195" s="125" t="inlineStr">
        <is>
          <t>W21X62</t>
        </is>
      </c>
      <c r="BB195" s="125">
        <f>SQRT(($J$1022-J195)^2)</f>
        <v/>
      </c>
      <c r="BC195" s="125">
        <f>SQRT(($R$1022-R195)^2)</f>
        <v/>
      </c>
      <c r="BD195" s="125" t="inlineStr">
        <is>
          <t>W21X62</t>
        </is>
      </c>
      <c r="BI195">
        <f>SQRT(($J$1023-J195)^2)</f>
        <v/>
      </c>
      <c r="BJ195">
        <f>SQRT(($R$1023-R195)^2)</f>
        <v/>
      </c>
      <c r="BK195" s="125" t="inlineStr">
        <is>
          <t>W21X62</t>
        </is>
      </c>
      <c r="BP195">
        <f>SQRT(($J$1024-J195)^2)</f>
        <v/>
      </c>
      <c r="BQ195">
        <f>SQRT(($R$1024-R195)^2)</f>
        <v/>
      </c>
      <c r="BR195" s="125" t="inlineStr">
        <is>
          <t>W21X62</t>
        </is>
      </c>
      <c r="BW195">
        <f>SQRT(($J$1025-J195)^2)</f>
        <v/>
      </c>
      <c r="BX195">
        <f>SQRT(($R$1025-R195)^2)</f>
        <v/>
      </c>
      <c r="BY195" s="125" t="inlineStr">
        <is>
          <t>W21X62</t>
        </is>
      </c>
      <c r="CD195">
        <f>SQRT(($J$1026-J195)^2)</f>
        <v/>
      </c>
      <c r="CE195">
        <f>SQRT(($R$1026-R195)^2)</f>
        <v/>
      </c>
      <c r="CF195" s="125" t="inlineStr">
        <is>
          <t>W21X62</t>
        </is>
      </c>
    </row>
    <row r="196">
      <c r="A196" s="125" t="inlineStr">
        <is>
          <t>W21X68</t>
        </is>
      </c>
      <c r="B196" s="129" t="inlineStr">
        <is>
          <t>AISC</t>
        </is>
      </c>
      <c r="C196" s="125" t="n">
        <v>101</v>
      </c>
      <c r="D196" s="125" t="n">
        <v>536.7</v>
      </c>
      <c r="E196" s="125" t="n">
        <v>210</v>
      </c>
      <c r="F196" s="125" t="n">
        <v>17.4</v>
      </c>
      <c r="G196" s="125" t="n">
        <v>10.8</v>
      </c>
      <c r="H196" s="125" t="n">
        <v>12.7</v>
      </c>
      <c r="I196" s="125" t="n">
        <v>476.5</v>
      </c>
      <c r="J196" s="125" t="n">
        <v>129</v>
      </c>
      <c r="K196" s="125">
        <f>((E196-G196)/2)/F196</f>
        <v/>
      </c>
      <c r="L196" s="125">
        <f>I196/G196</f>
        <v/>
      </c>
      <c r="M196" s="125" t="n">
        <v>1.87</v>
      </c>
      <c r="N196" s="125" t="n">
        <v>61520</v>
      </c>
      <c r="O196" s="125" t="n">
        <v>2692</v>
      </c>
      <c r="P196" s="125" t="n">
        <v>21.9</v>
      </c>
      <c r="Q196" s="125" t="n">
        <v>4.57</v>
      </c>
      <c r="R196" s="125" t="n">
        <v>2292</v>
      </c>
      <c r="S196" s="125" t="n">
        <v>256</v>
      </c>
      <c r="T196" s="125" t="n">
        <v>2612</v>
      </c>
      <c r="U196" s="125" t="n">
        <v>399</v>
      </c>
      <c r="X196" s="129">
        <f t="array" ref="X196">_xlfn.IFS((D196/F196) &lt;= (640/SQRT($AT$32)), "Compact", L196 &lt;= ($AT$32*(0.79-(0.002*((E196-G196/2)/(2*F196))*SQRT($AT$32)))), "Non-Compact", L196 &gt; ($AT$32*(0.79-(0.002*((E196-G196/2)/(2*F196))*SQRT($AT$32)))), "Slender")</f>
        <v/>
      </c>
      <c r="Y196" s="129">
        <f t="array" ref="Y196">_xlfn.IFS(K196 &lt;= (65/SQRT($AT$32)), "Compact", K196 &lt;= (95/SQRT($AT$32)), "Non-Compact", K196 &gt; (95/SQRT($AT$32)), "Slender")</f>
        <v/>
      </c>
      <c r="Z196" s="125">
        <f>E196/F196</f>
        <v/>
      </c>
      <c r="AA196" s="125">
        <f>D196/G196</f>
        <v/>
      </c>
      <c r="AB196" s="125">
        <f t="array" ref="AB196">_xlfn.IFS(Z196 &lt;= 9, "1", Z196 &lt;= 12, "2", Z196 &lt;= 15, "3", Z196 &gt; 15, "4")</f>
        <v/>
      </c>
      <c r="AC196" s="125">
        <f t="array" ref="AC196">_xlfn.IFS(AA196 &lt;= 200, "1", L196 &lt;= 300, "2", L196 &lt;= 400, "3", L196 &gt; 400, "4")</f>
        <v/>
      </c>
      <c r="AD196" s="129">
        <f>SQRT((((VLOOKUP($AT$4,$A$4:$D$1021,4,FALSE))-D196)^2)+(((VLOOKUP($AT$4,$A$4:$E$1021,5,FALSE))-E196)^2)+(((VLOOKUP($AT$4,$A$4:$N$1021,14,FALSE))-N196)^2)+(((VLOOKUP($AT$4,$A$4:$O$1021,15,FALSE))-O196)^2))</f>
        <v/>
      </c>
      <c r="AG196" s="129">
        <f>SQRT((((VLOOKUP($AT$4,$A$4:$D$1021,4,FALSE))-D196)^2)+(((VLOOKUP($AT$4,$A$4:$E$1021,5,FALSE))-E196)^2)+(((VLOOKUP($AT$4,$A$4:$R$1021,18,FALSE))-R196)^2)+(((VLOOKUP($AT$4,$A$4:$S$1021,19,FALSE))-S196)^2))</f>
        <v/>
      </c>
      <c r="AJ196" s="125" t="inlineStr">
        <is>
          <t>W21X68</t>
        </is>
      </c>
      <c r="AK196" s="125">
        <f>SQRT(((VLOOKUP($AT$4,$A$4:$J$1021,10,FALSE))-J196)^2)</f>
        <v/>
      </c>
      <c r="AL196" s="125" t="n"/>
      <c r="AM196" s="125" t="n"/>
      <c r="AN196" s="125">
        <f>SQRT(((VLOOKUP($AT$4,$A$4:$R$1021,18,FALSE))-R196)^2)</f>
        <v/>
      </c>
      <c r="AO196" s="125" t="n"/>
      <c r="AP196" s="125" t="n"/>
      <c r="AQ196" s="125" t="inlineStr">
        <is>
          <t>W21X68</t>
        </is>
      </c>
      <c r="BB196" s="125">
        <f>SQRT(($J$1022-J196)^2)</f>
        <v/>
      </c>
      <c r="BC196" s="125">
        <f>SQRT(($R$1022-R196)^2)</f>
        <v/>
      </c>
      <c r="BD196" s="125" t="inlineStr">
        <is>
          <t>W21X68</t>
        </is>
      </c>
      <c r="BI196">
        <f>SQRT(($J$1023-J196)^2)</f>
        <v/>
      </c>
      <c r="BJ196">
        <f>SQRT(($R$1023-R196)^2)</f>
        <v/>
      </c>
      <c r="BK196" s="125" t="inlineStr">
        <is>
          <t>W21X68</t>
        </is>
      </c>
      <c r="BP196">
        <f>SQRT(($J$1024-J196)^2)</f>
        <v/>
      </c>
      <c r="BQ196">
        <f>SQRT(($R$1024-R196)^2)</f>
        <v/>
      </c>
      <c r="BR196" s="125" t="inlineStr">
        <is>
          <t>W21X68</t>
        </is>
      </c>
      <c r="BW196">
        <f>SQRT(($J$1025-J196)^2)</f>
        <v/>
      </c>
      <c r="BX196">
        <f>SQRT(($R$1025-R196)^2)</f>
        <v/>
      </c>
      <c r="BY196" s="125" t="inlineStr">
        <is>
          <t>W21X68</t>
        </is>
      </c>
      <c r="CD196">
        <f>SQRT(($J$1026-J196)^2)</f>
        <v/>
      </c>
      <c r="CE196">
        <f>SQRT(($R$1026-R196)^2)</f>
        <v/>
      </c>
      <c r="CF196" s="125" t="inlineStr">
        <is>
          <t>W21X68</t>
        </is>
      </c>
    </row>
    <row r="197">
      <c r="A197" s="125" t="inlineStr">
        <is>
          <t>W21X73</t>
        </is>
      </c>
      <c r="B197" s="129" t="inlineStr">
        <is>
          <t>AISC</t>
        </is>
      </c>
      <c r="C197" s="125" t="n">
        <v>109</v>
      </c>
      <c r="D197" s="125" t="n">
        <v>539.5</v>
      </c>
      <c r="E197" s="125" t="n">
        <v>210.8</v>
      </c>
      <c r="F197" s="125" t="n">
        <v>18.8</v>
      </c>
      <c r="G197" s="125" t="n">
        <v>11.6</v>
      </c>
      <c r="H197" s="125" t="n">
        <v>12.7</v>
      </c>
      <c r="I197" s="125" t="n">
        <v>476.5</v>
      </c>
      <c r="J197" s="125" t="n">
        <v>139</v>
      </c>
      <c r="K197" s="125">
        <f>((E197-G197)/2)/F197</f>
        <v/>
      </c>
      <c r="L197" s="125">
        <f>I197/G197</f>
        <v/>
      </c>
      <c r="M197" s="125" t="n">
        <v>1.88</v>
      </c>
      <c r="N197" s="125" t="n">
        <v>66820</v>
      </c>
      <c r="O197" s="125" t="n">
        <v>2943</v>
      </c>
      <c r="P197" s="125" t="n">
        <v>21.9</v>
      </c>
      <c r="Q197" s="125" t="n">
        <v>4.6</v>
      </c>
      <c r="R197" s="125" t="n">
        <v>2477</v>
      </c>
      <c r="S197" s="125" t="n">
        <v>279</v>
      </c>
      <c r="T197" s="125" t="n">
        <v>2828</v>
      </c>
      <c r="U197" s="125" t="n">
        <v>436</v>
      </c>
      <c r="X197" s="129">
        <f t="array" ref="X197">_xlfn.IFS((D197/F197) &lt;= (640/SQRT($AT$32)), "Compact", L197 &lt;= ($AT$32*(0.79-(0.002*((E197-G197/2)/(2*F197))*SQRT($AT$32)))), "Non-Compact", L197 &gt; ($AT$32*(0.79-(0.002*((E197-G197/2)/(2*F197))*SQRT($AT$32)))), "Slender")</f>
        <v/>
      </c>
      <c r="Y197" s="129">
        <f t="array" ref="Y197">_xlfn.IFS(K197 &lt;= (65/SQRT($AT$32)), "Compact", K197 &lt;= (95/SQRT($AT$32)), "Non-Compact", K197 &gt; (95/SQRT($AT$32)), "Slender")</f>
        <v/>
      </c>
      <c r="Z197" s="125">
        <f>E197/F197</f>
        <v/>
      </c>
      <c r="AA197" s="125">
        <f>D197/G197</f>
        <v/>
      </c>
      <c r="AB197" s="125">
        <f t="array" ref="AB197">_xlfn.IFS(Z197 &lt;= 9, "1", Z197 &lt;= 12, "2", Z197 &lt;= 15, "3", Z197 &gt; 15, "4")</f>
        <v/>
      </c>
      <c r="AC197" s="125">
        <f t="array" ref="AC197">_xlfn.IFS(AA197 &lt;= 200, "1", L197 &lt;= 300, "2", L197 &lt;= 400, "3", L197 &gt; 400, "4")</f>
        <v/>
      </c>
      <c r="AD197" s="129">
        <f>SQRT((((VLOOKUP($AT$4,$A$4:$D$1021,4,FALSE))-D197)^2)+(((VLOOKUP($AT$4,$A$4:$E$1021,5,FALSE))-E197)^2)+(((VLOOKUP($AT$4,$A$4:$N$1021,14,FALSE))-N197)^2)+(((VLOOKUP($AT$4,$A$4:$O$1021,15,FALSE))-O197)^2))</f>
        <v/>
      </c>
      <c r="AG197" s="129">
        <f>SQRT((((VLOOKUP($AT$4,$A$4:$D$1021,4,FALSE))-D197)^2)+(((VLOOKUP($AT$4,$A$4:$E$1021,5,FALSE))-E197)^2)+(((VLOOKUP($AT$4,$A$4:$R$1021,18,FALSE))-R197)^2)+(((VLOOKUP($AT$4,$A$4:$S$1021,19,FALSE))-S197)^2))</f>
        <v/>
      </c>
      <c r="AJ197" s="125" t="inlineStr">
        <is>
          <t>W21X73</t>
        </is>
      </c>
      <c r="AK197" s="125">
        <f>SQRT(((VLOOKUP($AT$4,$A$4:$J$1021,10,FALSE))-J197)^2)</f>
        <v/>
      </c>
      <c r="AL197" s="125" t="n"/>
      <c r="AM197" s="125" t="n"/>
      <c r="AN197" s="125">
        <f>SQRT(((VLOOKUP($AT$4,$A$4:$R$1021,18,FALSE))-R197)^2)</f>
        <v/>
      </c>
      <c r="AO197" s="125" t="n"/>
      <c r="AP197" s="125" t="n"/>
      <c r="AQ197" s="125" t="inlineStr">
        <is>
          <t>W21X73</t>
        </is>
      </c>
      <c r="BB197" s="125">
        <f>SQRT(($J$1022-J197)^2)</f>
        <v/>
      </c>
      <c r="BC197" s="125">
        <f>SQRT(($R$1022-R197)^2)</f>
        <v/>
      </c>
      <c r="BD197" s="125" t="inlineStr">
        <is>
          <t>W21X73</t>
        </is>
      </c>
      <c r="BI197">
        <f>SQRT(($J$1023-J197)^2)</f>
        <v/>
      </c>
      <c r="BJ197">
        <f>SQRT(($R$1023-R197)^2)</f>
        <v/>
      </c>
      <c r="BK197" s="125" t="inlineStr">
        <is>
          <t>W21X73</t>
        </is>
      </c>
      <c r="BP197">
        <f>SQRT(($J$1024-J197)^2)</f>
        <v/>
      </c>
      <c r="BQ197">
        <f>SQRT(($R$1024-R197)^2)</f>
        <v/>
      </c>
      <c r="BR197" s="125" t="inlineStr">
        <is>
          <t>W21X73</t>
        </is>
      </c>
      <c r="BW197">
        <f>SQRT(($J$1025-J197)^2)</f>
        <v/>
      </c>
      <c r="BX197">
        <f>SQRT(($R$1025-R197)^2)</f>
        <v/>
      </c>
      <c r="BY197" s="125" t="inlineStr">
        <is>
          <t>W21X73</t>
        </is>
      </c>
      <c r="CD197">
        <f>SQRT(($J$1026-J197)^2)</f>
        <v/>
      </c>
      <c r="CE197">
        <f>SQRT(($R$1026-R197)^2)</f>
        <v/>
      </c>
      <c r="CF197" s="125" t="inlineStr">
        <is>
          <t>W21X73</t>
        </is>
      </c>
    </row>
    <row r="198">
      <c r="A198" s="125" t="inlineStr">
        <is>
          <t>W21X82</t>
        </is>
      </c>
      <c r="B198" s="129" t="inlineStr">
        <is>
          <t>AISC</t>
        </is>
      </c>
      <c r="C198" s="125" t="n">
        <v>122</v>
      </c>
      <c r="D198" s="125" t="n">
        <v>544.5</v>
      </c>
      <c r="E198" s="125" t="n">
        <v>211.9</v>
      </c>
      <c r="F198" s="125" t="n">
        <v>21.3</v>
      </c>
      <c r="G198" s="125" t="n">
        <v>12.7</v>
      </c>
      <c r="H198" s="125" t="n">
        <v>12.7</v>
      </c>
      <c r="I198" s="125" t="n">
        <v>476.5</v>
      </c>
      <c r="J198" s="125" t="n">
        <v>155</v>
      </c>
      <c r="K198" s="125">
        <f>((E198-G198)/2)/F198</f>
        <v/>
      </c>
      <c r="L198" s="125">
        <f>I198/G198</f>
        <v/>
      </c>
      <c r="M198" s="125" t="n">
        <v>1.89</v>
      </c>
      <c r="N198" s="125" t="n">
        <v>76040</v>
      </c>
      <c r="O198" s="125" t="n">
        <v>3388</v>
      </c>
      <c r="P198" s="125" t="n">
        <v>22.1</v>
      </c>
      <c r="Q198" s="125" t="n">
        <v>4.67</v>
      </c>
      <c r="R198" s="125" t="n">
        <v>2793</v>
      </c>
      <c r="S198" s="125" t="n">
        <v>320</v>
      </c>
      <c r="T198" s="125" t="n">
        <v>3196</v>
      </c>
      <c r="U198" s="125" t="n">
        <v>500</v>
      </c>
      <c r="X198" s="129">
        <f t="array" ref="X198">_xlfn.IFS((D198/F198) &lt;= (640/SQRT($AT$32)), "Compact", L198 &lt;= ($AT$32*(0.79-(0.002*((E198-G198/2)/(2*F198))*SQRT($AT$32)))), "Non-Compact", L198 &gt; ($AT$32*(0.79-(0.002*((E198-G198/2)/(2*F198))*SQRT($AT$32)))), "Slender")</f>
        <v/>
      </c>
      <c r="Y198" s="129">
        <f t="array" ref="Y198">_xlfn.IFS(K198 &lt;= (65/SQRT($AT$32)), "Compact", K198 &lt;= (95/SQRT($AT$32)), "Non-Compact", K198 &gt; (95/SQRT($AT$32)), "Slender")</f>
        <v/>
      </c>
      <c r="Z198" s="125">
        <f>E198/F198</f>
        <v/>
      </c>
      <c r="AA198" s="125">
        <f>D198/G198</f>
        <v/>
      </c>
      <c r="AB198" s="125">
        <f t="array" ref="AB198">_xlfn.IFS(Z198 &lt;= 9, "1", Z198 &lt;= 12, "2", Z198 &lt;= 15, "3", Z198 &gt; 15, "4")</f>
        <v/>
      </c>
      <c r="AC198" s="125">
        <f t="array" ref="AC198">_xlfn.IFS(AA198 &lt;= 200, "1", L198 &lt;= 300, "2", L198 &lt;= 400, "3", L198 &gt; 400, "4")</f>
        <v/>
      </c>
      <c r="AD198" s="129">
        <f>SQRT((((VLOOKUP($AT$4,$A$4:$D$1021,4,FALSE))-D198)^2)+(((VLOOKUP($AT$4,$A$4:$E$1021,5,FALSE))-E198)^2)+(((VLOOKUP($AT$4,$A$4:$N$1021,14,FALSE))-N198)^2)+(((VLOOKUP($AT$4,$A$4:$O$1021,15,FALSE))-O198)^2))</f>
        <v/>
      </c>
      <c r="AG198" s="129">
        <f>SQRT((((VLOOKUP($AT$4,$A$4:$D$1021,4,FALSE))-D198)^2)+(((VLOOKUP($AT$4,$A$4:$E$1021,5,FALSE))-E198)^2)+(((VLOOKUP($AT$4,$A$4:$R$1021,18,FALSE))-R198)^2)+(((VLOOKUP($AT$4,$A$4:$S$1021,19,FALSE))-S198)^2))</f>
        <v/>
      </c>
      <c r="AJ198" s="125" t="inlineStr">
        <is>
          <t>W21X82</t>
        </is>
      </c>
      <c r="AK198" s="125">
        <f>SQRT(((VLOOKUP($AT$4,$A$4:$J$1021,10,FALSE))-J198)^2)</f>
        <v/>
      </c>
      <c r="AL198" s="125" t="n"/>
      <c r="AM198" s="125" t="n"/>
      <c r="AN198" s="125">
        <f>SQRT(((VLOOKUP($AT$4,$A$4:$R$1021,18,FALSE))-R198)^2)</f>
        <v/>
      </c>
      <c r="AO198" s="125" t="n"/>
      <c r="AP198" s="125" t="n"/>
      <c r="AQ198" s="125" t="inlineStr">
        <is>
          <t>W21X82</t>
        </is>
      </c>
      <c r="BB198" s="125">
        <f>SQRT(($J$1022-J198)^2)</f>
        <v/>
      </c>
      <c r="BC198" s="125">
        <f>SQRT(($R$1022-R198)^2)</f>
        <v/>
      </c>
      <c r="BD198" s="125" t="inlineStr">
        <is>
          <t>W21X82</t>
        </is>
      </c>
      <c r="BI198">
        <f>SQRT(($J$1023-J198)^2)</f>
        <v/>
      </c>
      <c r="BJ198">
        <f>SQRT(($R$1023-R198)^2)</f>
        <v/>
      </c>
      <c r="BK198" s="125" t="inlineStr">
        <is>
          <t>W21X82</t>
        </is>
      </c>
      <c r="BP198">
        <f>SQRT(($J$1024-J198)^2)</f>
        <v/>
      </c>
      <c r="BQ198">
        <f>SQRT(($R$1024-R198)^2)</f>
        <v/>
      </c>
      <c r="BR198" s="125" t="inlineStr">
        <is>
          <t>W21X82</t>
        </is>
      </c>
      <c r="BW198">
        <f>SQRT(($J$1025-J198)^2)</f>
        <v/>
      </c>
      <c r="BX198">
        <f>SQRT(($R$1025-R198)^2)</f>
        <v/>
      </c>
      <c r="BY198" s="125" t="inlineStr">
        <is>
          <t>W21X82</t>
        </is>
      </c>
      <c r="CD198">
        <f>SQRT(($J$1026-J198)^2)</f>
        <v/>
      </c>
      <c r="CE198">
        <f>SQRT(($R$1026-R198)^2)</f>
        <v/>
      </c>
      <c r="CF198" s="125" t="inlineStr">
        <is>
          <t>W21X82</t>
        </is>
      </c>
    </row>
    <row r="199">
      <c r="A199" s="125" t="inlineStr">
        <is>
          <t>W21X83</t>
        </is>
      </c>
      <c r="B199" s="129" t="inlineStr">
        <is>
          <t>AISC</t>
        </is>
      </c>
      <c r="C199" s="125" t="n">
        <v>123.5</v>
      </c>
      <c r="D199" s="125" t="n">
        <v>544.3</v>
      </c>
      <c r="E199" s="125" t="n">
        <v>212.2</v>
      </c>
      <c r="F199" s="125" t="n">
        <v>21.2</v>
      </c>
      <c r="G199" s="125" t="n">
        <v>13.1</v>
      </c>
      <c r="H199" s="125" t="n">
        <v>12.7</v>
      </c>
      <c r="I199" s="125" t="n">
        <v>476.5</v>
      </c>
      <c r="J199" s="125" t="n">
        <v>157</v>
      </c>
      <c r="K199" s="125">
        <f>((E199-G199)/2)/F199</f>
        <v/>
      </c>
      <c r="L199" s="125">
        <f>I199/G199</f>
        <v/>
      </c>
      <c r="M199" s="125" t="n">
        <v>1.89</v>
      </c>
      <c r="N199" s="125" t="n">
        <v>76240</v>
      </c>
      <c r="O199" s="125" t="n">
        <v>3389</v>
      </c>
      <c r="P199" s="125" t="n">
        <v>22</v>
      </c>
      <c r="Q199" s="125" t="n">
        <v>4.65</v>
      </c>
      <c r="R199" s="125" t="n">
        <v>2801</v>
      </c>
      <c r="S199" s="125" t="n">
        <v>319</v>
      </c>
      <c r="T199" s="125" t="n">
        <v>3212</v>
      </c>
      <c r="U199" s="125" t="n">
        <v>500</v>
      </c>
      <c r="X199" s="129">
        <f t="array" ref="X199">_xlfn.IFS((D199/F199) &lt;= (640/SQRT($AT$32)), "Compact", L199 &lt;= ($AT$32*(0.79-(0.002*((E199-G199/2)/(2*F199))*SQRT($AT$32)))), "Non-Compact", L199 &gt; ($AT$32*(0.79-(0.002*((E199-G199/2)/(2*F199))*SQRT($AT$32)))), "Slender")</f>
        <v/>
      </c>
      <c r="Y199" s="129">
        <f t="array" ref="Y199">_xlfn.IFS(K199 &lt;= (65/SQRT($AT$32)), "Compact", K199 &lt;= (95/SQRT($AT$32)), "Non-Compact", K199 &gt; (95/SQRT($AT$32)), "Slender")</f>
        <v/>
      </c>
      <c r="Z199" s="125">
        <f>E199/F199</f>
        <v/>
      </c>
      <c r="AA199" s="125">
        <f>D199/G199</f>
        <v/>
      </c>
      <c r="AB199" s="125">
        <f t="array" ref="AB199">_xlfn.IFS(Z199 &lt;= 9, "1", Z199 &lt;= 12, "2", Z199 &lt;= 15, "3", Z199 &gt; 15, "4")</f>
        <v/>
      </c>
      <c r="AC199" s="125">
        <f t="array" ref="AC199">_xlfn.IFS(AA199 &lt;= 200, "1", L199 &lt;= 300, "2", L199 &lt;= 400, "3", L199 &gt; 400, "4")</f>
        <v/>
      </c>
      <c r="AD199" s="129">
        <f>SQRT((((VLOOKUP($AT$4,$A$4:$D$1021,4,FALSE))-D199)^2)+(((VLOOKUP($AT$4,$A$4:$E$1021,5,FALSE))-E199)^2)+(((VLOOKUP($AT$4,$A$4:$N$1021,14,FALSE))-N199)^2)+(((VLOOKUP($AT$4,$A$4:$O$1021,15,FALSE))-O199)^2))</f>
        <v/>
      </c>
      <c r="AG199" s="129">
        <f>SQRT((((VLOOKUP($AT$4,$A$4:$D$1021,4,FALSE))-D199)^2)+(((VLOOKUP($AT$4,$A$4:$E$1021,5,FALSE))-E199)^2)+(((VLOOKUP($AT$4,$A$4:$R$1021,18,FALSE))-R199)^2)+(((VLOOKUP($AT$4,$A$4:$S$1021,19,FALSE))-S199)^2))</f>
        <v/>
      </c>
      <c r="AJ199" s="125" t="inlineStr">
        <is>
          <t>W21X83</t>
        </is>
      </c>
      <c r="AK199" s="125">
        <f>SQRT(((VLOOKUP($AT$4,$A$4:$J$1021,10,FALSE))-J199)^2)</f>
        <v/>
      </c>
      <c r="AL199" s="125" t="n"/>
      <c r="AM199" s="125" t="n"/>
      <c r="AN199" s="125">
        <f>SQRT(((VLOOKUP($AT$4,$A$4:$R$1021,18,FALSE))-R199)^2)</f>
        <v/>
      </c>
      <c r="AO199" s="125" t="n"/>
      <c r="AP199" s="125" t="n"/>
      <c r="AQ199" s="125" t="inlineStr">
        <is>
          <t>W21X83</t>
        </is>
      </c>
      <c r="BB199" s="125">
        <f>SQRT(($J$1022-J199)^2)</f>
        <v/>
      </c>
      <c r="BC199" s="125">
        <f>SQRT(($R$1022-R199)^2)</f>
        <v/>
      </c>
      <c r="BD199" s="125" t="inlineStr">
        <is>
          <t>W21X83</t>
        </is>
      </c>
      <c r="BI199">
        <f>SQRT(($J$1023-J199)^2)</f>
        <v/>
      </c>
      <c r="BJ199">
        <f>SQRT(($R$1023-R199)^2)</f>
        <v/>
      </c>
      <c r="BK199" s="125" t="inlineStr">
        <is>
          <t>W21X83</t>
        </is>
      </c>
      <c r="BP199">
        <f>SQRT(($J$1024-J199)^2)</f>
        <v/>
      </c>
      <c r="BQ199">
        <f>SQRT(($R$1024-R199)^2)</f>
        <v/>
      </c>
      <c r="BR199" s="125" t="inlineStr">
        <is>
          <t>W21X83</t>
        </is>
      </c>
      <c r="BW199">
        <f>SQRT(($J$1025-J199)^2)</f>
        <v/>
      </c>
      <c r="BX199">
        <f>SQRT(($R$1025-R199)^2)</f>
        <v/>
      </c>
      <c r="BY199" s="125" t="inlineStr">
        <is>
          <t>W21X83</t>
        </is>
      </c>
      <c r="CD199">
        <f>SQRT(($J$1026-J199)^2)</f>
        <v/>
      </c>
      <c r="CE199">
        <f>SQRT(($R$1026-R199)^2)</f>
        <v/>
      </c>
      <c r="CF199" s="125" t="inlineStr">
        <is>
          <t>W21X83</t>
        </is>
      </c>
    </row>
    <row r="200">
      <c r="A200" s="125" t="inlineStr">
        <is>
          <t>W21X93</t>
        </is>
      </c>
      <c r="B200" s="129" t="inlineStr">
        <is>
          <t>AISC</t>
        </is>
      </c>
      <c r="C200" s="125" t="n">
        <v>138.4</v>
      </c>
      <c r="D200" s="125" t="n">
        <v>549.1</v>
      </c>
      <c r="E200" s="125" t="n">
        <v>213.9</v>
      </c>
      <c r="F200" s="125" t="n">
        <v>23.6</v>
      </c>
      <c r="G200" s="125" t="n">
        <v>14.7</v>
      </c>
      <c r="H200" s="125" t="n">
        <v>12.7</v>
      </c>
      <c r="I200" s="125" t="n">
        <v>476.5</v>
      </c>
      <c r="J200" s="125" t="n">
        <v>176</v>
      </c>
      <c r="K200" s="125">
        <f>((E200-G200)/2)/F200</f>
        <v/>
      </c>
      <c r="L200" s="125">
        <f>I200/G200</f>
        <v/>
      </c>
      <c r="M200" s="125" t="n">
        <v>1.9</v>
      </c>
      <c r="N200" s="125" t="n">
        <v>86170</v>
      </c>
      <c r="O200" s="125" t="n">
        <v>3868</v>
      </c>
      <c r="P200" s="125" t="n">
        <v>22.1</v>
      </c>
      <c r="Q200" s="125" t="n">
        <v>4.68</v>
      </c>
      <c r="R200" s="125" t="n">
        <v>3139</v>
      </c>
      <c r="S200" s="125" t="n">
        <v>362</v>
      </c>
      <c r="T200" s="125" t="n">
        <v>3617</v>
      </c>
      <c r="U200" s="125" t="n">
        <v>569</v>
      </c>
      <c r="X200" s="129">
        <f t="array" ref="X200">_xlfn.IFS((D200/F200) &lt;= (640/SQRT($AT$32)), "Compact", L200 &lt;= ($AT$32*(0.79-(0.002*((E200-G200/2)/(2*F200))*SQRT($AT$32)))), "Non-Compact", L200 &gt; ($AT$32*(0.79-(0.002*((E200-G200/2)/(2*F200))*SQRT($AT$32)))), "Slender")</f>
        <v/>
      </c>
      <c r="Y200" s="129">
        <f t="array" ref="Y200">_xlfn.IFS(K200 &lt;= (65/SQRT($AT$32)), "Compact", K200 &lt;= (95/SQRT($AT$32)), "Non-Compact", K200 &gt; (95/SQRT($AT$32)), "Slender")</f>
        <v/>
      </c>
      <c r="Z200" s="125">
        <f>E200/F200</f>
        <v/>
      </c>
      <c r="AA200" s="125">
        <f>D200/G200</f>
        <v/>
      </c>
      <c r="AB200" s="125">
        <f t="array" ref="AB200">_xlfn.IFS(Z200 &lt;= 9, "1", Z200 &lt;= 12, "2", Z200 &lt;= 15, "3", Z200 &gt; 15, "4")</f>
        <v/>
      </c>
      <c r="AC200" s="125">
        <f t="array" ref="AC200">_xlfn.IFS(AA200 &lt;= 200, "1", L200 &lt;= 300, "2", L200 &lt;= 400, "3", L200 &gt; 400, "4")</f>
        <v/>
      </c>
      <c r="AD200" s="129">
        <f>SQRT((((VLOOKUP($AT$4,$A$4:$D$1021,4,FALSE))-D200)^2)+(((VLOOKUP($AT$4,$A$4:$E$1021,5,FALSE))-E200)^2)+(((VLOOKUP($AT$4,$A$4:$N$1021,14,FALSE))-N200)^2)+(((VLOOKUP($AT$4,$A$4:$O$1021,15,FALSE))-O200)^2))</f>
        <v/>
      </c>
      <c r="AG200" s="129">
        <f>SQRT((((VLOOKUP($AT$4,$A$4:$D$1021,4,FALSE))-D200)^2)+(((VLOOKUP($AT$4,$A$4:$E$1021,5,FALSE))-E200)^2)+(((VLOOKUP($AT$4,$A$4:$R$1021,18,FALSE))-R200)^2)+(((VLOOKUP($AT$4,$A$4:$S$1021,19,FALSE))-S200)^2))</f>
        <v/>
      </c>
      <c r="AJ200" s="125" t="inlineStr">
        <is>
          <t>W21X93</t>
        </is>
      </c>
      <c r="AK200" s="125">
        <f>SQRT(((VLOOKUP($AT$4,$A$4:$J$1021,10,FALSE))-J200)^2)</f>
        <v/>
      </c>
      <c r="AL200" s="125" t="n"/>
      <c r="AM200" s="125" t="n"/>
      <c r="AN200" s="125">
        <f>SQRT(((VLOOKUP($AT$4,$A$4:$R$1021,18,FALSE))-R200)^2)</f>
        <v/>
      </c>
      <c r="AO200" s="125" t="n"/>
      <c r="AP200" s="125" t="n"/>
      <c r="AQ200" s="125" t="inlineStr">
        <is>
          <t>W21X93</t>
        </is>
      </c>
      <c r="BB200" s="125">
        <f>SQRT(($J$1022-J200)^2)</f>
        <v/>
      </c>
      <c r="BC200" s="125">
        <f>SQRT(($R$1022-R200)^2)</f>
        <v/>
      </c>
      <c r="BD200" s="125" t="inlineStr">
        <is>
          <t>W21X93</t>
        </is>
      </c>
      <c r="BI200">
        <f>SQRT(($J$1023-J200)^2)</f>
        <v/>
      </c>
      <c r="BJ200">
        <f>SQRT(($R$1023-R200)^2)</f>
        <v/>
      </c>
      <c r="BK200" s="125" t="inlineStr">
        <is>
          <t>W21X93</t>
        </is>
      </c>
      <c r="BP200">
        <f>SQRT(($J$1024-J200)^2)</f>
        <v/>
      </c>
      <c r="BQ200">
        <f>SQRT(($R$1024-R200)^2)</f>
        <v/>
      </c>
      <c r="BR200" s="125" t="inlineStr">
        <is>
          <t>W21X93</t>
        </is>
      </c>
      <c r="BW200">
        <f>SQRT(($J$1025-J200)^2)</f>
        <v/>
      </c>
      <c r="BX200">
        <f>SQRT(($R$1025-R200)^2)</f>
        <v/>
      </c>
      <c r="BY200" s="125" t="inlineStr">
        <is>
          <t>W21X93</t>
        </is>
      </c>
      <c r="CD200">
        <f>SQRT(($J$1026-J200)^2)</f>
        <v/>
      </c>
      <c r="CE200">
        <f>SQRT(($R$1026-R200)^2)</f>
        <v/>
      </c>
      <c r="CF200" s="125" t="inlineStr">
        <is>
          <t>W21X93</t>
        </is>
      </c>
    </row>
    <row r="201">
      <c r="A201" s="125" t="inlineStr">
        <is>
          <t>W21X101</t>
        </is>
      </c>
      <c r="B201" s="129" t="inlineStr">
        <is>
          <t>AISC</t>
        </is>
      </c>
      <c r="C201" s="125" t="n">
        <v>150.3</v>
      </c>
      <c r="D201" s="125" t="n">
        <v>542.5</v>
      </c>
      <c r="E201" s="125" t="n">
        <v>312.2</v>
      </c>
      <c r="F201" s="125" t="n">
        <v>20.3</v>
      </c>
      <c r="G201" s="125" t="n">
        <v>12.7</v>
      </c>
      <c r="H201" s="125" t="n">
        <v>12.7</v>
      </c>
      <c r="I201" s="125" t="n">
        <v>476.5</v>
      </c>
      <c r="J201" s="125" t="n">
        <v>192</v>
      </c>
      <c r="K201" s="125">
        <f>((E201-G201)/2)/F201</f>
        <v/>
      </c>
      <c r="L201" s="125">
        <f>I201/G201</f>
        <v/>
      </c>
      <c r="M201" s="125" t="n">
        <v>2.29</v>
      </c>
      <c r="N201" s="125" t="n">
        <v>100800</v>
      </c>
      <c r="O201" s="125" t="n">
        <v>10320</v>
      </c>
      <c r="P201" s="125" t="n">
        <v>22.9</v>
      </c>
      <c r="Q201" s="125" t="n">
        <v>7.33</v>
      </c>
      <c r="R201" s="125" t="n">
        <v>3715</v>
      </c>
      <c r="S201" s="125" t="n">
        <v>661</v>
      </c>
      <c r="T201" s="125" t="n">
        <v>4147</v>
      </c>
      <c r="U201" s="125" t="n">
        <v>1012</v>
      </c>
      <c r="X201" s="129">
        <f t="array" ref="X201">_xlfn.IFS((D201/F201) &lt;= (640/SQRT($AT$32)), "Compact", L201 &lt;= ($AT$32*(0.79-(0.002*((E201-G201/2)/(2*F201))*SQRT($AT$32)))), "Non-Compact", L201 &gt; ($AT$32*(0.79-(0.002*((E201-G201/2)/(2*F201))*SQRT($AT$32)))), "Slender")</f>
        <v/>
      </c>
      <c r="Y201" s="129">
        <f t="array" ref="Y201">_xlfn.IFS(K201 &lt;= (65/SQRT($AT$32)), "Compact", K201 &lt;= (95/SQRT($AT$32)), "Non-Compact", K201 &gt; (95/SQRT($AT$32)), "Slender")</f>
        <v/>
      </c>
      <c r="Z201" s="125">
        <f>E201/F201</f>
        <v/>
      </c>
      <c r="AA201" s="125">
        <f>D201/G201</f>
        <v/>
      </c>
      <c r="AB201" s="125">
        <f t="array" ref="AB201">_xlfn.IFS(Z201 &lt;= 9, "1", Z201 &lt;= 12, "2", Z201 &lt;= 15, "3", Z201 &gt; 15, "4")</f>
        <v/>
      </c>
      <c r="AC201" s="125">
        <f t="array" ref="AC201">_xlfn.IFS(AA201 &lt;= 200, "1", L201 &lt;= 300, "2", L201 &lt;= 400, "3", L201 &gt; 400, "4")</f>
        <v/>
      </c>
      <c r="AD201" s="129">
        <f>SQRT((((VLOOKUP($AT$4,$A$4:$D$1021,4,FALSE))-D201)^2)+(((VLOOKUP($AT$4,$A$4:$E$1021,5,FALSE))-E201)^2)+(((VLOOKUP($AT$4,$A$4:$N$1021,14,FALSE))-N201)^2)+(((VLOOKUP($AT$4,$A$4:$O$1021,15,FALSE))-O201)^2))</f>
        <v/>
      </c>
      <c r="AG201" s="129">
        <f>SQRT((((VLOOKUP($AT$4,$A$4:$D$1021,4,FALSE))-D201)^2)+(((VLOOKUP($AT$4,$A$4:$E$1021,5,FALSE))-E201)^2)+(((VLOOKUP($AT$4,$A$4:$R$1021,18,FALSE))-R201)^2)+(((VLOOKUP($AT$4,$A$4:$S$1021,19,FALSE))-S201)^2))</f>
        <v/>
      </c>
      <c r="AJ201" s="125" t="inlineStr">
        <is>
          <t>W21X101</t>
        </is>
      </c>
      <c r="AK201" s="125">
        <f>SQRT(((VLOOKUP($AT$4,$A$4:$J$1021,10,FALSE))-J201)^2)</f>
        <v/>
      </c>
      <c r="AL201" s="125" t="n"/>
      <c r="AM201" s="125" t="n"/>
      <c r="AN201" s="125">
        <f>SQRT(((VLOOKUP($AT$4,$A$4:$R$1021,18,FALSE))-R201)^2)</f>
        <v/>
      </c>
      <c r="AO201" s="125" t="n"/>
      <c r="AP201" s="125" t="n"/>
      <c r="AQ201" s="125" t="inlineStr">
        <is>
          <t>W21X101</t>
        </is>
      </c>
      <c r="BB201" s="125">
        <f>SQRT(($J$1022-J201)^2)</f>
        <v/>
      </c>
      <c r="BC201" s="125">
        <f>SQRT(($R$1022-R201)^2)</f>
        <v/>
      </c>
      <c r="BD201" s="125" t="inlineStr">
        <is>
          <t>W21X101</t>
        </is>
      </c>
      <c r="BI201">
        <f>SQRT(($J$1023-J201)^2)</f>
        <v/>
      </c>
      <c r="BJ201">
        <f>SQRT(($R$1023-R201)^2)</f>
        <v/>
      </c>
      <c r="BK201" s="125" t="inlineStr">
        <is>
          <t>W21X101</t>
        </is>
      </c>
      <c r="BP201">
        <f>SQRT(($J$1024-J201)^2)</f>
        <v/>
      </c>
      <c r="BQ201">
        <f>SQRT(($R$1024-R201)^2)</f>
        <v/>
      </c>
      <c r="BR201" s="125" t="inlineStr">
        <is>
          <t>W21X101</t>
        </is>
      </c>
      <c r="BW201">
        <f>SQRT(($J$1025-J201)^2)</f>
        <v/>
      </c>
      <c r="BX201">
        <f>SQRT(($R$1025-R201)^2)</f>
        <v/>
      </c>
      <c r="BY201" s="125" t="inlineStr">
        <is>
          <t>W21X101</t>
        </is>
      </c>
      <c r="CD201">
        <f>SQRT(($J$1026-J201)^2)</f>
        <v/>
      </c>
      <c r="CE201">
        <f>SQRT(($R$1026-R201)^2)</f>
        <v/>
      </c>
      <c r="CF201" s="125" t="inlineStr">
        <is>
          <t>W21X101</t>
        </is>
      </c>
    </row>
    <row r="202">
      <c r="A202" s="125" t="inlineStr">
        <is>
          <t>W21X111</t>
        </is>
      </c>
      <c r="B202" s="129" t="inlineStr">
        <is>
          <t>AISC</t>
        </is>
      </c>
      <c r="C202" s="125" t="n">
        <v>165.2</v>
      </c>
      <c r="D202" s="125" t="n">
        <v>546.4</v>
      </c>
      <c r="E202" s="125" t="n">
        <v>313.4</v>
      </c>
      <c r="F202" s="125" t="n">
        <v>22.2</v>
      </c>
      <c r="G202" s="125" t="n">
        <v>14</v>
      </c>
      <c r="H202" s="125" t="n">
        <v>12.7</v>
      </c>
      <c r="I202" s="125" t="n">
        <v>476.6</v>
      </c>
      <c r="J202" s="125" t="n">
        <v>211</v>
      </c>
      <c r="K202" s="125">
        <f>((E202-G202)/2)/F202</f>
        <v/>
      </c>
      <c r="L202" s="125">
        <f>I202/G202</f>
        <v/>
      </c>
      <c r="M202" s="125" t="n">
        <v>2.3</v>
      </c>
      <c r="N202" s="125" t="n">
        <v>111300</v>
      </c>
      <c r="O202" s="125" t="n">
        <v>11410</v>
      </c>
      <c r="P202" s="125" t="n">
        <v>23</v>
      </c>
      <c r="Q202" s="125" t="n">
        <v>7.36</v>
      </c>
      <c r="R202" s="125" t="n">
        <v>4074</v>
      </c>
      <c r="S202" s="125" t="n">
        <v>728</v>
      </c>
      <c r="T202" s="125" t="n">
        <v>4565</v>
      </c>
      <c r="U202" s="125" t="n">
        <v>1117</v>
      </c>
      <c r="X202" s="129">
        <f t="array" ref="X202">_xlfn.IFS((D202/F202) &lt;= (640/SQRT($AT$32)), "Compact", L202 &lt;= ($AT$32*(0.79-(0.002*((E202-G202/2)/(2*F202))*SQRT($AT$32)))), "Non-Compact", L202 &gt; ($AT$32*(0.79-(0.002*((E202-G202/2)/(2*F202))*SQRT($AT$32)))), "Slender")</f>
        <v/>
      </c>
      <c r="Y202" s="129">
        <f t="array" ref="Y202">_xlfn.IFS(K202 &lt;= (65/SQRT($AT$32)), "Compact", K202 &lt;= (95/SQRT($AT$32)), "Non-Compact", K202 &gt; (95/SQRT($AT$32)), "Slender")</f>
        <v/>
      </c>
      <c r="Z202" s="125">
        <f>E202/F202</f>
        <v/>
      </c>
      <c r="AA202" s="125">
        <f>D202/G202</f>
        <v/>
      </c>
      <c r="AB202" s="125">
        <f t="array" ref="AB202">_xlfn.IFS(Z202 &lt;= 9, "1", Z202 &lt;= 12, "2", Z202 &lt;= 15, "3", Z202 &gt; 15, "4")</f>
        <v/>
      </c>
      <c r="AC202" s="125">
        <f t="array" ref="AC202">_xlfn.IFS(AA202 &lt;= 200, "1", L202 &lt;= 300, "2", L202 &lt;= 400, "3", L202 &gt; 400, "4")</f>
        <v/>
      </c>
      <c r="AD202" s="129">
        <f>SQRT((((VLOOKUP($AT$4,$A$4:$D$1021,4,FALSE))-D202)^2)+(((VLOOKUP($AT$4,$A$4:$E$1021,5,FALSE))-E202)^2)+(((VLOOKUP($AT$4,$A$4:$N$1021,14,FALSE))-N202)^2)+(((VLOOKUP($AT$4,$A$4:$O$1021,15,FALSE))-O202)^2))</f>
        <v/>
      </c>
      <c r="AG202" s="129">
        <f>SQRT((((VLOOKUP($AT$4,$A$4:$D$1021,4,FALSE))-D202)^2)+(((VLOOKUP($AT$4,$A$4:$E$1021,5,FALSE))-E202)^2)+(((VLOOKUP($AT$4,$A$4:$R$1021,18,FALSE))-R202)^2)+(((VLOOKUP($AT$4,$A$4:$S$1021,19,FALSE))-S202)^2))</f>
        <v/>
      </c>
      <c r="AJ202" s="125" t="inlineStr">
        <is>
          <t>W21X111</t>
        </is>
      </c>
      <c r="AK202" s="125">
        <f>SQRT(((VLOOKUP($AT$4,$A$4:$J$1021,10,FALSE))-J202)^2)</f>
        <v/>
      </c>
      <c r="AL202" s="125" t="n"/>
      <c r="AM202" s="125" t="n"/>
      <c r="AN202" s="125">
        <f>SQRT(((VLOOKUP($AT$4,$A$4:$R$1021,18,FALSE))-R202)^2)</f>
        <v/>
      </c>
      <c r="AO202" s="125" t="n"/>
      <c r="AP202" s="125" t="n"/>
      <c r="AQ202" s="125" t="inlineStr">
        <is>
          <t>W21X111</t>
        </is>
      </c>
      <c r="BB202" s="125">
        <f>SQRT(($J$1022-J202)^2)</f>
        <v/>
      </c>
      <c r="BC202" s="125">
        <f>SQRT(($R$1022-R202)^2)</f>
        <v/>
      </c>
      <c r="BD202" s="125" t="inlineStr">
        <is>
          <t>W21X111</t>
        </is>
      </c>
      <c r="BI202">
        <f>SQRT(($J$1023-J202)^2)</f>
        <v/>
      </c>
      <c r="BJ202">
        <f>SQRT(($R$1023-R202)^2)</f>
        <v/>
      </c>
      <c r="BK202" s="125" t="inlineStr">
        <is>
          <t>W21X111</t>
        </is>
      </c>
      <c r="BP202">
        <f>SQRT(($J$1024-J202)^2)</f>
        <v/>
      </c>
      <c r="BQ202">
        <f>SQRT(($R$1024-R202)^2)</f>
        <v/>
      </c>
      <c r="BR202" s="125" t="inlineStr">
        <is>
          <t>W21X111</t>
        </is>
      </c>
      <c r="BW202">
        <f>SQRT(($J$1025-J202)^2)</f>
        <v/>
      </c>
      <c r="BX202">
        <f>SQRT(($R$1025-R202)^2)</f>
        <v/>
      </c>
      <c r="BY202" s="125" t="inlineStr">
        <is>
          <t>W21X111</t>
        </is>
      </c>
      <c r="CD202">
        <f>SQRT(($J$1026-J202)^2)</f>
        <v/>
      </c>
      <c r="CE202">
        <f>SQRT(($R$1026-R202)^2)</f>
        <v/>
      </c>
      <c r="CF202" s="125" t="inlineStr">
        <is>
          <t>W21X111</t>
        </is>
      </c>
    </row>
    <row r="203">
      <c r="A203" s="125" t="inlineStr">
        <is>
          <t>W21X122</t>
        </is>
      </c>
      <c r="B203" s="129" t="inlineStr">
        <is>
          <t>AISC</t>
        </is>
      </c>
      <c r="C203" s="125" t="n">
        <v>181.6</v>
      </c>
      <c r="D203" s="125" t="n">
        <v>550.7</v>
      </c>
      <c r="E203" s="125" t="n">
        <v>314.7</v>
      </c>
      <c r="F203" s="125" t="n">
        <v>24.4</v>
      </c>
      <c r="G203" s="125" t="n">
        <v>15.2</v>
      </c>
      <c r="H203" s="125" t="n">
        <v>12.7</v>
      </c>
      <c r="I203" s="125" t="n">
        <v>476.5</v>
      </c>
      <c r="J203" s="125" t="n">
        <v>231</v>
      </c>
      <c r="K203" s="125">
        <f>((E203-G203)/2)/F203</f>
        <v/>
      </c>
      <c r="L203" s="125">
        <f>I203/G203</f>
        <v/>
      </c>
      <c r="M203" s="125" t="n">
        <v>2.31</v>
      </c>
      <c r="N203" s="125" t="n">
        <v>123300</v>
      </c>
      <c r="O203" s="125" t="n">
        <v>12680</v>
      </c>
      <c r="P203" s="125" t="n">
        <v>23.1</v>
      </c>
      <c r="Q203" s="125" t="n">
        <v>7.4</v>
      </c>
      <c r="R203" s="125" t="n">
        <v>4476</v>
      </c>
      <c r="S203" s="125" t="n">
        <v>806</v>
      </c>
      <c r="T203" s="125" t="n">
        <v>5032</v>
      </c>
      <c r="U203" s="125" t="n">
        <v>1238</v>
      </c>
      <c r="X203" s="129">
        <f t="array" ref="X203">_xlfn.IFS((D203/F203) &lt;= (640/SQRT($AT$32)), "Compact", L203 &lt;= ($AT$32*(0.79-(0.002*((E203-G203/2)/(2*F203))*SQRT($AT$32)))), "Non-Compact", L203 &gt; ($AT$32*(0.79-(0.002*((E203-G203/2)/(2*F203))*SQRT($AT$32)))), "Slender")</f>
        <v/>
      </c>
      <c r="Y203" s="129">
        <f t="array" ref="Y203">_xlfn.IFS(K203 &lt;= (65/SQRT($AT$32)), "Compact", K203 &lt;= (95/SQRT($AT$32)), "Non-Compact", K203 &gt; (95/SQRT($AT$32)), "Slender")</f>
        <v/>
      </c>
      <c r="Z203" s="125">
        <f>E203/F203</f>
        <v/>
      </c>
      <c r="AA203" s="125">
        <f>D203/G203</f>
        <v/>
      </c>
      <c r="AB203" s="125">
        <f t="array" ref="AB203">_xlfn.IFS(Z203 &lt;= 9, "1", Z203 &lt;= 12, "2", Z203 &lt;= 15, "3", Z203 &gt; 15, "4")</f>
        <v/>
      </c>
      <c r="AC203" s="125">
        <f t="array" ref="AC203">_xlfn.IFS(AA203 &lt;= 200, "1", L203 &lt;= 300, "2", L203 &lt;= 400, "3", L203 &gt; 400, "4")</f>
        <v/>
      </c>
      <c r="AD203" s="129">
        <f>SQRT((((VLOOKUP($AT$4,$A$4:$D$1021,4,FALSE))-D203)^2)+(((VLOOKUP($AT$4,$A$4:$E$1021,5,FALSE))-E203)^2)+(((VLOOKUP($AT$4,$A$4:$N$1021,14,FALSE))-N203)^2)+(((VLOOKUP($AT$4,$A$4:$O$1021,15,FALSE))-O203)^2))</f>
        <v/>
      </c>
      <c r="AG203" s="129">
        <f>SQRT((((VLOOKUP($AT$4,$A$4:$D$1021,4,FALSE))-D203)^2)+(((VLOOKUP($AT$4,$A$4:$E$1021,5,FALSE))-E203)^2)+(((VLOOKUP($AT$4,$A$4:$R$1021,18,FALSE))-R203)^2)+(((VLOOKUP($AT$4,$A$4:$S$1021,19,FALSE))-S203)^2))</f>
        <v/>
      </c>
      <c r="AJ203" s="125" t="inlineStr">
        <is>
          <t>W21X122</t>
        </is>
      </c>
      <c r="AK203" s="125">
        <f>SQRT(((VLOOKUP($AT$4,$A$4:$J$1021,10,FALSE))-J203)^2)</f>
        <v/>
      </c>
      <c r="AL203" s="125" t="n"/>
      <c r="AM203" s="125" t="n"/>
      <c r="AN203" s="125">
        <f>SQRT(((VLOOKUP($AT$4,$A$4:$R$1021,18,FALSE))-R203)^2)</f>
        <v/>
      </c>
      <c r="AO203" s="125" t="n"/>
      <c r="AP203" s="125" t="n"/>
      <c r="AQ203" s="125" t="inlineStr">
        <is>
          <t>W21X122</t>
        </is>
      </c>
      <c r="BB203" s="125">
        <f>SQRT(($J$1022-J203)^2)</f>
        <v/>
      </c>
      <c r="BC203" s="125">
        <f>SQRT(($R$1022-R203)^2)</f>
        <v/>
      </c>
      <c r="BD203" s="125" t="inlineStr">
        <is>
          <t>W21X122</t>
        </is>
      </c>
      <c r="BI203">
        <f>SQRT(($J$1023-J203)^2)</f>
        <v/>
      </c>
      <c r="BJ203">
        <f>SQRT(($R$1023-R203)^2)</f>
        <v/>
      </c>
      <c r="BK203" s="125" t="inlineStr">
        <is>
          <t>W21X122</t>
        </is>
      </c>
      <c r="BP203">
        <f>SQRT(($J$1024-J203)^2)</f>
        <v/>
      </c>
      <c r="BQ203">
        <f>SQRT(($R$1024-R203)^2)</f>
        <v/>
      </c>
      <c r="BR203" s="125" t="inlineStr">
        <is>
          <t>W21X122</t>
        </is>
      </c>
      <c r="BW203">
        <f>SQRT(($J$1025-J203)^2)</f>
        <v/>
      </c>
      <c r="BX203">
        <f>SQRT(($R$1025-R203)^2)</f>
        <v/>
      </c>
      <c r="BY203" s="125" t="inlineStr">
        <is>
          <t>W21X122</t>
        </is>
      </c>
      <c r="CD203">
        <f>SQRT(($J$1026-J203)^2)</f>
        <v/>
      </c>
      <c r="CE203">
        <f>SQRT(($R$1026-R203)^2)</f>
        <v/>
      </c>
      <c r="CF203" s="125" t="inlineStr">
        <is>
          <t>W21X122</t>
        </is>
      </c>
    </row>
    <row r="204">
      <c r="A204" s="125" t="inlineStr">
        <is>
          <t>W21X132</t>
        </is>
      </c>
      <c r="B204" s="129" t="inlineStr">
        <is>
          <t>AISC</t>
        </is>
      </c>
      <c r="C204" s="125" t="n">
        <v>196.4</v>
      </c>
      <c r="D204" s="125" t="n">
        <v>554.5</v>
      </c>
      <c r="E204" s="125" t="n">
        <v>316</v>
      </c>
      <c r="F204" s="125" t="n">
        <v>26.3</v>
      </c>
      <c r="G204" s="125" t="n">
        <v>16.5</v>
      </c>
      <c r="H204" s="125" t="n">
        <v>12.7</v>
      </c>
      <c r="I204" s="125" t="n">
        <v>476.5</v>
      </c>
      <c r="J204" s="125" t="n">
        <v>250</v>
      </c>
      <c r="K204" s="125">
        <f>((E204-G204)/2)/F204</f>
        <v/>
      </c>
      <c r="L204" s="125">
        <f>I204/G204</f>
        <v/>
      </c>
      <c r="M204" s="125" t="n">
        <v>2.32</v>
      </c>
      <c r="N204" s="125" t="n">
        <v>134200</v>
      </c>
      <c r="O204" s="125" t="n">
        <v>13850</v>
      </c>
      <c r="P204" s="125" t="n">
        <v>23.2</v>
      </c>
      <c r="Q204" s="125" t="n">
        <v>7.44</v>
      </c>
      <c r="R204" s="125" t="n">
        <v>4842</v>
      </c>
      <c r="S204" s="125" t="n">
        <v>876</v>
      </c>
      <c r="T204" s="125" t="n">
        <v>5462</v>
      </c>
      <c r="U204" s="125" t="n">
        <v>1348</v>
      </c>
      <c r="X204" s="129">
        <f t="array" ref="X204">_xlfn.IFS((D204/F204) &lt;= (640/SQRT($AT$32)), "Compact", L204 &lt;= ($AT$32*(0.79-(0.002*((E204-G204/2)/(2*F204))*SQRT($AT$32)))), "Non-Compact", L204 &gt; ($AT$32*(0.79-(0.002*((E204-G204/2)/(2*F204))*SQRT($AT$32)))), "Slender")</f>
        <v/>
      </c>
      <c r="Y204" s="129">
        <f t="array" ref="Y204">_xlfn.IFS(K204 &lt;= (65/SQRT($AT$32)), "Compact", K204 &lt;= (95/SQRT($AT$32)), "Non-Compact", K204 &gt; (95/SQRT($AT$32)), "Slender")</f>
        <v/>
      </c>
      <c r="Z204" s="125">
        <f>E204/F204</f>
        <v/>
      </c>
      <c r="AA204" s="125">
        <f>D204/G204</f>
        <v/>
      </c>
      <c r="AB204" s="125">
        <f t="array" ref="AB204">_xlfn.IFS(Z204 &lt;= 9, "1", Z204 &lt;= 12, "2", Z204 &lt;= 15, "3", Z204 &gt; 15, "4")</f>
        <v/>
      </c>
      <c r="AC204" s="125">
        <f t="array" ref="AC204">_xlfn.IFS(AA204 &lt;= 200, "1", L204 &lt;= 300, "2", L204 &lt;= 400, "3", L204 &gt; 400, "4")</f>
        <v/>
      </c>
      <c r="AD204" s="129">
        <f>SQRT((((VLOOKUP($AT$4,$A$4:$D$1021,4,FALSE))-D204)^2)+(((VLOOKUP($AT$4,$A$4:$E$1021,5,FALSE))-E204)^2)+(((VLOOKUP($AT$4,$A$4:$N$1021,14,FALSE))-N204)^2)+(((VLOOKUP($AT$4,$A$4:$O$1021,15,FALSE))-O204)^2))</f>
        <v/>
      </c>
      <c r="AG204" s="129">
        <f>SQRT((((VLOOKUP($AT$4,$A$4:$D$1021,4,FALSE))-D204)^2)+(((VLOOKUP($AT$4,$A$4:$E$1021,5,FALSE))-E204)^2)+(((VLOOKUP($AT$4,$A$4:$R$1021,18,FALSE))-R204)^2)+(((VLOOKUP($AT$4,$A$4:$S$1021,19,FALSE))-S204)^2))</f>
        <v/>
      </c>
      <c r="AJ204" s="125" t="inlineStr">
        <is>
          <t>W21X132</t>
        </is>
      </c>
      <c r="AK204" s="125">
        <f>SQRT(((VLOOKUP($AT$4,$A$4:$J$1021,10,FALSE))-J204)^2)</f>
        <v/>
      </c>
      <c r="AL204" s="125" t="n"/>
      <c r="AM204" s="125" t="n"/>
      <c r="AN204" s="125">
        <f>SQRT(((VLOOKUP($AT$4,$A$4:$R$1021,18,FALSE))-R204)^2)</f>
        <v/>
      </c>
      <c r="AO204" s="125" t="n"/>
      <c r="AP204" s="125" t="n"/>
      <c r="AQ204" s="125" t="inlineStr">
        <is>
          <t>W21X132</t>
        </is>
      </c>
      <c r="BB204" s="125">
        <f>SQRT(($J$1022-J204)^2)</f>
        <v/>
      </c>
      <c r="BC204" s="125">
        <f>SQRT(($R$1022-R204)^2)</f>
        <v/>
      </c>
      <c r="BD204" s="125" t="inlineStr">
        <is>
          <t>W21X132</t>
        </is>
      </c>
      <c r="BI204">
        <f>SQRT(($J$1023-J204)^2)</f>
        <v/>
      </c>
      <c r="BJ204">
        <f>SQRT(($R$1023-R204)^2)</f>
        <v/>
      </c>
      <c r="BK204" s="125" t="inlineStr">
        <is>
          <t>W21X132</t>
        </is>
      </c>
      <c r="BP204">
        <f>SQRT(($J$1024-J204)^2)</f>
        <v/>
      </c>
      <c r="BQ204">
        <f>SQRT(($R$1024-R204)^2)</f>
        <v/>
      </c>
      <c r="BR204" s="125" t="inlineStr">
        <is>
          <t>W21X132</t>
        </is>
      </c>
      <c r="BW204">
        <f>SQRT(($J$1025-J204)^2)</f>
        <v/>
      </c>
      <c r="BX204">
        <f>SQRT(($R$1025-R204)^2)</f>
        <v/>
      </c>
      <c r="BY204" s="125" t="inlineStr">
        <is>
          <t>W21X132</t>
        </is>
      </c>
      <c r="CD204">
        <f>SQRT(($J$1026-J204)^2)</f>
        <v/>
      </c>
      <c r="CE204">
        <f>SQRT(($R$1026-R204)^2)</f>
        <v/>
      </c>
      <c r="CF204" s="125" t="inlineStr">
        <is>
          <t>W21X132</t>
        </is>
      </c>
    </row>
    <row r="205">
      <c r="A205" s="125" t="inlineStr">
        <is>
          <t>W21X147</t>
        </is>
      </c>
      <c r="B205" s="129" t="inlineStr">
        <is>
          <t>AISC</t>
        </is>
      </c>
      <c r="C205" s="125" t="n">
        <v>218.8</v>
      </c>
      <c r="D205" s="125" t="n">
        <v>560.3</v>
      </c>
      <c r="E205" s="125" t="n">
        <v>317.8</v>
      </c>
      <c r="F205" s="125" t="n">
        <v>29.2</v>
      </c>
      <c r="G205" s="125" t="n">
        <v>18.3</v>
      </c>
      <c r="H205" s="125" t="n">
        <v>12.7</v>
      </c>
      <c r="I205" s="125" t="n">
        <v>476.5</v>
      </c>
      <c r="J205" s="125" t="n">
        <v>279</v>
      </c>
      <c r="K205" s="125">
        <f>((E205-G205)/2)/F205</f>
        <v/>
      </c>
      <c r="L205" s="125">
        <f>I205/G205</f>
        <v/>
      </c>
      <c r="M205" s="125" t="n">
        <v>2.33</v>
      </c>
      <c r="N205" s="125" t="n">
        <v>151200</v>
      </c>
      <c r="O205" s="125" t="n">
        <v>15650</v>
      </c>
      <c r="P205" s="125" t="n">
        <v>23.3</v>
      </c>
      <c r="Q205" s="125" t="n">
        <v>7.49</v>
      </c>
      <c r="R205" s="125" t="n">
        <v>5396</v>
      </c>
      <c r="S205" s="125" t="n">
        <v>985</v>
      </c>
      <c r="T205" s="125" t="n">
        <v>6116</v>
      </c>
      <c r="U205" s="125" t="n">
        <v>1519</v>
      </c>
      <c r="X205" s="129">
        <f t="array" ref="X205">_xlfn.IFS((D205/F205) &lt;= (640/SQRT($AT$32)), "Compact", L205 &lt;= ($AT$32*(0.79-(0.002*((E205-G205/2)/(2*F205))*SQRT($AT$32)))), "Non-Compact", L205 &gt; ($AT$32*(0.79-(0.002*((E205-G205/2)/(2*F205))*SQRT($AT$32)))), "Slender")</f>
        <v/>
      </c>
      <c r="Y205" s="129">
        <f t="array" ref="Y205">_xlfn.IFS(K205 &lt;= (65/SQRT($AT$32)), "Compact", K205 &lt;= (95/SQRT($AT$32)), "Non-Compact", K205 &gt; (95/SQRT($AT$32)), "Slender")</f>
        <v/>
      </c>
      <c r="Z205" s="125">
        <f>E205/F205</f>
        <v/>
      </c>
      <c r="AA205" s="125">
        <f>D205/G205</f>
        <v/>
      </c>
      <c r="AB205" s="125">
        <f t="array" ref="AB205">_xlfn.IFS(Z205 &lt;= 9, "1", Z205 &lt;= 12, "2", Z205 &lt;= 15, "3", Z205 &gt; 15, "4")</f>
        <v/>
      </c>
      <c r="AC205" s="125">
        <f t="array" ref="AC205">_xlfn.IFS(AA205 &lt;= 200, "1", L205 &lt;= 300, "2", L205 &lt;= 400, "3", L205 &gt; 400, "4")</f>
        <v/>
      </c>
      <c r="AD205" s="129">
        <f>SQRT((((VLOOKUP($AT$4,$A$4:$D$1021,4,FALSE))-D205)^2)+(((VLOOKUP($AT$4,$A$4:$E$1021,5,FALSE))-E205)^2)+(((VLOOKUP($AT$4,$A$4:$N$1021,14,FALSE))-N205)^2)+(((VLOOKUP($AT$4,$A$4:$O$1021,15,FALSE))-O205)^2))</f>
        <v/>
      </c>
      <c r="AG205" s="129">
        <f>SQRT((((VLOOKUP($AT$4,$A$4:$D$1021,4,FALSE))-D205)^2)+(((VLOOKUP($AT$4,$A$4:$E$1021,5,FALSE))-E205)^2)+(((VLOOKUP($AT$4,$A$4:$R$1021,18,FALSE))-R205)^2)+(((VLOOKUP($AT$4,$A$4:$S$1021,19,FALSE))-S205)^2))</f>
        <v/>
      </c>
      <c r="AJ205" s="125" t="inlineStr">
        <is>
          <t>W21X147</t>
        </is>
      </c>
      <c r="AK205" s="125">
        <f>SQRT(((VLOOKUP($AT$4,$A$4:$J$1021,10,FALSE))-J205)^2)</f>
        <v/>
      </c>
      <c r="AL205" s="125" t="n"/>
      <c r="AM205" s="125" t="n"/>
      <c r="AN205" s="125">
        <f>SQRT(((VLOOKUP($AT$4,$A$4:$R$1021,18,FALSE))-R205)^2)</f>
        <v/>
      </c>
      <c r="AO205" s="125" t="n"/>
      <c r="AP205" s="125" t="n"/>
      <c r="AQ205" s="125" t="inlineStr">
        <is>
          <t>W21X147</t>
        </is>
      </c>
      <c r="BB205" s="125">
        <f>SQRT(($J$1022-J205)^2)</f>
        <v/>
      </c>
      <c r="BC205" s="125">
        <f>SQRT(($R$1022-R205)^2)</f>
        <v/>
      </c>
      <c r="BD205" s="125" t="inlineStr">
        <is>
          <t>W21X147</t>
        </is>
      </c>
      <c r="BI205">
        <f>SQRT(($J$1023-J205)^2)</f>
        <v/>
      </c>
      <c r="BJ205">
        <f>SQRT(($R$1023-R205)^2)</f>
        <v/>
      </c>
      <c r="BK205" s="125" t="inlineStr">
        <is>
          <t>W21X147</t>
        </is>
      </c>
      <c r="BP205">
        <f>SQRT(($J$1024-J205)^2)</f>
        <v/>
      </c>
      <c r="BQ205">
        <f>SQRT(($R$1024-R205)^2)</f>
        <v/>
      </c>
      <c r="BR205" s="125" t="inlineStr">
        <is>
          <t>W21X147</t>
        </is>
      </c>
      <c r="BW205">
        <f>SQRT(($J$1025-J205)^2)</f>
        <v/>
      </c>
      <c r="BX205">
        <f>SQRT(($R$1025-R205)^2)</f>
        <v/>
      </c>
      <c r="BY205" s="125" t="inlineStr">
        <is>
          <t>W21X147</t>
        </is>
      </c>
      <c r="CD205">
        <f>SQRT(($J$1026-J205)^2)</f>
        <v/>
      </c>
      <c r="CE205">
        <f>SQRT(($R$1026-R205)^2)</f>
        <v/>
      </c>
      <c r="CF205" s="125" t="inlineStr">
        <is>
          <t>W21X147</t>
        </is>
      </c>
    </row>
    <row r="206">
      <c r="A206" s="125" t="inlineStr">
        <is>
          <t>W21X166</t>
        </is>
      </c>
      <c r="B206" s="129" t="inlineStr">
        <is>
          <t>AISC</t>
        </is>
      </c>
      <c r="C206" s="125" t="n">
        <v>247</v>
      </c>
      <c r="D206" s="125" t="n">
        <v>571</v>
      </c>
      <c r="E206" s="125" t="n">
        <v>315.5</v>
      </c>
      <c r="F206" s="125" t="n">
        <v>34.5</v>
      </c>
      <c r="G206" s="125" t="n">
        <v>19.1</v>
      </c>
      <c r="H206" s="125" t="n">
        <v>12.7</v>
      </c>
      <c r="I206" s="125" t="n">
        <v>476.5</v>
      </c>
      <c r="J206" s="125" t="n">
        <v>315</v>
      </c>
      <c r="K206" s="125">
        <f>((E206-G206)/2)/F206</f>
        <v/>
      </c>
      <c r="L206" s="125">
        <f>I206/G206</f>
        <v/>
      </c>
      <c r="M206" s="125" t="n">
        <v>2.34</v>
      </c>
      <c r="N206" s="125" t="n">
        <v>178000</v>
      </c>
      <c r="O206" s="125" t="n">
        <v>18110</v>
      </c>
      <c r="P206" s="125" t="n">
        <v>23.8</v>
      </c>
      <c r="Q206" s="125" t="n">
        <v>7.58</v>
      </c>
      <c r="R206" s="125" t="n">
        <v>6233</v>
      </c>
      <c r="S206" s="125" t="n">
        <v>1148</v>
      </c>
      <c r="T206" s="125" t="n">
        <v>7080</v>
      </c>
      <c r="U206" s="125" t="n">
        <v>1766</v>
      </c>
      <c r="X206" s="129">
        <f t="array" ref="X206">_xlfn.IFS((D206/F206) &lt;= (640/SQRT($AT$32)), "Compact", L206 &lt;= ($AT$32*(0.79-(0.002*((E206-G206/2)/(2*F206))*SQRT($AT$32)))), "Non-Compact", L206 &gt; ($AT$32*(0.79-(0.002*((E206-G206/2)/(2*F206))*SQRT($AT$32)))), "Slender")</f>
        <v/>
      </c>
      <c r="Y206" s="129">
        <f t="array" ref="Y206">_xlfn.IFS(K206 &lt;= (65/SQRT($AT$32)), "Compact", K206 &lt;= (95/SQRT($AT$32)), "Non-Compact", K206 &gt; (95/SQRT($AT$32)), "Slender")</f>
        <v/>
      </c>
      <c r="Z206" s="125">
        <f>E206/F206</f>
        <v/>
      </c>
      <c r="AA206" s="125">
        <f>D206/G206</f>
        <v/>
      </c>
      <c r="AB206" s="125">
        <f t="array" ref="AB206">_xlfn.IFS(Z206 &lt;= 9, "1", Z206 &lt;= 12, "2", Z206 &lt;= 15, "3", Z206 &gt; 15, "4")</f>
        <v/>
      </c>
      <c r="AC206" s="125">
        <f t="array" ref="AC206">_xlfn.IFS(AA206 &lt;= 200, "1", L206 &lt;= 300, "2", L206 &lt;= 400, "3", L206 &gt; 400, "4")</f>
        <v/>
      </c>
      <c r="AD206" s="129">
        <f>SQRT((((VLOOKUP($AT$4,$A$4:$D$1021,4,FALSE))-D206)^2)+(((VLOOKUP($AT$4,$A$4:$E$1021,5,FALSE))-E206)^2)+(((VLOOKUP($AT$4,$A$4:$N$1021,14,FALSE))-N206)^2)+(((VLOOKUP($AT$4,$A$4:$O$1021,15,FALSE))-O206)^2))</f>
        <v/>
      </c>
      <c r="AG206" s="129">
        <f>SQRT((((VLOOKUP($AT$4,$A$4:$D$1021,4,FALSE))-D206)^2)+(((VLOOKUP($AT$4,$A$4:$E$1021,5,FALSE))-E206)^2)+(((VLOOKUP($AT$4,$A$4:$R$1021,18,FALSE))-R206)^2)+(((VLOOKUP($AT$4,$A$4:$S$1021,19,FALSE))-S206)^2))</f>
        <v/>
      </c>
      <c r="AJ206" s="125" t="inlineStr">
        <is>
          <t>W21X166</t>
        </is>
      </c>
      <c r="AK206" s="125">
        <f>SQRT(((VLOOKUP($AT$4,$A$4:$J$1021,10,FALSE))-J206)^2)</f>
        <v/>
      </c>
      <c r="AL206" s="125" t="n"/>
      <c r="AM206" s="125" t="n"/>
      <c r="AN206" s="125">
        <f>SQRT(((VLOOKUP($AT$4,$A$4:$R$1021,18,FALSE))-R206)^2)</f>
        <v/>
      </c>
      <c r="AO206" s="125" t="n"/>
      <c r="AP206" s="125" t="n"/>
      <c r="AQ206" s="125" t="inlineStr">
        <is>
          <t>W21X166</t>
        </is>
      </c>
      <c r="BB206" s="125">
        <f>SQRT(($J$1022-J206)^2)</f>
        <v/>
      </c>
      <c r="BC206" s="125">
        <f>SQRT(($R$1022-R206)^2)</f>
        <v/>
      </c>
      <c r="BD206" s="125" t="inlineStr">
        <is>
          <t>W21X166</t>
        </is>
      </c>
      <c r="BI206">
        <f>SQRT(($J$1023-J206)^2)</f>
        <v/>
      </c>
      <c r="BJ206">
        <f>SQRT(($R$1023-R206)^2)</f>
        <v/>
      </c>
      <c r="BK206" s="125" t="inlineStr">
        <is>
          <t>W21X166</t>
        </is>
      </c>
      <c r="BP206">
        <f>SQRT(($J$1024-J206)^2)</f>
        <v/>
      </c>
      <c r="BQ206">
        <f>SQRT(($R$1024-R206)^2)</f>
        <v/>
      </c>
      <c r="BR206" s="125" t="inlineStr">
        <is>
          <t>W21X166</t>
        </is>
      </c>
      <c r="BW206">
        <f>SQRT(($J$1025-J206)^2)</f>
        <v/>
      </c>
      <c r="BX206">
        <f>SQRT(($R$1025-R206)^2)</f>
        <v/>
      </c>
      <c r="BY206" s="125" t="inlineStr">
        <is>
          <t>W21X166</t>
        </is>
      </c>
      <c r="CD206">
        <f>SQRT(($J$1026-J206)^2)</f>
        <v/>
      </c>
      <c r="CE206">
        <f>SQRT(($R$1026-R206)^2)</f>
        <v/>
      </c>
      <c r="CF206" s="125" t="inlineStr">
        <is>
          <t>W21X166</t>
        </is>
      </c>
    </row>
    <row r="207">
      <c r="A207" s="125" t="inlineStr">
        <is>
          <t>W21X182</t>
        </is>
      </c>
      <c r="B207" s="129" t="inlineStr">
        <is>
          <t>AISC</t>
        </is>
      </c>
      <c r="C207" s="125" t="n">
        <v>270.8</v>
      </c>
      <c r="D207" s="125" t="n">
        <v>577.1</v>
      </c>
      <c r="E207" s="125" t="n">
        <v>317.8</v>
      </c>
      <c r="F207" s="125" t="n">
        <v>37.6</v>
      </c>
      <c r="G207" s="125" t="n">
        <v>21.1</v>
      </c>
      <c r="H207" s="125" t="n">
        <v>12.7</v>
      </c>
      <c r="I207" s="125" t="n">
        <v>476.5</v>
      </c>
      <c r="J207" s="125" t="n">
        <v>346</v>
      </c>
      <c r="K207" s="125">
        <f>((E207-G207)/2)/F207</f>
        <v/>
      </c>
      <c r="L207" s="125">
        <f>I207/G207</f>
        <v/>
      </c>
      <c r="M207" s="125" t="n">
        <v>2.36</v>
      </c>
      <c r="N207" s="125" t="n">
        <v>197200</v>
      </c>
      <c r="O207" s="125" t="n">
        <v>20150</v>
      </c>
      <c r="P207" s="125" t="n">
        <v>23.9</v>
      </c>
      <c r="Q207" s="125" t="n">
        <v>7.63</v>
      </c>
      <c r="R207" s="125" t="n">
        <v>6834</v>
      </c>
      <c r="S207" s="125" t="n">
        <v>1268</v>
      </c>
      <c r="T207" s="125" t="n">
        <v>7807</v>
      </c>
      <c r="U207" s="125" t="n">
        <v>1956</v>
      </c>
      <c r="X207" s="129">
        <f t="array" ref="X207">_xlfn.IFS((D207/F207) &lt;= (640/SQRT($AT$32)), "Compact", L207 &lt;= ($AT$32*(0.79-(0.002*((E207-G207/2)/(2*F207))*SQRT($AT$32)))), "Non-Compact", L207 &gt; ($AT$32*(0.79-(0.002*((E207-G207/2)/(2*F207))*SQRT($AT$32)))), "Slender")</f>
        <v/>
      </c>
      <c r="Y207" s="129">
        <f t="array" ref="Y207">_xlfn.IFS(K207 &lt;= (65/SQRT($AT$32)), "Compact", K207 &lt;= (95/SQRT($AT$32)), "Non-Compact", K207 &gt; (95/SQRT($AT$32)), "Slender")</f>
        <v/>
      </c>
      <c r="Z207" s="125">
        <f>E207/F207</f>
        <v/>
      </c>
      <c r="AA207" s="125">
        <f>D207/G207</f>
        <v/>
      </c>
      <c r="AB207" s="125">
        <f t="array" ref="AB207">_xlfn.IFS(Z207 &lt;= 9, "1", Z207 &lt;= 12, "2", Z207 &lt;= 15, "3", Z207 &gt; 15, "4")</f>
        <v/>
      </c>
      <c r="AC207" s="125">
        <f t="array" ref="AC207">_xlfn.IFS(AA207 &lt;= 200, "1", L207 &lt;= 300, "2", L207 &lt;= 400, "3", L207 &gt; 400, "4")</f>
        <v/>
      </c>
      <c r="AD207" s="129">
        <f>SQRT((((VLOOKUP($AT$4,$A$4:$D$1021,4,FALSE))-D207)^2)+(((VLOOKUP($AT$4,$A$4:$E$1021,5,FALSE))-E207)^2)+(((VLOOKUP($AT$4,$A$4:$N$1021,14,FALSE))-N207)^2)+(((VLOOKUP($AT$4,$A$4:$O$1021,15,FALSE))-O207)^2))</f>
        <v/>
      </c>
      <c r="AG207" s="129">
        <f>SQRT((((VLOOKUP($AT$4,$A$4:$D$1021,4,FALSE))-D207)^2)+(((VLOOKUP($AT$4,$A$4:$E$1021,5,FALSE))-E207)^2)+(((VLOOKUP($AT$4,$A$4:$R$1021,18,FALSE))-R207)^2)+(((VLOOKUP($AT$4,$A$4:$S$1021,19,FALSE))-S207)^2))</f>
        <v/>
      </c>
      <c r="AJ207" s="125" t="inlineStr">
        <is>
          <t>W21X182</t>
        </is>
      </c>
      <c r="AK207" s="125">
        <f>SQRT(((VLOOKUP($AT$4,$A$4:$J$1021,10,FALSE))-J207)^2)</f>
        <v/>
      </c>
      <c r="AL207" s="125" t="n"/>
      <c r="AM207" s="125" t="n"/>
      <c r="AN207" s="125">
        <f>SQRT(((VLOOKUP($AT$4,$A$4:$R$1021,18,FALSE))-R207)^2)</f>
        <v/>
      </c>
      <c r="AO207" s="125" t="n"/>
      <c r="AP207" s="125" t="n"/>
      <c r="AQ207" s="125" t="inlineStr">
        <is>
          <t>W21X182</t>
        </is>
      </c>
      <c r="BB207" s="125">
        <f>SQRT(($J$1022-J207)^2)</f>
        <v/>
      </c>
      <c r="BC207" s="125">
        <f>SQRT(($R$1022-R207)^2)</f>
        <v/>
      </c>
      <c r="BD207" s="125" t="inlineStr">
        <is>
          <t>W21X182</t>
        </is>
      </c>
      <c r="BI207">
        <f>SQRT(($J$1023-J207)^2)</f>
        <v/>
      </c>
      <c r="BJ207">
        <f>SQRT(($R$1023-R207)^2)</f>
        <v/>
      </c>
      <c r="BK207" s="125" t="inlineStr">
        <is>
          <t>W21X182</t>
        </is>
      </c>
      <c r="BP207">
        <f>SQRT(($J$1024-J207)^2)</f>
        <v/>
      </c>
      <c r="BQ207">
        <f>SQRT(($R$1024-R207)^2)</f>
        <v/>
      </c>
      <c r="BR207" s="125" t="inlineStr">
        <is>
          <t>W21X182</t>
        </is>
      </c>
      <c r="BW207">
        <f>SQRT(($J$1025-J207)^2)</f>
        <v/>
      </c>
      <c r="BX207">
        <f>SQRT(($R$1025-R207)^2)</f>
        <v/>
      </c>
      <c r="BY207" s="125" t="inlineStr">
        <is>
          <t>W21X182</t>
        </is>
      </c>
      <c r="CD207">
        <f>SQRT(($J$1026-J207)^2)</f>
        <v/>
      </c>
      <c r="CE207">
        <f>SQRT(($R$1026-R207)^2)</f>
        <v/>
      </c>
      <c r="CF207" s="125" t="inlineStr">
        <is>
          <t>W21X182</t>
        </is>
      </c>
    </row>
    <row r="208">
      <c r="A208" s="125" t="inlineStr">
        <is>
          <t>W21X201</t>
        </is>
      </c>
      <c r="B208" s="129" t="inlineStr">
        <is>
          <t>AISC</t>
        </is>
      </c>
      <c r="C208" s="125" t="n">
        <v>300</v>
      </c>
      <c r="D208" s="125" t="n">
        <v>585</v>
      </c>
      <c r="E208" s="125" t="n">
        <v>319</v>
      </c>
      <c r="F208" s="125" t="n">
        <v>41.4</v>
      </c>
      <c r="G208" s="125" t="n">
        <v>23.1</v>
      </c>
      <c r="H208" s="125" t="n">
        <v>12.7</v>
      </c>
      <c r="I208" s="125" t="n">
        <v>476.8</v>
      </c>
      <c r="J208" s="125" t="n">
        <v>382</v>
      </c>
      <c r="K208" s="125">
        <f>((E208-G208)/2)/F208</f>
        <v/>
      </c>
      <c r="L208" s="125">
        <f>I208/G208</f>
        <v/>
      </c>
      <c r="M208" s="125" t="n">
        <v>2.38</v>
      </c>
      <c r="N208" s="125" t="n">
        <v>220700</v>
      </c>
      <c r="O208" s="125" t="n">
        <v>22450</v>
      </c>
      <c r="P208" s="125" t="n">
        <v>24.1</v>
      </c>
      <c r="Q208" s="125" t="n">
        <v>7.67</v>
      </c>
      <c r="R208" s="125" t="n">
        <v>7547</v>
      </c>
      <c r="S208" s="125" t="n">
        <v>1408</v>
      </c>
      <c r="T208" s="125" t="n">
        <v>8670</v>
      </c>
      <c r="U208" s="125" t="n">
        <v>2175</v>
      </c>
      <c r="X208" s="129">
        <f t="array" ref="X208">_xlfn.IFS((D208/F208) &lt;= (640/SQRT($AT$32)), "Compact", L208 &lt;= ($AT$32*(0.79-(0.002*((E208-G208/2)/(2*F208))*SQRT($AT$32)))), "Non-Compact", L208 &gt; ($AT$32*(0.79-(0.002*((E208-G208/2)/(2*F208))*SQRT($AT$32)))), "Slender")</f>
        <v/>
      </c>
      <c r="Y208" s="129">
        <f t="array" ref="Y208">_xlfn.IFS(K208 &lt;= (65/SQRT($AT$32)), "Compact", K208 &lt;= (95/SQRT($AT$32)), "Non-Compact", K208 &gt; (95/SQRT($AT$32)), "Slender")</f>
        <v/>
      </c>
      <c r="Z208" s="125">
        <f>E208/F208</f>
        <v/>
      </c>
      <c r="AA208" s="125">
        <f>D208/G208</f>
        <v/>
      </c>
      <c r="AB208" s="125">
        <f t="array" ref="AB208">_xlfn.IFS(Z208 &lt;= 9, "1", Z208 &lt;= 12, "2", Z208 &lt;= 15, "3", Z208 &gt; 15, "4")</f>
        <v/>
      </c>
      <c r="AC208" s="125">
        <f t="array" ref="AC208">_xlfn.IFS(AA208 &lt;= 200, "1", L208 &lt;= 300, "2", L208 &lt;= 400, "3", L208 &gt; 400, "4")</f>
        <v/>
      </c>
      <c r="AD208" s="129">
        <f>SQRT((((VLOOKUP($AT$4,$A$4:$D$1021,4,FALSE))-D208)^2)+(((VLOOKUP($AT$4,$A$4:$E$1021,5,FALSE))-E208)^2)+(((VLOOKUP($AT$4,$A$4:$N$1021,14,FALSE))-N208)^2)+(((VLOOKUP($AT$4,$A$4:$O$1021,15,FALSE))-O208)^2))</f>
        <v/>
      </c>
      <c r="AG208" s="129">
        <f>SQRT((((VLOOKUP($AT$4,$A$4:$D$1021,4,FALSE))-D208)^2)+(((VLOOKUP($AT$4,$A$4:$E$1021,5,FALSE))-E208)^2)+(((VLOOKUP($AT$4,$A$4:$R$1021,18,FALSE))-R208)^2)+(((VLOOKUP($AT$4,$A$4:$S$1021,19,FALSE))-S208)^2))</f>
        <v/>
      </c>
      <c r="AJ208" s="125" t="inlineStr">
        <is>
          <t>W21X201</t>
        </is>
      </c>
      <c r="AK208" s="125">
        <f>SQRT(((VLOOKUP($AT$4,$A$4:$J$1021,10,FALSE))-J208)^2)</f>
        <v/>
      </c>
      <c r="AL208" s="125" t="n"/>
      <c r="AM208" s="125" t="n"/>
      <c r="AN208" s="125">
        <f>SQRT(((VLOOKUP($AT$4,$A$4:$R$1021,18,FALSE))-R208)^2)</f>
        <v/>
      </c>
      <c r="AO208" s="125" t="n"/>
      <c r="AP208" s="125" t="n"/>
      <c r="AQ208" s="125" t="inlineStr">
        <is>
          <t>W21X201</t>
        </is>
      </c>
      <c r="BB208" s="125">
        <f>SQRT(($J$1022-J208)^2)</f>
        <v/>
      </c>
      <c r="BC208" s="125">
        <f>SQRT(($R$1022-R208)^2)</f>
        <v/>
      </c>
      <c r="BD208" s="125" t="inlineStr">
        <is>
          <t>W21X201</t>
        </is>
      </c>
      <c r="BI208">
        <f>SQRT(($J$1023-J208)^2)</f>
        <v/>
      </c>
      <c r="BJ208">
        <f>SQRT(($R$1023-R208)^2)</f>
        <v/>
      </c>
      <c r="BK208" s="125" t="inlineStr">
        <is>
          <t>W21X201</t>
        </is>
      </c>
      <c r="BP208">
        <f>SQRT(($J$1024-J208)^2)</f>
        <v/>
      </c>
      <c r="BQ208">
        <f>SQRT(($R$1024-R208)^2)</f>
        <v/>
      </c>
      <c r="BR208" s="125" t="inlineStr">
        <is>
          <t>W21X201</t>
        </is>
      </c>
      <c r="BW208">
        <f>SQRT(($J$1025-J208)^2)</f>
        <v/>
      </c>
      <c r="BX208">
        <f>SQRT(($R$1025-R208)^2)</f>
        <v/>
      </c>
      <c r="BY208" s="125" t="inlineStr">
        <is>
          <t>W21X201</t>
        </is>
      </c>
      <c r="CD208">
        <f>SQRT(($J$1026-J208)^2)</f>
        <v/>
      </c>
      <c r="CE208">
        <f>SQRT(($R$1026-R208)^2)</f>
        <v/>
      </c>
      <c r="CF208" s="125" t="inlineStr">
        <is>
          <t>W21X201</t>
        </is>
      </c>
    </row>
    <row r="209">
      <c r="A209" s="125" t="inlineStr">
        <is>
          <t>W21X223</t>
        </is>
      </c>
      <c r="B209" s="129" t="inlineStr">
        <is>
          <t>AISC</t>
        </is>
      </c>
      <c r="C209" s="125" t="n">
        <v>331</v>
      </c>
      <c r="D209" s="125" t="n">
        <v>593</v>
      </c>
      <c r="E209" s="125" t="n">
        <v>322</v>
      </c>
      <c r="F209" s="125" t="n">
        <v>45.5</v>
      </c>
      <c r="G209" s="125" t="n">
        <v>25.4</v>
      </c>
      <c r="H209" s="125" t="n">
        <v>12.7</v>
      </c>
      <c r="I209" s="125" t="n">
        <v>476.6</v>
      </c>
      <c r="J209" s="125" t="n">
        <v>422</v>
      </c>
      <c r="K209" s="125">
        <f>((E209-G209)/2)/F209</f>
        <v/>
      </c>
      <c r="L209" s="125">
        <f>I209/G209</f>
        <v/>
      </c>
      <c r="M209" s="125" t="n">
        <v>2.4</v>
      </c>
      <c r="N209" s="125" t="n">
        <v>247700</v>
      </c>
      <c r="O209" s="125" t="n">
        <v>25390</v>
      </c>
      <c r="P209" s="125" t="n">
        <v>24.2</v>
      </c>
      <c r="Q209" s="125" t="n">
        <v>7.76</v>
      </c>
      <c r="R209" s="125" t="n">
        <v>8355</v>
      </c>
      <c r="S209" s="125" t="n">
        <v>1577</v>
      </c>
      <c r="T209" s="125" t="n">
        <v>9656</v>
      </c>
      <c r="U209" s="125" t="n">
        <v>2442</v>
      </c>
      <c r="X209" s="129">
        <f t="array" ref="X209">_xlfn.IFS((D209/F209) &lt;= (640/SQRT($AT$32)), "Compact", L209 &lt;= ($AT$32*(0.79-(0.002*((E209-G209/2)/(2*F209))*SQRT($AT$32)))), "Non-Compact", L209 &gt; ($AT$32*(0.79-(0.002*((E209-G209/2)/(2*F209))*SQRT($AT$32)))), "Slender")</f>
        <v/>
      </c>
      <c r="Y209" s="129">
        <f t="array" ref="Y209">_xlfn.IFS(K209 &lt;= (65/SQRT($AT$32)), "Compact", K209 &lt;= (95/SQRT($AT$32)), "Non-Compact", K209 &gt; (95/SQRT($AT$32)), "Slender")</f>
        <v/>
      </c>
      <c r="Z209" s="125">
        <f>E209/F209</f>
        <v/>
      </c>
      <c r="AA209" s="125">
        <f>D209/G209</f>
        <v/>
      </c>
      <c r="AB209" s="125">
        <f t="array" ref="AB209">_xlfn.IFS(Z209 &lt;= 9, "1", Z209 &lt;= 12, "2", Z209 &lt;= 15, "3", Z209 &gt; 15, "4")</f>
        <v/>
      </c>
      <c r="AC209" s="125">
        <f t="array" ref="AC209">_xlfn.IFS(AA209 &lt;= 200, "1", L209 &lt;= 300, "2", L209 &lt;= 400, "3", L209 &gt; 400, "4")</f>
        <v/>
      </c>
      <c r="AD209" s="129">
        <f>SQRT((((VLOOKUP($AT$4,$A$4:$D$1021,4,FALSE))-D209)^2)+(((VLOOKUP($AT$4,$A$4:$E$1021,5,FALSE))-E209)^2)+(((VLOOKUP($AT$4,$A$4:$N$1021,14,FALSE))-N209)^2)+(((VLOOKUP($AT$4,$A$4:$O$1021,15,FALSE))-O209)^2))</f>
        <v/>
      </c>
      <c r="AG209" s="129">
        <f>SQRT((((VLOOKUP($AT$4,$A$4:$D$1021,4,FALSE))-D209)^2)+(((VLOOKUP($AT$4,$A$4:$E$1021,5,FALSE))-E209)^2)+(((VLOOKUP($AT$4,$A$4:$R$1021,18,FALSE))-R209)^2)+(((VLOOKUP($AT$4,$A$4:$S$1021,19,FALSE))-S209)^2))</f>
        <v/>
      </c>
      <c r="AJ209" s="125" t="inlineStr">
        <is>
          <t>W21X223</t>
        </is>
      </c>
      <c r="AK209" s="125">
        <f>SQRT(((VLOOKUP($AT$4,$A$4:$J$1021,10,FALSE))-J209)^2)</f>
        <v/>
      </c>
      <c r="AL209" s="125" t="n"/>
      <c r="AM209" s="125" t="n"/>
      <c r="AN209" s="125">
        <f>SQRT(((VLOOKUP($AT$4,$A$4:$R$1021,18,FALSE))-R209)^2)</f>
        <v/>
      </c>
      <c r="AO209" s="125" t="n"/>
      <c r="AP209" s="125" t="n"/>
      <c r="AQ209" s="125" t="inlineStr">
        <is>
          <t>W21X223</t>
        </is>
      </c>
      <c r="BB209" s="125">
        <f>SQRT(($J$1022-J209)^2)</f>
        <v/>
      </c>
      <c r="BC209" s="125">
        <f>SQRT(($R$1022-R209)^2)</f>
        <v/>
      </c>
      <c r="BD209" s="125" t="inlineStr">
        <is>
          <t>W21X223</t>
        </is>
      </c>
      <c r="BI209">
        <f>SQRT(($J$1023-J209)^2)</f>
        <v/>
      </c>
      <c r="BJ209">
        <f>SQRT(($R$1023-R209)^2)</f>
        <v/>
      </c>
      <c r="BK209" s="125" t="inlineStr">
        <is>
          <t>W21X223</t>
        </is>
      </c>
      <c r="BP209">
        <f>SQRT(($J$1024-J209)^2)</f>
        <v/>
      </c>
      <c r="BQ209">
        <f>SQRT(($R$1024-R209)^2)</f>
        <v/>
      </c>
      <c r="BR209" s="125" t="inlineStr">
        <is>
          <t>W21X223</t>
        </is>
      </c>
      <c r="BW209">
        <f>SQRT(($J$1025-J209)^2)</f>
        <v/>
      </c>
      <c r="BX209">
        <f>SQRT(($R$1025-R209)^2)</f>
        <v/>
      </c>
      <c r="BY209" s="125" t="inlineStr">
        <is>
          <t>W21X223</t>
        </is>
      </c>
      <c r="CD209">
        <f>SQRT(($J$1026-J209)^2)</f>
        <v/>
      </c>
      <c r="CE209">
        <f>SQRT(($R$1026-R209)^2)</f>
        <v/>
      </c>
      <c r="CF209" s="125" t="inlineStr">
        <is>
          <t>W21X223</t>
        </is>
      </c>
    </row>
    <row r="210">
      <c r="A210" s="125" t="inlineStr">
        <is>
          <t>W21X248</t>
        </is>
      </c>
      <c r="B210" s="129" t="inlineStr">
        <is>
          <t>AISC</t>
        </is>
      </c>
      <c r="C210" s="125" t="n">
        <v>370</v>
      </c>
      <c r="D210" s="125" t="n">
        <v>603</v>
      </c>
      <c r="E210" s="125" t="n">
        <v>324</v>
      </c>
      <c r="F210" s="125" t="n">
        <v>50.5</v>
      </c>
      <c r="G210" s="125" t="n">
        <v>26.2</v>
      </c>
      <c r="H210" s="125" t="n">
        <v>12.7</v>
      </c>
      <c r="I210" s="125" t="n">
        <v>476.6</v>
      </c>
      <c r="J210" s="125" t="n">
        <v>460</v>
      </c>
      <c r="K210" s="125">
        <f>((E210-G210)/2)/F210</f>
        <v/>
      </c>
      <c r="L210" s="125">
        <f>I210/G210</f>
        <v/>
      </c>
      <c r="M210" s="125" t="n">
        <v>2.43</v>
      </c>
      <c r="N210" s="125" t="n">
        <v>278900</v>
      </c>
      <c r="O210" s="125" t="n">
        <v>28710</v>
      </c>
      <c r="P210" s="125" t="n">
        <v>24.6</v>
      </c>
      <c r="Q210" s="125" t="n">
        <v>7.9</v>
      </c>
      <c r="R210" s="125" t="n">
        <v>9250</v>
      </c>
      <c r="S210" s="125" t="n">
        <v>1772</v>
      </c>
      <c r="T210" s="125" t="n">
        <v>10730</v>
      </c>
      <c r="U210" s="125" t="n">
        <v>2739</v>
      </c>
      <c r="X210" s="129">
        <f t="array" ref="X210">_xlfn.IFS((D210/F210) &lt;= (640/SQRT($AT$32)), "Compact", L210 &lt;= ($AT$32*(0.79-(0.002*((E210-G210/2)/(2*F210))*SQRT($AT$32)))), "Non-Compact", L210 &gt; ($AT$32*(0.79-(0.002*((E210-G210/2)/(2*F210))*SQRT($AT$32)))), "Slender")</f>
        <v/>
      </c>
      <c r="Y210" s="129">
        <f t="array" ref="Y210">_xlfn.IFS(K210 &lt;= (65/SQRT($AT$32)), "Compact", K210 &lt;= (95/SQRT($AT$32)), "Non-Compact", K210 &gt; (95/SQRT($AT$32)), "Slender")</f>
        <v/>
      </c>
      <c r="Z210" s="125">
        <f>E210/F210</f>
        <v/>
      </c>
      <c r="AA210" s="125">
        <f>D210/G210</f>
        <v/>
      </c>
      <c r="AB210" s="125">
        <f t="array" ref="AB210">_xlfn.IFS(Z210 &lt;= 9, "1", Z210 &lt;= 12, "2", Z210 &lt;= 15, "3", Z210 &gt; 15, "4")</f>
        <v/>
      </c>
      <c r="AC210" s="125">
        <f t="array" ref="AC210">_xlfn.IFS(AA210 &lt;= 200, "1", L210 &lt;= 300, "2", L210 &lt;= 400, "3", L210 &gt; 400, "4")</f>
        <v/>
      </c>
      <c r="AD210" s="129">
        <f>SQRT((((VLOOKUP($AT$4,$A$4:$D$1021,4,FALSE))-D210)^2)+(((VLOOKUP($AT$4,$A$4:$E$1021,5,FALSE))-E210)^2)+(((VLOOKUP($AT$4,$A$4:$N$1021,14,FALSE))-N210)^2)+(((VLOOKUP($AT$4,$A$4:$O$1021,15,FALSE))-O210)^2))</f>
        <v/>
      </c>
      <c r="AG210" s="129">
        <f>SQRT((((VLOOKUP($AT$4,$A$4:$D$1021,4,FALSE))-D210)^2)+(((VLOOKUP($AT$4,$A$4:$E$1021,5,FALSE))-E210)^2)+(((VLOOKUP($AT$4,$A$4:$R$1021,18,FALSE))-R210)^2)+(((VLOOKUP($AT$4,$A$4:$S$1021,19,FALSE))-S210)^2))</f>
        <v/>
      </c>
      <c r="AJ210" s="125" t="inlineStr">
        <is>
          <t>W21X248</t>
        </is>
      </c>
      <c r="AK210" s="125">
        <f>SQRT(((VLOOKUP($AT$4,$A$4:$J$1021,10,FALSE))-J210)^2)</f>
        <v/>
      </c>
      <c r="AL210" s="125" t="n"/>
      <c r="AM210" s="125" t="n"/>
      <c r="AN210" s="125">
        <f>SQRT(((VLOOKUP($AT$4,$A$4:$R$1021,18,FALSE))-R210)^2)</f>
        <v/>
      </c>
      <c r="AO210" s="125" t="n"/>
      <c r="AP210" s="125" t="n"/>
      <c r="AQ210" s="125" t="inlineStr">
        <is>
          <t>W21X248</t>
        </is>
      </c>
      <c r="BB210" s="125">
        <f>SQRT(($J$1022-J210)^2)</f>
        <v/>
      </c>
      <c r="BC210" s="125">
        <f>SQRT(($R$1022-R210)^2)</f>
        <v/>
      </c>
      <c r="BD210" s="125" t="inlineStr">
        <is>
          <t>W21X248</t>
        </is>
      </c>
      <c r="BI210">
        <f>SQRT(($J$1023-J210)^2)</f>
        <v/>
      </c>
      <c r="BJ210">
        <f>SQRT(($R$1023-R210)^2)</f>
        <v/>
      </c>
      <c r="BK210" s="125" t="inlineStr">
        <is>
          <t>W21X248</t>
        </is>
      </c>
      <c r="BP210">
        <f>SQRT(($J$1024-J210)^2)</f>
        <v/>
      </c>
      <c r="BQ210">
        <f>SQRT(($R$1024-R210)^2)</f>
        <v/>
      </c>
      <c r="BR210" s="125" t="inlineStr">
        <is>
          <t>W21X248</t>
        </is>
      </c>
      <c r="BW210">
        <f>SQRT(($J$1025-J210)^2)</f>
        <v/>
      </c>
      <c r="BX210">
        <f>SQRT(($R$1025-R210)^2)</f>
        <v/>
      </c>
      <c r="BY210" s="125" t="inlineStr">
        <is>
          <t>W21X248</t>
        </is>
      </c>
      <c r="CD210">
        <f>SQRT(($J$1026-J210)^2)</f>
        <v/>
      </c>
      <c r="CE210">
        <f>SQRT(($R$1026-R210)^2)</f>
        <v/>
      </c>
      <c r="CF210" s="125" t="inlineStr">
        <is>
          <t>W21X248</t>
        </is>
      </c>
    </row>
    <row r="211">
      <c r="A211" s="125" t="inlineStr">
        <is>
          <t>W21X275</t>
        </is>
      </c>
      <c r="B211" s="129" t="inlineStr">
        <is>
          <t>AISC</t>
        </is>
      </c>
      <c r="C211" s="125" t="n">
        <v>409</v>
      </c>
      <c r="D211" s="125" t="n">
        <v>613</v>
      </c>
      <c r="E211" s="125" t="n">
        <v>327</v>
      </c>
      <c r="F211" s="125" t="n">
        <v>55.6</v>
      </c>
      <c r="G211" s="125" t="n">
        <v>31</v>
      </c>
      <c r="H211" s="125" t="n">
        <v>12.7</v>
      </c>
      <c r="I211" s="125" t="n">
        <v>476.4</v>
      </c>
      <c r="J211" s="125" t="n">
        <v>521</v>
      </c>
      <c r="K211" s="125">
        <f>((E211-G211)/2)/F211</f>
        <v/>
      </c>
      <c r="L211" s="125">
        <f>I211/G211</f>
        <v/>
      </c>
      <c r="M211" s="125" t="n">
        <v>2.45</v>
      </c>
      <c r="N211" s="125" t="n">
        <v>316900</v>
      </c>
      <c r="O211" s="125" t="n">
        <v>32530</v>
      </c>
      <c r="P211" s="125" t="n">
        <v>24.7</v>
      </c>
      <c r="Q211" s="125" t="n">
        <v>7.91</v>
      </c>
      <c r="R211" s="125" t="n">
        <v>10340</v>
      </c>
      <c r="S211" s="125" t="n">
        <v>1990</v>
      </c>
      <c r="T211" s="125" t="n">
        <v>12120</v>
      </c>
      <c r="U211" s="125" t="n">
        <v>3096</v>
      </c>
      <c r="X211" s="129">
        <f t="array" ref="X211">_xlfn.IFS((D211/F211) &lt;= (640/SQRT($AT$32)), "Compact", L211 &lt;= ($AT$32*(0.79-(0.002*((E211-G211/2)/(2*F211))*SQRT($AT$32)))), "Non-Compact", L211 &gt; ($AT$32*(0.79-(0.002*((E211-G211/2)/(2*F211))*SQRT($AT$32)))), "Slender")</f>
        <v/>
      </c>
      <c r="Y211" s="129">
        <f t="array" ref="Y211">_xlfn.IFS(K211 &lt;= (65/SQRT($AT$32)), "Compact", K211 &lt;= (95/SQRT($AT$32)), "Non-Compact", K211 &gt; (95/SQRT($AT$32)), "Slender")</f>
        <v/>
      </c>
      <c r="Z211" s="125">
        <f>E211/F211</f>
        <v/>
      </c>
      <c r="AA211" s="125">
        <f>D211/G211</f>
        <v/>
      </c>
      <c r="AB211" s="125">
        <f t="array" ref="AB211">_xlfn.IFS(Z211 &lt;= 9, "1", Z211 &lt;= 12, "2", Z211 &lt;= 15, "3", Z211 &gt; 15, "4")</f>
        <v/>
      </c>
      <c r="AC211" s="125">
        <f t="array" ref="AC211">_xlfn.IFS(AA211 &lt;= 200, "1", L211 &lt;= 300, "2", L211 &lt;= 400, "3", L211 &gt; 400, "4")</f>
        <v/>
      </c>
      <c r="AD211" s="129">
        <f>SQRT((((VLOOKUP($AT$4,$A$4:$D$1021,4,FALSE))-D211)^2)+(((VLOOKUP($AT$4,$A$4:$E$1021,5,FALSE))-E211)^2)+(((VLOOKUP($AT$4,$A$4:$N$1021,14,FALSE))-N211)^2)+(((VLOOKUP($AT$4,$A$4:$O$1021,15,FALSE))-O211)^2))</f>
        <v/>
      </c>
      <c r="AG211" s="129">
        <f>SQRT((((VLOOKUP($AT$4,$A$4:$D$1021,4,FALSE))-D211)^2)+(((VLOOKUP($AT$4,$A$4:$E$1021,5,FALSE))-E211)^2)+(((VLOOKUP($AT$4,$A$4:$R$1021,18,FALSE))-R211)^2)+(((VLOOKUP($AT$4,$A$4:$S$1021,19,FALSE))-S211)^2))</f>
        <v/>
      </c>
      <c r="AJ211" s="125" t="inlineStr">
        <is>
          <t>W21X275</t>
        </is>
      </c>
      <c r="AK211" s="125">
        <f>SQRT(((VLOOKUP($AT$4,$A$4:$J$1021,10,FALSE))-J211)^2)</f>
        <v/>
      </c>
      <c r="AL211" s="125" t="n"/>
      <c r="AM211" s="125" t="n"/>
      <c r="AN211" s="125">
        <f>SQRT(((VLOOKUP($AT$4,$A$4:$R$1021,18,FALSE))-R211)^2)</f>
        <v/>
      </c>
      <c r="AO211" s="125" t="n"/>
      <c r="AP211" s="125" t="n"/>
      <c r="AQ211" s="125" t="inlineStr">
        <is>
          <t>W21X275</t>
        </is>
      </c>
      <c r="BB211" s="125">
        <f>SQRT(($J$1022-J211)^2)</f>
        <v/>
      </c>
      <c r="BC211" s="125">
        <f>SQRT(($R$1022-R211)^2)</f>
        <v/>
      </c>
      <c r="BD211" s="125" t="inlineStr">
        <is>
          <t>W21X275</t>
        </is>
      </c>
      <c r="BI211">
        <f>SQRT(($J$1023-J211)^2)</f>
        <v/>
      </c>
      <c r="BJ211">
        <f>SQRT(($R$1023-R211)^2)</f>
        <v/>
      </c>
      <c r="BK211" s="125" t="inlineStr">
        <is>
          <t>W21X275</t>
        </is>
      </c>
      <c r="BP211">
        <f>SQRT(($J$1024-J211)^2)</f>
        <v/>
      </c>
      <c r="BQ211">
        <f>SQRT(($R$1024-R211)^2)</f>
        <v/>
      </c>
      <c r="BR211" s="125" t="inlineStr">
        <is>
          <t>W21X275</t>
        </is>
      </c>
      <c r="BW211">
        <f>SQRT(($J$1025-J211)^2)</f>
        <v/>
      </c>
      <c r="BX211">
        <f>SQRT(($R$1025-R211)^2)</f>
        <v/>
      </c>
      <c r="BY211" s="125" t="inlineStr">
        <is>
          <t>W21X275</t>
        </is>
      </c>
      <c r="CD211">
        <f>SQRT(($J$1026-J211)^2)</f>
        <v/>
      </c>
      <c r="CE211">
        <f>SQRT(($R$1026-R211)^2)</f>
        <v/>
      </c>
      <c r="CF211" s="125" t="inlineStr">
        <is>
          <t>W21X275</t>
        </is>
      </c>
    </row>
    <row r="212">
      <c r="A212" s="125" t="inlineStr">
        <is>
          <t>W24X55</t>
        </is>
      </c>
      <c r="B212" s="129" t="inlineStr">
        <is>
          <t>AISC</t>
        </is>
      </c>
      <c r="C212" s="125" t="n">
        <v>81.90000000000001</v>
      </c>
      <c r="D212" s="125" t="n">
        <v>598.7</v>
      </c>
      <c r="E212" s="125" t="n">
        <v>177.9</v>
      </c>
      <c r="F212" s="125" t="n">
        <v>12.8</v>
      </c>
      <c r="G212" s="125" t="n">
        <v>10</v>
      </c>
      <c r="H212" s="125" t="n">
        <v>12.7</v>
      </c>
      <c r="I212" s="125" t="n">
        <v>547.6</v>
      </c>
      <c r="J212" s="125" t="n">
        <v>105</v>
      </c>
      <c r="K212" s="125">
        <f>((E212-G212)/2)/F212</f>
        <v/>
      </c>
      <c r="L212" s="125">
        <f>I212/G212</f>
        <v/>
      </c>
      <c r="M212" s="125" t="n">
        <v>1.87</v>
      </c>
      <c r="N212" s="125" t="n">
        <v>56020</v>
      </c>
      <c r="O212" s="125" t="n">
        <v>1210</v>
      </c>
      <c r="P212" s="125" t="n">
        <v>23.2</v>
      </c>
      <c r="Q212" s="125" t="n">
        <v>3.4</v>
      </c>
      <c r="R212" s="125" t="n">
        <v>1871</v>
      </c>
      <c r="S212" s="125" t="n">
        <v>136</v>
      </c>
      <c r="T212" s="125" t="n">
        <v>2200</v>
      </c>
      <c r="U212" s="125" t="n">
        <v>219</v>
      </c>
      <c r="X212" s="129">
        <f t="array" ref="X212">_xlfn.IFS((D212/F212) &lt;= (640/SQRT($AT$32)), "Compact", L212 &lt;= ($AT$32*(0.79-(0.002*((E212-G212/2)/(2*F212))*SQRT($AT$32)))), "Non-Compact", L212 &gt; ($AT$32*(0.79-(0.002*((E212-G212/2)/(2*F212))*SQRT($AT$32)))), "Slender")</f>
        <v/>
      </c>
      <c r="Y212" s="129">
        <f t="array" ref="Y212">_xlfn.IFS(K212 &lt;= (65/SQRT($AT$32)), "Compact", K212 &lt;= (95/SQRT($AT$32)), "Non-Compact", K212 &gt; (95/SQRT($AT$32)), "Slender")</f>
        <v/>
      </c>
      <c r="Z212" s="125">
        <f>E212/F212</f>
        <v/>
      </c>
      <c r="AA212" s="125">
        <f>D212/G212</f>
        <v/>
      </c>
      <c r="AB212" s="125">
        <f t="array" ref="AB212">_xlfn.IFS(Z212 &lt;= 9, "1", Z212 &lt;= 12, "2", Z212 &lt;= 15, "3", Z212 &gt; 15, "4")</f>
        <v/>
      </c>
      <c r="AC212" s="125">
        <f t="array" ref="AC212">_xlfn.IFS(AA212 &lt;= 200, "1", L212 &lt;= 300, "2", L212 &lt;= 400, "3", L212 &gt; 400, "4")</f>
        <v/>
      </c>
      <c r="AD212" s="129">
        <f>SQRT((((VLOOKUP($AT$4,$A$4:$D$1021,4,FALSE))-D212)^2)+(((VLOOKUP($AT$4,$A$4:$E$1021,5,FALSE))-E212)^2)+(((VLOOKUP($AT$4,$A$4:$N$1021,14,FALSE))-N212)^2)+(((VLOOKUP($AT$4,$A$4:$O$1021,15,FALSE))-O212)^2))</f>
        <v/>
      </c>
      <c r="AG212" s="129">
        <f>SQRT((((VLOOKUP($AT$4,$A$4:$D$1021,4,FALSE))-D212)^2)+(((VLOOKUP($AT$4,$A$4:$E$1021,5,FALSE))-E212)^2)+(((VLOOKUP($AT$4,$A$4:$R$1021,18,FALSE))-R212)^2)+(((VLOOKUP($AT$4,$A$4:$S$1021,19,FALSE))-S212)^2))</f>
        <v/>
      </c>
      <c r="AJ212" s="125" t="inlineStr">
        <is>
          <t>W24X55</t>
        </is>
      </c>
      <c r="AK212" s="125">
        <f>SQRT(((VLOOKUP($AT$4,$A$4:$J$1021,10,FALSE))-J212)^2)</f>
        <v/>
      </c>
      <c r="AL212" s="125" t="n"/>
      <c r="AM212" s="125" t="n"/>
      <c r="AN212" s="125">
        <f>SQRT(((VLOOKUP($AT$4,$A$4:$R$1021,18,FALSE))-R212)^2)</f>
        <v/>
      </c>
      <c r="AO212" s="125" t="n"/>
      <c r="AP212" s="125" t="n"/>
      <c r="AQ212" s="125" t="inlineStr">
        <is>
          <t>W24X55</t>
        </is>
      </c>
      <c r="BB212" s="125">
        <f>SQRT(($J$1022-J212)^2)</f>
        <v/>
      </c>
      <c r="BC212" s="125">
        <f>SQRT(($R$1022-R212)^2)</f>
        <v/>
      </c>
      <c r="BD212" s="125" t="inlineStr">
        <is>
          <t>W24X55</t>
        </is>
      </c>
      <c r="BI212">
        <f>SQRT(($J$1023-J212)^2)</f>
        <v/>
      </c>
      <c r="BJ212">
        <f>SQRT(($R$1023-R212)^2)</f>
        <v/>
      </c>
      <c r="BK212" s="125" t="inlineStr">
        <is>
          <t>W24X55</t>
        </is>
      </c>
      <c r="BP212">
        <f>SQRT(($J$1024-J212)^2)</f>
        <v/>
      </c>
      <c r="BQ212">
        <f>SQRT(($R$1024-R212)^2)</f>
        <v/>
      </c>
      <c r="BR212" s="125" t="inlineStr">
        <is>
          <t>W24X55</t>
        </is>
      </c>
      <c r="BW212">
        <f>SQRT(($J$1025-J212)^2)</f>
        <v/>
      </c>
      <c r="BX212">
        <f>SQRT(($R$1025-R212)^2)</f>
        <v/>
      </c>
      <c r="BY212" s="125" t="inlineStr">
        <is>
          <t>W24X55</t>
        </is>
      </c>
      <c r="CD212">
        <f>SQRT(($J$1026-J212)^2)</f>
        <v/>
      </c>
      <c r="CE212">
        <f>SQRT(($R$1026-R212)^2)</f>
        <v/>
      </c>
      <c r="CF212" s="125" t="inlineStr">
        <is>
          <t>W24X55</t>
        </is>
      </c>
    </row>
    <row r="213">
      <c r="A213" s="125" t="inlineStr">
        <is>
          <t>W24X61</t>
        </is>
      </c>
      <c r="B213" s="129" t="inlineStr">
        <is>
          <t>AISC</t>
        </is>
      </c>
      <c r="C213" s="125" t="n">
        <v>91</v>
      </c>
      <c r="D213" s="125" t="n">
        <v>602.5</v>
      </c>
      <c r="E213" s="125" t="n">
        <v>178.4</v>
      </c>
      <c r="F213" s="125" t="n">
        <v>15</v>
      </c>
      <c r="G213" s="125" t="n">
        <v>10.6</v>
      </c>
      <c r="H213" s="125" t="n">
        <v>12.7</v>
      </c>
      <c r="I213" s="125" t="n">
        <v>547.1</v>
      </c>
      <c r="J213" s="125" t="n">
        <v>116</v>
      </c>
      <c r="K213" s="125">
        <f>((E213-G213)/2)/F213</f>
        <v/>
      </c>
      <c r="L213" s="125">
        <f>I213/G213</f>
        <v/>
      </c>
      <c r="M213" s="125" t="n">
        <v>1.88</v>
      </c>
      <c r="N213" s="125" t="n">
        <v>63880</v>
      </c>
      <c r="O213" s="125" t="n">
        <v>1426</v>
      </c>
      <c r="P213" s="125" t="n">
        <v>23.5</v>
      </c>
      <c r="Q213" s="125" t="n">
        <v>3.51</v>
      </c>
      <c r="R213" s="125" t="n">
        <v>2120</v>
      </c>
      <c r="S213" s="125" t="n">
        <v>160</v>
      </c>
      <c r="T213" s="125" t="n">
        <v>2480</v>
      </c>
      <c r="U213" s="125" t="n">
        <v>256</v>
      </c>
      <c r="X213" s="129">
        <f t="array" ref="X213">_xlfn.IFS((D213/F213) &lt;= (640/SQRT($AT$32)), "Compact", L213 &lt;= ($AT$32*(0.79-(0.002*((E213-G213/2)/(2*F213))*SQRT($AT$32)))), "Non-Compact", L213 &gt; ($AT$32*(0.79-(0.002*((E213-G213/2)/(2*F213))*SQRT($AT$32)))), "Slender")</f>
        <v/>
      </c>
      <c r="Y213" s="129">
        <f t="array" ref="Y213">_xlfn.IFS(K213 &lt;= (65/SQRT($AT$32)), "Compact", K213 &lt;= (95/SQRT($AT$32)), "Non-Compact", K213 &gt; (95/SQRT($AT$32)), "Slender")</f>
        <v/>
      </c>
      <c r="Z213" s="125">
        <f>E213/F213</f>
        <v/>
      </c>
      <c r="AA213" s="125">
        <f>D213/G213</f>
        <v/>
      </c>
      <c r="AB213" s="125">
        <f t="array" ref="AB213">_xlfn.IFS(Z213 &lt;= 9, "1", Z213 &lt;= 12, "2", Z213 &lt;= 15, "3", Z213 &gt; 15, "4")</f>
        <v/>
      </c>
      <c r="AC213" s="125">
        <f t="array" ref="AC213">_xlfn.IFS(AA213 &lt;= 200, "1", L213 &lt;= 300, "2", L213 &lt;= 400, "3", L213 &gt; 400, "4")</f>
        <v/>
      </c>
      <c r="AD213" s="129">
        <f>SQRT((((VLOOKUP($AT$4,$A$4:$D$1021,4,FALSE))-D213)^2)+(((VLOOKUP($AT$4,$A$4:$E$1021,5,FALSE))-E213)^2)+(((VLOOKUP($AT$4,$A$4:$N$1021,14,FALSE))-N213)^2)+(((VLOOKUP($AT$4,$A$4:$O$1021,15,FALSE))-O213)^2))</f>
        <v/>
      </c>
      <c r="AG213" s="129">
        <f>SQRT((((VLOOKUP($AT$4,$A$4:$D$1021,4,FALSE))-D213)^2)+(((VLOOKUP($AT$4,$A$4:$E$1021,5,FALSE))-E213)^2)+(((VLOOKUP($AT$4,$A$4:$R$1021,18,FALSE))-R213)^2)+(((VLOOKUP($AT$4,$A$4:$S$1021,19,FALSE))-S213)^2))</f>
        <v/>
      </c>
      <c r="AJ213" s="125" t="inlineStr">
        <is>
          <t>W24X61</t>
        </is>
      </c>
      <c r="AK213" s="125">
        <f>SQRT(((VLOOKUP($AT$4,$A$4:$J$1021,10,FALSE))-J213)^2)</f>
        <v/>
      </c>
      <c r="AL213" s="125" t="n"/>
      <c r="AM213" s="125" t="n"/>
      <c r="AN213" s="125">
        <f>SQRT(((VLOOKUP($AT$4,$A$4:$R$1021,18,FALSE))-R213)^2)</f>
        <v/>
      </c>
      <c r="AO213" s="125" t="n"/>
      <c r="AP213" s="125" t="n"/>
      <c r="AQ213" s="125" t="inlineStr">
        <is>
          <t>W24X61</t>
        </is>
      </c>
      <c r="BB213" s="125">
        <f>SQRT(($J$1022-J213)^2)</f>
        <v/>
      </c>
      <c r="BC213" s="125">
        <f>SQRT(($R$1022-R213)^2)</f>
        <v/>
      </c>
      <c r="BD213" s="125" t="inlineStr">
        <is>
          <t>W24X61</t>
        </is>
      </c>
      <c r="BI213">
        <f>SQRT(($J$1023-J213)^2)</f>
        <v/>
      </c>
      <c r="BJ213">
        <f>SQRT(($R$1023-R213)^2)</f>
        <v/>
      </c>
      <c r="BK213" s="125" t="inlineStr">
        <is>
          <t>W24X61</t>
        </is>
      </c>
      <c r="BP213">
        <f>SQRT(($J$1024-J213)^2)</f>
        <v/>
      </c>
      <c r="BQ213">
        <f>SQRT(($R$1024-R213)^2)</f>
        <v/>
      </c>
      <c r="BR213" s="125" t="inlineStr">
        <is>
          <t>W24X61</t>
        </is>
      </c>
      <c r="BW213">
        <f>SQRT(($J$1025-J213)^2)</f>
        <v/>
      </c>
      <c r="BX213">
        <f>SQRT(($R$1025-R213)^2)</f>
        <v/>
      </c>
      <c r="BY213" s="125" t="inlineStr">
        <is>
          <t>W24X61</t>
        </is>
      </c>
      <c r="CD213">
        <f>SQRT(($J$1026-J213)^2)</f>
        <v/>
      </c>
      <c r="CE213">
        <f>SQRT(($R$1026-R213)^2)</f>
        <v/>
      </c>
      <c r="CF213" s="125" t="inlineStr">
        <is>
          <t>W24X61</t>
        </is>
      </c>
    </row>
    <row r="214">
      <c r="A214" s="125" t="inlineStr">
        <is>
          <t>W24X62</t>
        </is>
      </c>
      <c r="B214" s="129" t="inlineStr">
        <is>
          <t>AISC</t>
        </is>
      </c>
      <c r="C214" s="125" t="n">
        <v>92.3</v>
      </c>
      <c r="D214" s="125" t="n">
        <v>603</v>
      </c>
      <c r="E214" s="125" t="n">
        <v>178.8</v>
      </c>
      <c r="F214" s="125" t="n">
        <v>15</v>
      </c>
      <c r="G214" s="125" t="n">
        <v>10.9</v>
      </c>
      <c r="H214" s="125" t="n">
        <v>12.7</v>
      </c>
      <c r="I214" s="125" t="n">
        <v>547.6</v>
      </c>
      <c r="J214" s="125" t="n">
        <v>118</v>
      </c>
      <c r="K214" s="125">
        <f>((E214-G214)/2)/F214</f>
        <v/>
      </c>
      <c r="L214" s="125">
        <f>I214/G214</f>
        <v/>
      </c>
      <c r="M214" s="125" t="n">
        <v>1.88</v>
      </c>
      <c r="N214" s="125" t="n">
        <v>64580</v>
      </c>
      <c r="O214" s="125" t="n">
        <v>1436</v>
      </c>
      <c r="P214" s="125" t="n">
        <v>23.4</v>
      </c>
      <c r="Q214" s="125" t="n">
        <v>3.49</v>
      </c>
      <c r="R214" s="125" t="n">
        <v>2142</v>
      </c>
      <c r="S214" s="125" t="n">
        <v>161</v>
      </c>
      <c r="T214" s="125" t="n">
        <v>2512</v>
      </c>
      <c r="U214" s="125" t="n">
        <v>258</v>
      </c>
      <c r="X214" s="129">
        <f t="array" ref="X214">_xlfn.IFS((D214/F214) &lt;= (640/SQRT($AT$32)), "Compact", L214 &lt;= ($AT$32*(0.79-(0.002*((E214-G214/2)/(2*F214))*SQRT($AT$32)))), "Non-Compact", L214 &gt; ($AT$32*(0.79-(0.002*((E214-G214/2)/(2*F214))*SQRT($AT$32)))), "Slender")</f>
        <v/>
      </c>
      <c r="Y214" s="129">
        <f t="array" ref="Y214">_xlfn.IFS(K214 &lt;= (65/SQRT($AT$32)), "Compact", K214 &lt;= (95/SQRT($AT$32)), "Non-Compact", K214 &gt; (95/SQRT($AT$32)), "Slender")</f>
        <v/>
      </c>
      <c r="Z214" s="125">
        <f>E214/F214</f>
        <v/>
      </c>
      <c r="AA214" s="125">
        <f>D214/G214</f>
        <v/>
      </c>
      <c r="AB214" s="125">
        <f t="array" ref="AB214">_xlfn.IFS(Z214 &lt;= 9, "1", Z214 &lt;= 12, "2", Z214 &lt;= 15, "3", Z214 &gt; 15, "4")</f>
        <v/>
      </c>
      <c r="AC214" s="125">
        <f t="array" ref="AC214">_xlfn.IFS(AA214 &lt;= 200, "1", L214 &lt;= 300, "2", L214 &lt;= 400, "3", L214 &gt; 400, "4")</f>
        <v/>
      </c>
      <c r="AD214" s="129">
        <f>SQRT((((VLOOKUP($AT$4,$A$4:$D$1021,4,FALSE))-D214)^2)+(((VLOOKUP($AT$4,$A$4:$E$1021,5,FALSE))-E214)^2)+(((VLOOKUP($AT$4,$A$4:$N$1021,14,FALSE))-N214)^2)+(((VLOOKUP($AT$4,$A$4:$O$1021,15,FALSE))-O214)^2))</f>
        <v/>
      </c>
      <c r="AG214" s="129">
        <f>SQRT((((VLOOKUP($AT$4,$A$4:$D$1021,4,FALSE))-D214)^2)+(((VLOOKUP($AT$4,$A$4:$E$1021,5,FALSE))-E214)^2)+(((VLOOKUP($AT$4,$A$4:$R$1021,18,FALSE))-R214)^2)+(((VLOOKUP($AT$4,$A$4:$S$1021,19,FALSE))-S214)^2))</f>
        <v/>
      </c>
      <c r="AJ214" s="125" t="inlineStr">
        <is>
          <t>W24X62</t>
        </is>
      </c>
      <c r="AK214" s="125">
        <f>SQRT(((VLOOKUP($AT$4,$A$4:$J$1021,10,FALSE))-J214)^2)</f>
        <v/>
      </c>
      <c r="AL214" s="125" t="n"/>
      <c r="AM214" s="125" t="n"/>
      <c r="AN214" s="125">
        <f>SQRT(((VLOOKUP($AT$4,$A$4:$R$1021,18,FALSE))-R214)^2)</f>
        <v/>
      </c>
      <c r="AO214" s="125" t="n"/>
      <c r="AP214" s="125" t="n"/>
      <c r="AQ214" s="125" t="inlineStr">
        <is>
          <t>W24X62</t>
        </is>
      </c>
      <c r="BB214" s="125">
        <f>SQRT(($J$1022-J214)^2)</f>
        <v/>
      </c>
      <c r="BC214" s="125">
        <f>SQRT(($R$1022-R214)^2)</f>
        <v/>
      </c>
      <c r="BD214" s="125" t="inlineStr">
        <is>
          <t>W24X62</t>
        </is>
      </c>
      <c r="BI214">
        <f>SQRT(($J$1023-J214)^2)</f>
        <v/>
      </c>
      <c r="BJ214">
        <f>SQRT(($R$1023-R214)^2)</f>
        <v/>
      </c>
      <c r="BK214" s="125" t="inlineStr">
        <is>
          <t>W24X62</t>
        </is>
      </c>
      <c r="BP214">
        <f>SQRT(($J$1024-J214)^2)</f>
        <v/>
      </c>
      <c r="BQ214">
        <f>SQRT(($R$1024-R214)^2)</f>
        <v/>
      </c>
      <c r="BR214" s="125" t="inlineStr">
        <is>
          <t>W24X62</t>
        </is>
      </c>
      <c r="BW214">
        <f>SQRT(($J$1025-J214)^2)</f>
        <v/>
      </c>
      <c r="BX214">
        <f>SQRT(($R$1025-R214)^2)</f>
        <v/>
      </c>
      <c r="BY214" s="125" t="inlineStr">
        <is>
          <t>W24X62</t>
        </is>
      </c>
      <c r="CD214">
        <f>SQRT(($J$1026-J214)^2)</f>
        <v/>
      </c>
      <c r="CE214">
        <f>SQRT(($R$1026-R214)^2)</f>
        <v/>
      </c>
      <c r="CF214" s="125" t="inlineStr">
        <is>
          <t>W24X62</t>
        </is>
      </c>
    </row>
    <row r="215">
      <c r="A215" s="125" t="inlineStr">
        <is>
          <t>W24X68</t>
        </is>
      </c>
      <c r="B215" s="129" t="inlineStr">
        <is>
          <t>AISC</t>
        </is>
      </c>
      <c r="C215" s="125" t="n">
        <v>101.2</v>
      </c>
      <c r="D215" s="125" t="n">
        <v>602.6</v>
      </c>
      <c r="E215" s="125" t="n">
        <v>227.6</v>
      </c>
      <c r="F215" s="125" t="n">
        <v>14.8</v>
      </c>
      <c r="G215" s="125" t="n">
        <v>10.5</v>
      </c>
      <c r="H215" s="125" t="n">
        <v>12.7</v>
      </c>
      <c r="I215" s="125" t="n">
        <v>547.6</v>
      </c>
      <c r="J215" s="125" t="n">
        <v>129</v>
      </c>
      <c r="K215" s="125">
        <f>((E215-G215)/2)/F215</f>
        <v/>
      </c>
      <c r="L215" s="125">
        <f>I215/G215</f>
        <v/>
      </c>
      <c r="M215" s="125" t="n">
        <v>2.07</v>
      </c>
      <c r="N215" s="125" t="n">
        <v>75780</v>
      </c>
      <c r="O215" s="125" t="n">
        <v>2915</v>
      </c>
      <c r="P215" s="125" t="n">
        <v>24.2</v>
      </c>
      <c r="Q215" s="125" t="n">
        <v>4.76</v>
      </c>
      <c r="R215" s="125" t="n">
        <v>2515</v>
      </c>
      <c r="S215" s="125" t="n">
        <v>256</v>
      </c>
      <c r="T215" s="125" t="n">
        <v>2881</v>
      </c>
      <c r="U215" s="125" t="n">
        <v>400</v>
      </c>
      <c r="X215" s="129">
        <f t="array" ref="X215">_xlfn.IFS((D215/F215) &lt;= (640/SQRT($AT$32)), "Compact", L215 &lt;= ($AT$32*(0.79-(0.002*((E215-G215/2)/(2*F215))*SQRT($AT$32)))), "Non-Compact", L215 &gt; ($AT$32*(0.79-(0.002*((E215-G215/2)/(2*F215))*SQRT($AT$32)))), "Slender")</f>
        <v/>
      </c>
      <c r="Y215" s="129">
        <f t="array" ref="Y215">_xlfn.IFS(K215 &lt;= (65/SQRT($AT$32)), "Compact", K215 &lt;= (95/SQRT($AT$32)), "Non-Compact", K215 &gt; (95/SQRT($AT$32)), "Slender")</f>
        <v/>
      </c>
      <c r="Z215" s="125">
        <f>E215/F215</f>
        <v/>
      </c>
      <c r="AA215" s="125">
        <f>D215/G215</f>
        <v/>
      </c>
      <c r="AB215" s="125">
        <f t="array" ref="AB215">_xlfn.IFS(Z215 &lt;= 9, "1", Z215 &lt;= 12, "2", Z215 &lt;= 15, "3", Z215 &gt; 15, "4")</f>
        <v/>
      </c>
      <c r="AC215" s="125">
        <f t="array" ref="AC215">_xlfn.IFS(AA215 &lt;= 200, "1", L215 &lt;= 300, "2", L215 &lt;= 400, "3", L215 &gt; 400, "4")</f>
        <v/>
      </c>
      <c r="AD215" s="129">
        <f>SQRT((((VLOOKUP($AT$4,$A$4:$D$1021,4,FALSE))-D215)^2)+(((VLOOKUP($AT$4,$A$4:$E$1021,5,FALSE))-E215)^2)+(((VLOOKUP($AT$4,$A$4:$N$1021,14,FALSE))-N215)^2)+(((VLOOKUP($AT$4,$A$4:$O$1021,15,FALSE))-O215)^2))</f>
        <v/>
      </c>
      <c r="AG215" s="129">
        <f>SQRT((((VLOOKUP($AT$4,$A$4:$D$1021,4,FALSE))-D215)^2)+(((VLOOKUP($AT$4,$A$4:$E$1021,5,FALSE))-E215)^2)+(((VLOOKUP($AT$4,$A$4:$R$1021,18,FALSE))-R215)^2)+(((VLOOKUP($AT$4,$A$4:$S$1021,19,FALSE))-S215)^2))</f>
        <v/>
      </c>
      <c r="AJ215" s="125" t="inlineStr">
        <is>
          <t>W24X68</t>
        </is>
      </c>
      <c r="AK215" s="125">
        <f>SQRT(((VLOOKUP($AT$4,$A$4:$J$1021,10,FALSE))-J215)^2)</f>
        <v/>
      </c>
      <c r="AL215" s="125" t="n"/>
      <c r="AM215" s="125" t="n"/>
      <c r="AN215" s="125">
        <f>SQRT(((VLOOKUP($AT$4,$A$4:$R$1021,18,FALSE))-R215)^2)</f>
        <v/>
      </c>
      <c r="AO215" s="125" t="n"/>
      <c r="AP215" s="125" t="n"/>
      <c r="AQ215" s="125" t="inlineStr">
        <is>
          <t>W24X68</t>
        </is>
      </c>
      <c r="BB215" s="125">
        <f>SQRT(($J$1022-J215)^2)</f>
        <v/>
      </c>
      <c r="BC215" s="125">
        <f>SQRT(($R$1022-R215)^2)</f>
        <v/>
      </c>
      <c r="BD215" s="125" t="inlineStr">
        <is>
          <t>W24X68</t>
        </is>
      </c>
      <c r="BI215">
        <f>SQRT(($J$1023-J215)^2)</f>
        <v/>
      </c>
      <c r="BJ215">
        <f>SQRT(($R$1023-R215)^2)</f>
        <v/>
      </c>
      <c r="BK215" s="125" t="inlineStr">
        <is>
          <t>W24X68</t>
        </is>
      </c>
      <c r="BP215">
        <f>SQRT(($J$1024-J215)^2)</f>
        <v/>
      </c>
      <c r="BQ215">
        <f>SQRT(($R$1024-R215)^2)</f>
        <v/>
      </c>
      <c r="BR215" s="125" t="inlineStr">
        <is>
          <t>W24X68</t>
        </is>
      </c>
      <c r="BW215">
        <f>SQRT(($J$1025-J215)^2)</f>
        <v/>
      </c>
      <c r="BX215">
        <f>SQRT(($R$1025-R215)^2)</f>
        <v/>
      </c>
      <c r="BY215" s="125" t="inlineStr">
        <is>
          <t>W24X68</t>
        </is>
      </c>
      <c r="CD215">
        <f>SQRT(($J$1026-J215)^2)</f>
        <v/>
      </c>
      <c r="CE215">
        <f>SQRT(($R$1026-R215)^2)</f>
        <v/>
      </c>
      <c r="CF215" s="125" t="inlineStr">
        <is>
          <t>W24X68</t>
        </is>
      </c>
    </row>
    <row r="216">
      <c r="A216" s="125" t="inlineStr">
        <is>
          <t>W24X76</t>
        </is>
      </c>
      <c r="B216" s="129" t="inlineStr">
        <is>
          <t>AISC</t>
        </is>
      </c>
      <c r="C216" s="125" t="n">
        <v>113</v>
      </c>
      <c r="D216" s="125" t="n">
        <v>607.6</v>
      </c>
      <c r="E216" s="125" t="n">
        <v>228.2</v>
      </c>
      <c r="F216" s="125" t="n">
        <v>17.3</v>
      </c>
      <c r="G216" s="125" t="n">
        <v>11.1</v>
      </c>
      <c r="H216" s="125" t="n">
        <v>12.7</v>
      </c>
      <c r="I216" s="125" t="n">
        <v>547.6</v>
      </c>
      <c r="J216" s="125" t="n">
        <v>144</v>
      </c>
      <c r="K216" s="125">
        <f>((E216-G216)/2)/F216</f>
        <v/>
      </c>
      <c r="L216" s="125">
        <f>I216/G216</f>
        <v/>
      </c>
      <c r="M216" s="125" t="n">
        <v>2.08</v>
      </c>
      <c r="N216" s="125" t="n">
        <v>87320</v>
      </c>
      <c r="O216" s="125" t="n">
        <v>3434</v>
      </c>
      <c r="P216" s="125" t="n">
        <v>24.6</v>
      </c>
      <c r="Q216" s="125" t="n">
        <v>4.88</v>
      </c>
      <c r="R216" s="125" t="n">
        <v>2874</v>
      </c>
      <c r="S216" s="125" t="n">
        <v>301</v>
      </c>
      <c r="T216" s="125" t="n">
        <v>3281</v>
      </c>
      <c r="U216" s="125" t="n">
        <v>469</v>
      </c>
      <c r="X216" s="129">
        <f t="array" ref="X216">_xlfn.IFS((D216/F216) &lt;= (640/SQRT($AT$32)), "Compact", L216 &lt;= ($AT$32*(0.79-(0.002*((E216-G216/2)/(2*F216))*SQRT($AT$32)))), "Non-Compact", L216 &gt; ($AT$32*(0.79-(0.002*((E216-G216/2)/(2*F216))*SQRT($AT$32)))), "Slender")</f>
        <v/>
      </c>
      <c r="Y216" s="129">
        <f t="array" ref="Y216">_xlfn.IFS(K216 &lt;= (65/SQRT($AT$32)), "Compact", K216 &lt;= (95/SQRT($AT$32)), "Non-Compact", K216 &gt; (95/SQRT($AT$32)), "Slender")</f>
        <v/>
      </c>
      <c r="Z216" s="125">
        <f>E216/F216</f>
        <v/>
      </c>
      <c r="AA216" s="125">
        <f>D216/G216</f>
        <v/>
      </c>
      <c r="AB216" s="125">
        <f t="array" ref="AB216">_xlfn.IFS(Z216 &lt;= 9, "1", Z216 &lt;= 12, "2", Z216 &lt;= 15, "3", Z216 &gt; 15, "4")</f>
        <v/>
      </c>
      <c r="AC216" s="125">
        <f t="array" ref="AC216">_xlfn.IFS(AA216 &lt;= 200, "1", L216 &lt;= 300, "2", L216 &lt;= 400, "3", L216 &gt; 400, "4")</f>
        <v/>
      </c>
      <c r="AD216" s="129">
        <f>SQRT((((VLOOKUP($AT$4,$A$4:$D$1021,4,FALSE))-D216)^2)+(((VLOOKUP($AT$4,$A$4:$E$1021,5,FALSE))-E216)^2)+(((VLOOKUP($AT$4,$A$4:$N$1021,14,FALSE))-N216)^2)+(((VLOOKUP($AT$4,$A$4:$O$1021,15,FALSE))-O216)^2))</f>
        <v/>
      </c>
      <c r="AG216" s="129">
        <f>SQRT((((VLOOKUP($AT$4,$A$4:$D$1021,4,FALSE))-D216)^2)+(((VLOOKUP($AT$4,$A$4:$E$1021,5,FALSE))-E216)^2)+(((VLOOKUP($AT$4,$A$4:$R$1021,18,FALSE))-R216)^2)+(((VLOOKUP($AT$4,$A$4:$S$1021,19,FALSE))-S216)^2))</f>
        <v/>
      </c>
      <c r="AJ216" s="125" t="inlineStr">
        <is>
          <t>W24X76</t>
        </is>
      </c>
      <c r="AK216" s="125">
        <f>SQRT(((VLOOKUP($AT$4,$A$4:$J$1021,10,FALSE))-J216)^2)</f>
        <v/>
      </c>
      <c r="AL216" s="125" t="n"/>
      <c r="AM216" s="125" t="n"/>
      <c r="AN216" s="125">
        <f>SQRT(((VLOOKUP($AT$4,$A$4:$R$1021,18,FALSE))-R216)^2)</f>
        <v/>
      </c>
      <c r="AO216" s="125" t="n"/>
      <c r="AP216" s="125" t="n"/>
      <c r="AQ216" s="125" t="inlineStr">
        <is>
          <t>W24X76</t>
        </is>
      </c>
      <c r="BB216" s="125">
        <f>SQRT(($J$1022-J216)^2)</f>
        <v/>
      </c>
      <c r="BC216" s="125">
        <f>SQRT(($R$1022-R216)^2)</f>
        <v/>
      </c>
      <c r="BD216" s="125" t="inlineStr">
        <is>
          <t>W24X76</t>
        </is>
      </c>
      <c r="BI216">
        <f>SQRT(($J$1023-J216)^2)</f>
        <v/>
      </c>
      <c r="BJ216">
        <f>SQRT(($R$1023-R216)^2)</f>
        <v/>
      </c>
      <c r="BK216" s="125" t="inlineStr">
        <is>
          <t>W24X76</t>
        </is>
      </c>
      <c r="BP216">
        <f>SQRT(($J$1024-J216)^2)</f>
        <v/>
      </c>
      <c r="BQ216">
        <f>SQRT(($R$1024-R216)^2)</f>
        <v/>
      </c>
      <c r="BR216" s="125" t="inlineStr">
        <is>
          <t>W24X76</t>
        </is>
      </c>
      <c r="BW216">
        <f>SQRT(($J$1025-J216)^2)</f>
        <v/>
      </c>
      <c r="BX216">
        <f>SQRT(($R$1025-R216)^2)</f>
        <v/>
      </c>
      <c r="BY216" s="125" t="inlineStr">
        <is>
          <t>W24X76</t>
        </is>
      </c>
      <c r="CD216">
        <f>SQRT(($J$1026-J216)^2)</f>
        <v/>
      </c>
      <c r="CE216">
        <f>SQRT(($R$1026-R216)^2)</f>
        <v/>
      </c>
      <c r="CF216" s="125" t="inlineStr">
        <is>
          <t>W24X76</t>
        </is>
      </c>
    </row>
    <row r="217">
      <c r="A217" s="125" t="inlineStr">
        <is>
          <t>W24X84</t>
        </is>
      </c>
      <c r="B217" s="129" t="inlineStr">
        <is>
          <t>AISC</t>
        </is>
      </c>
      <c r="C217" s="125" t="n">
        <v>125.1</v>
      </c>
      <c r="D217" s="125" t="n">
        <v>612.2</v>
      </c>
      <c r="E217" s="125" t="n">
        <v>229</v>
      </c>
      <c r="F217" s="125" t="n">
        <v>19.3</v>
      </c>
      <c r="G217" s="125" t="n">
        <v>11.9</v>
      </c>
      <c r="H217" s="125" t="n">
        <v>12.7</v>
      </c>
      <c r="I217" s="125" t="n">
        <v>548.2</v>
      </c>
      <c r="J217" s="125" t="n">
        <v>158</v>
      </c>
      <c r="K217" s="125">
        <f>((E217-G217)/2)/F217</f>
        <v/>
      </c>
      <c r="L217" s="125">
        <f>I217/G217</f>
        <v/>
      </c>
      <c r="M217" s="125" t="n">
        <v>2.09</v>
      </c>
      <c r="N217" s="125" t="n">
        <v>97540</v>
      </c>
      <c r="O217" s="125" t="n">
        <v>3872</v>
      </c>
      <c r="P217" s="125" t="n">
        <v>24.8</v>
      </c>
      <c r="Q217" s="125" t="n">
        <v>4.95</v>
      </c>
      <c r="R217" s="125" t="n">
        <v>3187</v>
      </c>
      <c r="S217" s="125" t="n">
        <v>338</v>
      </c>
      <c r="T217" s="125" t="n">
        <v>3639</v>
      </c>
      <c r="U217" s="125" t="n">
        <v>528</v>
      </c>
      <c r="X217" s="129">
        <f t="array" ref="X217">_xlfn.IFS((D217/F217) &lt;= (640/SQRT($AT$32)), "Compact", L217 &lt;= ($AT$32*(0.79-(0.002*((E217-G217/2)/(2*F217))*SQRT($AT$32)))), "Non-Compact", L217 &gt; ($AT$32*(0.79-(0.002*((E217-G217/2)/(2*F217))*SQRT($AT$32)))), "Slender")</f>
        <v/>
      </c>
      <c r="Y217" s="129">
        <f t="array" ref="Y217">_xlfn.IFS(K217 &lt;= (65/SQRT($AT$32)), "Compact", K217 &lt;= (95/SQRT($AT$32)), "Non-Compact", K217 &gt; (95/SQRT($AT$32)), "Slender")</f>
        <v/>
      </c>
      <c r="Z217" s="125">
        <f>E217/F217</f>
        <v/>
      </c>
      <c r="AA217" s="125">
        <f>D217/G217</f>
        <v/>
      </c>
      <c r="AB217" s="125">
        <f t="array" ref="AB217">_xlfn.IFS(Z217 &lt;= 9, "1", Z217 &lt;= 12, "2", Z217 &lt;= 15, "3", Z217 &gt; 15, "4")</f>
        <v/>
      </c>
      <c r="AC217" s="125">
        <f t="array" ref="AC217">_xlfn.IFS(AA217 &lt;= 200, "1", L217 &lt;= 300, "2", L217 &lt;= 400, "3", L217 &gt; 400, "4")</f>
        <v/>
      </c>
      <c r="AD217" s="129">
        <f>SQRT((((VLOOKUP($AT$4,$A$4:$D$1021,4,FALSE))-D217)^2)+(((VLOOKUP($AT$4,$A$4:$E$1021,5,FALSE))-E217)^2)+(((VLOOKUP($AT$4,$A$4:$N$1021,14,FALSE))-N217)^2)+(((VLOOKUP($AT$4,$A$4:$O$1021,15,FALSE))-O217)^2))</f>
        <v/>
      </c>
      <c r="AG217" s="129">
        <f>SQRT((((VLOOKUP($AT$4,$A$4:$D$1021,4,FALSE))-D217)^2)+(((VLOOKUP($AT$4,$A$4:$E$1021,5,FALSE))-E217)^2)+(((VLOOKUP($AT$4,$A$4:$R$1021,18,FALSE))-R217)^2)+(((VLOOKUP($AT$4,$A$4:$S$1021,19,FALSE))-S217)^2))</f>
        <v/>
      </c>
      <c r="AJ217" s="125" t="inlineStr">
        <is>
          <t>W24X84</t>
        </is>
      </c>
      <c r="AK217" s="125">
        <f>SQRT(((VLOOKUP($AT$4,$A$4:$J$1021,10,FALSE))-J217)^2)</f>
        <v/>
      </c>
      <c r="AL217" s="125" t="n"/>
      <c r="AM217" s="125" t="n"/>
      <c r="AN217" s="125">
        <f>SQRT(((VLOOKUP($AT$4,$A$4:$R$1021,18,FALSE))-R217)^2)</f>
        <v/>
      </c>
      <c r="AO217" s="125" t="n"/>
      <c r="AP217" s="125" t="n"/>
      <c r="AQ217" s="125" t="inlineStr">
        <is>
          <t>W24X84</t>
        </is>
      </c>
      <c r="BB217" s="125">
        <f>SQRT(($J$1022-J217)^2)</f>
        <v/>
      </c>
      <c r="BC217" s="125">
        <f>SQRT(($R$1022-R217)^2)</f>
        <v/>
      </c>
      <c r="BD217" s="125" t="inlineStr">
        <is>
          <t>W24X84</t>
        </is>
      </c>
      <c r="BI217">
        <f>SQRT(($J$1023-J217)^2)</f>
        <v/>
      </c>
      <c r="BJ217">
        <f>SQRT(($R$1023-R217)^2)</f>
        <v/>
      </c>
      <c r="BK217" s="125" t="inlineStr">
        <is>
          <t>W24X84</t>
        </is>
      </c>
      <c r="BP217">
        <f>SQRT(($J$1024-J217)^2)</f>
        <v/>
      </c>
      <c r="BQ217">
        <f>SQRT(($R$1024-R217)^2)</f>
        <v/>
      </c>
      <c r="BR217" s="125" t="inlineStr">
        <is>
          <t>W24X84</t>
        </is>
      </c>
      <c r="BW217">
        <f>SQRT(($J$1025-J217)^2)</f>
        <v/>
      </c>
      <c r="BX217">
        <f>SQRT(($R$1025-R217)^2)</f>
        <v/>
      </c>
      <c r="BY217" s="125" t="inlineStr">
        <is>
          <t>W24X84</t>
        </is>
      </c>
      <c r="CD217">
        <f>SQRT(($J$1026-J217)^2)</f>
        <v/>
      </c>
      <c r="CE217">
        <f>SQRT(($R$1026-R217)^2)</f>
        <v/>
      </c>
      <c r="CF217" s="125" t="inlineStr">
        <is>
          <t>W24X84</t>
        </is>
      </c>
    </row>
    <row r="218">
      <c r="A218" s="125" t="inlineStr">
        <is>
          <t>W24X94</t>
        </is>
      </c>
      <c r="B218" s="129" t="inlineStr">
        <is>
          <t>AISC</t>
        </is>
      </c>
      <c r="C218" s="125" t="n">
        <v>139.9</v>
      </c>
      <c r="D218" s="125" t="n">
        <v>617.2</v>
      </c>
      <c r="E218" s="125" t="n">
        <v>230.2</v>
      </c>
      <c r="F218" s="125" t="n">
        <v>22.1</v>
      </c>
      <c r="G218" s="125" t="n">
        <v>13.1</v>
      </c>
      <c r="H218" s="125" t="n">
        <v>12.7</v>
      </c>
      <c r="I218" s="125" t="n">
        <v>547.6</v>
      </c>
      <c r="J218" s="125" t="n">
        <v>178</v>
      </c>
      <c r="K218" s="125">
        <f>((E218-G218)/2)/F218</f>
        <v/>
      </c>
      <c r="L218" s="125">
        <f>I218/G218</f>
        <v/>
      </c>
      <c r="M218" s="125" t="n">
        <v>2.11</v>
      </c>
      <c r="N218" s="125" t="n">
        <v>111800</v>
      </c>
      <c r="O218" s="125" t="n">
        <v>4505</v>
      </c>
      <c r="P218" s="125" t="n">
        <v>25</v>
      </c>
      <c r="Q218" s="125" t="n">
        <v>5.03</v>
      </c>
      <c r="R218" s="125" t="n">
        <v>3622</v>
      </c>
      <c r="S218" s="125" t="n">
        <v>391</v>
      </c>
      <c r="T218" s="125" t="n">
        <v>4142</v>
      </c>
      <c r="U218" s="125" t="n">
        <v>611</v>
      </c>
      <c r="X218" s="129">
        <f t="array" ref="X218">_xlfn.IFS((D218/F218) &lt;= (640/SQRT($AT$32)), "Compact", L218 &lt;= ($AT$32*(0.79-(0.002*((E218-G218/2)/(2*F218))*SQRT($AT$32)))), "Non-Compact", L218 &gt; ($AT$32*(0.79-(0.002*((E218-G218/2)/(2*F218))*SQRT($AT$32)))), "Slender")</f>
        <v/>
      </c>
      <c r="Y218" s="129">
        <f t="array" ref="Y218">_xlfn.IFS(K218 &lt;= (65/SQRT($AT$32)), "Compact", K218 &lt;= (95/SQRT($AT$32)), "Non-Compact", K218 &gt; (95/SQRT($AT$32)), "Slender")</f>
        <v/>
      </c>
      <c r="Z218" s="125">
        <f>E218/F218</f>
        <v/>
      </c>
      <c r="AA218" s="125">
        <f>D218/G218</f>
        <v/>
      </c>
      <c r="AB218" s="125">
        <f t="array" ref="AB218">_xlfn.IFS(Z218 &lt;= 9, "1", Z218 &lt;= 12, "2", Z218 &lt;= 15, "3", Z218 &gt; 15, "4")</f>
        <v/>
      </c>
      <c r="AC218" s="125">
        <f t="array" ref="AC218">_xlfn.IFS(AA218 &lt;= 200, "1", L218 &lt;= 300, "2", L218 &lt;= 400, "3", L218 &gt; 400, "4")</f>
        <v/>
      </c>
      <c r="AD218" s="129">
        <f>SQRT((((VLOOKUP($AT$4,$A$4:$D$1021,4,FALSE))-D218)^2)+(((VLOOKUP($AT$4,$A$4:$E$1021,5,FALSE))-E218)^2)+(((VLOOKUP($AT$4,$A$4:$N$1021,14,FALSE))-N218)^2)+(((VLOOKUP($AT$4,$A$4:$O$1021,15,FALSE))-O218)^2))</f>
        <v/>
      </c>
      <c r="AG218" s="129">
        <f>SQRT((((VLOOKUP($AT$4,$A$4:$D$1021,4,FALSE))-D218)^2)+(((VLOOKUP($AT$4,$A$4:$E$1021,5,FALSE))-E218)^2)+(((VLOOKUP($AT$4,$A$4:$R$1021,18,FALSE))-R218)^2)+(((VLOOKUP($AT$4,$A$4:$S$1021,19,FALSE))-S218)^2))</f>
        <v/>
      </c>
      <c r="AJ218" s="125" t="inlineStr">
        <is>
          <t>W24X94</t>
        </is>
      </c>
      <c r="AK218" s="125">
        <f>SQRT(((VLOOKUP($AT$4,$A$4:$J$1021,10,FALSE))-J218)^2)</f>
        <v/>
      </c>
      <c r="AL218" s="125" t="n"/>
      <c r="AM218" s="125" t="n"/>
      <c r="AN218" s="125">
        <f>SQRT(((VLOOKUP($AT$4,$A$4:$R$1021,18,FALSE))-R218)^2)</f>
        <v/>
      </c>
      <c r="AO218" s="125" t="n"/>
      <c r="AP218" s="125" t="n"/>
      <c r="AQ218" s="125" t="inlineStr">
        <is>
          <t>W24X94</t>
        </is>
      </c>
      <c r="BB218" s="125">
        <f>SQRT(($J$1022-J218)^2)</f>
        <v/>
      </c>
      <c r="BC218" s="125">
        <f>SQRT(($R$1022-R218)^2)</f>
        <v/>
      </c>
      <c r="BD218" s="125" t="inlineStr">
        <is>
          <t>W24X94</t>
        </is>
      </c>
      <c r="BI218">
        <f>SQRT(($J$1023-J218)^2)</f>
        <v/>
      </c>
      <c r="BJ218">
        <f>SQRT(($R$1023-R218)^2)</f>
        <v/>
      </c>
      <c r="BK218" s="125" t="inlineStr">
        <is>
          <t>W24X94</t>
        </is>
      </c>
      <c r="BP218">
        <f>SQRT(($J$1024-J218)^2)</f>
        <v/>
      </c>
      <c r="BQ218">
        <f>SQRT(($R$1024-R218)^2)</f>
        <v/>
      </c>
      <c r="BR218" s="125" t="inlineStr">
        <is>
          <t>W24X94</t>
        </is>
      </c>
      <c r="BW218">
        <f>SQRT(($J$1025-J218)^2)</f>
        <v/>
      </c>
      <c r="BX218">
        <f>SQRT(($R$1025-R218)^2)</f>
        <v/>
      </c>
      <c r="BY218" s="125" t="inlineStr">
        <is>
          <t>W24X94</t>
        </is>
      </c>
      <c r="CD218">
        <f>SQRT(($J$1026-J218)^2)</f>
        <v/>
      </c>
      <c r="CE218">
        <f>SQRT(($R$1026-R218)^2)</f>
        <v/>
      </c>
      <c r="CF218" s="125" t="inlineStr">
        <is>
          <t>W24X94</t>
        </is>
      </c>
    </row>
    <row r="219">
      <c r="A219" s="125" t="inlineStr">
        <is>
          <t>W24X103</t>
        </is>
      </c>
      <c r="B219" s="129" t="inlineStr">
        <is>
          <t>AISC</t>
        </is>
      </c>
      <c r="C219" s="125" t="n">
        <v>153</v>
      </c>
      <c r="D219" s="125" t="n">
        <v>623.1</v>
      </c>
      <c r="E219" s="125" t="n">
        <v>228.6</v>
      </c>
      <c r="F219" s="125" t="n">
        <v>24.9</v>
      </c>
      <c r="G219" s="125" t="n">
        <v>14</v>
      </c>
      <c r="H219" s="125" t="n">
        <v>12.7</v>
      </c>
      <c r="I219" s="125" t="n">
        <v>547.9</v>
      </c>
      <c r="J219" s="125" t="n">
        <v>195</v>
      </c>
      <c r="K219" s="125">
        <f>((E219-G219)/2)/F219</f>
        <v/>
      </c>
      <c r="L219" s="125">
        <f>I219/G219</f>
        <v/>
      </c>
      <c r="M219" s="125" t="n">
        <v>2.11</v>
      </c>
      <c r="N219" s="125" t="n">
        <v>125000</v>
      </c>
      <c r="O219" s="125" t="n">
        <v>4972</v>
      </c>
      <c r="P219" s="125" t="n">
        <v>25.3</v>
      </c>
      <c r="Q219" s="125" t="n">
        <v>5.04</v>
      </c>
      <c r="R219" s="125" t="n">
        <v>4012</v>
      </c>
      <c r="S219" s="125" t="n">
        <v>435</v>
      </c>
      <c r="T219" s="125" t="n">
        <v>4595</v>
      </c>
      <c r="U219" s="125" t="n">
        <v>680</v>
      </c>
      <c r="X219" s="129">
        <f t="array" ref="X219">_xlfn.IFS((D219/F219) &lt;= (640/SQRT($AT$32)), "Compact", L219 &lt;= ($AT$32*(0.79-(0.002*((E219-G219/2)/(2*F219))*SQRT($AT$32)))), "Non-Compact", L219 &gt; ($AT$32*(0.79-(0.002*((E219-G219/2)/(2*F219))*SQRT($AT$32)))), "Slender")</f>
        <v/>
      </c>
      <c r="Y219" s="129">
        <f t="array" ref="Y219">_xlfn.IFS(K219 &lt;= (65/SQRT($AT$32)), "Compact", K219 &lt;= (95/SQRT($AT$32)), "Non-Compact", K219 &gt; (95/SQRT($AT$32)), "Slender")</f>
        <v/>
      </c>
      <c r="Z219" s="125">
        <f>E219/F219</f>
        <v/>
      </c>
      <c r="AA219" s="125">
        <f>D219/G219</f>
        <v/>
      </c>
      <c r="AB219" s="125">
        <f t="array" ref="AB219">_xlfn.IFS(Z219 &lt;= 9, "1", Z219 &lt;= 12, "2", Z219 &lt;= 15, "3", Z219 &gt; 15, "4")</f>
        <v/>
      </c>
      <c r="AC219" s="125">
        <f t="array" ref="AC219">_xlfn.IFS(AA219 &lt;= 200, "1", L219 &lt;= 300, "2", L219 &lt;= 400, "3", L219 &gt; 400, "4")</f>
        <v/>
      </c>
      <c r="AD219" s="129">
        <f>SQRT((((VLOOKUP($AT$4,$A$4:$D$1021,4,FALSE))-D219)^2)+(((VLOOKUP($AT$4,$A$4:$E$1021,5,FALSE))-E219)^2)+(((VLOOKUP($AT$4,$A$4:$N$1021,14,FALSE))-N219)^2)+(((VLOOKUP($AT$4,$A$4:$O$1021,15,FALSE))-O219)^2))</f>
        <v/>
      </c>
      <c r="AG219" s="129">
        <f>SQRT((((VLOOKUP($AT$4,$A$4:$D$1021,4,FALSE))-D219)^2)+(((VLOOKUP($AT$4,$A$4:$E$1021,5,FALSE))-E219)^2)+(((VLOOKUP($AT$4,$A$4:$R$1021,18,FALSE))-R219)^2)+(((VLOOKUP($AT$4,$A$4:$S$1021,19,FALSE))-S219)^2))</f>
        <v/>
      </c>
      <c r="AJ219" s="125" t="inlineStr">
        <is>
          <t>W24X103</t>
        </is>
      </c>
      <c r="AK219" s="125">
        <f>SQRT(((VLOOKUP($AT$4,$A$4:$J$1021,10,FALSE))-J219)^2)</f>
        <v/>
      </c>
      <c r="AL219" s="125" t="n"/>
      <c r="AM219" s="125" t="n"/>
      <c r="AN219" s="125">
        <f>SQRT(((VLOOKUP($AT$4,$A$4:$R$1021,18,FALSE))-R219)^2)</f>
        <v/>
      </c>
      <c r="AO219" s="125" t="n"/>
      <c r="AP219" s="125" t="n"/>
      <c r="AQ219" s="125" t="inlineStr">
        <is>
          <t>W24X103</t>
        </is>
      </c>
      <c r="BB219" s="125">
        <f>SQRT(($J$1022-J219)^2)</f>
        <v/>
      </c>
      <c r="BC219" s="125">
        <f>SQRT(($R$1022-R219)^2)</f>
        <v/>
      </c>
      <c r="BD219" s="125" t="inlineStr">
        <is>
          <t>W24X103</t>
        </is>
      </c>
      <c r="BI219">
        <f>SQRT(($J$1023-J219)^2)</f>
        <v/>
      </c>
      <c r="BJ219">
        <f>SQRT(($R$1023-R219)^2)</f>
        <v/>
      </c>
      <c r="BK219" s="125" t="inlineStr">
        <is>
          <t>W24X103</t>
        </is>
      </c>
      <c r="BP219">
        <f>SQRT(($J$1024-J219)^2)</f>
        <v/>
      </c>
      <c r="BQ219">
        <f>SQRT(($R$1024-R219)^2)</f>
        <v/>
      </c>
      <c r="BR219" s="125" t="inlineStr">
        <is>
          <t>W24X103</t>
        </is>
      </c>
      <c r="BW219">
        <f>SQRT(($J$1025-J219)^2)</f>
        <v/>
      </c>
      <c r="BX219">
        <f>SQRT(($R$1025-R219)^2)</f>
        <v/>
      </c>
      <c r="BY219" s="125" t="inlineStr">
        <is>
          <t>W24X103</t>
        </is>
      </c>
      <c r="CD219">
        <f>SQRT(($J$1026-J219)^2)</f>
        <v/>
      </c>
      <c r="CE219">
        <f>SQRT(($R$1026-R219)^2)</f>
        <v/>
      </c>
      <c r="CF219" s="125" t="inlineStr">
        <is>
          <t>W24X103</t>
        </is>
      </c>
    </row>
    <row r="220">
      <c r="A220" s="125" t="inlineStr">
        <is>
          <t>W24X114</t>
        </is>
      </c>
      <c r="B220" s="129" t="inlineStr">
        <is>
          <t>AISC</t>
        </is>
      </c>
      <c r="C220" s="125" t="n">
        <v>171</v>
      </c>
      <c r="D220" s="125" t="n">
        <v>628.9</v>
      </c>
      <c r="E220" s="125" t="n">
        <v>229.9</v>
      </c>
      <c r="F220" s="125" t="n">
        <v>27.9</v>
      </c>
      <c r="G220" s="125" t="n">
        <v>15.5</v>
      </c>
      <c r="H220" s="125" t="n">
        <v>12.7</v>
      </c>
      <c r="I220" s="125" t="n">
        <v>547.7</v>
      </c>
      <c r="J220" s="125" t="n">
        <v>218</v>
      </c>
      <c r="K220" s="125">
        <f>((E220-G220)/2)/F220</f>
        <v/>
      </c>
      <c r="L220" s="125">
        <f>I220/G220</f>
        <v/>
      </c>
      <c r="M220" s="125" t="n">
        <v>2.12</v>
      </c>
      <c r="N220" s="125" t="n">
        <v>141400</v>
      </c>
      <c r="O220" s="125" t="n">
        <v>5670</v>
      </c>
      <c r="P220" s="125" t="n">
        <v>25.4</v>
      </c>
      <c r="Q220" s="125" t="n">
        <v>5.09</v>
      </c>
      <c r="R220" s="125" t="n">
        <v>4495</v>
      </c>
      <c r="S220" s="125" t="n">
        <v>493</v>
      </c>
      <c r="T220" s="125" t="n">
        <v>5167</v>
      </c>
      <c r="U220" s="125" t="n">
        <v>773</v>
      </c>
      <c r="X220" s="129">
        <f t="array" ref="X220">_xlfn.IFS((D220/F220) &lt;= (640/SQRT($AT$32)), "Compact", L220 &lt;= ($AT$32*(0.79-(0.002*((E220-G220/2)/(2*F220))*SQRT($AT$32)))), "Non-Compact", L220 &gt; ($AT$32*(0.79-(0.002*((E220-G220/2)/(2*F220))*SQRT($AT$32)))), "Slender")</f>
        <v/>
      </c>
      <c r="Y220" s="129">
        <f t="array" ref="Y220">_xlfn.IFS(K220 &lt;= (65/SQRT($AT$32)), "Compact", K220 &lt;= (95/SQRT($AT$32)), "Non-Compact", K220 &gt; (95/SQRT($AT$32)), "Slender")</f>
        <v/>
      </c>
      <c r="Z220" s="125">
        <f>E220/F220</f>
        <v/>
      </c>
      <c r="AA220" s="125">
        <f>D220/G220</f>
        <v/>
      </c>
      <c r="AB220" s="125">
        <f t="array" ref="AB220">_xlfn.IFS(Z220 &lt;= 9, "1", Z220 &lt;= 12, "2", Z220 &lt;= 15, "3", Z220 &gt; 15, "4")</f>
        <v/>
      </c>
      <c r="AC220" s="125">
        <f t="array" ref="AC220">_xlfn.IFS(AA220 &lt;= 200, "1", L220 &lt;= 300, "2", L220 &lt;= 400, "3", L220 &gt; 400, "4")</f>
        <v/>
      </c>
      <c r="AD220" s="129">
        <f>SQRT((((VLOOKUP($AT$4,$A$4:$D$1021,4,FALSE))-D220)^2)+(((VLOOKUP($AT$4,$A$4:$E$1021,5,FALSE))-E220)^2)+(((VLOOKUP($AT$4,$A$4:$N$1021,14,FALSE))-N220)^2)+(((VLOOKUP($AT$4,$A$4:$O$1021,15,FALSE))-O220)^2))</f>
        <v/>
      </c>
      <c r="AG220" s="129">
        <f>SQRT((((VLOOKUP($AT$4,$A$4:$D$1021,4,FALSE))-D220)^2)+(((VLOOKUP($AT$4,$A$4:$E$1021,5,FALSE))-E220)^2)+(((VLOOKUP($AT$4,$A$4:$R$1021,18,FALSE))-R220)^2)+(((VLOOKUP($AT$4,$A$4:$S$1021,19,FALSE))-S220)^2))</f>
        <v/>
      </c>
      <c r="AJ220" s="125" t="inlineStr">
        <is>
          <t>W24X114</t>
        </is>
      </c>
      <c r="AK220" s="125">
        <f>SQRT(((VLOOKUP($AT$4,$A$4:$J$1021,10,FALSE))-J220)^2)</f>
        <v/>
      </c>
      <c r="AL220" s="125" t="n"/>
      <c r="AM220" s="125" t="n"/>
      <c r="AN220" s="125">
        <f>SQRT(((VLOOKUP($AT$4,$A$4:$R$1021,18,FALSE))-R220)^2)</f>
        <v/>
      </c>
      <c r="AO220" s="125" t="n"/>
      <c r="AP220" s="125" t="n"/>
      <c r="AQ220" s="125" t="inlineStr">
        <is>
          <t>W24X114</t>
        </is>
      </c>
      <c r="BB220" s="125">
        <f>SQRT(($J$1022-J220)^2)</f>
        <v/>
      </c>
      <c r="BC220" s="125">
        <f>SQRT(($R$1022-R220)^2)</f>
        <v/>
      </c>
      <c r="BD220" s="125" t="inlineStr">
        <is>
          <t>W24X114</t>
        </is>
      </c>
      <c r="BI220">
        <f>SQRT(($J$1023-J220)^2)</f>
        <v/>
      </c>
      <c r="BJ220">
        <f>SQRT(($R$1023-R220)^2)</f>
        <v/>
      </c>
      <c r="BK220" s="125" t="inlineStr">
        <is>
          <t>W24X114</t>
        </is>
      </c>
      <c r="BP220">
        <f>SQRT(($J$1024-J220)^2)</f>
        <v/>
      </c>
      <c r="BQ220">
        <f>SQRT(($R$1024-R220)^2)</f>
        <v/>
      </c>
      <c r="BR220" s="125" t="inlineStr">
        <is>
          <t>W24X114</t>
        </is>
      </c>
      <c r="BW220">
        <f>SQRT(($J$1025-J220)^2)</f>
        <v/>
      </c>
      <c r="BX220">
        <f>SQRT(($R$1025-R220)^2)</f>
        <v/>
      </c>
      <c r="BY220" s="125" t="inlineStr">
        <is>
          <t>W24X114</t>
        </is>
      </c>
      <c r="CD220">
        <f>SQRT(($J$1026-J220)^2)</f>
        <v/>
      </c>
      <c r="CE220">
        <f>SQRT(($R$1026-R220)^2)</f>
        <v/>
      </c>
      <c r="CF220" s="125" t="inlineStr">
        <is>
          <t>W24X114</t>
        </is>
      </c>
    </row>
    <row r="221">
      <c r="A221" s="125" t="inlineStr">
        <is>
          <t>W24X128</t>
        </is>
      </c>
      <c r="B221" s="129" t="inlineStr">
        <is>
          <t>AISC</t>
        </is>
      </c>
      <c r="C221" s="125" t="n">
        <v>191</v>
      </c>
      <c r="D221" s="125" t="n">
        <v>635</v>
      </c>
      <c r="E221" s="125" t="n">
        <v>231.5</v>
      </c>
      <c r="F221" s="125" t="n">
        <v>30.9</v>
      </c>
      <c r="G221" s="125" t="n">
        <v>17</v>
      </c>
      <c r="H221" s="125" t="n">
        <v>12.7</v>
      </c>
      <c r="I221" s="125" t="n">
        <v>547.8</v>
      </c>
      <c r="J221" s="125" t="n">
        <v>242</v>
      </c>
      <c r="K221" s="125">
        <f>((E221-G221)/2)/F221</f>
        <v/>
      </c>
      <c r="L221" s="125">
        <f>I221/G221</f>
        <v/>
      </c>
      <c r="M221" s="125" t="n">
        <v>2.14</v>
      </c>
      <c r="N221" s="125" t="n">
        <v>158400</v>
      </c>
      <c r="O221" s="125" t="n">
        <v>6415</v>
      </c>
      <c r="P221" s="125" t="n">
        <v>25.6</v>
      </c>
      <c r="Q221" s="125" t="n">
        <v>5.15</v>
      </c>
      <c r="R221" s="125" t="n">
        <v>4990</v>
      </c>
      <c r="S221" s="125" t="n">
        <v>554</v>
      </c>
      <c r="T221" s="125" t="n">
        <v>5757</v>
      </c>
      <c r="U221" s="125" t="n">
        <v>871</v>
      </c>
      <c r="X221" s="129">
        <f t="array" ref="X221">_xlfn.IFS((D221/F221) &lt;= (640/SQRT($AT$32)), "Compact", L221 &lt;= ($AT$32*(0.79-(0.002*((E221-G221/2)/(2*F221))*SQRT($AT$32)))), "Non-Compact", L221 &gt; ($AT$32*(0.79-(0.002*((E221-G221/2)/(2*F221))*SQRT($AT$32)))), "Slender")</f>
        <v/>
      </c>
      <c r="Y221" s="129">
        <f t="array" ref="Y221">_xlfn.IFS(K221 &lt;= (65/SQRT($AT$32)), "Compact", K221 &lt;= (95/SQRT($AT$32)), "Non-Compact", K221 &gt; (95/SQRT($AT$32)), "Slender")</f>
        <v/>
      </c>
      <c r="Z221" s="125">
        <f>E221/F221</f>
        <v/>
      </c>
      <c r="AA221" s="125">
        <f>D221/G221</f>
        <v/>
      </c>
      <c r="AB221" s="125">
        <f t="array" ref="AB221">_xlfn.IFS(Z221 &lt;= 9, "1", Z221 &lt;= 12, "2", Z221 &lt;= 15, "3", Z221 &gt; 15, "4")</f>
        <v/>
      </c>
      <c r="AC221" s="125">
        <f t="array" ref="AC221">_xlfn.IFS(AA221 &lt;= 200, "1", L221 &lt;= 300, "2", L221 &lt;= 400, "3", L221 &gt; 400, "4")</f>
        <v/>
      </c>
      <c r="AD221" s="129">
        <f>SQRT((((VLOOKUP($AT$4,$A$4:$D$1021,4,FALSE))-D221)^2)+(((VLOOKUP($AT$4,$A$4:$E$1021,5,FALSE))-E221)^2)+(((VLOOKUP($AT$4,$A$4:$N$1021,14,FALSE))-N221)^2)+(((VLOOKUP($AT$4,$A$4:$O$1021,15,FALSE))-O221)^2))</f>
        <v/>
      </c>
      <c r="AG221" s="129">
        <f>SQRT((((VLOOKUP($AT$4,$A$4:$D$1021,4,FALSE))-D221)^2)+(((VLOOKUP($AT$4,$A$4:$E$1021,5,FALSE))-E221)^2)+(((VLOOKUP($AT$4,$A$4:$R$1021,18,FALSE))-R221)^2)+(((VLOOKUP($AT$4,$A$4:$S$1021,19,FALSE))-S221)^2))</f>
        <v/>
      </c>
      <c r="AJ221" s="125" t="inlineStr">
        <is>
          <t>W24X128</t>
        </is>
      </c>
      <c r="AK221" s="125">
        <f>SQRT(((VLOOKUP($AT$4,$A$4:$J$1021,10,FALSE))-J221)^2)</f>
        <v/>
      </c>
      <c r="AL221" s="125" t="n"/>
      <c r="AM221" s="125" t="n"/>
      <c r="AN221" s="125">
        <f>SQRT(((VLOOKUP($AT$4,$A$4:$R$1021,18,FALSE))-R221)^2)</f>
        <v/>
      </c>
      <c r="AO221" s="125" t="n"/>
      <c r="AP221" s="125" t="n"/>
      <c r="AQ221" s="125" t="inlineStr">
        <is>
          <t>W24X128</t>
        </is>
      </c>
      <c r="BB221" s="125">
        <f>SQRT(($J$1022-J221)^2)</f>
        <v/>
      </c>
      <c r="BC221" s="125">
        <f>SQRT(($R$1022-R221)^2)</f>
        <v/>
      </c>
      <c r="BD221" s="125" t="inlineStr">
        <is>
          <t>W24X128</t>
        </is>
      </c>
      <c r="BI221">
        <f>SQRT(($J$1023-J221)^2)</f>
        <v/>
      </c>
      <c r="BJ221">
        <f>SQRT(($R$1023-R221)^2)</f>
        <v/>
      </c>
      <c r="BK221" s="125" t="inlineStr">
        <is>
          <t>W24X128</t>
        </is>
      </c>
      <c r="BP221">
        <f>SQRT(($J$1024-J221)^2)</f>
        <v/>
      </c>
      <c r="BQ221">
        <f>SQRT(($R$1024-R221)^2)</f>
        <v/>
      </c>
      <c r="BR221" s="125" t="inlineStr">
        <is>
          <t>W24X128</t>
        </is>
      </c>
      <c r="BW221">
        <f>SQRT(($J$1025-J221)^2)</f>
        <v/>
      </c>
      <c r="BX221">
        <f>SQRT(($R$1025-R221)^2)</f>
        <v/>
      </c>
      <c r="BY221" s="125" t="inlineStr">
        <is>
          <t>W24X128</t>
        </is>
      </c>
      <c r="CD221">
        <f>SQRT(($J$1026-J221)^2)</f>
        <v/>
      </c>
      <c r="CE221">
        <f>SQRT(($R$1026-R221)^2)</f>
        <v/>
      </c>
      <c r="CF221" s="125" t="inlineStr">
        <is>
          <t>W24X128</t>
        </is>
      </c>
    </row>
    <row r="222">
      <c r="A222" s="125" t="inlineStr">
        <is>
          <t>W24X146</t>
        </is>
      </c>
      <c r="B222" s="129" t="inlineStr">
        <is>
          <t>AISC</t>
        </is>
      </c>
      <c r="C222" s="125" t="n">
        <v>217</v>
      </c>
      <c r="D222" s="125" t="n">
        <v>643.1</v>
      </c>
      <c r="E222" s="125" t="n">
        <v>234.1</v>
      </c>
      <c r="F222" s="125" t="n">
        <v>35.1</v>
      </c>
      <c r="G222" s="125" t="n">
        <v>19.6</v>
      </c>
      <c r="H222" s="125" t="n">
        <v>12.7</v>
      </c>
      <c r="I222" s="125" t="n">
        <v>547.5</v>
      </c>
      <c r="J222" s="125" t="n">
        <v>278</v>
      </c>
      <c r="K222" s="125">
        <f>((E222-G222)/2)/F222</f>
        <v/>
      </c>
      <c r="L222" s="125">
        <f>I222/G222</f>
        <v/>
      </c>
      <c r="M222" s="125" t="n">
        <v>2.16</v>
      </c>
      <c r="N222" s="125" t="n">
        <v>183900</v>
      </c>
      <c r="O222" s="125" t="n">
        <v>7544</v>
      </c>
      <c r="P222" s="125" t="n">
        <v>25.7</v>
      </c>
      <c r="Q222" s="125" t="n">
        <v>5.21</v>
      </c>
      <c r="R222" s="125" t="n">
        <v>5718</v>
      </c>
      <c r="S222" s="125" t="n">
        <v>644</v>
      </c>
      <c r="T222" s="125" t="n">
        <v>6643</v>
      </c>
      <c r="U222" s="125" t="n">
        <v>1019</v>
      </c>
      <c r="X222" s="129">
        <f t="array" ref="X222">_xlfn.IFS((D222/F222) &lt;= (640/SQRT($AT$32)), "Compact", L222 &lt;= ($AT$32*(0.79-(0.002*((E222-G222/2)/(2*F222))*SQRT($AT$32)))), "Non-Compact", L222 &gt; ($AT$32*(0.79-(0.002*((E222-G222/2)/(2*F222))*SQRT($AT$32)))), "Slender")</f>
        <v/>
      </c>
      <c r="Y222" s="129">
        <f t="array" ref="Y222">_xlfn.IFS(K222 &lt;= (65/SQRT($AT$32)), "Compact", K222 &lt;= (95/SQRT($AT$32)), "Non-Compact", K222 &gt; (95/SQRT($AT$32)), "Slender")</f>
        <v/>
      </c>
      <c r="Z222" s="125">
        <f>E222/F222</f>
        <v/>
      </c>
      <c r="AA222" s="125">
        <f>D222/G222</f>
        <v/>
      </c>
      <c r="AB222" s="125">
        <f t="array" ref="AB222">_xlfn.IFS(Z222 &lt;= 9, "1", Z222 &lt;= 12, "2", Z222 &lt;= 15, "3", Z222 &gt; 15, "4")</f>
        <v/>
      </c>
      <c r="AC222" s="125">
        <f t="array" ref="AC222">_xlfn.IFS(AA222 &lt;= 200, "1", L222 &lt;= 300, "2", L222 &lt;= 400, "3", L222 &gt; 400, "4")</f>
        <v/>
      </c>
      <c r="AD222" s="129">
        <f>SQRT((((VLOOKUP($AT$4,$A$4:$D$1021,4,FALSE))-D222)^2)+(((VLOOKUP($AT$4,$A$4:$E$1021,5,FALSE))-E222)^2)+(((VLOOKUP($AT$4,$A$4:$N$1021,14,FALSE))-N222)^2)+(((VLOOKUP($AT$4,$A$4:$O$1021,15,FALSE))-O222)^2))</f>
        <v/>
      </c>
      <c r="AG222" s="129">
        <f>SQRT((((VLOOKUP($AT$4,$A$4:$D$1021,4,FALSE))-D222)^2)+(((VLOOKUP($AT$4,$A$4:$E$1021,5,FALSE))-E222)^2)+(((VLOOKUP($AT$4,$A$4:$R$1021,18,FALSE))-R222)^2)+(((VLOOKUP($AT$4,$A$4:$S$1021,19,FALSE))-S222)^2))</f>
        <v/>
      </c>
      <c r="AJ222" s="125" t="inlineStr">
        <is>
          <t>W24X146</t>
        </is>
      </c>
      <c r="AK222" s="125">
        <f>SQRT(((VLOOKUP($AT$4,$A$4:$J$1021,10,FALSE))-J222)^2)</f>
        <v/>
      </c>
      <c r="AL222" s="125" t="n"/>
      <c r="AM222" s="125" t="n"/>
      <c r="AN222" s="125">
        <f>SQRT(((VLOOKUP($AT$4,$A$4:$R$1021,18,FALSE))-R222)^2)</f>
        <v/>
      </c>
      <c r="AO222" s="125" t="n"/>
      <c r="AP222" s="125" t="n"/>
      <c r="AQ222" s="125" t="inlineStr">
        <is>
          <t>W24X146</t>
        </is>
      </c>
      <c r="BB222" s="125">
        <f>SQRT(($J$1022-J222)^2)</f>
        <v/>
      </c>
      <c r="BC222" s="125">
        <f>SQRT(($R$1022-R222)^2)</f>
        <v/>
      </c>
      <c r="BD222" s="125" t="inlineStr">
        <is>
          <t>W24X146</t>
        </is>
      </c>
      <c r="BI222">
        <f>SQRT(($J$1023-J222)^2)</f>
        <v/>
      </c>
      <c r="BJ222">
        <f>SQRT(($R$1023-R222)^2)</f>
        <v/>
      </c>
      <c r="BK222" s="125" t="inlineStr">
        <is>
          <t>W24X146</t>
        </is>
      </c>
      <c r="BP222">
        <f>SQRT(($J$1024-J222)^2)</f>
        <v/>
      </c>
      <c r="BQ222">
        <f>SQRT(($R$1024-R222)^2)</f>
        <v/>
      </c>
      <c r="BR222" s="125" t="inlineStr">
        <is>
          <t>W24X146</t>
        </is>
      </c>
      <c r="BW222">
        <f>SQRT(($J$1025-J222)^2)</f>
        <v/>
      </c>
      <c r="BX222">
        <f>SQRT(($R$1025-R222)^2)</f>
        <v/>
      </c>
      <c r="BY222" s="125" t="inlineStr">
        <is>
          <t>W24X146</t>
        </is>
      </c>
      <c r="CD222">
        <f>SQRT(($J$1026-J222)^2)</f>
        <v/>
      </c>
      <c r="CE222">
        <f>SQRT(($R$1026-R222)^2)</f>
        <v/>
      </c>
      <c r="CF222" s="125" t="inlineStr">
        <is>
          <t>W24X146</t>
        </is>
      </c>
    </row>
    <row r="223">
      <c r="A223" s="125" t="inlineStr">
        <is>
          <t>W24X163</t>
        </is>
      </c>
      <c r="B223" s="129" t="inlineStr">
        <is>
          <t>AISC</t>
        </is>
      </c>
      <c r="C223" s="125" t="n">
        <v>243</v>
      </c>
      <c r="D223" s="125" t="n">
        <v>651</v>
      </c>
      <c r="E223" s="125" t="n">
        <v>235.9</v>
      </c>
      <c r="F223" s="125" t="n">
        <v>39.1</v>
      </c>
      <c r="G223" s="125" t="n">
        <v>21.6</v>
      </c>
      <c r="H223" s="125" t="n">
        <v>12.7</v>
      </c>
      <c r="I223" s="125" t="n">
        <v>547.4</v>
      </c>
      <c r="J223" s="125" t="n">
        <v>310</v>
      </c>
      <c r="K223" s="125">
        <f>((E223-G223)/2)/F223</f>
        <v/>
      </c>
      <c r="L223" s="125">
        <f>I223/G223</f>
        <v/>
      </c>
      <c r="M223" s="125" t="n">
        <v>2.18</v>
      </c>
      <c r="N223" s="125" t="n">
        <v>207900</v>
      </c>
      <c r="O223" s="125" t="n">
        <v>8606</v>
      </c>
      <c r="P223" s="125" t="n">
        <v>25.9</v>
      </c>
      <c r="Q223" s="125" t="n">
        <v>5.27</v>
      </c>
      <c r="R223" s="125" t="n">
        <v>6386</v>
      </c>
      <c r="S223" s="125" t="n">
        <v>730</v>
      </c>
      <c r="T223" s="125" t="n">
        <v>7455</v>
      </c>
      <c r="U223" s="125" t="n">
        <v>1157</v>
      </c>
      <c r="X223" s="129">
        <f t="array" ref="X223">_xlfn.IFS((D223/F223) &lt;= (640/SQRT($AT$32)), "Compact", L223 &lt;= ($AT$32*(0.79-(0.002*((E223-G223/2)/(2*F223))*SQRT($AT$32)))), "Non-Compact", L223 &gt; ($AT$32*(0.79-(0.002*((E223-G223/2)/(2*F223))*SQRT($AT$32)))), "Slender")</f>
        <v/>
      </c>
      <c r="Y223" s="129">
        <f t="array" ref="Y223">_xlfn.IFS(K223 &lt;= (65/SQRT($AT$32)), "Compact", K223 &lt;= (95/SQRT($AT$32)), "Non-Compact", K223 &gt; (95/SQRT($AT$32)), "Slender")</f>
        <v/>
      </c>
      <c r="Z223" s="125">
        <f>E223/F223</f>
        <v/>
      </c>
      <c r="AA223" s="125">
        <f>D223/G223</f>
        <v/>
      </c>
      <c r="AB223" s="125">
        <f t="array" ref="AB223">_xlfn.IFS(Z223 &lt;= 9, "1", Z223 &lt;= 12, "2", Z223 &lt;= 15, "3", Z223 &gt; 15, "4")</f>
        <v/>
      </c>
      <c r="AC223" s="125">
        <f t="array" ref="AC223">_xlfn.IFS(AA223 &lt;= 200, "1", L223 &lt;= 300, "2", L223 &lt;= 400, "3", L223 &gt; 400, "4")</f>
        <v/>
      </c>
      <c r="AD223" s="129">
        <f>SQRT((((VLOOKUP($AT$4,$A$4:$D$1021,4,FALSE))-D223)^2)+(((VLOOKUP($AT$4,$A$4:$E$1021,5,FALSE))-E223)^2)+(((VLOOKUP($AT$4,$A$4:$N$1021,14,FALSE))-N223)^2)+(((VLOOKUP($AT$4,$A$4:$O$1021,15,FALSE))-O223)^2))</f>
        <v/>
      </c>
      <c r="AG223" s="129">
        <f>SQRT((((VLOOKUP($AT$4,$A$4:$D$1021,4,FALSE))-D223)^2)+(((VLOOKUP($AT$4,$A$4:$E$1021,5,FALSE))-E223)^2)+(((VLOOKUP($AT$4,$A$4:$R$1021,18,FALSE))-R223)^2)+(((VLOOKUP($AT$4,$A$4:$S$1021,19,FALSE))-S223)^2))</f>
        <v/>
      </c>
      <c r="AJ223" s="125" t="inlineStr">
        <is>
          <t>W24X163</t>
        </is>
      </c>
      <c r="AK223" s="125">
        <f>SQRT(((VLOOKUP($AT$4,$A$4:$J$1021,10,FALSE))-J223)^2)</f>
        <v/>
      </c>
      <c r="AL223" s="125" t="n"/>
      <c r="AM223" s="125" t="n"/>
      <c r="AN223" s="125">
        <f>SQRT(((VLOOKUP($AT$4,$A$4:$R$1021,18,FALSE))-R223)^2)</f>
        <v/>
      </c>
      <c r="AO223" s="125" t="n"/>
      <c r="AP223" s="125" t="n"/>
      <c r="AQ223" s="125" t="inlineStr">
        <is>
          <t>W24X163</t>
        </is>
      </c>
      <c r="BB223" s="125">
        <f>SQRT(($J$1022-J223)^2)</f>
        <v/>
      </c>
      <c r="BC223" s="125">
        <f>SQRT(($R$1022-R223)^2)</f>
        <v/>
      </c>
      <c r="BD223" s="125" t="inlineStr">
        <is>
          <t>W24X163</t>
        </is>
      </c>
      <c r="BI223">
        <f>SQRT(($J$1023-J223)^2)</f>
        <v/>
      </c>
      <c r="BJ223">
        <f>SQRT(($R$1023-R223)^2)</f>
        <v/>
      </c>
      <c r="BK223" s="125" t="inlineStr">
        <is>
          <t>W24X163</t>
        </is>
      </c>
      <c r="BP223">
        <f>SQRT(($J$1024-J223)^2)</f>
        <v/>
      </c>
      <c r="BQ223">
        <f>SQRT(($R$1024-R223)^2)</f>
        <v/>
      </c>
      <c r="BR223" s="125" t="inlineStr">
        <is>
          <t>W24X163</t>
        </is>
      </c>
      <c r="BW223">
        <f>SQRT(($J$1025-J223)^2)</f>
        <v/>
      </c>
      <c r="BX223">
        <f>SQRT(($R$1025-R223)^2)</f>
        <v/>
      </c>
      <c r="BY223" s="125" t="inlineStr">
        <is>
          <t>W24X163</t>
        </is>
      </c>
      <c r="CD223">
        <f>SQRT(($J$1026-J223)^2)</f>
        <v/>
      </c>
      <c r="CE223">
        <f>SQRT(($R$1026-R223)^2)</f>
        <v/>
      </c>
      <c r="CF223" s="125" t="inlineStr">
        <is>
          <t>W24X163</t>
        </is>
      </c>
    </row>
    <row r="224">
      <c r="A224" s="125" t="inlineStr">
        <is>
          <t>W24X181</t>
        </is>
      </c>
      <c r="B224" s="129" t="inlineStr">
        <is>
          <t>AISC</t>
        </is>
      </c>
      <c r="C224" s="125" t="n">
        <v>270</v>
      </c>
      <c r="D224" s="125" t="n">
        <v>658.6</v>
      </c>
      <c r="E224" s="125" t="n">
        <v>238.5</v>
      </c>
      <c r="F224" s="125" t="n">
        <v>42.9</v>
      </c>
      <c r="G224" s="125" t="n">
        <v>23.9</v>
      </c>
      <c r="H224" s="125" t="n">
        <v>12.7</v>
      </c>
      <c r="I224" s="125" t="n">
        <v>547.4</v>
      </c>
      <c r="J224" s="125" t="n">
        <v>343</v>
      </c>
      <c r="K224" s="125">
        <f>((E224-G224)/2)/F224</f>
        <v/>
      </c>
      <c r="L224" s="125">
        <f>I224/G224</f>
        <v/>
      </c>
      <c r="M224" s="125" t="n">
        <v>2.2</v>
      </c>
      <c r="N224" s="125" t="n">
        <v>232800</v>
      </c>
      <c r="O224" s="125" t="n">
        <v>9768</v>
      </c>
      <c r="P224" s="125" t="n">
        <v>26.1</v>
      </c>
      <c r="Q224" s="125" t="n">
        <v>5.34</v>
      </c>
      <c r="R224" s="125" t="n">
        <v>7069</v>
      </c>
      <c r="S224" s="125" t="n">
        <v>819</v>
      </c>
      <c r="T224" s="125" t="n">
        <v>8299</v>
      </c>
      <c r="U224" s="125" t="n">
        <v>1304</v>
      </c>
      <c r="X224" s="129">
        <f t="array" ref="X224">_xlfn.IFS((D224/F224) &lt;= (640/SQRT($AT$32)), "Compact", L224 &lt;= ($AT$32*(0.79-(0.002*((E224-G224/2)/(2*F224))*SQRT($AT$32)))), "Non-Compact", L224 &gt; ($AT$32*(0.79-(0.002*((E224-G224/2)/(2*F224))*SQRT($AT$32)))), "Slender")</f>
        <v/>
      </c>
      <c r="Y224" s="129">
        <f t="array" ref="Y224">_xlfn.IFS(K224 &lt;= (65/SQRT($AT$32)), "Compact", K224 &lt;= (95/SQRT($AT$32)), "Non-Compact", K224 &gt; (95/SQRT($AT$32)), "Slender")</f>
        <v/>
      </c>
      <c r="Z224" s="125">
        <f>E224/F224</f>
        <v/>
      </c>
      <c r="AA224" s="125">
        <f>D224/G224</f>
        <v/>
      </c>
      <c r="AB224" s="125">
        <f t="array" ref="AB224">_xlfn.IFS(Z224 &lt;= 9, "1", Z224 &lt;= 12, "2", Z224 &lt;= 15, "3", Z224 &gt; 15, "4")</f>
        <v/>
      </c>
      <c r="AC224" s="125">
        <f t="array" ref="AC224">_xlfn.IFS(AA224 &lt;= 200, "1", L224 &lt;= 300, "2", L224 &lt;= 400, "3", L224 &gt; 400, "4")</f>
        <v/>
      </c>
      <c r="AD224" s="129">
        <f>SQRT((((VLOOKUP($AT$4,$A$4:$D$1021,4,FALSE))-D224)^2)+(((VLOOKUP($AT$4,$A$4:$E$1021,5,FALSE))-E224)^2)+(((VLOOKUP($AT$4,$A$4:$N$1021,14,FALSE))-N224)^2)+(((VLOOKUP($AT$4,$A$4:$O$1021,15,FALSE))-O224)^2))</f>
        <v/>
      </c>
      <c r="AG224" s="129">
        <f>SQRT((((VLOOKUP($AT$4,$A$4:$D$1021,4,FALSE))-D224)^2)+(((VLOOKUP($AT$4,$A$4:$E$1021,5,FALSE))-E224)^2)+(((VLOOKUP($AT$4,$A$4:$R$1021,18,FALSE))-R224)^2)+(((VLOOKUP($AT$4,$A$4:$S$1021,19,FALSE))-S224)^2))</f>
        <v/>
      </c>
      <c r="AJ224" s="125" t="inlineStr">
        <is>
          <t>W24X181</t>
        </is>
      </c>
      <c r="AK224" s="125">
        <f>SQRT(((VLOOKUP($AT$4,$A$4:$J$1021,10,FALSE))-J224)^2)</f>
        <v/>
      </c>
      <c r="AL224" s="125" t="n"/>
      <c r="AM224" s="125" t="n"/>
      <c r="AN224" s="125">
        <f>SQRT(((VLOOKUP($AT$4,$A$4:$R$1021,18,FALSE))-R224)^2)</f>
        <v/>
      </c>
      <c r="AO224" s="125" t="n"/>
      <c r="AP224" s="125" t="n"/>
      <c r="AQ224" s="125" t="inlineStr">
        <is>
          <t>W24X181</t>
        </is>
      </c>
      <c r="BB224" s="125">
        <f>SQRT(($J$1022-J224)^2)</f>
        <v/>
      </c>
      <c r="BC224" s="125">
        <f>SQRT(($R$1022-R224)^2)</f>
        <v/>
      </c>
      <c r="BD224" s="125" t="inlineStr">
        <is>
          <t>W24X181</t>
        </is>
      </c>
      <c r="BI224">
        <f>SQRT(($J$1023-J224)^2)</f>
        <v/>
      </c>
      <c r="BJ224">
        <f>SQRT(($R$1023-R224)^2)</f>
        <v/>
      </c>
      <c r="BK224" s="125" t="inlineStr">
        <is>
          <t>W24X181</t>
        </is>
      </c>
      <c r="BP224">
        <f>SQRT(($J$1024-J224)^2)</f>
        <v/>
      </c>
      <c r="BQ224">
        <f>SQRT(($R$1024-R224)^2)</f>
        <v/>
      </c>
      <c r="BR224" s="125" t="inlineStr">
        <is>
          <t>W24X181</t>
        </is>
      </c>
      <c r="BW224">
        <f>SQRT(($J$1025-J224)^2)</f>
        <v/>
      </c>
      <c r="BX224">
        <f>SQRT(($R$1025-R224)^2)</f>
        <v/>
      </c>
      <c r="BY224" s="125" t="inlineStr">
        <is>
          <t>W24X181</t>
        </is>
      </c>
      <c r="CD224">
        <f>SQRT(($J$1026-J224)^2)</f>
        <v/>
      </c>
      <c r="CE224">
        <f>SQRT(($R$1026-R224)^2)</f>
        <v/>
      </c>
      <c r="CF224" s="125" t="inlineStr">
        <is>
          <t>W24X181</t>
        </is>
      </c>
    </row>
    <row r="225">
      <c r="A225" s="125" t="inlineStr">
        <is>
          <t>W24X198</t>
        </is>
      </c>
      <c r="B225" s="129" t="inlineStr">
        <is>
          <t>AISC</t>
        </is>
      </c>
      <c r="C225" s="125" t="n">
        <v>295</v>
      </c>
      <c r="D225" s="125" t="n">
        <v>667</v>
      </c>
      <c r="E225" s="125" t="n">
        <v>240.5</v>
      </c>
      <c r="F225" s="125" t="n">
        <v>47</v>
      </c>
      <c r="G225" s="125" t="n">
        <v>25.9</v>
      </c>
      <c r="H225" s="125" t="n">
        <v>12.7</v>
      </c>
      <c r="I225" s="125" t="n">
        <v>547.6</v>
      </c>
      <c r="J225" s="125" t="n">
        <v>376</v>
      </c>
      <c r="K225" s="125">
        <f>((E225-G225)/2)/F225</f>
        <v/>
      </c>
      <c r="L225" s="125">
        <f>I225/G225</f>
        <v/>
      </c>
      <c r="M225" s="125" t="n">
        <v>2.22</v>
      </c>
      <c r="N225" s="125" t="n">
        <v>259400</v>
      </c>
      <c r="O225" s="125" t="n">
        <v>10980</v>
      </c>
      <c r="P225" s="125" t="n">
        <v>26.3</v>
      </c>
      <c r="Q225" s="125" t="n">
        <v>5.41</v>
      </c>
      <c r="R225" s="125" t="n">
        <v>7778</v>
      </c>
      <c r="S225" s="125" t="n">
        <v>913</v>
      </c>
      <c r="T225" s="125" t="n">
        <v>9173</v>
      </c>
      <c r="U225" s="125" t="n">
        <v>1458</v>
      </c>
      <c r="X225" s="129">
        <f t="array" ref="X225">_xlfn.IFS((D225/F225) &lt;= (640/SQRT($AT$32)), "Compact", L225 &lt;= ($AT$32*(0.79-(0.002*((E225-G225/2)/(2*F225))*SQRT($AT$32)))), "Non-Compact", L225 &gt; ($AT$32*(0.79-(0.002*((E225-G225/2)/(2*F225))*SQRT($AT$32)))), "Slender")</f>
        <v/>
      </c>
      <c r="Y225" s="129">
        <f t="array" ref="Y225">_xlfn.IFS(K225 &lt;= (65/SQRT($AT$32)), "Compact", K225 &lt;= (95/SQRT($AT$32)), "Non-Compact", K225 &gt; (95/SQRT($AT$32)), "Slender")</f>
        <v/>
      </c>
      <c r="Z225" s="125">
        <f>E225/F225</f>
        <v/>
      </c>
      <c r="AA225" s="125">
        <f>D225/G225</f>
        <v/>
      </c>
      <c r="AB225" s="125">
        <f t="array" ref="AB225">_xlfn.IFS(Z225 &lt;= 9, "1", Z225 &lt;= 12, "2", Z225 &lt;= 15, "3", Z225 &gt; 15, "4")</f>
        <v/>
      </c>
      <c r="AC225" s="125">
        <f t="array" ref="AC225">_xlfn.IFS(AA225 &lt;= 200, "1", L225 &lt;= 300, "2", L225 &lt;= 400, "3", L225 &gt; 400, "4")</f>
        <v/>
      </c>
      <c r="AD225" s="129">
        <f>SQRT((((VLOOKUP($AT$4,$A$4:$D$1021,4,FALSE))-D225)^2)+(((VLOOKUP($AT$4,$A$4:$E$1021,5,FALSE))-E225)^2)+(((VLOOKUP($AT$4,$A$4:$N$1021,14,FALSE))-N225)^2)+(((VLOOKUP($AT$4,$A$4:$O$1021,15,FALSE))-O225)^2))</f>
        <v/>
      </c>
      <c r="AG225" s="129">
        <f>SQRT((((VLOOKUP($AT$4,$A$4:$D$1021,4,FALSE))-D225)^2)+(((VLOOKUP($AT$4,$A$4:$E$1021,5,FALSE))-E225)^2)+(((VLOOKUP($AT$4,$A$4:$R$1021,18,FALSE))-R225)^2)+(((VLOOKUP($AT$4,$A$4:$S$1021,19,FALSE))-S225)^2))</f>
        <v/>
      </c>
      <c r="AJ225" s="125" t="inlineStr">
        <is>
          <t>W24X198</t>
        </is>
      </c>
      <c r="AK225" s="125">
        <f>SQRT(((VLOOKUP($AT$4,$A$4:$J$1021,10,FALSE))-J225)^2)</f>
        <v/>
      </c>
      <c r="AL225" s="125" t="n"/>
      <c r="AM225" s="125" t="n"/>
      <c r="AN225" s="125">
        <f>SQRT(((VLOOKUP($AT$4,$A$4:$R$1021,18,FALSE))-R225)^2)</f>
        <v/>
      </c>
      <c r="AO225" s="125" t="n"/>
      <c r="AP225" s="125" t="n"/>
      <c r="AQ225" s="125" t="inlineStr">
        <is>
          <t>W24X198</t>
        </is>
      </c>
      <c r="BB225" s="125">
        <f>SQRT(($J$1022-J225)^2)</f>
        <v/>
      </c>
      <c r="BC225" s="125">
        <f>SQRT(($R$1022-R225)^2)</f>
        <v/>
      </c>
      <c r="BD225" s="125" t="inlineStr">
        <is>
          <t>W24X198</t>
        </is>
      </c>
      <c r="BI225">
        <f>SQRT(($J$1023-J225)^2)</f>
        <v/>
      </c>
      <c r="BJ225">
        <f>SQRT(($R$1023-R225)^2)</f>
        <v/>
      </c>
      <c r="BK225" s="125" t="inlineStr">
        <is>
          <t>W24X198</t>
        </is>
      </c>
      <c r="BP225">
        <f>SQRT(($J$1024-J225)^2)</f>
        <v/>
      </c>
      <c r="BQ225">
        <f>SQRT(($R$1024-R225)^2)</f>
        <v/>
      </c>
      <c r="BR225" s="125" t="inlineStr">
        <is>
          <t>W24X198</t>
        </is>
      </c>
      <c r="BW225">
        <f>SQRT(($J$1025-J225)^2)</f>
        <v/>
      </c>
      <c r="BX225">
        <f>SQRT(($R$1025-R225)^2)</f>
        <v/>
      </c>
      <c r="BY225" s="125" t="inlineStr">
        <is>
          <t>W24X198</t>
        </is>
      </c>
      <c r="CD225">
        <f>SQRT(($J$1026-J225)^2)</f>
        <v/>
      </c>
      <c r="CE225">
        <f>SQRT(($R$1026-R225)^2)</f>
        <v/>
      </c>
      <c r="CF225" s="125" t="inlineStr">
        <is>
          <t>W24X198</t>
        </is>
      </c>
    </row>
    <row r="226">
      <c r="A226" s="125" t="inlineStr">
        <is>
          <t>W24X218</t>
        </is>
      </c>
      <c r="B226" s="129" t="inlineStr">
        <is>
          <t>AISC</t>
        </is>
      </c>
      <c r="C226" s="125" t="n">
        <v>325</v>
      </c>
      <c r="D226" s="125" t="n">
        <v>675.1</v>
      </c>
      <c r="E226" s="125" t="n">
        <v>243.1</v>
      </c>
      <c r="F226" s="125" t="n">
        <v>51</v>
      </c>
      <c r="G226" s="125" t="n">
        <v>28.4</v>
      </c>
      <c r="H226" s="125" t="n">
        <v>12.7</v>
      </c>
      <c r="I226" s="125" t="n">
        <v>547.7</v>
      </c>
      <c r="J226" s="125" t="n">
        <v>412</v>
      </c>
      <c r="K226" s="125">
        <f>((E226-G226)/2)/F226</f>
        <v/>
      </c>
      <c r="L226" s="125">
        <f>I226/G226</f>
        <v/>
      </c>
      <c r="M226" s="125" t="n">
        <v>2.24</v>
      </c>
      <c r="N226" s="125" t="n">
        <v>287700</v>
      </c>
      <c r="O226" s="125" t="n">
        <v>12330</v>
      </c>
      <c r="P226" s="125" t="n">
        <v>26.4</v>
      </c>
      <c r="Q226" s="125" t="n">
        <v>5.47</v>
      </c>
      <c r="R226" s="125" t="n">
        <v>8522</v>
      </c>
      <c r="S226" s="125" t="n">
        <v>1014</v>
      </c>
      <c r="T226" s="125" t="n">
        <v>10110</v>
      </c>
      <c r="U226" s="125" t="n">
        <v>1625</v>
      </c>
      <c r="X226" s="129">
        <f t="array" ref="X226">_xlfn.IFS((D226/F226) &lt;= (640/SQRT($AT$32)), "Compact", L226 &lt;= ($AT$32*(0.79-(0.002*((E226-G226/2)/(2*F226))*SQRT($AT$32)))), "Non-Compact", L226 &gt; ($AT$32*(0.79-(0.002*((E226-G226/2)/(2*F226))*SQRT($AT$32)))), "Slender")</f>
        <v/>
      </c>
      <c r="Y226" s="129">
        <f t="array" ref="Y226">_xlfn.IFS(K226 &lt;= (65/SQRT($AT$32)), "Compact", K226 &lt;= (95/SQRT($AT$32)), "Non-Compact", K226 &gt; (95/SQRT($AT$32)), "Slender")</f>
        <v/>
      </c>
      <c r="Z226" s="125">
        <f>E226/F226</f>
        <v/>
      </c>
      <c r="AA226" s="125">
        <f>D226/G226</f>
        <v/>
      </c>
      <c r="AB226" s="125">
        <f t="array" ref="AB226">_xlfn.IFS(Z226 &lt;= 9, "1", Z226 &lt;= 12, "2", Z226 &lt;= 15, "3", Z226 &gt; 15, "4")</f>
        <v/>
      </c>
      <c r="AC226" s="125">
        <f t="array" ref="AC226">_xlfn.IFS(AA226 &lt;= 200, "1", L226 &lt;= 300, "2", L226 &lt;= 400, "3", L226 &gt; 400, "4")</f>
        <v/>
      </c>
      <c r="AD226" s="129">
        <f>SQRT((((VLOOKUP($AT$4,$A$4:$D$1021,4,FALSE))-D226)^2)+(((VLOOKUP($AT$4,$A$4:$E$1021,5,FALSE))-E226)^2)+(((VLOOKUP($AT$4,$A$4:$N$1021,14,FALSE))-N226)^2)+(((VLOOKUP($AT$4,$A$4:$O$1021,15,FALSE))-O226)^2))</f>
        <v/>
      </c>
      <c r="AG226" s="129">
        <f>SQRT((((VLOOKUP($AT$4,$A$4:$D$1021,4,FALSE))-D226)^2)+(((VLOOKUP($AT$4,$A$4:$E$1021,5,FALSE))-E226)^2)+(((VLOOKUP($AT$4,$A$4:$R$1021,18,FALSE))-R226)^2)+(((VLOOKUP($AT$4,$A$4:$S$1021,19,FALSE))-S226)^2))</f>
        <v/>
      </c>
      <c r="AJ226" s="125" t="inlineStr">
        <is>
          <t>W24X218</t>
        </is>
      </c>
      <c r="AK226" s="125">
        <f>SQRT(((VLOOKUP($AT$4,$A$4:$J$1021,10,FALSE))-J226)^2)</f>
        <v/>
      </c>
      <c r="AL226" s="125" t="n"/>
      <c r="AM226" s="125" t="n"/>
      <c r="AN226" s="125">
        <f>SQRT(((VLOOKUP($AT$4,$A$4:$R$1021,18,FALSE))-R226)^2)</f>
        <v/>
      </c>
      <c r="AO226" s="125" t="n"/>
      <c r="AP226" s="125" t="n"/>
      <c r="AQ226" s="125" t="inlineStr">
        <is>
          <t>W24X218</t>
        </is>
      </c>
      <c r="BB226" s="125">
        <f>SQRT(($J$1022-J226)^2)</f>
        <v/>
      </c>
      <c r="BC226" s="125">
        <f>SQRT(($R$1022-R226)^2)</f>
        <v/>
      </c>
      <c r="BD226" s="125" t="inlineStr">
        <is>
          <t>W24X218</t>
        </is>
      </c>
      <c r="BI226">
        <f>SQRT(($J$1023-J226)^2)</f>
        <v/>
      </c>
      <c r="BJ226">
        <f>SQRT(($R$1023-R226)^2)</f>
        <v/>
      </c>
      <c r="BK226" s="125" t="inlineStr">
        <is>
          <t>W24X218</t>
        </is>
      </c>
      <c r="BP226">
        <f>SQRT(($J$1024-J226)^2)</f>
        <v/>
      </c>
      <c r="BQ226">
        <f>SQRT(($R$1024-R226)^2)</f>
        <v/>
      </c>
      <c r="BR226" s="125" t="inlineStr">
        <is>
          <t>W24X218</t>
        </is>
      </c>
      <c r="BW226">
        <f>SQRT(($J$1025-J226)^2)</f>
        <v/>
      </c>
      <c r="BX226">
        <f>SQRT(($R$1025-R226)^2)</f>
        <v/>
      </c>
      <c r="BY226" s="125" t="inlineStr">
        <is>
          <t>W24X218</t>
        </is>
      </c>
      <c r="CD226">
        <f>SQRT(($J$1026-J226)^2)</f>
        <v/>
      </c>
      <c r="CE226">
        <f>SQRT(($R$1026-R226)^2)</f>
        <v/>
      </c>
      <c r="CF226" s="125" t="inlineStr">
        <is>
          <t>W24X218</t>
        </is>
      </c>
    </row>
    <row r="227">
      <c r="A227" s="125" t="inlineStr">
        <is>
          <t>W24X239</t>
        </is>
      </c>
      <c r="B227" s="129" t="inlineStr">
        <is>
          <t>AISC</t>
        </is>
      </c>
      <c r="C227" s="125" t="n">
        <v>356</v>
      </c>
      <c r="D227" s="125" t="n">
        <v>685</v>
      </c>
      <c r="E227" s="125" t="n">
        <v>245.6</v>
      </c>
      <c r="F227" s="125" t="n">
        <v>55.9</v>
      </c>
      <c r="G227" s="125" t="n">
        <v>31</v>
      </c>
      <c r="H227" s="125" t="n">
        <v>12.7</v>
      </c>
      <c r="I227" s="125" t="n">
        <v>547.8</v>
      </c>
      <c r="J227" s="125" t="n">
        <v>454</v>
      </c>
      <c r="K227" s="125">
        <f>((E227-G227)/2)/F227</f>
        <v/>
      </c>
      <c r="L227" s="125">
        <f>I227/G227</f>
        <v/>
      </c>
      <c r="M227" s="125" t="n">
        <v>2.27</v>
      </c>
      <c r="N227" s="125" t="n">
        <v>322200</v>
      </c>
      <c r="O227" s="125" t="n">
        <v>13950</v>
      </c>
      <c r="P227" s="125" t="n">
        <v>26.6</v>
      </c>
      <c r="Q227" s="125" t="n">
        <v>5.55</v>
      </c>
      <c r="R227" s="125" t="n">
        <v>9406</v>
      </c>
      <c r="S227" s="125" t="n">
        <v>1136</v>
      </c>
      <c r="T227" s="125" t="n">
        <v>11220</v>
      </c>
      <c r="U227" s="125" t="n">
        <v>1826</v>
      </c>
      <c r="X227" s="129">
        <f t="array" ref="X227">_xlfn.IFS((D227/F227) &lt;= (640/SQRT($AT$32)), "Compact", L227 &lt;= ($AT$32*(0.79-(0.002*((E227-G227/2)/(2*F227))*SQRT($AT$32)))), "Non-Compact", L227 &gt; ($AT$32*(0.79-(0.002*((E227-G227/2)/(2*F227))*SQRT($AT$32)))), "Slender")</f>
        <v/>
      </c>
      <c r="Y227" s="129">
        <f t="array" ref="Y227">_xlfn.IFS(K227 &lt;= (65/SQRT($AT$32)), "Compact", K227 &lt;= (95/SQRT($AT$32)), "Non-Compact", K227 &gt; (95/SQRT($AT$32)), "Slender")</f>
        <v/>
      </c>
      <c r="Z227" s="125">
        <f>E227/F227</f>
        <v/>
      </c>
      <c r="AA227" s="125">
        <f>D227/G227</f>
        <v/>
      </c>
      <c r="AB227" s="125">
        <f t="array" ref="AB227">_xlfn.IFS(Z227 &lt;= 9, "1", Z227 &lt;= 12, "2", Z227 &lt;= 15, "3", Z227 &gt; 15, "4")</f>
        <v/>
      </c>
      <c r="AC227" s="125">
        <f t="array" ref="AC227">_xlfn.IFS(AA227 &lt;= 200, "1", L227 &lt;= 300, "2", L227 &lt;= 400, "3", L227 &gt; 400, "4")</f>
        <v/>
      </c>
      <c r="AD227" s="129">
        <f>SQRT((((VLOOKUP($AT$4,$A$4:$D$1021,4,FALSE))-D227)^2)+(((VLOOKUP($AT$4,$A$4:$E$1021,5,FALSE))-E227)^2)+(((VLOOKUP($AT$4,$A$4:$N$1021,14,FALSE))-N227)^2)+(((VLOOKUP($AT$4,$A$4:$O$1021,15,FALSE))-O227)^2))</f>
        <v/>
      </c>
      <c r="AG227" s="129">
        <f>SQRT((((VLOOKUP($AT$4,$A$4:$D$1021,4,FALSE))-D227)^2)+(((VLOOKUP($AT$4,$A$4:$E$1021,5,FALSE))-E227)^2)+(((VLOOKUP($AT$4,$A$4:$R$1021,18,FALSE))-R227)^2)+(((VLOOKUP($AT$4,$A$4:$S$1021,19,FALSE))-S227)^2))</f>
        <v/>
      </c>
      <c r="AJ227" s="125" t="inlineStr">
        <is>
          <t>W24X239</t>
        </is>
      </c>
      <c r="AK227" s="125">
        <f>SQRT(((VLOOKUP($AT$4,$A$4:$J$1021,10,FALSE))-J227)^2)</f>
        <v/>
      </c>
      <c r="AL227" s="125" t="n"/>
      <c r="AM227" s="125" t="n"/>
      <c r="AN227" s="125">
        <f>SQRT(((VLOOKUP($AT$4,$A$4:$R$1021,18,FALSE))-R227)^2)</f>
        <v/>
      </c>
      <c r="AO227" s="125" t="n"/>
      <c r="AP227" s="125" t="n"/>
      <c r="AQ227" s="125" t="inlineStr">
        <is>
          <t>W24X239</t>
        </is>
      </c>
      <c r="BB227" s="125">
        <f>SQRT(($J$1022-J227)^2)</f>
        <v/>
      </c>
      <c r="BC227" s="125">
        <f>SQRT(($R$1022-R227)^2)</f>
        <v/>
      </c>
      <c r="BD227" s="125" t="inlineStr">
        <is>
          <t>W24X239</t>
        </is>
      </c>
      <c r="BI227">
        <f>SQRT(($J$1023-J227)^2)</f>
        <v/>
      </c>
      <c r="BJ227">
        <f>SQRT(($R$1023-R227)^2)</f>
        <v/>
      </c>
      <c r="BK227" s="125" t="inlineStr">
        <is>
          <t>W24X239</t>
        </is>
      </c>
      <c r="BP227">
        <f>SQRT(($J$1024-J227)^2)</f>
        <v/>
      </c>
      <c r="BQ227">
        <f>SQRT(($R$1024-R227)^2)</f>
        <v/>
      </c>
      <c r="BR227" s="125" t="inlineStr">
        <is>
          <t>W24X239</t>
        </is>
      </c>
      <c r="BW227">
        <f>SQRT(($J$1025-J227)^2)</f>
        <v/>
      </c>
      <c r="BX227">
        <f>SQRT(($R$1025-R227)^2)</f>
        <v/>
      </c>
      <c r="BY227" s="125" t="inlineStr">
        <is>
          <t>W24X239</t>
        </is>
      </c>
      <c r="CD227">
        <f>SQRT(($J$1026-J227)^2)</f>
        <v/>
      </c>
      <c r="CE227">
        <f>SQRT(($R$1026-R227)^2)</f>
        <v/>
      </c>
      <c r="CF227" s="125" t="inlineStr">
        <is>
          <t>W24X239</t>
        </is>
      </c>
    </row>
    <row r="228">
      <c r="A228" s="125" t="inlineStr">
        <is>
          <t>W24X100</t>
        </is>
      </c>
      <c r="B228" s="129" t="inlineStr">
        <is>
          <t>AISC</t>
        </is>
      </c>
      <c r="C228" s="125" t="n">
        <v>149.1</v>
      </c>
      <c r="D228" s="125" t="n">
        <v>612.4</v>
      </c>
      <c r="E228" s="125" t="n">
        <v>304.8</v>
      </c>
      <c r="F228" s="125" t="n">
        <v>19.7</v>
      </c>
      <c r="G228" s="125" t="n">
        <v>11.8</v>
      </c>
      <c r="H228" s="125" t="n">
        <v>16.5</v>
      </c>
      <c r="I228" s="125" t="n">
        <v>540</v>
      </c>
      <c r="J228" s="125" t="n">
        <v>190</v>
      </c>
      <c r="K228" s="125">
        <f>((E228-G228)/2)/F228</f>
        <v/>
      </c>
      <c r="L228" s="125">
        <f>I228/G228</f>
        <v/>
      </c>
      <c r="M228" s="125" t="n">
        <v>2.39</v>
      </c>
      <c r="N228" s="125" t="n">
        <v>125900</v>
      </c>
      <c r="O228" s="125" t="n">
        <v>9308</v>
      </c>
      <c r="P228" s="125" t="n">
        <v>25.7</v>
      </c>
      <c r="Q228" s="125" t="n">
        <v>7</v>
      </c>
      <c r="R228" s="125" t="n">
        <v>4111</v>
      </c>
      <c r="S228" s="125" t="n">
        <v>611</v>
      </c>
      <c r="T228" s="125" t="n">
        <v>4594</v>
      </c>
      <c r="U228" s="125" t="n">
        <v>937</v>
      </c>
      <c r="X228" s="129">
        <f t="array" ref="X228">_xlfn.IFS((D228/F228) &lt;= (640/SQRT($AT$32)), "Compact", L228 &lt;= ($AT$32*(0.79-(0.002*((E228-G228/2)/(2*F228))*SQRT($AT$32)))), "Non-Compact", L228 &gt; ($AT$32*(0.79-(0.002*((E228-G228/2)/(2*F228))*SQRT($AT$32)))), "Slender")</f>
        <v/>
      </c>
      <c r="Y228" s="129">
        <f t="array" ref="Y228">_xlfn.IFS(K228 &lt;= (65/SQRT($AT$32)), "Compact", K228 &lt;= (95/SQRT($AT$32)), "Non-Compact", K228 &gt; (95/SQRT($AT$32)), "Slender")</f>
        <v/>
      </c>
      <c r="Z228" s="125">
        <f>E228/F228</f>
        <v/>
      </c>
      <c r="AA228" s="125">
        <f>D228/G228</f>
        <v/>
      </c>
      <c r="AB228" s="125">
        <f t="array" ref="AB228">_xlfn.IFS(Z228 &lt;= 9, "1", Z228 &lt;= 12, "2", Z228 &lt;= 15, "3", Z228 &gt; 15, "4")</f>
        <v/>
      </c>
      <c r="AC228" s="125">
        <f t="array" ref="AC228">_xlfn.IFS(AA228 &lt;= 200, "1", L228 &lt;= 300, "2", L228 &lt;= 400, "3", L228 &gt; 400, "4")</f>
        <v/>
      </c>
      <c r="AD228" s="129">
        <f>SQRT((((VLOOKUP($AT$4,$A$4:$D$1021,4,FALSE))-D228)^2)+(((VLOOKUP($AT$4,$A$4:$E$1021,5,FALSE))-E228)^2)+(((VLOOKUP($AT$4,$A$4:$N$1021,14,FALSE))-N228)^2)+(((VLOOKUP($AT$4,$A$4:$O$1021,15,FALSE))-O228)^2))</f>
        <v/>
      </c>
      <c r="AG228" s="129">
        <f>SQRT((((VLOOKUP($AT$4,$A$4:$D$1021,4,FALSE))-D228)^2)+(((VLOOKUP($AT$4,$A$4:$E$1021,5,FALSE))-E228)^2)+(((VLOOKUP($AT$4,$A$4:$R$1021,18,FALSE))-R228)^2)+(((VLOOKUP($AT$4,$A$4:$S$1021,19,FALSE))-S228)^2))</f>
        <v/>
      </c>
      <c r="AJ228" s="125" t="inlineStr">
        <is>
          <t>W24X100</t>
        </is>
      </c>
      <c r="AK228" s="125">
        <f>SQRT(((VLOOKUP($AT$4,$A$4:$J$1021,10,FALSE))-J228)^2)</f>
        <v/>
      </c>
      <c r="AL228" s="125" t="n"/>
      <c r="AM228" s="125" t="n"/>
      <c r="AN228" s="125">
        <f>SQRT(((VLOOKUP($AT$4,$A$4:$R$1021,18,FALSE))-R228)^2)</f>
        <v/>
      </c>
      <c r="AO228" s="125" t="n"/>
      <c r="AP228" s="125" t="n"/>
      <c r="AQ228" s="125" t="inlineStr">
        <is>
          <t>W24X100</t>
        </is>
      </c>
      <c r="BB228" s="125">
        <f>SQRT(($J$1022-J228)^2)</f>
        <v/>
      </c>
      <c r="BC228" s="125">
        <f>SQRT(($R$1022-R228)^2)</f>
        <v/>
      </c>
      <c r="BD228" s="125" t="inlineStr">
        <is>
          <t>W24X100</t>
        </is>
      </c>
      <c r="BI228">
        <f>SQRT(($J$1023-J228)^2)</f>
        <v/>
      </c>
      <c r="BJ228">
        <f>SQRT(($R$1023-R228)^2)</f>
        <v/>
      </c>
      <c r="BK228" s="125" t="inlineStr">
        <is>
          <t>W24X100</t>
        </is>
      </c>
      <c r="BP228">
        <f>SQRT(($J$1024-J228)^2)</f>
        <v/>
      </c>
      <c r="BQ228">
        <f>SQRT(($R$1024-R228)^2)</f>
        <v/>
      </c>
      <c r="BR228" s="125" t="inlineStr">
        <is>
          <t>W24X100</t>
        </is>
      </c>
      <c r="BW228">
        <f>SQRT(($J$1025-J228)^2)</f>
        <v/>
      </c>
      <c r="BX228">
        <f>SQRT(($R$1025-R228)^2)</f>
        <v/>
      </c>
      <c r="BY228" s="125" t="inlineStr">
        <is>
          <t>W24X100</t>
        </is>
      </c>
      <c r="CD228">
        <f>SQRT(($J$1026-J228)^2)</f>
        <v/>
      </c>
      <c r="CE228">
        <f>SQRT(($R$1026-R228)^2)</f>
        <v/>
      </c>
      <c r="CF228" s="125" t="inlineStr">
        <is>
          <t>W24X100</t>
        </is>
      </c>
    </row>
    <row r="229">
      <c r="A229" s="125" t="inlineStr">
        <is>
          <t>W24X120</t>
        </is>
      </c>
      <c r="B229" s="129" t="inlineStr">
        <is>
          <t>AISC</t>
        </is>
      </c>
      <c r="C229" s="125" t="n">
        <v>179</v>
      </c>
      <c r="D229" s="125" t="n">
        <v>620.2</v>
      </c>
      <c r="E229" s="125" t="n">
        <v>307.1</v>
      </c>
      <c r="F229" s="125" t="n">
        <v>23.6</v>
      </c>
      <c r="G229" s="125" t="n">
        <v>14.1</v>
      </c>
      <c r="H229" s="125" t="n">
        <v>16.5</v>
      </c>
      <c r="I229" s="125" t="n">
        <v>540</v>
      </c>
      <c r="J229" s="125" t="n">
        <v>228</v>
      </c>
      <c r="K229" s="125">
        <f>((E229-G229)/2)/F229</f>
        <v/>
      </c>
      <c r="L229" s="125">
        <f>I229/G229</f>
        <v/>
      </c>
      <c r="M229" s="125" t="n">
        <v>2.41</v>
      </c>
      <c r="N229" s="125" t="n">
        <v>153000</v>
      </c>
      <c r="O229" s="125" t="n">
        <v>11410</v>
      </c>
      <c r="P229" s="125" t="n">
        <v>25.9</v>
      </c>
      <c r="Q229" s="125" t="n">
        <v>7.07</v>
      </c>
      <c r="R229" s="125" t="n">
        <v>4935</v>
      </c>
      <c r="S229" s="125" t="n">
        <v>743</v>
      </c>
      <c r="T229" s="125" t="n">
        <v>5547</v>
      </c>
      <c r="U229" s="125" t="n">
        <v>1144</v>
      </c>
      <c r="X229" s="129">
        <f t="array" ref="X229">_xlfn.IFS((D229/F229) &lt;= (640/SQRT($AT$32)), "Compact", L229 &lt;= ($AT$32*(0.79-(0.002*((E229-G229/2)/(2*F229))*SQRT($AT$32)))), "Non-Compact", L229 &gt; ($AT$32*(0.79-(0.002*((E229-G229/2)/(2*F229))*SQRT($AT$32)))), "Slender")</f>
        <v/>
      </c>
      <c r="Y229" s="129">
        <f t="array" ref="Y229">_xlfn.IFS(K229 &lt;= (65/SQRT($AT$32)), "Compact", K229 &lt;= (95/SQRT($AT$32)), "Non-Compact", K229 &gt; (95/SQRT($AT$32)), "Slender")</f>
        <v/>
      </c>
      <c r="Z229" s="125">
        <f>E229/F229</f>
        <v/>
      </c>
      <c r="AA229" s="125">
        <f>D229/G229</f>
        <v/>
      </c>
      <c r="AB229" s="125">
        <f t="array" ref="AB229">_xlfn.IFS(Z229 &lt;= 9, "1", Z229 &lt;= 12, "2", Z229 &lt;= 15, "3", Z229 &gt; 15, "4")</f>
        <v/>
      </c>
      <c r="AC229" s="125">
        <f t="array" ref="AC229">_xlfn.IFS(AA229 &lt;= 200, "1", L229 &lt;= 300, "2", L229 &lt;= 400, "3", L229 &gt; 400, "4")</f>
        <v/>
      </c>
      <c r="AD229" s="129">
        <f>SQRT((((VLOOKUP($AT$4,$A$4:$D$1021,4,FALSE))-D229)^2)+(((VLOOKUP($AT$4,$A$4:$E$1021,5,FALSE))-E229)^2)+(((VLOOKUP($AT$4,$A$4:$N$1021,14,FALSE))-N229)^2)+(((VLOOKUP($AT$4,$A$4:$O$1021,15,FALSE))-O229)^2))</f>
        <v/>
      </c>
      <c r="AG229" s="129">
        <f>SQRT((((VLOOKUP($AT$4,$A$4:$D$1021,4,FALSE))-D229)^2)+(((VLOOKUP($AT$4,$A$4:$E$1021,5,FALSE))-E229)^2)+(((VLOOKUP($AT$4,$A$4:$R$1021,18,FALSE))-R229)^2)+(((VLOOKUP($AT$4,$A$4:$S$1021,19,FALSE))-S229)^2))</f>
        <v/>
      </c>
      <c r="AJ229" s="125" t="inlineStr">
        <is>
          <t>W24X120</t>
        </is>
      </c>
      <c r="AK229" s="125">
        <f>SQRT(((VLOOKUP($AT$4,$A$4:$J$1021,10,FALSE))-J229)^2)</f>
        <v/>
      </c>
      <c r="AL229" s="125" t="n"/>
      <c r="AM229" s="125" t="n"/>
      <c r="AN229" s="125">
        <f>SQRT(((VLOOKUP($AT$4,$A$4:$R$1021,18,FALSE))-R229)^2)</f>
        <v/>
      </c>
      <c r="AO229" s="125" t="n"/>
      <c r="AP229" s="125" t="n"/>
      <c r="AQ229" s="125" t="inlineStr">
        <is>
          <t>W24X120</t>
        </is>
      </c>
      <c r="BB229" s="125">
        <f>SQRT(($J$1022-J229)^2)</f>
        <v/>
      </c>
      <c r="BC229" s="125">
        <f>SQRT(($R$1022-R229)^2)</f>
        <v/>
      </c>
      <c r="BD229" s="125" t="inlineStr">
        <is>
          <t>W24X120</t>
        </is>
      </c>
      <c r="BI229">
        <f>SQRT(($J$1023-J229)^2)</f>
        <v/>
      </c>
      <c r="BJ229">
        <f>SQRT(($R$1023-R229)^2)</f>
        <v/>
      </c>
      <c r="BK229" s="125" t="inlineStr">
        <is>
          <t>W24X120</t>
        </is>
      </c>
      <c r="BP229">
        <f>SQRT(($J$1024-J229)^2)</f>
        <v/>
      </c>
      <c r="BQ229">
        <f>SQRT(($R$1024-R229)^2)</f>
        <v/>
      </c>
      <c r="BR229" s="125" t="inlineStr">
        <is>
          <t>W24X120</t>
        </is>
      </c>
      <c r="BW229">
        <f>SQRT(($J$1025-J229)^2)</f>
        <v/>
      </c>
      <c r="BX229">
        <f>SQRT(($R$1025-R229)^2)</f>
        <v/>
      </c>
      <c r="BY229" s="125" t="inlineStr">
        <is>
          <t>W24X120</t>
        </is>
      </c>
      <c r="CD229">
        <f>SQRT(($J$1026-J229)^2)</f>
        <v/>
      </c>
      <c r="CE229">
        <f>SQRT(($R$1026-R229)^2)</f>
        <v/>
      </c>
      <c r="CF229" s="125" t="inlineStr">
        <is>
          <t>W24X120</t>
        </is>
      </c>
    </row>
    <row r="230">
      <c r="A230" s="125" t="inlineStr">
        <is>
          <t>W24X160</t>
        </is>
      </c>
      <c r="B230" s="129" t="inlineStr">
        <is>
          <t>AISC</t>
        </is>
      </c>
      <c r="C230" s="125" t="n">
        <v>238.1</v>
      </c>
      <c r="D230" s="125" t="n">
        <v>635.8</v>
      </c>
      <c r="E230" s="125" t="n">
        <v>311.4</v>
      </c>
      <c r="F230" s="125" t="n">
        <v>31.4</v>
      </c>
      <c r="G230" s="125" t="n">
        <v>18.4</v>
      </c>
      <c r="H230" s="125" t="n">
        <v>16.5</v>
      </c>
      <c r="I230" s="125" t="n">
        <v>540</v>
      </c>
      <c r="J230" s="125" t="n">
        <v>303</v>
      </c>
      <c r="K230" s="125">
        <f>((E230-G230)/2)/F230</f>
        <v/>
      </c>
      <c r="L230" s="125">
        <f>I230/G230</f>
        <v/>
      </c>
      <c r="M230" s="125" t="n">
        <v>2.45</v>
      </c>
      <c r="N230" s="125" t="n">
        <v>209500</v>
      </c>
      <c r="O230" s="125" t="n">
        <v>15840</v>
      </c>
      <c r="P230" s="125" t="n">
        <v>26.3</v>
      </c>
      <c r="Q230" s="125" t="n">
        <v>7.23</v>
      </c>
      <c r="R230" s="125" t="n">
        <v>6589</v>
      </c>
      <c r="S230" s="125" t="n">
        <v>1017</v>
      </c>
      <c r="T230" s="125" t="n">
        <v>7486</v>
      </c>
      <c r="U230" s="125" t="n">
        <v>1574</v>
      </c>
      <c r="X230" s="129">
        <f t="array" ref="X230">_xlfn.IFS((D230/F230) &lt;= (640/SQRT($AT$32)), "Compact", L230 &lt;= ($AT$32*(0.79-(0.002*((E230-G230/2)/(2*F230))*SQRT($AT$32)))), "Non-Compact", L230 &gt; ($AT$32*(0.79-(0.002*((E230-G230/2)/(2*F230))*SQRT($AT$32)))), "Slender")</f>
        <v/>
      </c>
      <c r="Y230" s="129">
        <f t="array" ref="Y230">_xlfn.IFS(K230 &lt;= (65/SQRT($AT$32)), "Compact", K230 &lt;= (95/SQRT($AT$32)), "Non-Compact", K230 &gt; (95/SQRT($AT$32)), "Slender")</f>
        <v/>
      </c>
      <c r="Z230" s="125">
        <f>E230/F230</f>
        <v/>
      </c>
      <c r="AA230" s="125">
        <f>D230/G230</f>
        <v/>
      </c>
      <c r="AB230" s="125">
        <f t="array" ref="AB230">_xlfn.IFS(Z230 &lt;= 9, "1", Z230 &lt;= 12, "2", Z230 &lt;= 15, "3", Z230 &gt; 15, "4")</f>
        <v/>
      </c>
      <c r="AC230" s="125">
        <f t="array" ref="AC230">_xlfn.IFS(AA230 &lt;= 200, "1", L230 &lt;= 300, "2", L230 &lt;= 400, "3", L230 &gt; 400, "4")</f>
        <v/>
      </c>
      <c r="AD230" s="129">
        <f>SQRT((((VLOOKUP($AT$4,$A$4:$D$1021,4,FALSE))-D230)^2)+(((VLOOKUP($AT$4,$A$4:$E$1021,5,FALSE))-E230)^2)+(((VLOOKUP($AT$4,$A$4:$N$1021,14,FALSE))-N230)^2)+(((VLOOKUP($AT$4,$A$4:$O$1021,15,FALSE))-O230)^2))</f>
        <v/>
      </c>
      <c r="AG230" s="129">
        <f>SQRT((((VLOOKUP($AT$4,$A$4:$D$1021,4,FALSE))-D230)^2)+(((VLOOKUP($AT$4,$A$4:$E$1021,5,FALSE))-E230)^2)+(((VLOOKUP($AT$4,$A$4:$R$1021,18,FALSE))-R230)^2)+(((VLOOKUP($AT$4,$A$4:$S$1021,19,FALSE))-S230)^2))</f>
        <v/>
      </c>
      <c r="AJ230" s="125" t="inlineStr">
        <is>
          <t>W24X160</t>
        </is>
      </c>
      <c r="AK230" s="125">
        <f>SQRT(((VLOOKUP($AT$4,$A$4:$J$1021,10,FALSE))-J230)^2)</f>
        <v/>
      </c>
      <c r="AL230" s="125" t="n"/>
      <c r="AM230" s="125" t="n"/>
      <c r="AN230" s="125">
        <f>SQRT(((VLOOKUP($AT$4,$A$4:$R$1021,18,FALSE))-R230)^2)</f>
        <v/>
      </c>
      <c r="AO230" s="125" t="n"/>
      <c r="AP230" s="125" t="n"/>
      <c r="AQ230" s="125" t="inlineStr">
        <is>
          <t>W24X160</t>
        </is>
      </c>
      <c r="BB230" s="125">
        <f>SQRT(($J$1022-J230)^2)</f>
        <v/>
      </c>
      <c r="BC230" s="125">
        <f>SQRT(($R$1022-R230)^2)</f>
        <v/>
      </c>
      <c r="BD230" s="125" t="inlineStr">
        <is>
          <t>W24X160</t>
        </is>
      </c>
      <c r="BI230">
        <f>SQRT(($J$1023-J230)^2)</f>
        <v/>
      </c>
      <c r="BJ230">
        <f>SQRT(($R$1023-R230)^2)</f>
        <v/>
      </c>
      <c r="BK230" s="125" t="inlineStr">
        <is>
          <t>W24X160</t>
        </is>
      </c>
      <c r="BP230">
        <f>SQRT(($J$1024-J230)^2)</f>
        <v/>
      </c>
      <c r="BQ230">
        <f>SQRT(($R$1024-R230)^2)</f>
        <v/>
      </c>
      <c r="BR230" s="125" t="inlineStr">
        <is>
          <t>W24X160</t>
        </is>
      </c>
      <c r="BW230">
        <f>SQRT(($J$1025-J230)^2)</f>
        <v/>
      </c>
      <c r="BX230">
        <f>SQRT(($R$1025-R230)^2)</f>
        <v/>
      </c>
      <c r="BY230" s="125" t="inlineStr">
        <is>
          <t>W24X160</t>
        </is>
      </c>
      <c r="CD230">
        <f>SQRT(($J$1026-J230)^2)</f>
        <v/>
      </c>
      <c r="CE230">
        <f>SQRT(($R$1026-R230)^2)</f>
        <v/>
      </c>
      <c r="CF230" s="125" t="inlineStr">
        <is>
          <t>W24X160</t>
        </is>
      </c>
    </row>
    <row r="231">
      <c r="A231" s="125" t="inlineStr">
        <is>
          <t>W24X104</t>
        </is>
      </c>
      <c r="B231" s="129" t="inlineStr">
        <is>
          <t>AISC</t>
        </is>
      </c>
      <c r="C231" s="125" t="n">
        <v>154.8</v>
      </c>
      <c r="D231" s="125" t="n">
        <v>611.1</v>
      </c>
      <c r="E231" s="125" t="n">
        <v>323.8</v>
      </c>
      <c r="F231" s="125" t="n">
        <v>19.1</v>
      </c>
      <c r="G231" s="125" t="n">
        <v>12.7</v>
      </c>
      <c r="H231" s="125" t="n">
        <v>12.7</v>
      </c>
      <c r="I231" s="125" t="n">
        <v>547.6</v>
      </c>
      <c r="J231" s="125" t="n">
        <v>198</v>
      </c>
      <c r="K231" s="125">
        <f>((E231-G231)/2)/F231</f>
        <v/>
      </c>
      <c r="L231" s="125">
        <f>I231/G231</f>
        <v/>
      </c>
      <c r="M231" s="125" t="n">
        <v>2.47</v>
      </c>
      <c r="N231" s="125" t="n">
        <v>129200</v>
      </c>
      <c r="O231" s="125" t="n">
        <v>10790</v>
      </c>
      <c r="P231" s="125" t="n">
        <v>25.6</v>
      </c>
      <c r="Q231" s="125" t="n">
        <v>7.39</v>
      </c>
      <c r="R231" s="125" t="n">
        <v>4227</v>
      </c>
      <c r="S231" s="125" t="n">
        <v>666</v>
      </c>
      <c r="T231" s="125" t="n">
        <v>4734</v>
      </c>
      <c r="U231" s="125" t="n">
        <v>1023</v>
      </c>
      <c r="X231" s="129">
        <f t="array" ref="X231">_xlfn.IFS((D231/F231) &lt;= (640/SQRT($AT$32)), "Compact", L231 &lt;= ($AT$32*(0.79-(0.002*((E231-G231/2)/(2*F231))*SQRT($AT$32)))), "Non-Compact", L231 &gt; ($AT$32*(0.79-(0.002*((E231-G231/2)/(2*F231))*SQRT($AT$32)))), "Slender")</f>
        <v/>
      </c>
      <c r="Y231" s="129">
        <f t="array" ref="Y231">_xlfn.IFS(K231 &lt;= (65/SQRT($AT$32)), "Compact", K231 &lt;= (95/SQRT($AT$32)), "Non-Compact", K231 &gt; (95/SQRT($AT$32)), "Slender")</f>
        <v/>
      </c>
      <c r="Z231" s="125">
        <f>E231/F231</f>
        <v/>
      </c>
      <c r="AA231" s="125">
        <f>D231/G231</f>
        <v/>
      </c>
      <c r="AB231" s="125">
        <f t="array" ref="AB231">_xlfn.IFS(Z231 &lt;= 9, "1", Z231 &lt;= 12, "2", Z231 &lt;= 15, "3", Z231 &gt; 15, "4")</f>
        <v/>
      </c>
      <c r="AC231" s="125">
        <f t="array" ref="AC231">_xlfn.IFS(AA231 &lt;= 200, "1", L231 &lt;= 300, "2", L231 &lt;= 400, "3", L231 &gt; 400, "4")</f>
        <v/>
      </c>
      <c r="AD231" s="129">
        <f>SQRT((((VLOOKUP($AT$4,$A$4:$D$1021,4,FALSE))-D231)^2)+(((VLOOKUP($AT$4,$A$4:$E$1021,5,FALSE))-E231)^2)+(((VLOOKUP($AT$4,$A$4:$N$1021,14,FALSE))-N231)^2)+(((VLOOKUP($AT$4,$A$4:$O$1021,15,FALSE))-O231)^2))</f>
        <v/>
      </c>
      <c r="AG231" s="129">
        <f>SQRT((((VLOOKUP($AT$4,$A$4:$D$1021,4,FALSE))-D231)^2)+(((VLOOKUP($AT$4,$A$4:$E$1021,5,FALSE))-E231)^2)+(((VLOOKUP($AT$4,$A$4:$R$1021,18,FALSE))-R231)^2)+(((VLOOKUP($AT$4,$A$4:$S$1021,19,FALSE))-S231)^2))</f>
        <v/>
      </c>
      <c r="AJ231" s="125" t="inlineStr">
        <is>
          <t>W24X104</t>
        </is>
      </c>
      <c r="AK231" s="125">
        <f>SQRT(((VLOOKUP($AT$4,$A$4:$J$1021,10,FALSE))-J231)^2)</f>
        <v/>
      </c>
      <c r="AL231" s="125" t="n"/>
      <c r="AM231" s="125" t="n"/>
      <c r="AN231" s="125">
        <f>SQRT(((VLOOKUP($AT$4,$A$4:$R$1021,18,FALSE))-R231)^2)</f>
        <v/>
      </c>
      <c r="AO231" s="125" t="n"/>
      <c r="AP231" s="125" t="n"/>
      <c r="AQ231" s="125" t="inlineStr">
        <is>
          <t>W24X104</t>
        </is>
      </c>
      <c r="BB231" s="125">
        <f>SQRT(($J$1022-J231)^2)</f>
        <v/>
      </c>
      <c r="BC231" s="125">
        <f>SQRT(($R$1022-R231)^2)</f>
        <v/>
      </c>
      <c r="BD231" s="125" t="inlineStr">
        <is>
          <t>W24X104</t>
        </is>
      </c>
      <c r="BI231">
        <f>SQRT(($J$1023-J231)^2)</f>
        <v/>
      </c>
      <c r="BJ231">
        <f>SQRT(($R$1023-R231)^2)</f>
        <v/>
      </c>
      <c r="BK231" s="125" t="inlineStr">
        <is>
          <t>W24X104</t>
        </is>
      </c>
      <c r="BP231">
        <f>SQRT(($J$1024-J231)^2)</f>
        <v/>
      </c>
      <c r="BQ231">
        <f>SQRT(($R$1024-R231)^2)</f>
        <v/>
      </c>
      <c r="BR231" s="125" t="inlineStr">
        <is>
          <t>W24X104</t>
        </is>
      </c>
      <c r="BW231">
        <f>SQRT(($J$1025-J231)^2)</f>
        <v/>
      </c>
      <c r="BX231">
        <f>SQRT(($R$1025-R231)^2)</f>
        <v/>
      </c>
      <c r="BY231" s="125" t="inlineStr">
        <is>
          <t>W24X104</t>
        </is>
      </c>
      <c r="CD231">
        <f>SQRT(($J$1026-J231)^2)</f>
        <v/>
      </c>
      <c r="CE231">
        <f>SQRT(($R$1026-R231)^2)</f>
        <v/>
      </c>
      <c r="CF231" s="125" t="inlineStr">
        <is>
          <t>W24X104</t>
        </is>
      </c>
    </row>
    <row r="232">
      <c r="A232" s="125" t="inlineStr">
        <is>
          <t>W24X117</t>
        </is>
      </c>
      <c r="B232" s="129" t="inlineStr">
        <is>
          <t>AISC</t>
        </is>
      </c>
      <c r="C232" s="125" t="n">
        <v>174.1</v>
      </c>
      <c r="D232" s="125" t="n">
        <v>616.2</v>
      </c>
      <c r="E232" s="125" t="n">
        <v>325.1</v>
      </c>
      <c r="F232" s="125" t="n">
        <v>21.6</v>
      </c>
      <c r="G232" s="125" t="n">
        <v>14</v>
      </c>
      <c r="H232" s="125" t="n">
        <v>12.7</v>
      </c>
      <c r="I232" s="125" t="n">
        <v>547.6</v>
      </c>
      <c r="J232" s="125" t="n">
        <v>222</v>
      </c>
      <c r="K232" s="125">
        <f>((E232-G232)/2)/F232</f>
        <v/>
      </c>
      <c r="L232" s="125">
        <f>I232/G232</f>
        <v/>
      </c>
      <c r="M232" s="125" t="n">
        <v>2.48</v>
      </c>
      <c r="N232" s="125" t="n">
        <v>147200</v>
      </c>
      <c r="O232" s="125" t="n">
        <v>12380</v>
      </c>
      <c r="P232" s="125" t="n">
        <v>25.8</v>
      </c>
      <c r="Q232" s="125" t="n">
        <v>7.47</v>
      </c>
      <c r="R232" s="125" t="n">
        <v>4776</v>
      </c>
      <c r="S232" s="125" t="n">
        <v>762</v>
      </c>
      <c r="T232" s="125" t="n">
        <v>5360</v>
      </c>
      <c r="U232" s="125" t="n">
        <v>1170</v>
      </c>
      <c r="X232" s="129">
        <f t="array" ref="X232">_xlfn.IFS((D232/F232) &lt;= (640/SQRT($AT$32)), "Compact", L232 &lt;= ($AT$32*(0.79-(0.002*((E232-G232/2)/(2*F232))*SQRT($AT$32)))), "Non-Compact", L232 &gt; ($AT$32*(0.79-(0.002*((E232-G232/2)/(2*F232))*SQRT($AT$32)))), "Slender")</f>
        <v/>
      </c>
      <c r="Y232" s="129">
        <f t="array" ref="Y232">_xlfn.IFS(K232 &lt;= (65/SQRT($AT$32)), "Compact", K232 &lt;= (95/SQRT($AT$32)), "Non-Compact", K232 &gt; (95/SQRT($AT$32)), "Slender")</f>
        <v/>
      </c>
      <c r="Z232" s="125">
        <f>E232/F232</f>
        <v/>
      </c>
      <c r="AA232" s="125">
        <f>D232/G232</f>
        <v/>
      </c>
      <c r="AB232" s="125">
        <f t="array" ref="AB232">_xlfn.IFS(Z232 &lt;= 9, "1", Z232 &lt;= 12, "2", Z232 &lt;= 15, "3", Z232 &gt; 15, "4")</f>
        <v/>
      </c>
      <c r="AC232" s="125">
        <f t="array" ref="AC232">_xlfn.IFS(AA232 &lt;= 200, "1", L232 &lt;= 300, "2", L232 &lt;= 400, "3", L232 &gt; 400, "4")</f>
        <v/>
      </c>
      <c r="AD232" s="129">
        <f>SQRT((((VLOOKUP($AT$4,$A$4:$D$1021,4,FALSE))-D232)^2)+(((VLOOKUP($AT$4,$A$4:$E$1021,5,FALSE))-E232)^2)+(((VLOOKUP($AT$4,$A$4:$N$1021,14,FALSE))-N232)^2)+(((VLOOKUP($AT$4,$A$4:$O$1021,15,FALSE))-O232)^2))</f>
        <v/>
      </c>
      <c r="AG232" s="129">
        <f>SQRT((((VLOOKUP($AT$4,$A$4:$D$1021,4,FALSE))-D232)^2)+(((VLOOKUP($AT$4,$A$4:$E$1021,5,FALSE))-E232)^2)+(((VLOOKUP($AT$4,$A$4:$R$1021,18,FALSE))-R232)^2)+(((VLOOKUP($AT$4,$A$4:$S$1021,19,FALSE))-S232)^2))</f>
        <v/>
      </c>
      <c r="AJ232" s="125" t="inlineStr">
        <is>
          <t>W24X117</t>
        </is>
      </c>
      <c r="AK232" s="125">
        <f>SQRT(((VLOOKUP($AT$4,$A$4:$J$1021,10,FALSE))-J232)^2)</f>
        <v/>
      </c>
      <c r="AL232" s="125" t="n"/>
      <c r="AM232" s="125" t="n"/>
      <c r="AN232" s="125">
        <f>SQRT(((VLOOKUP($AT$4,$A$4:$R$1021,18,FALSE))-R232)^2)</f>
        <v/>
      </c>
      <c r="AO232" s="125" t="n"/>
      <c r="AP232" s="125" t="n"/>
      <c r="AQ232" s="125" t="inlineStr">
        <is>
          <t>W24X117</t>
        </is>
      </c>
      <c r="BB232" s="125">
        <f>SQRT(($J$1022-J232)^2)</f>
        <v/>
      </c>
      <c r="BC232" s="125">
        <f>SQRT(($R$1022-R232)^2)</f>
        <v/>
      </c>
      <c r="BD232" s="125" t="inlineStr">
        <is>
          <t>W24X117</t>
        </is>
      </c>
      <c r="BI232">
        <f>SQRT(($J$1023-J232)^2)</f>
        <v/>
      </c>
      <c r="BJ232">
        <f>SQRT(($R$1023-R232)^2)</f>
        <v/>
      </c>
      <c r="BK232" s="125" t="inlineStr">
        <is>
          <t>W24X117</t>
        </is>
      </c>
      <c r="BP232">
        <f>SQRT(($J$1024-J232)^2)</f>
        <v/>
      </c>
      <c r="BQ232">
        <f>SQRT(($R$1024-R232)^2)</f>
        <v/>
      </c>
      <c r="BR232" s="125" t="inlineStr">
        <is>
          <t>W24X117</t>
        </is>
      </c>
      <c r="BW232">
        <f>SQRT(($J$1025-J232)^2)</f>
        <v/>
      </c>
      <c r="BX232">
        <f>SQRT(($R$1025-R232)^2)</f>
        <v/>
      </c>
      <c r="BY232" s="125" t="inlineStr">
        <is>
          <t>W24X117</t>
        </is>
      </c>
      <c r="CD232">
        <f>SQRT(($J$1026-J232)^2)</f>
        <v/>
      </c>
      <c r="CE232">
        <f>SQRT(($R$1026-R232)^2)</f>
        <v/>
      </c>
      <c r="CF232" s="125" t="inlineStr">
        <is>
          <t>W24X117</t>
        </is>
      </c>
    </row>
    <row r="233">
      <c r="A233" s="125" t="inlineStr">
        <is>
          <t>W24X131</t>
        </is>
      </c>
      <c r="B233" s="129" t="inlineStr">
        <is>
          <t>AISC</t>
        </is>
      </c>
      <c r="C233" s="125" t="n">
        <v>194.9</v>
      </c>
      <c r="D233" s="125" t="n">
        <v>621.8</v>
      </c>
      <c r="E233" s="125" t="n">
        <v>326.5</v>
      </c>
      <c r="F233" s="125" t="n">
        <v>24.4</v>
      </c>
      <c r="G233" s="125" t="n">
        <v>15.4</v>
      </c>
      <c r="H233" s="125" t="n">
        <v>12.7</v>
      </c>
      <c r="I233" s="125" t="n">
        <v>547.6</v>
      </c>
      <c r="J233" s="125" t="n">
        <v>249</v>
      </c>
      <c r="K233" s="125">
        <f>((E233-G233)/2)/F233</f>
        <v/>
      </c>
      <c r="L233" s="125">
        <f>I233/G233</f>
        <v/>
      </c>
      <c r="M233" s="125" t="n">
        <v>2.5</v>
      </c>
      <c r="N233" s="125" t="n">
        <v>167300</v>
      </c>
      <c r="O233" s="125" t="n">
        <v>14160</v>
      </c>
      <c r="P233" s="125" t="n">
        <v>25.9</v>
      </c>
      <c r="Q233" s="125" t="n">
        <v>7.55</v>
      </c>
      <c r="R233" s="125" t="n">
        <v>5383</v>
      </c>
      <c r="S233" s="125" t="n">
        <v>867</v>
      </c>
      <c r="T233" s="125" t="n">
        <v>6057</v>
      </c>
      <c r="U233" s="125" t="n">
        <v>1335</v>
      </c>
      <c r="X233" s="129">
        <f t="array" ref="X233">_xlfn.IFS((D233/F233) &lt;= (640/SQRT($AT$32)), "Compact", L233 &lt;= ($AT$32*(0.79-(0.002*((E233-G233/2)/(2*F233))*SQRT($AT$32)))), "Non-Compact", L233 &gt; ($AT$32*(0.79-(0.002*((E233-G233/2)/(2*F233))*SQRT($AT$32)))), "Slender")</f>
        <v/>
      </c>
      <c r="Y233" s="129">
        <f t="array" ref="Y233">_xlfn.IFS(K233 &lt;= (65/SQRT($AT$32)), "Compact", K233 &lt;= (95/SQRT($AT$32)), "Non-Compact", K233 &gt; (95/SQRT($AT$32)), "Slender")</f>
        <v/>
      </c>
      <c r="Z233" s="125">
        <f>E233/F233</f>
        <v/>
      </c>
      <c r="AA233" s="125">
        <f>D233/G233</f>
        <v/>
      </c>
      <c r="AB233" s="125">
        <f t="array" ref="AB233">_xlfn.IFS(Z233 &lt;= 9, "1", Z233 &lt;= 12, "2", Z233 &lt;= 15, "3", Z233 &gt; 15, "4")</f>
        <v/>
      </c>
      <c r="AC233" s="125">
        <f t="array" ref="AC233">_xlfn.IFS(AA233 &lt;= 200, "1", L233 &lt;= 300, "2", L233 &lt;= 400, "3", L233 &gt; 400, "4")</f>
        <v/>
      </c>
      <c r="AD233" s="129">
        <f>SQRT((((VLOOKUP($AT$4,$A$4:$D$1021,4,FALSE))-D233)^2)+(((VLOOKUP($AT$4,$A$4:$E$1021,5,FALSE))-E233)^2)+(((VLOOKUP($AT$4,$A$4:$N$1021,14,FALSE))-N233)^2)+(((VLOOKUP($AT$4,$A$4:$O$1021,15,FALSE))-O233)^2))</f>
        <v/>
      </c>
      <c r="AG233" s="129">
        <f>SQRT((((VLOOKUP($AT$4,$A$4:$D$1021,4,FALSE))-D233)^2)+(((VLOOKUP($AT$4,$A$4:$E$1021,5,FALSE))-E233)^2)+(((VLOOKUP($AT$4,$A$4:$R$1021,18,FALSE))-R233)^2)+(((VLOOKUP($AT$4,$A$4:$S$1021,19,FALSE))-S233)^2))</f>
        <v/>
      </c>
      <c r="AJ233" s="125" t="inlineStr">
        <is>
          <t>W24X131</t>
        </is>
      </c>
      <c r="AK233" s="125">
        <f>SQRT(((VLOOKUP($AT$4,$A$4:$J$1021,10,FALSE))-J233)^2)</f>
        <v/>
      </c>
      <c r="AL233" s="125" t="n"/>
      <c r="AM233" s="125" t="n"/>
      <c r="AN233" s="125">
        <f>SQRT(((VLOOKUP($AT$4,$A$4:$R$1021,18,FALSE))-R233)^2)</f>
        <v/>
      </c>
      <c r="AO233" s="125" t="n"/>
      <c r="AP233" s="125" t="n"/>
      <c r="AQ233" s="125" t="inlineStr">
        <is>
          <t>W24X131</t>
        </is>
      </c>
      <c r="BB233" s="125">
        <f>SQRT(($J$1022-J233)^2)</f>
        <v/>
      </c>
      <c r="BC233" s="125">
        <f>SQRT(($R$1022-R233)^2)</f>
        <v/>
      </c>
      <c r="BD233" s="125" t="inlineStr">
        <is>
          <t>W24X131</t>
        </is>
      </c>
      <c r="BI233">
        <f>SQRT(($J$1023-J233)^2)</f>
        <v/>
      </c>
      <c r="BJ233">
        <f>SQRT(($R$1023-R233)^2)</f>
        <v/>
      </c>
      <c r="BK233" s="125" t="inlineStr">
        <is>
          <t>W24X131</t>
        </is>
      </c>
      <c r="BP233">
        <f>SQRT(($J$1024-J233)^2)</f>
        <v/>
      </c>
      <c r="BQ233">
        <f>SQRT(($R$1024-R233)^2)</f>
        <v/>
      </c>
      <c r="BR233" s="125" t="inlineStr">
        <is>
          <t>W24X131</t>
        </is>
      </c>
      <c r="BW233">
        <f>SQRT(($J$1025-J233)^2)</f>
        <v/>
      </c>
      <c r="BX233">
        <f>SQRT(($R$1025-R233)^2)</f>
        <v/>
      </c>
      <c r="BY233" s="125" t="inlineStr">
        <is>
          <t>W24X131</t>
        </is>
      </c>
      <c r="CD233">
        <f>SQRT(($J$1026-J233)^2)</f>
        <v/>
      </c>
      <c r="CE233">
        <f>SQRT(($R$1026-R233)^2)</f>
        <v/>
      </c>
      <c r="CF233" s="125" t="inlineStr">
        <is>
          <t>W24X131</t>
        </is>
      </c>
    </row>
    <row r="234">
      <c r="A234" s="125" t="inlineStr">
        <is>
          <t>W24X146*</t>
        </is>
      </c>
      <c r="B234" s="129" t="inlineStr">
        <is>
          <t>AISC</t>
        </is>
      </c>
      <c r="C234" s="125" t="n">
        <v>217.3</v>
      </c>
      <c r="D234" s="125" t="n">
        <v>628.4</v>
      </c>
      <c r="E234" s="125" t="n">
        <v>327.7</v>
      </c>
      <c r="F234" s="125" t="n">
        <v>27.7</v>
      </c>
      <c r="G234" s="125" t="n">
        <v>16.5</v>
      </c>
      <c r="H234" s="125" t="n">
        <v>12.7</v>
      </c>
      <c r="I234" s="125" t="n">
        <v>547.6</v>
      </c>
      <c r="J234" s="125" t="n">
        <v>277</v>
      </c>
      <c r="K234" s="125">
        <f>((E234-G234)/2)/F234</f>
        <v/>
      </c>
      <c r="L234" s="125">
        <f>I234/G234</f>
        <v/>
      </c>
      <c r="M234" s="125" t="n">
        <v>2.51</v>
      </c>
      <c r="N234" s="125" t="n">
        <v>190800</v>
      </c>
      <c r="O234" s="125" t="n">
        <v>16260</v>
      </c>
      <c r="P234" s="125" t="n">
        <v>26.2</v>
      </c>
      <c r="Q234" s="125" t="n">
        <v>7.66</v>
      </c>
      <c r="R234" s="125" t="n">
        <v>6074</v>
      </c>
      <c r="S234" s="125" t="n">
        <v>993</v>
      </c>
      <c r="T234" s="125" t="n">
        <v>6845</v>
      </c>
      <c r="U234" s="125" t="n">
        <v>1527</v>
      </c>
      <c r="X234" s="129">
        <f t="array" ref="X234">_xlfn.IFS((D234/F234) &lt;= (640/SQRT($AT$32)), "Compact", L234 &lt;= ($AT$32*(0.79-(0.002*((E234-G234/2)/(2*F234))*SQRT($AT$32)))), "Non-Compact", L234 &gt; ($AT$32*(0.79-(0.002*((E234-G234/2)/(2*F234))*SQRT($AT$32)))), "Slender")</f>
        <v/>
      </c>
      <c r="Y234" s="129">
        <f t="array" ref="Y234">_xlfn.IFS(K234 &lt;= (65/SQRT($AT$32)), "Compact", K234 &lt;= (95/SQRT($AT$32)), "Non-Compact", K234 &gt; (95/SQRT($AT$32)), "Slender")</f>
        <v/>
      </c>
      <c r="Z234" s="125">
        <f>E234/F234</f>
        <v/>
      </c>
      <c r="AA234" s="125">
        <f>D234/G234</f>
        <v/>
      </c>
      <c r="AB234" s="125">
        <f t="array" ref="AB234">_xlfn.IFS(Z234 &lt;= 9, "1", Z234 &lt;= 12, "2", Z234 &lt;= 15, "3", Z234 &gt; 15, "4")</f>
        <v/>
      </c>
      <c r="AC234" s="125">
        <f t="array" ref="AC234">_xlfn.IFS(AA234 &lt;= 200, "1", L234 &lt;= 300, "2", L234 &lt;= 400, "3", L234 &gt; 400, "4")</f>
        <v/>
      </c>
      <c r="AD234" s="129">
        <f>SQRT((((VLOOKUP($AT$4,$A$4:$D$1021,4,FALSE))-D234)^2)+(((VLOOKUP($AT$4,$A$4:$E$1021,5,FALSE))-E234)^2)+(((VLOOKUP($AT$4,$A$4:$N$1021,14,FALSE))-N234)^2)+(((VLOOKUP($AT$4,$A$4:$O$1021,15,FALSE))-O234)^2))</f>
        <v/>
      </c>
      <c r="AG234" s="129">
        <f>SQRT((((VLOOKUP($AT$4,$A$4:$D$1021,4,FALSE))-D234)^2)+(((VLOOKUP($AT$4,$A$4:$E$1021,5,FALSE))-E234)^2)+(((VLOOKUP($AT$4,$A$4:$R$1021,18,FALSE))-R234)^2)+(((VLOOKUP($AT$4,$A$4:$S$1021,19,FALSE))-S234)^2))</f>
        <v/>
      </c>
      <c r="AJ234" s="125" t="inlineStr">
        <is>
          <t>W24X146*</t>
        </is>
      </c>
      <c r="AK234" s="125">
        <f>SQRT(((VLOOKUP($AT$4,$A$4:$J$1021,10,FALSE))-J234)^2)</f>
        <v/>
      </c>
      <c r="AL234" s="125" t="n"/>
      <c r="AM234" s="125" t="n"/>
      <c r="AN234" s="125">
        <f>SQRT(((VLOOKUP($AT$4,$A$4:$R$1021,18,FALSE))-R234)^2)</f>
        <v/>
      </c>
      <c r="AO234" s="125" t="n"/>
      <c r="AP234" s="125" t="n"/>
      <c r="AQ234" s="125" t="inlineStr">
        <is>
          <t>W24X146*</t>
        </is>
      </c>
      <c r="BB234" s="125">
        <f>SQRT(($J$1022-J234)^2)</f>
        <v/>
      </c>
      <c r="BC234" s="125">
        <f>SQRT(($R$1022-R234)^2)</f>
        <v/>
      </c>
      <c r="BD234" s="125" t="inlineStr">
        <is>
          <t>W24X146*</t>
        </is>
      </c>
      <c r="BI234">
        <f>SQRT(($J$1023-J234)^2)</f>
        <v/>
      </c>
      <c r="BJ234">
        <f>SQRT(($R$1023-R234)^2)</f>
        <v/>
      </c>
      <c r="BK234" s="125" t="inlineStr">
        <is>
          <t>W24X146*</t>
        </is>
      </c>
      <c r="BP234">
        <f>SQRT(($J$1024-J234)^2)</f>
        <v/>
      </c>
      <c r="BQ234">
        <f>SQRT(($R$1024-R234)^2)</f>
        <v/>
      </c>
      <c r="BR234" s="125" t="inlineStr">
        <is>
          <t>W24X146*</t>
        </is>
      </c>
      <c r="BW234">
        <f>SQRT(($J$1025-J234)^2)</f>
        <v/>
      </c>
      <c r="BX234">
        <f>SQRT(($R$1025-R234)^2)</f>
        <v/>
      </c>
      <c r="BY234" s="125" t="inlineStr">
        <is>
          <t>W24X146*</t>
        </is>
      </c>
      <c r="CD234">
        <f>SQRT(($J$1026-J234)^2)</f>
        <v/>
      </c>
      <c r="CE234">
        <f>SQRT(($R$1026-R234)^2)</f>
        <v/>
      </c>
      <c r="CF234" s="125" t="inlineStr">
        <is>
          <t>W24X146*</t>
        </is>
      </c>
    </row>
    <row r="235">
      <c r="A235" s="125" t="inlineStr">
        <is>
          <t>W24X162</t>
        </is>
      </c>
      <c r="B235" s="129" t="inlineStr">
        <is>
          <t>AISC</t>
        </is>
      </c>
      <c r="C235" s="125" t="n">
        <v>241.1</v>
      </c>
      <c r="D235" s="125" t="n">
        <v>635</v>
      </c>
      <c r="E235" s="125" t="n">
        <v>329.1</v>
      </c>
      <c r="F235" s="125" t="n">
        <v>31</v>
      </c>
      <c r="G235" s="125" t="n">
        <v>17.9</v>
      </c>
      <c r="H235" s="125" t="n">
        <v>12.7</v>
      </c>
      <c r="I235" s="125" t="n">
        <v>547.6</v>
      </c>
      <c r="J235" s="125" t="n">
        <v>308</v>
      </c>
      <c r="K235" s="125">
        <f>((E235-G235)/2)/F235</f>
        <v/>
      </c>
      <c r="L235" s="125">
        <f>I235/G235</f>
        <v/>
      </c>
      <c r="M235" s="125" t="n">
        <v>2.53</v>
      </c>
      <c r="N235" s="125" t="n">
        <v>215400</v>
      </c>
      <c r="O235" s="125" t="n">
        <v>18440</v>
      </c>
      <c r="P235" s="125" t="n">
        <v>26.4</v>
      </c>
      <c r="Q235" s="125" t="n">
        <v>7.74</v>
      </c>
      <c r="R235" s="125" t="n">
        <v>6784</v>
      </c>
      <c r="S235" s="125" t="n">
        <v>1121</v>
      </c>
      <c r="T235" s="125" t="n">
        <v>7670</v>
      </c>
      <c r="U235" s="125" t="n">
        <v>1726</v>
      </c>
      <c r="X235" s="129">
        <f t="array" ref="X235">_xlfn.IFS((D235/F235) &lt;= (640/SQRT($AT$32)), "Compact", L235 &lt;= ($AT$32*(0.79-(0.002*((E235-G235/2)/(2*F235))*SQRT($AT$32)))), "Non-Compact", L235 &gt; ($AT$32*(0.79-(0.002*((E235-G235/2)/(2*F235))*SQRT($AT$32)))), "Slender")</f>
        <v/>
      </c>
      <c r="Y235" s="129">
        <f t="array" ref="Y235">_xlfn.IFS(K235 &lt;= (65/SQRT($AT$32)), "Compact", K235 &lt;= (95/SQRT($AT$32)), "Non-Compact", K235 &gt; (95/SQRT($AT$32)), "Slender")</f>
        <v/>
      </c>
      <c r="Z235" s="125">
        <f>E235/F235</f>
        <v/>
      </c>
      <c r="AA235" s="125">
        <f>D235/G235</f>
        <v/>
      </c>
      <c r="AB235" s="125">
        <f t="array" ref="AB235">_xlfn.IFS(Z235 &lt;= 9, "1", Z235 &lt;= 12, "2", Z235 &lt;= 15, "3", Z235 &gt; 15, "4")</f>
        <v/>
      </c>
      <c r="AC235" s="125">
        <f t="array" ref="AC235">_xlfn.IFS(AA235 &lt;= 200, "1", L235 &lt;= 300, "2", L235 &lt;= 400, "3", L235 &gt; 400, "4")</f>
        <v/>
      </c>
      <c r="AD235" s="129">
        <f>SQRT((((VLOOKUP($AT$4,$A$4:$D$1021,4,FALSE))-D235)^2)+(((VLOOKUP($AT$4,$A$4:$E$1021,5,FALSE))-E235)^2)+(((VLOOKUP($AT$4,$A$4:$N$1021,14,FALSE))-N235)^2)+(((VLOOKUP($AT$4,$A$4:$O$1021,15,FALSE))-O235)^2))</f>
        <v/>
      </c>
      <c r="AG235" s="129">
        <f>SQRT((((VLOOKUP($AT$4,$A$4:$D$1021,4,FALSE))-D235)^2)+(((VLOOKUP($AT$4,$A$4:$E$1021,5,FALSE))-E235)^2)+(((VLOOKUP($AT$4,$A$4:$R$1021,18,FALSE))-R235)^2)+(((VLOOKUP($AT$4,$A$4:$S$1021,19,FALSE))-S235)^2))</f>
        <v/>
      </c>
      <c r="AJ235" s="125" t="inlineStr">
        <is>
          <t>W24X162</t>
        </is>
      </c>
      <c r="AK235" s="125">
        <f>SQRT(((VLOOKUP($AT$4,$A$4:$J$1021,10,FALSE))-J235)^2)</f>
        <v/>
      </c>
      <c r="AL235" s="125" t="n"/>
      <c r="AM235" s="125" t="n"/>
      <c r="AN235" s="125">
        <f>SQRT(((VLOOKUP($AT$4,$A$4:$R$1021,18,FALSE))-R235)^2)</f>
        <v/>
      </c>
      <c r="AO235" s="125" t="n"/>
      <c r="AP235" s="125" t="n"/>
      <c r="AQ235" s="125" t="inlineStr">
        <is>
          <t>W24X162</t>
        </is>
      </c>
      <c r="BB235" s="125">
        <f>SQRT(($J$1022-J235)^2)</f>
        <v/>
      </c>
      <c r="BC235" s="125">
        <f>SQRT(($R$1022-R235)^2)</f>
        <v/>
      </c>
      <c r="BD235" s="125" t="inlineStr">
        <is>
          <t>W24X162</t>
        </is>
      </c>
      <c r="BI235">
        <f>SQRT(($J$1023-J235)^2)</f>
        <v/>
      </c>
      <c r="BJ235">
        <f>SQRT(($R$1023-R235)^2)</f>
        <v/>
      </c>
      <c r="BK235" s="125" t="inlineStr">
        <is>
          <t>W24X162</t>
        </is>
      </c>
      <c r="BP235">
        <f>SQRT(($J$1024-J235)^2)</f>
        <v/>
      </c>
      <c r="BQ235">
        <f>SQRT(($R$1024-R235)^2)</f>
        <v/>
      </c>
      <c r="BR235" s="125" t="inlineStr">
        <is>
          <t>W24X162</t>
        </is>
      </c>
      <c r="BW235">
        <f>SQRT(($J$1025-J235)^2)</f>
        <v/>
      </c>
      <c r="BX235">
        <f>SQRT(($R$1025-R235)^2)</f>
        <v/>
      </c>
      <c r="BY235" s="125" t="inlineStr">
        <is>
          <t>W24X162</t>
        </is>
      </c>
      <c r="CD235">
        <f>SQRT(($J$1026-J235)^2)</f>
        <v/>
      </c>
      <c r="CE235">
        <f>SQRT(($R$1026-R235)^2)</f>
        <v/>
      </c>
      <c r="CF235" s="125" t="inlineStr">
        <is>
          <t>W24X162</t>
        </is>
      </c>
    </row>
    <row r="236">
      <c r="A236" s="125" t="inlineStr">
        <is>
          <t>W24X176</t>
        </is>
      </c>
      <c r="B236" s="129" t="inlineStr">
        <is>
          <t>AISC</t>
        </is>
      </c>
      <c r="C236" s="125" t="n">
        <v>261.9</v>
      </c>
      <c r="D236" s="125" t="n">
        <v>641.1</v>
      </c>
      <c r="E236" s="125" t="n">
        <v>327.4</v>
      </c>
      <c r="F236" s="125" t="n">
        <v>34</v>
      </c>
      <c r="G236" s="125" t="n">
        <v>19.1</v>
      </c>
      <c r="H236" s="125" t="n">
        <v>12.7</v>
      </c>
      <c r="I236" s="125" t="n">
        <v>547.6</v>
      </c>
      <c r="J236" s="125" t="n">
        <v>333</v>
      </c>
      <c r="K236" s="125">
        <f>((E236-G236)/2)/F236</f>
        <v/>
      </c>
      <c r="L236" s="125">
        <f>I236/G236</f>
        <v/>
      </c>
      <c r="M236" s="125" t="n">
        <v>2.53</v>
      </c>
      <c r="N236" s="125" t="n">
        <v>236600</v>
      </c>
      <c r="O236" s="125" t="n">
        <v>19950</v>
      </c>
      <c r="P236" s="125" t="n">
        <v>26.6</v>
      </c>
      <c r="Q236" s="125" t="n">
        <v>7.73</v>
      </c>
      <c r="R236" s="125" t="n">
        <v>7380</v>
      </c>
      <c r="S236" s="125" t="n">
        <v>1218</v>
      </c>
      <c r="T236" s="125" t="n">
        <v>8369</v>
      </c>
      <c r="U236" s="125" t="n">
        <v>1878</v>
      </c>
      <c r="X236" s="129">
        <f t="array" ref="X236">_xlfn.IFS((D236/F236) &lt;= (640/SQRT($AT$32)), "Compact", L236 &lt;= ($AT$32*(0.79-(0.002*((E236-G236/2)/(2*F236))*SQRT($AT$32)))), "Non-Compact", L236 &gt; ($AT$32*(0.79-(0.002*((E236-G236/2)/(2*F236))*SQRT($AT$32)))), "Slender")</f>
        <v/>
      </c>
      <c r="Y236" s="129">
        <f t="array" ref="Y236">_xlfn.IFS(K236 &lt;= (65/SQRT($AT$32)), "Compact", K236 &lt;= (95/SQRT($AT$32)), "Non-Compact", K236 &gt; (95/SQRT($AT$32)), "Slender")</f>
        <v/>
      </c>
      <c r="Z236" s="125">
        <f>E236/F236</f>
        <v/>
      </c>
      <c r="AA236" s="125">
        <f>D236/G236</f>
        <v/>
      </c>
      <c r="AB236" s="125">
        <f t="array" ref="AB236">_xlfn.IFS(Z236 &lt;= 9, "1", Z236 &lt;= 12, "2", Z236 &lt;= 15, "3", Z236 &gt; 15, "4")</f>
        <v/>
      </c>
      <c r="AC236" s="125">
        <f t="array" ref="AC236">_xlfn.IFS(AA236 &lt;= 200, "1", L236 &lt;= 300, "2", L236 &lt;= 400, "3", L236 &gt; 400, "4")</f>
        <v/>
      </c>
      <c r="AD236" s="129">
        <f>SQRT((((VLOOKUP($AT$4,$A$4:$D$1021,4,FALSE))-D236)^2)+(((VLOOKUP($AT$4,$A$4:$E$1021,5,FALSE))-E236)^2)+(((VLOOKUP($AT$4,$A$4:$N$1021,14,FALSE))-N236)^2)+(((VLOOKUP($AT$4,$A$4:$O$1021,15,FALSE))-O236)^2))</f>
        <v/>
      </c>
      <c r="AG236" s="129">
        <f>SQRT((((VLOOKUP($AT$4,$A$4:$D$1021,4,FALSE))-D236)^2)+(((VLOOKUP($AT$4,$A$4:$E$1021,5,FALSE))-E236)^2)+(((VLOOKUP($AT$4,$A$4:$R$1021,18,FALSE))-R236)^2)+(((VLOOKUP($AT$4,$A$4:$S$1021,19,FALSE))-S236)^2))</f>
        <v/>
      </c>
      <c r="AJ236" s="125" t="inlineStr">
        <is>
          <t>W24X176</t>
        </is>
      </c>
      <c r="AK236" s="125">
        <f>SQRT(((VLOOKUP($AT$4,$A$4:$J$1021,10,FALSE))-J236)^2)</f>
        <v/>
      </c>
      <c r="AL236" s="125" t="n"/>
      <c r="AM236" s="125" t="n"/>
      <c r="AN236" s="125">
        <f>SQRT(((VLOOKUP($AT$4,$A$4:$R$1021,18,FALSE))-R236)^2)</f>
        <v/>
      </c>
      <c r="AO236" s="125" t="n"/>
      <c r="AP236" s="125" t="n"/>
      <c r="AQ236" s="125" t="inlineStr">
        <is>
          <t>W24X176</t>
        </is>
      </c>
      <c r="BB236" s="125">
        <f>SQRT(($J$1022-J236)^2)</f>
        <v/>
      </c>
      <c r="BC236" s="125">
        <f>SQRT(($R$1022-R236)^2)</f>
        <v/>
      </c>
      <c r="BD236" s="125" t="inlineStr">
        <is>
          <t>W24X176</t>
        </is>
      </c>
      <c r="BI236">
        <f>SQRT(($J$1023-J236)^2)</f>
        <v/>
      </c>
      <c r="BJ236">
        <f>SQRT(($R$1023-R236)^2)</f>
        <v/>
      </c>
      <c r="BK236" s="125" t="inlineStr">
        <is>
          <t>W24X176</t>
        </is>
      </c>
      <c r="BP236">
        <f>SQRT(($J$1024-J236)^2)</f>
        <v/>
      </c>
      <c r="BQ236">
        <f>SQRT(($R$1024-R236)^2)</f>
        <v/>
      </c>
      <c r="BR236" s="125" t="inlineStr">
        <is>
          <t>W24X176</t>
        </is>
      </c>
      <c r="BW236">
        <f>SQRT(($J$1025-J236)^2)</f>
        <v/>
      </c>
      <c r="BX236">
        <f>SQRT(($R$1025-R236)^2)</f>
        <v/>
      </c>
      <c r="BY236" s="125" t="inlineStr">
        <is>
          <t>W24X176</t>
        </is>
      </c>
      <c r="CD236">
        <f>SQRT(($J$1026-J236)^2)</f>
        <v/>
      </c>
      <c r="CE236">
        <f>SQRT(($R$1026-R236)^2)</f>
        <v/>
      </c>
      <c r="CF236" s="125" t="inlineStr">
        <is>
          <t>W24X176</t>
        </is>
      </c>
    </row>
    <row r="237">
      <c r="A237" s="125" t="inlineStr">
        <is>
          <t>W24X192</t>
        </is>
      </c>
      <c r="B237" s="129" t="inlineStr">
        <is>
          <t>AISC</t>
        </is>
      </c>
      <c r="C237" s="125" t="n">
        <v>285.7</v>
      </c>
      <c r="D237" s="125" t="n">
        <v>646.9</v>
      </c>
      <c r="E237" s="125" t="n">
        <v>328.9</v>
      </c>
      <c r="F237" s="125" t="n">
        <v>37.1</v>
      </c>
      <c r="G237" s="125" t="n">
        <v>20.6</v>
      </c>
      <c r="H237" s="125" t="n">
        <v>12.7</v>
      </c>
      <c r="I237" s="125" t="n">
        <v>547.3</v>
      </c>
      <c r="J237" s="125" t="n">
        <v>363</v>
      </c>
      <c r="K237" s="125">
        <f>((E237-G237)/2)/F237</f>
        <v/>
      </c>
      <c r="L237" s="125">
        <f>I237/G237</f>
        <v/>
      </c>
      <c r="M237" s="125" t="n">
        <v>2.55</v>
      </c>
      <c r="N237" s="125" t="n">
        <v>260400</v>
      </c>
      <c r="O237" s="125" t="n">
        <v>22030</v>
      </c>
      <c r="P237" s="125" t="n">
        <v>26.8</v>
      </c>
      <c r="Q237" s="125" t="n">
        <v>7.79</v>
      </c>
      <c r="R237" s="125" t="n">
        <v>8050</v>
      </c>
      <c r="S237" s="125" t="n">
        <v>1340</v>
      </c>
      <c r="T237" s="125" t="n">
        <v>9163</v>
      </c>
      <c r="U237" s="125" t="n">
        <v>2068</v>
      </c>
      <c r="X237" s="129">
        <f t="array" ref="X237">_xlfn.IFS((D237/F237) &lt;= (640/SQRT($AT$32)), "Compact", L237 &lt;= ($AT$32*(0.79-(0.002*((E237-G237/2)/(2*F237))*SQRT($AT$32)))), "Non-Compact", L237 &gt; ($AT$32*(0.79-(0.002*((E237-G237/2)/(2*F237))*SQRT($AT$32)))), "Slender")</f>
        <v/>
      </c>
      <c r="Y237" s="129">
        <f t="array" ref="Y237">_xlfn.IFS(K237 &lt;= (65/SQRT($AT$32)), "Compact", K237 &lt;= (95/SQRT($AT$32)), "Non-Compact", K237 &gt; (95/SQRT($AT$32)), "Slender")</f>
        <v/>
      </c>
      <c r="Z237" s="125">
        <f>E237/F237</f>
        <v/>
      </c>
      <c r="AA237" s="125">
        <f>D237/G237</f>
        <v/>
      </c>
      <c r="AB237" s="125">
        <f t="array" ref="AB237">_xlfn.IFS(Z237 &lt;= 9, "1", Z237 &lt;= 12, "2", Z237 &lt;= 15, "3", Z237 &gt; 15, "4")</f>
        <v/>
      </c>
      <c r="AC237" s="125">
        <f t="array" ref="AC237">_xlfn.IFS(AA237 &lt;= 200, "1", L237 &lt;= 300, "2", L237 &lt;= 400, "3", L237 &gt; 400, "4")</f>
        <v/>
      </c>
      <c r="AD237" s="129">
        <f>SQRT((((VLOOKUP($AT$4,$A$4:$D$1021,4,FALSE))-D237)^2)+(((VLOOKUP($AT$4,$A$4:$E$1021,5,FALSE))-E237)^2)+(((VLOOKUP($AT$4,$A$4:$N$1021,14,FALSE))-N237)^2)+(((VLOOKUP($AT$4,$A$4:$O$1021,15,FALSE))-O237)^2))</f>
        <v/>
      </c>
      <c r="AG237" s="129">
        <f>SQRT((((VLOOKUP($AT$4,$A$4:$D$1021,4,FALSE))-D237)^2)+(((VLOOKUP($AT$4,$A$4:$E$1021,5,FALSE))-E237)^2)+(((VLOOKUP($AT$4,$A$4:$R$1021,18,FALSE))-R237)^2)+(((VLOOKUP($AT$4,$A$4:$S$1021,19,FALSE))-S237)^2))</f>
        <v/>
      </c>
      <c r="AJ237" s="125" t="inlineStr">
        <is>
          <t>W24X192</t>
        </is>
      </c>
      <c r="AK237" s="125">
        <f>SQRT(((VLOOKUP($AT$4,$A$4:$J$1021,10,FALSE))-J237)^2)</f>
        <v/>
      </c>
      <c r="AL237" s="125" t="n"/>
      <c r="AM237" s="125" t="n"/>
      <c r="AN237" s="125">
        <f>SQRT(((VLOOKUP($AT$4,$A$4:$R$1021,18,FALSE))-R237)^2)</f>
        <v/>
      </c>
      <c r="AO237" s="125" t="n"/>
      <c r="AP237" s="125" t="n"/>
      <c r="AQ237" s="125" t="inlineStr">
        <is>
          <t>W24X192</t>
        </is>
      </c>
      <c r="BB237" s="125">
        <f>SQRT(($J$1022-J237)^2)</f>
        <v/>
      </c>
      <c r="BC237" s="125">
        <f>SQRT(($R$1022-R237)^2)</f>
        <v/>
      </c>
      <c r="BD237" s="125" t="inlineStr">
        <is>
          <t>W24X192</t>
        </is>
      </c>
      <c r="BI237">
        <f>SQRT(($J$1023-J237)^2)</f>
        <v/>
      </c>
      <c r="BJ237">
        <f>SQRT(($R$1023-R237)^2)</f>
        <v/>
      </c>
      <c r="BK237" s="125" t="inlineStr">
        <is>
          <t>W24X192</t>
        </is>
      </c>
      <c r="BP237">
        <f>SQRT(($J$1024-J237)^2)</f>
        <v/>
      </c>
      <c r="BQ237">
        <f>SQRT(($R$1024-R237)^2)</f>
        <v/>
      </c>
      <c r="BR237" s="125" t="inlineStr">
        <is>
          <t>W24X192</t>
        </is>
      </c>
      <c r="BW237">
        <f>SQRT(($J$1025-J237)^2)</f>
        <v/>
      </c>
      <c r="BX237">
        <f>SQRT(($R$1025-R237)^2)</f>
        <v/>
      </c>
      <c r="BY237" s="125" t="inlineStr">
        <is>
          <t>W24X192</t>
        </is>
      </c>
      <c r="CD237">
        <f>SQRT(($J$1026-J237)^2)</f>
        <v/>
      </c>
      <c r="CE237">
        <f>SQRT(($R$1026-R237)^2)</f>
        <v/>
      </c>
      <c r="CF237" s="125" t="inlineStr">
        <is>
          <t>W24X192</t>
        </is>
      </c>
    </row>
    <row r="238">
      <c r="A238" s="125" t="inlineStr">
        <is>
          <t>W24X207</t>
        </is>
      </c>
      <c r="B238" s="129" t="inlineStr">
        <is>
          <t>AISC</t>
        </is>
      </c>
      <c r="C238" s="125" t="n">
        <v>308</v>
      </c>
      <c r="D238" s="125" t="n">
        <v>653</v>
      </c>
      <c r="E238" s="125" t="n">
        <v>330.5</v>
      </c>
      <c r="F238" s="125" t="n">
        <v>39.9</v>
      </c>
      <c r="G238" s="125" t="n">
        <v>22.1</v>
      </c>
      <c r="H238" s="125" t="n">
        <v>12.7</v>
      </c>
      <c r="I238" s="125" t="n">
        <v>547.8</v>
      </c>
      <c r="J238" s="125" t="n">
        <v>392</v>
      </c>
      <c r="K238" s="125">
        <f>((E238-G238)/2)/F238</f>
        <v/>
      </c>
      <c r="L238" s="125">
        <f>I238/G238</f>
        <v/>
      </c>
      <c r="M238" s="125" t="n">
        <v>2.56</v>
      </c>
      <c r="N238" s="125" t="n">
        <v>283900</v>
      </c>
      <c r="O238" s="125" t="n">
        <v>24050</v>
      </c>
      <c r="P238" s="125" t="n">
        <v>26.9</v>
      </c>
      <c r="Q238" s="125" t="n">
        <v>7.84</v>
      </c>
      <c r="R238" s="125" t="n">
        <v>8695</v>
      </c>
      <c r="S238" s="125" t="n">
        <v>1455</v>
      </c>
      <c r="T238" s="125" t="n">
        <v>9936</v>
      </c>
      <c r="U238" s="125" t="n">
        <v>2250</v>
      </c>
      <c r="X238" s="129">
        <f t="array" ref="X238">_xlfn.IFS((D238/F238) &lt;= (640/SQRT($AT$32)), "Compact", L238 &lt;= ($AT$32*(0.79-(0.002*((E238-G238/2)/(2*F238))*SQRT($AT$32)))), "Non-Compact", L238 &gt; ($AT$32*(0.79-(0.002*((E238-G238/2)/(2*F238))*SQRT($AT$32)))), "Slender")</f>
        <v/>
      </c>
      <c r="Y238" s="129">
        <f t="array" ref="Y238">_xlfn.IFS(K238 &lt;= (65/SQRT($AT$32)), "Compact", K238 &lt;= (95/SQRT($AT$32)), "Non-Compact", K238 &gt; (95/SQRT($AT$32)), "Slender")</f>
        <v/>
      </c>
      <c r="Z238" s="125">
        <f>E238/F238</f>
        <v/>
      </c>
      <c r="AA238" s="125">
        <f>D238/G238</f>
        <v/>
      </c>
      <c r="AB238" s="125">
        <f t="array" ref="AB238">_xlfn.IFS(Z238 &lt;= 9, "1", Z238 &lt;= 12, "2", Z238 &lt;= 15, "3", Z238 &gt; 15, "4")</f>
        <v/>
      </c>
      <c r="AC238" s="125">
        <f t="array" ref="AC238">_xlfn.IFS(AA238 &lt;= 200, "1", L238 &lt;= 300, "2", L238 &lt;= 400, "3", L238 &gt; 400, "4")</f>
        <v/>
      </c>
      <c r="AD238" s="129">
        <f>SQRT((((VLOOKUP($AT$4,$A$4:$D$1021,4,FALSE))-D238)^2)+(((VLOOKUP($AT$4,$A$4:$E$1021,5,FALSE))-E238)^2)+(((VLOOKUP($AT$4,$A$4:$N$1021,14,FALSE))-N238)^2)+(((VLOOKUP($AT$4,$A$4:$O$1021,15,FALSE))-O238)^2))</f>
        <v/>
      </c>
      <c r="AG238" s="129">
        <f>SQRT((((VLOOKUP($AT$4,$A$4:$D$1021,4,FALSE))-D238)^2)+(((VLOOKUP($AT$4,$A$4:$E$1021,5,FALSE))-E238)^2)+(((VLOOKUP($AT$4,$A$4:$R$1021,18,FALSE))-R238)^2)+(((VLOOKUP($AT$4,$A$4:$S$1021,19,FALSE))-S238)^2))</f>
        <v/>
      </c>
      <c r="AJ238" s="125" t="inlineStr">
        <is>
          <t>W24X207</t>
        </is>
      </c>
      <c r="AK238" s="125">
        <f>SQRT(((VLOOKUP($AT$4,$A$4:$J$1021,10,FALSE))-J238)^2)</f>
        <v/>
      </c>
      <c r="AL238" s="125" t="n"/>
      <c r="AM238" s="125" t="n"/>
      <c r="AN238" s="125">
        <f>SQRT(((VLOOKUP($AT$4,$A$4:$R$1021,18,FALSE))-R238)^2)</f>
        <v/>
      </c>
      <c r="AO238" s="125" t="n"/>
      <c r="AP238" s="125" t="n"/>
      <c r="AQ238" s="125" t="inlineStr">
        <is>
          <t>W24X207</t>
        </is>
      </c>
      <c r="BB238" s="125">
        <f>SQRT(($J$1022-J238)^2)</f>
        <v/>
      </c>
      <c r="BC238" s="125">
        <f>SQRT(($R$1022-R238)^2)</f>
        <v/>
      </c>
      <c r="BD238" s="125" t="inlineStr">
        <is>
          <t>W24X207</t>
        </is>
      </c>
      <c r="BI238">
        <f>SQRT(($J$1023-J238)^2)</f>
        <v/>
      </c>
      <c r="BJ238">
        <f>SQRT(($R$1023-R238)^2)</f>
        <v/>
      </c>
      <c r="BK238" s="125" t="inlineStr">
        <is>
          <t>W24X207</t>
        </is>
      </c>
      <c r="BP238">
        <f>SQRT(($J$1024-J238)^2)</f>
        <v/>
      </c>
      <c r="BQ238">
        <f>SQRT(($R$1024-R238)^2)</f>
        <v/>
      </c>
      <c r="BR238" s="125" t="inlineStr">
        <is>
          <t>W24X207</t>
        </is>
      </c>
      <c r="BW238">
        <f>SQRT(($J$1025-J238)^2)</f>
        <v/>
      </c>
      <c r="BX238">
        <f>SQRT(($R$1025-R238)^2)</f>
        <v/>
      </c>
      <c r="BY238" s="125" t="inlineStr">
        <is>
          <t>W24X207</t>
        </is>
      </c>
      <c r="CD238">
        <f>SQRT(($J$1026-J238)^2)</f>
        <v/>
      </c>
      <c r="CE238">
        <f>SQRT(($R$1026-R238)^2)</f>
        <v/>
      </c>
      <c r="CF238" s="125" t="inlineStr">
        <is>
          <t>W24X207</t>
        </is>
      </c>
    </row>
    <row r="239">
      <c r="A239" s="125" t="inlineStr">
        <is>
          <t>W24X229</t>
        </is>
      </c>
      <c r="B239" s="129" t="inlineStr">
        <is>
          <t>AISC</t>
        </is>
      </c>
      <c r="C239" s="125" t="n">
        <v>341</v>
      </c>
      <c r="D239" s="125" t="n">
        <v>661</v>
      </c>
      <c r="E239" s="125" t="n">
        <v>333</v>
      </c>
      <c r="F239" s="125" t="n">
        <v>43.9</v>
      </c>
      <c r="G239" s="125" t="n">
        <v>24.4</v>
      </c>
      <c r="H239" s="125" t="n">
        <v>16.5</v>
      </c>
      <c r="I239" s="125" t="n">
        <v>540.2</v>
      </c>
      <c r="J239" s="125" t="n">
        <v>435</v>
      </c>
      <c r="K239" s="125">
        <f>((E239-G239)/2)/F239</f>
        <v/>
      </c>
      <c r="L239" s="125">
        <f>I239/G239</f>
        <v/>
      </c>
      <c r="M239" s="125" t="n">
        <v>2.58</v>
      </c>
      <c r="N239" s="125" t="n">
        <v>319000</v>
      </c>
      <c r="O239" s="125" t="n">
        <v>27090</v>
      </c>
      <c r="P239" s="125" t="n">
        <v>27.1</v>
      </c>
      <c r="Q239" s="125" t="n">
        <v>7.9</v>
      </c>
      <c r="R239" s="125" t="n">
        <v>9652</v>
      </c>
      <c r="S239" s="125" t="n">
        <v>1627</v>
      </c>
      <c r="T239" s="125" t="n">
        <v>11090</v>
      </c>
      <c r="U239" s="125" t="n">
        <v>2523</v>
      </c>
      <c r="X239" s="129">
        <f t="array" ref="X239">_xlfn.IFS((D239/F239) &lt;= (640/SQRT($AT$32)), "Compact", L239 &lt;= ($AT$32*(0.79-(0.002*((E239-G239/2)/(2*F239))*SQRT($AT$32)))), "Non-Compact", L239 &gt; ($AT$32*(0.79-(0.002*((E239-G239/2)/(2*F239))*SQRT($AT$32)))), "Slender")</f>
        <v/>
      </c>
      <c r="Y239" s="129">
        <f t="array" ref="Y239">_xlfn.IFS(K239 &lt;= (65/SQRT($AT$32)), "Compact", K239 &lt;= (95/SQRT($AT$32)), "Non-Compact", K239 &gt; (95/SQRT($AT$32)), "Slender")</f>
        <v/>
      </c>
      <c r="Z239" s="125">
        <f>E239/F239</f>
        <v/>
      </c>
      <c r="AA239" s="125">
        <f>D239/G239</f>
        <v/>
      </c>
      <c r="AB239" s="125">
        <f t="array" ref="AB239">_xlfn.IFS(Z239 &lt;= 9, "1", Z239 &lt;= 12, "2", Z239 &lt;= 15, "3", Z239 &gt; 15, "4")</f>
        <v/>
      </c>
      <c r="AC239" s="125">
        <f t="array" ref="AC239">_xlfn.IFS(AA239 &lt;= 200, "1", L239 &lt;= 300, "2", L239 &lt;= 400, "3", L239 &gt; 400, "4")</f>
        <v/>
      </c>
      <c r="AD239" s="129">
        <f>SQRT((((VLOOKUP($AT$4,$A$4:$D$1021,4,FALSE))-D239)^2)+(((VLOOKUP($AT$4,$A$4:$E$1021,5,FALSE))-E239)^2)+(((VLOOKUP($AT$4,$A$4:$N$1021,14,FALSE))-N239)^2)+(((VLOOKUP($AT$4,$A$4:$O$1021,15,FALSE))-O239)^2))</f>
        <v/>
      </c>
      <c r="AG239" s="129">
        <f>SQRT((((VLOOKUP($AT$4,$A$4:$D$1021,4,FALSE))-D239)^2)+(((VLOOKUP($AT$4,$A$4:$E$1021,5,FALSE))-E239)^2)+(((VLOOKUP($AT$4,$A$4:$R$1021,18,FALSE))-R239)^2)+(((VLOOKUP($AT$4,$A$4:$S$1021,19,FALSE))-S239)^2))</f>
        <v/>
      </c>
      <c r="AJ239" s="125" t="inlineStr">
        <is>
          <t>W24X229</t>
        </is>
      </c>
      <c r="AK239" s="125">
        <f>SQRT(((VLOOKUP($AT$4,$A$4:$J$1021,10,FALSE))-J239)^2)</f>
        <v/>
      </c>
      <c r="AL239" s="125" t="n"/>
      <c r="AM239" s="125" t="n"/>
      <c r="AN239" s="125">
        <f>SQRT(((VLOOKUP($AT$4,$A$4:$R$1021,18,FALSE))-R239)^2)</f>
        <v/>
      </c>
      <c r="AO239" s="125" t="n"/>
      <c r="AP239" s="125" t="n"/>
      <c r="AQ239" s="125" t="inlineStr">
        <is>
          <t>W24X229</t>
        </is>
      </c>
      <c r="BB239" s="125">
        <f>SQRT(($J$1022-J239)^2)</f>
        <v/>
      </c>
      <c r="BC239" s="125">
        <f>SQRT(($R$1022-R239)^2)</f>
        <v/>
      </c>
      <c r="BD239" s="125" t="inlineStr">
        <is>
          <t>W24X229</t>
        </is>
      </c>
      <c r="BI239">
        <f>SQRT(($J$1023-J239)^2)</f>
        <v/>
      </c>
      <c r="BJ239">
        <f>SQRT(($R$1023-R239)^2)</f>
        <v/>
      </c>
      <c r="BK239" s="125" t="inlineStr">
        <is>
          <t>W24X229</t>
        </is>
      </c>
      <c r="BP239">
        <f>SQRT(($J$1024-J239)^2)</f>
        <v/>
      </c>
      <c r="BQ239">
        <f>SQRT(($R$1024-R239)^2)</f>
        <v/>
      </c>
      <c r="BR239" s="125" t="inlineStr">
        <is>
          <t>W24X229</t>
        </is>
      </c>
      <c r="BW239">
        <f>SQRT(($J$1025-J239)^2)</f>
        <v/>
      </c>
      <c r="BX239">
        <f>SQRT(($R$1025-R239)^2)</f>
        <v/>
      </c>
      <c r="BY239" s="125" t="inlineStr">
        <is>
          <t>W24X229</t>
        </is>
      </c>
      <c r="CD239">
        <f>SQRT(($J$1026-J239)^2)</f>
        <v/>
      </c>
      <c r="CE239">
        <f>SQRT(($R$1026-R239)^2)</f>
        <v/>
      </c>
      <c r="CF239" s="125" t="inlineStr">
        <is>
          <t>W24X229</t>
        </is>
      </c>
    </row>
    <row r="240">
      <c r="A240" s="125" t="inlineStr">
        <is>
          <t>W24X250</t>
        </is>
      </c>
      <c r="B240" s="129" t="inlineStr">
        <is>
          <t>AISC</t>
        </is>
      </c>
      <c r="C240" s="125" t="n">
        <v>372</v>
      </c>
      <c r="D240" s="125" t="n">
        <v>669</v>
      </c>
      <c r="E240" s="125" t="n">
        <v>335</v>
      </c>
      <c r="F240" s="125" t="n">
        <v>48</v>
      </c>
      <c r="G240" s="125" t="n">
        <v>26.4</v>
      </c>
      <c r="H240" s="125" t="n">
        <v>16.5</v>
      </c>
      <c r="I240" s="125" t="n">
        <v>540</v>
      </c>
      <c r="J240" s="125" t="n">
        <v>475</v>
      </c>
      <c r="K240" s="125">
        <f>((E240-G240)/2)/F240</f>
        <v/>
      </c>
      <c r="L240" s="125">
        <f>I240/G240</f>
        <v/>
      </c>
      <c r="M240" s="125" t="n">
        <v>2.6</v>
      </c>
      <c r="N240" s="125" t="n">
        <v>353900</v>
      </c>
      <c r="O240" s="125" t="n">
        <v>30170</v>
      </c>
      <c r="P240" s="125" t="n">
        <v>27.3</v>
      </c>
      <c r="Q240" s="125" t="n">
        <v>7.97</v>
      </c>
      <c r="R240" s="125" t="n">
        <v>10580</v>
      </c>
      <c r="S240" s="125" t="n">
        <v>1801</v>
      </c>
      <c r="T240" s="125" t="n">
        <v>12220</v>
      </c>
      <c r="U240" s="125" t="n">
        <v>2797</v>
      </c>
      <c r="X240" s="129">
        <f t="array" ref="X240">_xlfn.IFS((D240/F240) &lt;= (640/SQRT($AT$32)), "Compact", L240 &lt;= ($AT$32*(0.79-(0.002*((E240-G240/2)/(2*F240))*SQRT($AT$32)))), "Non-Compact", L240 &gt; ($AT$32*(0.79-(0.002*((E240-G240/2)/(2*F240))*SQRT($AT$32)))), "Slender")</f>
        <v/>
      </c>
      <c r="Y240" s="129">
        <f t="array" ref="Y240">_xlfn.IFS(K240 &lt;= (65/SQRT($AT$32)), "Compact", K240 &lt;= (95/SQRT($AT$32)), "Non-Compact", K240 &gt; (95/SQRT($AT$32)), "Slender")</f>
        <v/>
      </c>
      <c r="Z240" s="125">
        <f>E240/F240</f>
        <v/>
      </c>
      <c r="AA240" s="125">
        <f>D240/G240</f>
        <v/>
      </c>
      <c r="AB240" s="125">
        <f t="array" ref="AB240">_xlfn.IFS(Z240 &lt;= 9, "1", Z240 &lt;= 12, "2", Z240 &lt;= 15, "3", Z240 &gt; 15, "4")</f>
        <v/>
      </c>
      <c r="AC240" s="125">
        <f t="array" ref="AC240">_xlfn.IFS(AA240 &lt;= 200, "1", L240 &lt;= 300, "2", L240 &lt;= 400, "3", L240 &gt; 400, "4")</f>
        <v/>
      </c>
      <c r="AD240" s="129">
        <f>SQRT((((VLOOKUP($AT$4,$A$4:$D$1021,4,FALSE))-D240)^2)+(((VLOOKUP($AT$4,$A$4:$E$1021,5,FALSE))-E240)^2)+(((VLOOKUP($AT$4,$A$4:$N$1021,14,FALSE))-N240)^2)+(((VLOOKUP($AT$4,$A$4:$O$1021,15,FALSE))-O240)^2))</f>
        <v/>
      </c>
      <c r="AG240" s="129">
        <f>SQRT((((VLOOKUP($AT$4,$A$4:$D$1021,4,FALSE))-D240)^2)+(((VLOOKUP($AT$4,$A$4:$E$1021,5,FALSE))-E240)^2)+(((VLOOKUP($AT$4,$A$4:$R$1021,18,FALSE))-R240)^2)+(((VLOOKUP($AT$4,$A$4:$S$1021,19,FALSE))-S240)^2))</f>
        <v/>
      </c>
      <c r="AJ240" s="125" t="inlineStr">
        <is>
          <t>W24X250</t>
        </is>
      </c>
      <c r="AK240" s="125">
        <f>SQRT(((VLOOKUP($AT$4,$A$4:$J$1021,10,FALSE))-J240)^2)</f>
        <v/>
      </c>
      <c r="AL240" s="125" t="n"/>
      <c r="AM240" s="125" t="n"/>
      <c r="AN240" s="125">
        <f>SQRT(((VLOOKUP($AT$4,$A$4:$R$1021,18,FALSE))-R240)^2)</f>
        <v/>
      </c>
      <c r="AO240" s="125" t="n"/>
      <c r="AP240" s="125" t="n"/>
      <c r="AQ240" s="125" t="inlineStr">
        <is>
          <t>W24X250</t>
        </is>
      </c>
      <c r="BB240" s="125">
        <f>SQRT(($J$1022-J240)^2)</f>
        <v/>
      </c>
      <c r="BC240" s="125">
        <f>SQRT(($R$1022-R240)^2)</f>
        <v/>
      </c>
      <c r="BD240" s="125" t="inlineStr">
        <is>
          <t>W24X250</t>
        </is>
      </c>
      <c r="BI240">
        <f>SQRT(($J$1023-J240)^2)</f>
        <v/>
      </c>
      <c r="BJ240">
        <f>SQRT(($R$1023-R240)^2)</f>
        <v/>
      </c>
      <c r="BK240" s="125" t="inlineStr">
        <is>
          <t>W24X250</t>
        </is>
      </c>
      <c r="BP240">
        <f>SQRT(($J$1024-J240)^2)</f>
        <v/>
      </c>
      <c r="BQ240">
        <f>SQRT(($R$1024-R240)^2)</f>
        <v/>
      </c>
      <c r="BR240" s="125" t="inlineStr">
        <is>
          <t>W24X250</t>
        </is>
      </c>
      <c r="BW240">
        <f>SQRT(($J$1025-J240)^2)</f>
        <v/>
      </c>
      <c r="BX240">
        <f>SQRT(($R$1025-R240)^2)</f>
        <v/>
      </c>
      <c r="BY240" s="125" t="inlineStr">
        <is>
          <t>W24X250</t>
        </is>
      </c>
      <c r="CD240">
        <f>SQRT(($J$1026-J240)^2)</f>
        <v/>
      </c>
      <c r="CE240">
        <f>SQRT(($R$1026-R240)^2)</f>
        <v/>
      </c>
      <c r="CF240" s="125" t="inlineStr">
        <is>
          <t>W24X250</t>
        </is>
      </c>
    </row>
    <row r="241">
      <c r="A241" s="125" t="inlineStr">
        <is>
          <t>W24X279</t>
        </is>
      </c>
      <c r="B241" s="129" t="inlineStr">
        <is>
          <t>AISC</t>
        </is>
      </c>
      <c r="C241" s="125" t="n">
        <v>415</v>
      </c>
      <c r="D241" s="125" t="n">
        <v>679</v>
      </c>
      <c r="E241" s="125" t="n">
        <v>338</v>
      </c>
      <c r="F241" s="125" t="n">
        <v>53.1</v>
      </c>
      <c r="G241" s="125" t="n">
        <v>29.5</v>
      </c>
      <c r="H241" s="125" t="n">
        <v>16.5</v>
      </c>
      <c r="I241" s="125" t="n">
        <v>539.8</v>
      </c>
      <c r="J241" s="125" t="n">
        <v>530</v>
      </c>
      <c r="K241" s="125">
        <f>((E241-G241)/2)/F241</f>
        <v/>
      </c>
      <c r="L241" s="125">
        <f>I241/G241</f>
        <v/>
      </c>
      <c r="M241" s="125" t="n">
        <v>2.62</v>
      </c>
      <c r="N241" s="125" t="n">
        <v>400500</v>
      </c>
      <c r="O241" s="125" t="n">
        <v>34310</v>
      </c>
      <c r="P241" s="125" t="n">
        <v>27.5</v>
      </c>
      <c r="Q241" s="125" t="n">
        <v>8.039999999999999</v>
      </c>
      <c r="R241" s="125" t="n">
        <v>11800</v>
      </c>
      <c r="S241" s="125" t="n">
        <v>2030</v>
      </c>
      <c r="T241" s="125" t="n">
        <v>13720</v>
      </c>
      <c r="U241" s="125" t="n">
        <v>3162</v>
      </c>
      <c r="X241" s="129">
        <f t="array" ref="X241">_xlfn.IFS((D241/F241) &lt;= (640/SQRT($AT$32)), "Compact", L241 &lt;= ($AT$32*(0.79-(0.002*((E241-G241/2)/(2*F241))*SQRT($AT$32)))), "Non-Compact", L241 &gt; ($AT$32*(0.79-(0.002*((E241-G241/2)/(2*F241))*SQRT($AT$32)))), "Slender")</f>
        <v/>
      </c>
      <c r="Y241" s="129">
        <f t="array" ref="Y241">_xlfn.IFS(K241 &lt;= (65/SQRT($AT$32)), "Compact", K241 &lt;= (95/SQRT($AT$32)), "Non-Compact", K241 &gt; (95/SQRT($AT$32)), "Slender")</f>
        <v/>
      </c>
      <c r="Z241" s="125">
        <f>E241/F241</f>
        <v/>
      </c>
      <c r="AA241" s="125">
        <f>D241/G241</f>
        <v/>
      </c>
      <c r="AB241" s="125">
        <f t="array" ref="AB241">_xlfn.IFS(Z241 &lt;= 9, "1", Z241 &lt;= 12, "2", Z241 &lt;= 15, "3", Z241 &gt; 15, "4")</f>
        <v/>
      </c>
      <c r="AC241" s="125">
        <f t="array" ref="AC241">_xlfn.IFS(AA241 &lt;= 200, "1", L241 &lt;= 300, "2", L241 &lt;= 400, "3", L241 &gt; 400, "4")</f>
        <v/>
      </c>
      <c r="AD241" s="129">
        <f>SQRT((((VLOOKUP($AT$4,$A$4:$D$1021,4,FALSE))-D241)^2)+(((VLOOKUP($AT$4,$A$4:$E$1021,5,FALSE))-E241)^2)+(((VLOOKUP($AT$4,$A$4:$N$1021,14,FALSE))-N241)^2)+(((VLOOKUP($AT$4,$A$4:$O$1021,15,FALSE))-O241)^2))</f>
        <v/>
      </c>
      <c r="AG241" s="129">
        <f>SQRT((((VLOOKUP($AT$4,$A$4:$D$1021,4,FALSE))-D241)^2)+(((VLOOKUP($AT$4,$A$4:$E$1021,5,FALSE))-E241)^2)+(((VLOOKUP($AT$4,$A$4:$R$1021,18,FALSE))-R241)^2)+(((VLOOKUP($AT$4,$A$4:$S$1021,19,FALSE))-S241)^2))</f>
        <v/>
      </c>
      <c r="AJ241" s="125" t="inlineStr">
        <is>
          <t>W24X279</t>
        </is>
      </c>
      <c r="AK241" s="125">
        <f>SQRT(((VLOOKUP($AT$4,$A$4:$J$1021,10,FALSE))-J241)^2)</f>
        <v/>
      </c>
      <c r="AL241" s="125" t="n"/>
      <c r="AM241" s="125" t="n"/>
      <c r="AN241" s="125">
        <f>SQRT(((VLOOKUP($AT$4,$A$4:$R$1021,18,FALSE))-R241)^2)</f>
        <v/>
      </c>
      <c r="AO241" s="125" t="n"/>
      <c r="AP241" s="125" t="n"/>
      <c r="AQ241" s="125" t="inlineStr">
        <is>
          <t>W24X279</t>
        </is>
      </c>
      <c r="BB241" s="125">
        <f>SQRT(($J$1022-J241)^2)</f>
        <v/>
      </c>
      <c r="BC241" s="125">
        <f>SQRT(($R$1022-R241)^2)</f>
        <v/>
      </c>
      <c r="BD241" s="125" t="inlineStr">
        <is>
          <t>W24X279</t>
        </is>
      </c>
      <c r="BI241">
        <f>SQRT(($J$1023-J241)^2)</f>
        <v/>
      </c>
      <c r="BJ241">
        <f>SQRT(($R$1023-R241)^2)</f>
        <v/>
      </c>
      <c r="BK241" s="125" t="inlineStr">
        <is>
          <t>W24X279</t>
        </is>
      </c>
      <c r="BP241">
        <f>SQRT(($J$1024-J241)^2)</f>
        <v/>
      </c>
      <c r="BQ241">
        <f>SQRT(($R$1024-R241)^2)</f>
        <v/>
      </c>
      <c r="BR241" s="125" t="inlineStr">
        <is>
          <t>W24X279</t>
        </is>
      </c>
      <c r="BW241">
        <f>SQRT(($J$1025-J241)^2)</f>
        <v/>
      </c>
      <c r="BX241">
        <f>SQRT(($R$1025-R241)^2)</f>
        <v/>
      </c>
      <c r="BY241" s="125" t="inlineStr">
        <is>
          <t>W24X279</t>
        </is>
      </c>
      <c r="CD241">
        <f>SQRT(($J$1026-J241)^2)</f>
        <v/>
      </c>
      <c r="CE241">
        <f>SQRT(($R$1026-R241)^2)</f>
        <v/>
      </c>
      <c r="CF241" s="125" t="inlineStr">
        <is>
          <t>W24X279</t>
        </is>
      </c>
    </row>
    <row r="242">
      <c r="A242" s="125" t="inlineStr">
        <is>
          <t>W24X306</t>
        </is>
      </c>
      <c r="B242" s="129" t="inlineStr">
        <is>
          <t>AISC</t>
        </is>
      </c>
      <c r="C242" s="125" t="n">
        <v>455</v>
      </c>
      <c r="D242" s="125" t="n">
        <v>689</v>
      </c>
      <c r="E242" s="125" t="n">
        <v>340</v>
      </c>
      <c r="F242" s="125" t="n">
        <v>57.9</v>
      </c>
      <c r="G242" s="125" t="n">
        <v>32</v>
      </c>
      <c r="H242" s="125" t="n">
        <v>16.5</v>
      </c>
      <c r="I242" s="125" t="n">
        <v>540.2</v>
      </c>
      <c r="J242" s="125" t="n">
        <v>579</v>
      </c>
      <c r="K242" s="125">
        <f>((E242-G242)/2)/F242</f>
        <v/>
      </c>
      <c r="L242" s="125">
        <f>I242/G242</f>
        <v/>
      </c>
      <c r="M242" s="125" t="n">
        <v>2.65</v>
      </c>
      <c r="N242" s="125" t="n">
        <v>445200</v>
      </c>
      <c r="O242" s="125" t="n">
        <v>38100</v>
      </c>
      <c r="P242" s="125" t="n">
        <v>27.7</v>
      </c>
      <c r="Q242" s="125" t="n">
        <v>8.109999999999999</v>
      </c>
      <c r="R242" s="125" t="n">
        <v>12920</v>
      </c>
      <c r="S242" s="125" t="n">
        <v>2241</v>
      </c>
      <c r="T242" s="125" t="n">
        <v>15120</v>
      </c>
      <c r="U242" s="125" t="n">
        <v>3498</v>
      </c>
      <c r="X242" s="129">
        <f t="array" ref="X242">_xlfn.IFS((D242/F242) &lt;= (640/SQRT($AT$32)), "Compact", L242 &lt;= ($AT$32*(0.79-(0.002*((E242-G242/2)/(2*F242))*SQRT($AT$32)))), "Non-Compact", L242 &gt; ($AT$32*(0.79-(0.002*((E242-G242/2)/(2*F242))*SQRT($AT$32)))), "Slender")</f>
        <v/>
      </c>
      <c r="Y242" s="129">
        <f t="array" ref="Y242">_xlfn.IFS(K242 &lt;= (65/SQRT($AT$32)), "Compact", K242 &lt;= (95/SQRT($AT$32)), "Non-Compact", K242 &gt; (95/SQRT($AT$32)), "Slender")</f>
        <v/>
      </c>
      <c r="Z242" s="125">
        <f>E242/F242</f>
        <v/>
      </c>
      <c r="AA242" s="125">
        <f>D242/G242</f>
        <v/>
      </c>
      <c r="AB242" s="125">
        <f t="array" ref="AB242">_xlfn.IFS(Z242 &lt;= 9, "1", Z242 &lt;= 12, "2", Z242 &lt;= 15, "3", Z242 &gt; 15, "4")</f>
        <v/>
      </c>
      <c r="AC242" s="125">
        <f t="array" ref="AC242">_xlfn.IFS(AA242 &lt;= 200, "1", L242 &lt;= 300, "2", L242 &lt;= 400, "3", L242 &gt; 400, "4")</f>
        <v/>
      </c>
      <c r="AD242" s="129">
        <f>SQRT((((VLOOKUP($AT$4,$A$4:$D$1021,4,FALSE))-D242)^2)+(((VLOOKUP($AT$4,$A$4:$E$1021,5,FALSE))-E242)^2)+(((VLOOKUP($AT$4,$A$4:$N$1021,14,FALSE))-N242)^2)+(((VLOOKUP($AT$4,$A$4:$O$1021,15,FALSE))-O242)^2))</f>
        <v/>
      </c>
      <c r="AG242" s="129">
        <f>SQRT((((VLOOKUP($AT$4,$A$4:$D$1021,4,FALSE))-D242)^2)+(((VLOOKUP($AT$4,$A$4:$E$1021,5,FALSE))-E242)^2)+(((VLOOKUP($AT$4,$A$4:$R$1021,18,FALSE))-R242)^2)+(((VLOOKUP($AT$4,$A$4:$S$1021,19,FALSE))-S242)^2))</f>
        <v/>
      </c>
      <c r="AJ242" s="125" t="inlineStr">
        <is>
          <t>W24X306</t>
        </is>
      </c>
      <c r="AK242" s="125">
        <f>SQRT(((VLOOKUP($AT$4,$A$4:$J$1021,10,FALSE))-J242)^2)</f>
        <v/>
      </c>
      <c r="AL242" s="125" t="n"/>
      <c r="AM242" s="125" t="n"/>
      <c r="AN242" s="125">
        <f>SQRT(((VLOOKUP($AT$4,$A$4:$R$1021,18,FALSE))-R242)^2)</f>
        <v/>
      </c>
      <c r="AO242" s="125" t="n"/>
      <c r="AP242" s="125" t="n"/>
      <c r="AQ242" s="125" t="inlineStr">
        <is>
          <t>W24X306</t>
        </is>
      </c>
      <c r="BB242" s="125">
        <f>SQRT(($J$1022-J242)^2)</f>
        <v/>
      </c>
      <c r="BC242" s="125">
        <f>SQRT(($R$1022-R242)^2)</f>
        <v/>
      </c>
      <c r="BD242" s="125" t="inlineStr">
        <is>
          <t>W24X306</t>
        </is>
      </c>
      <c r="BI242">
        <f>SQRT(($J$1023-J242)^2)</f>
        <v/>
      </c>
      <c r="BJ242">
        <f>SQRT(($R$1023-R242)^2)</f>
        <v/>
      </c>
      <c r="BK242" s="125" t="inlineStr">
        <is>
          <t>W24X306</t>
        </is>
      </c>
      <c r="BP242">
        <f>SQRT(($J$1024-J242)^2)</f>
        <v/>
      </c>
      <c r="BQ242">
        <f>SQRT(($R$1024-R242)^2)</f>
        <v/>
      </c>
      <c r="BR242" s="125" t="inlineStr">
        <is>
          <t>W24X306</t>
        </is>
      </c>
      <c r="BW242">
        <f>SQRT(($J$1025-J242)^2)</f>
        <v/>
      </c>
      <c r="BX242">
        <f>SQRT(($R$1025-R242)^2)</f>
        <v/>
      </c>
      <c r="BY242" s="125" t="inlineStr">
        <is>
          <t>W24X306</t>
        </is>
      </c>
      <c r="CD242">
        <f>SQRT(($J$1026-J242)^2)</f>
        <v/>
      </c>
      <c r="CE242">
        <f>SQRT(($R$1026-R242)^2)</f>
        <v/>
      </c>
      <c r="CF242" s="125" t="inlineStr">
        <is>
          <t>W24X306</t>
        </is>
      </c>
    </row>
    <row r="243">
      <c r="A243" s="125" t="inlineStr">
        <is>
          <t>W24X335</t>
        </is>
      </c>
      <c r="B243" s="129" t="inlineStr">
        <is>
          <t>AISC</t>
        </is>
      </c>
      <c r="C243" s="125" t="n">
        <v>498</v>
      </c>
      <c r="D243" s="125" t="n">
        <v>699</v>
      </c>
      <c r="E243" s="125" t="n">
        <v>343</v>
      </c>
      <c r="F243" s="125" t="n">
        <v>63</v>
      </c>
      <c r="G243" s="125" t="n">
        <v>35.1</v>
      </c>
      <c r="H243" s="125" t="n">
        <v>13</v>
      </c>
      <c r="I243" s="125" t="n">
        <v>547</v>
      </c>
      <c r="J243" s="125" t="n">
        <v>635</v>
      </c>
      <c r="K243" s="125">
        <f>((E243-G243)/2)/F243</f>
        <v/>
      </c>
      <c r="L243" s="125">
        <f>I243/G243</f>
        <v/>
      </c>
      <c r="M243" s="125" t="n">
        <v>2.68</v>
      </c>
      <c r="N243" s="125" t="n">
        <v>494700</v>
      </c>
      <c r="O243" s="125" t="n">
        <v>42580</v>
      </c>
      <c r="P243" s="125" t="n">
        <v>27.9</v>
      </c>
      <c r="Q243" s="125" t="n">
        <v>8.19</v>
      </c>
      <c r="R243" s="125" t="n">
        <v>14150</v>
      </c>
      <c r="S243" s="125" t="n">
        <v>2483</v>
      </c>
      <c r="T243" s="125" t="n">
        <v>16670</v>
      </c>
      <c r="U243" s="125" t="n">
        <v>3885</v>
      </c>
      <c r="X243" s="129">
        <f t="array" ref="X243">_xlfn.IFS((D243/F243) &lt;= (640/SQRT($AT$32)), "Compact", L243 &lt;= ($AT$32*(0.79-(0.002*((E243-G243/2)/(2*F243))*SQRT($AT$32)))), "Non-Compact", L243 &gt; ($AT$32*(0.79-(0.002*((E243-G243/2)/(2*F243))*SQRT($AT$32)))), "Slender")</f>
        <v/>
      </c>
      <c r="Y243" s="129">
        <f t="array" ref="Y243">_xlfn.IFS(K243 &lt;= (65/SQRT($AT$32)), "Compact", K243 &lt;= (95/SQRT($AT$32)), "Non-Compact", K243 &gt; (95/SQRT($AT$32)), "Slender")</f>
        <v/>
      </c>
      <c r="Z243" s="125">
        <f>E243/F243</f>
        <v/>
      </c>
      <c r="AA243" s="125">
        <f>D243/G243</f>
        <v/>
      </c>
      <c r="AB243" s="125">
        <f t="array" ref="AB243">_xlfn.IFS(Z243 &lt;= 9, "1", Z243 &lt;= 12, "2", Z243 &lt;= 15, "3", Z243 &gt; 15, "4")</f>
        <v/>
      </c>
      <c r="AC243" s="125">
        <f t="array" ref="AC243">_xlfn.IFS(AA243 &lt;= 200, "1", L243 &lt;= 300, "2", L243 &lt;= 400, "3", L243 &gt; 400, "4")</f>
        <v/>
      </c>
      <c r="AD243" s="129">
        <f>SQRT((((VLOOKUP($AT$4,$A$4:$D$1021,4,FALSE))-D243)^2)+(((VLOOKUP($AT$4,$A$4:$E$1021,5,FALSE))-E243)^2)+(((VLOOKUP($AT$4,$A$4:$N$1021,14,FALSE))-N243)^2)+(((VLOOKUP($AT$4,$A$4:$O$1021,15,FALSE))-O243)^2))</f>
        <v/>
      </c>
      <c r="AG243" s="129">
        <f>SQRT((((VLOOKUP($AT$4,$A$4:$D$1021,4,FALSE))-D243)^2)+(((VLOOKUP($AT$4,$A$4:$E$1021,5,FALSE))-E243)^2)+(((VLOOKUP($AT$4,$A$4:$R$1021,18,FALSE))-R243)^2)+(((VLOOKUP($AT$4,$A$4:$S$1021,19,FALSE))-S243)^2))</f>
        <v/>
      </c>
      <c r="AJ243" s="125" t="inlineStr">
        <is>
          <t>W24X335</t>
        </is>
      </c>
      <c r="AK243" s="125">
        <f>SQRT(((VLOOKUP($AT$4,$A$4:$J$1021,10,FALSE))-J243)^2)</f>
        <v/>
      </c>
      <c r="AL243" s="125" t="n"/>
      <c r="AM243" s="125" t="n"/>
      <c r="AN243" s="125">
        <f>SQRT(((VLOOKUP($AT$4,$A$4:$R$1021,18,FALSE))-R243)^2)</f>
        <v/>
      </c>
      <c r="AO243" s="125" t="n"/>
      <c r="AP243" s="125" t="n"/>
      <c r="AQ243" s="125" t="inlineStr">
        <is>
          <t>W24X335</t>
        </is>
      </c>
      <c r="BB243" s="125">
        <f>SQRT(($J$1022-J243)^2)</f>
        <v/>
      </c>
      <c r="BC243" s="125">
        <f>SQRT(($R$1022-R243)^2)</f>
        <v/>
      </c>
      <c r="BD243" s="125" t="inlineStr">
        <is>
          <t>W24X335</t>
        </is>
      </c>
      <c r="BI243">
        <f>SQRT(($J$1023-J243)^2)</f>
        <v/>
      </c>
      <c r="BJ243">
        <f>SQRT(($R$1023-R243)^2)</f>
        <v/>
      </c>
      <c r="BK243" s="125" t="inlineStr">
        <is>
          <t>W24X335</t>
        </is>
      </c>
      <c r="BP243">
        <f>SQRT(($J$1024-J243)^2)</f>
        <v/>
      </c>
      <c r="BQ243">
        <f>SQRT(($R$1024-R243)^2)</f>
        <v/>
      </c>
      <c r="BR243" s="125" t="inlineStr">
        <is>
          <t>W24X335</t>
        </is>
      </c>
      <c r="BW243">
        <f>SQRT(($J$1025-J243)^2)</f>
        <v/>
      </c>
      <c r="BX243">
        <f>SQRT(($R$1025-R243)^2)</f>
        <v/>
      </c>
      <c r="BY243" s="125" t="inlineStr">
        <is>
          <t>W24X335</t>
        </is>
      </c>
      <c r="CD243">
        <f>SQRT(($J$1026-J243)^2)</f>
        <v/>
      </c>
      <c r="CE243">
        <f>SQRT(($R$1026-R243)^2)</f>
        <v/>
      </c>
      <c r="CF243" s="125" t="inlineStr">
        <is>
          <t>W24X335</t>
        </is>
      </c>
    </row>
    <row r="244">
      <c r="A244" s="125" t="inlineStr">
        <is>
          <t>W24X370</t>
        </is>
      </c>
      <c r="B244" s="129" t="inlineStr">
        <is>
          <t>AISC</t>
        </is>
      </c>
      <c r="C244" s="125" t="n">
        <v>551</v>
      </c>
      <c r="D244" s="125" t="n">
        <v>711</v>
      </c>
      <c r="E244" s="125" t="n">
        <v>347</v>
      </c>
      <c r="F244" s="125" t="n">
        <v>69.09999999999999</v>
      </c>
      <c r="G244" s="125" t="n">
        <v>38.6</v>
      </c>
      <c r="H244" s="125" t="n">
        <v>13</v>
      </c>
      <c r="I244" s="125" t="n">
        <v>546.8</v>
      </c>
      <c r="J244" s="125" t="n">
        <v>702</v>
      </c>
      <c r="K244" s="125">
        <f>((E244-G244)/2)/F244</f>
        <v/>
      </c>
      <c r="L244" s="125">
        <f>I244/G244</f>
        <v/>
      </c>
      <c r="M244" s="125" t="n">
        <v>2.71</v>
      </c>
      <c r="N244" s="125" t="n">
        <v>557510</v>
      </c>
      <c r="O244" s="125" t="n">
        <v>48400</v>
      </c>
      <c r="P244" s="125" t="n">
        <v>28.2</v>
      </c>
      <c r="Q244" s="125" t="n">
        <v>8.300000000000001</v>
      </c>
      <c r="R244" s="125" t="n">
        <v>15682</v>
      </c>
      <c r="S244" s="125" t="n">
        <v>2790</v>
      </c>
      <c r="T244" s="125" t="n">
        <v>18599</v>
      </c>
      <c r="U244" s="125" t="n">
        <v>4377</v>
      </c>
      <c r="X244" s="129">
        <f t="array" ref="X244">_xlfn.IFS((D244/F244) &lt;= (640/SQRT($AT$32)), "Compact", L244 &lt;= ($AT$32*(0.79-(0.002*((E244-G244/2)/(2*F244))*SQRT($AT$32)))), "Non-Compact", L244 &gt; ($AT$32*(0.79-(0.002*((E244-G244/2)/(2*F244))*SQRT($AT$32)))), "Slender")</f>
        <v/>
      </c>
      <c r="Y244" s="129">
        <f t="array" ref="Y244">_xlfn.IFS(K244 &lt;= (65/SQRT($AT$32)), "Compact", K244 &lt;= (95/SQRT($AT$32)), "Non-Compact", K244 &gt; (95/SQRT($AT$32)), "Slender")</f>
        <v/>
      </c>
      <c r="Z244" s="125">
        <f>E244/F244</f>
        <v/>
      </c>
      <c r="AA244" s="125">
        <f>D244/G244</f>
        <v/>
      </c>
      <c r="AB244" s="125">
        <f t="array" ref="AB244">_xlfn.IFS(Z244 &lt;= 9, "1", Z244 &lt;= 12, "2", Z244 &lt;= 15, "3", Z244 &gt; 15, "4")</f>
        <v/>
      </c>
      <c r="AC244" s="125">
        <f t="array" ref="AC244">_xlfn.IFS(AA244 &lt;= 200, "1", L244 &lt;= 300, "2", L244 &lt;= 400, "3", L244 &gt; 400, "4")</f>
        <v/>
      </c>
      <c r="AD244" s="129">
        <f>SQRT((((VLOOKUP($AT$4,$A$4:$D$1021,4,FALSE))-D244)^2)+(((VLOOKUP($AT$4,$A$4:$E$1021,5,FALSE))-E244)^2)+(((VLOOKUP($AT$4,$A$4:$N$1021,14,FALSE))-N244)^2)+(((VLOOKUP($AT$4,$A$4:$O$1021,15,FALSE))-O244)^2))</f>
        <v/>
      </c>
      <c r="AG244" s="129">
        <f>SQRT((((VLOOKUP($AT$4,$A$4:$D$1021,4,FALSE))-D244)^2)+(((VLOOKUP($AT$4,$A$4:$E$1021,5,FALSE))-E244)^2)+(((VLOOKUP($AT$4,$A$4:$R$1021,18,FALSE))-R244)^2)+(((VLOOKUP($AT$4,$A$4:$S$1021,19,FALSE))-S244)^2))</f>
        <v/>
      </c>
      <c r="AJ244" s="125" t="inlineStr">
        <is>
          <t>W24X370</t>
        </is>
      </c>
      <c r="AK244" s="125">
        <f>SQRT(((VLOOKUP($AT$4,$A$4:$J$1021,10,FALSE))-J244)^2)</f>
        <v/>
      </c>
      <c r="AL244" s="125" t="n"/>
      <c r="AM244" s="125" t="n"/>
      <c r="AN244" s="125">
        <f>SQRT(((VLOOKUP($AT$4,$A$4:$R$1021,18,FALSE))-R244)^2)</f>
        <v/>
      </c>
      <c r="AO244" s="125" t="n"/>
      <c r="AP244" s="125" t="n"/>
      <c r="AQ244" s="125" t="inlineStr">
        <is>
          <t>W24X370</t>
        </is>
      </c>
      <c r="BB244" s="125">
        <f>SQRT(($J$1022-J244)^2)</f>
        <v/>
      </c>
      <c r="BC244" s="125">
        <f>SQRT(($R$1022-R244)^2)</f>
        <v/>
      </c>
      <c r="BD244" s="125" t="inlineStr">
        <is>
          <t>W24X370</t>
        </is>
      </c>
      <c r="BI244">
        <f>SQRT(($J$1023-J244)^2)</f>
        <v/>
      </c>
      <c r="BJ244">
        <f>SQRT(($R$1023-R244)^2)</f>
        <v/>
      </c>
      <c r="BK244" s="125" t="inlineStr">
        <is>
          <t>W24X370</t>
        </is>
      </c>
      <c r="BP244">
        <f>SQRT(($J$1024-J244)^2)</f>
        <v/>
      </c>
      <c r="BQ244">
        <f>SQRT(($R$1024-R244)^2)</f>
        <v/>
      </c>
      <c r="BR244" s="125" t="inlineStr">
        <is>
          <t>W24X370</t>
        </is>
      </c>
      <c r="BW244">
        <f>SQRT(($J$1025-J244)^2)</f>
        <v/>
      </c>
      <c r="BX244">
        <f>SQRT(($R$1025-R244)^2)</f>
        <v/>
      </c>
      <c r="BY244" s="125" t="inlineStr">
        <is>
          <t>W24X370</t>
        </is>
      </c>
      <c r="CD244">
        <f>SQRT(($J$1026-J244)^2)</f>
        <v/>
      </c>
      <c r="CE244">
        <f>SQRT(($R$1026-R244)^2)</f>
        <v/>
      </c>
      <c r="CF244" s="125" t="inlineStr">
        <is>
          <t>W24X370</t>
        </is>
      </c>
    </row>
    <row r="245">
      <c r="A245" s="125" t="inlineStr">
        <is>
          <t>W27X84</t>
        </is>
      </c>
      <c r="B245" s="129" t="inlineStr">
        <is>
          <t>AISC</t>
        </is>
      </c>
      <c r="C245" s="125" t="n">
        <v>125.2</v>
      </c>
      <c r="D245" s="125" t="n">
        <v>677.9</v>
      </c>
      <c r="E245" s="125" t="n">
        <v>253</v>
      </c>
      <c r="F245" s="125" t="n">
        <v>16.2</v>
      </c>
      <c r="G245" s="125" t="n">
        <v>11.7</v>
      </c>
      <c r="H245" s="125" t="n">
        <v>15.2</v>
      </c>
      <c r="I245" s="125" t="n">
        <v>615.1</v>
      </c>
      <c r="J245" s="125" t="n">
        <v>159</v>
      </c>
      <c r="K245" s="125">
        <f>((E245-G245)/2)/F245</f>
        <v/>
      </c>
      <c r="L245" s="125">
        <f>I245/G245</f>
        <v/>
      </c>
      <c r="M245" s="125" t="n">
        <v>2.32</v>
      </c>
      <c r="N245" s="125" t="n">
        <v>118000</v>
      </c>
      <c r="O245" s="125" t="n">
        <v>4383</v>
      </c>
      <c r="P245" s="125" t="n">
        <v>27.2</v>
      </c>
      <c r="Q245" s="125" t="n">
        <v>5.24</v>
      </c>
      <c r="R245" s="125" t="n">
        <v>3481</v>
      </c>
      <c r="S245" s="125" t="n">
        <v>347</v>
      </c>
      <c r="T245" s="125" t="n">
        <v>3994</v>
      </c>
      <c r="U245" s="125" t="n">
        <v>542</v>
      </c>
      <c r="X245" s="129">
        <f t="array" ref="X245">_xlfn.IFS((D245/F245) &lt;= (640/SQRT($AT$32)), "Compact", L245 &lt;= ($AT$32*(0.79-(0.002*((E245-G245/2)/(2*F245))*SQRT($AT$32)))), "Non-Compact", L245 &gt; ($AT$32*(0.79-(0.002*((E245-G245/2)/(2*F245))*SQRT($AT$32)))), "Slender")</f>
        <v/>
      </c>
      <c r="Y245" s="129">
        <f t="array" ref="Y245">_xlfn.IFS(K245 &lt;= (65/SQRT($AT$32)), "Compact", K245 &lt;= (95/SQRT($AT$32)), "Non-Compact", K245 &gt; (95/SQRT($AT$32)), "Slender")</f>
        <v/>
      </c>
      <c r="Z245" s="125">
        <f>E245/F245</f>
        <v/>
      </c>
      <c r="AA245" s="125">
        <f>D245/G245</f>
        <v/>
      </c>
      <c r="AB245" s="125">
        <f t="array" ref="AB245">_xlfn.IFS(Z245 &lt;= 9, "1", Z245 &lt;= 12, "2", Z245 &lt;= 15, "3", Z245 &gt; 15, "4")</f>
        <v/>
      </c>
      <c r="AC245" s="125">
        <f t="array" ref="AC245">_xlfn.IFS(AA245 &lt;= 200, "1", L245 &lt;= 300, "2", L245 &lt;= 400, "3", L245 &gt; 400, "4")</f>
        <v/>
      </c>
      <c r="AD245" s="129">
        <f>SQRT((((VLOOKUP($AT$4,$A$4:$D$1021,4,FALSE))-D245)^2)+(((VLOOKUP($AT$4,$A$4:$E$1021,5,FALSE))-E245)^2)+(((VLOOKUP($AT$4,$A$4:$N$1021,14,FALSE))-N245)^2)+(((VLOOKUP($AT$4,$A$4:$O$1021,15,FALSE))-O245)^2))</f>
        <v/>
      </c>
      <c r="AG245" s="129">
        <f>SQRT((((VLOOKUP($AT$4,$A$4:$D$1021,4,FALSE))-D245)^2)+(((VLOOKUP($AT$4,$A$4:$E$1021,5,FALSE))-E245)^2)+(((VLOOKUP($AT$4,$A$4:$R$1021,18,FALSE))-R245)^2)+(((VLOOKUP($AT$4,$A$4:$S$1021,19,FALSE))-S245)^2))</f>
        <v/>
      </c>
      <c r="AJ245" s="125" t="inlineStr">
        <is>
          <t>W27X84</t>
        </is>
      </c>
      <c r="AK245" s="125">
        <f>SQRT(((VLOOKUP($AT$4,$A$4:$J$1021,10,FALSE))-J245)^2)</f>
        <v/>
      </c>
      <c r="AL245" s="125" t="n"/>
      <c r="AM245" s="125" t="n"/>
      <c r="AN245" s="125">
        <f>SQRT(((VLOOKUP($AT$4,$A$4:$R$1021,18,FALSE))-R245)^2)</f>
        <v/>
      </c>
      <c r="AO245" s="125" t="n"/>
      <c r="AP245" s="125" t="n"/>
      <c r="AQ245" s="125" t="inlineStr">
        <is>
          <t>W27X84</t>
        </is>
      </c>
      <c r="BB245" s="125">
        <f>SQRT(($J$1022-J245)^2)</f>
        <v/>
      </c>
      <c r="BC245" s="125">
        <f>SQRT(($R$1022-R245)^2)</f>
        <v/>
      </c>
      <c r="BD245" s="125" t="inlineStr">
        <is>
          <t>W27X84</t>
        </is>
      </c>
      <c r="BI245">
        <f>SQRT(($J$1023-J245)^2)</f>
        <v/>
      </c>
      <c r="BJ245">
        <f>SQRT(($R$1023-R245)^2)</f>
        <v/>
      </c>
      <c r="BK245" s="125" t="inlineStr">
        <is>
          <t>W27X84</t>
        </is>
      </c>
      <c r="BP245">
        <f>SQRT(($J$1024-J245)^2)</f>
        <v/>
      </c>
      <c r="BQ245">
        <f>SQRT(($R$1024-R245)^2)</f>
        <v/>
      </c>
      <c r="BR245" s="125" t="inlineStr">
        <is>
          <t>W27X84</t>
        </is>
      </c>
      <c r="BW245">
        <f>SQRT(($J$1025-J245)^2)</f>
        <v/>
      </c>
      <c r="BX245">
        <f>SQRT(($R$1025-R245)^2)</f>
        <v/>
      </c>
      <c r="BY245" s="125" t="inlineStr">
        <is>
          <t>W27X84</t>
        </is>
      </c>
      <c r="CD245">
        <f>SQRT(($J$1026-J245)^2)</f>
        <v/>
      </c>
      <c r="CE245">
        <f>SQRT(($R$1026-R245)^2)</f>
        <v/>
      </c>
      <c r="CF245" s="125" t="inlineStr">
        <is>
          <t>W27X84</t>
        </is>
      </c>
    </row>
    <row r="246">
      <c r="A246" s="125" t="inlineStr">
        <is>
          <t>W27X94</t>
        </is>
      </c>
      <c r="B246" s="129" t="inlineStr">
        <is>
          <t>AISC</t>
        </is>
      </c>
      <c r="C246" s="125" t="n">
        <v>140.1</v>
      </c>
      <c r="D246" s="125" t="n">
        <v>683.5</v>
      </c>
      <c r="E246" s="125" t="n">
        <v>253.7</v>
      </c>
      <c r="F246" s="125" t="n">
        <v>19</v>
      </c>
      <c r="G246" s="125" t="n">
        <v>12.4</v>
      </c>
      <c r="H246" s="125" t="n">
        <v>15.2</v>
      </c>
      <c r="I246" s="125" t="n">
        <v>615.1</v>
      </c>
      <c r="J246" s="125" t="n">
        <v>178</v>
      </c>
      <c r="K246" s="125">
        <f>((E246-G246)/2)/F246</f>
        <v/>
      </c>
      <c r="L246" s="125">
        <f>I246/G246</f>
        <v/>
      </c>
      <c r="M246" s="125" t="n">
        <v>2.33</v>
      </c>
      <c r="N246" s="125" t="n">
        <v>136300</v>
      </c>
      <c r="O246" s="125" t="n">
        <v>5184</v>
      </c>
      <c r="P246" s="125" t="n">
        <v>27.6</v>
      </c>
      <c r="Q246" s="125" t="n">
        <v>5.39</v>
      </c>
      <c r="R246" s="125" t="n">
        <v>3987</v>
      </c>
      <c r="S246" s="125" t="n">
        <v>409</v>
      </c>
      <c r="T246" s="125" t="n">
        <v>4558</v>
      </c>
      <c r="U246" s="125" t="n">
        <v>638</v>
      </c>
      <c r="X246" s="129">
        <f t="array" ref="X246">_xlfn.IFS((D246/F246) &lt;= (640/SQRT($AT$32)), "Compact", L246 &lt;= ($AT$32*(0.79-(0.002*((E246-G246/2)/(2*F246))*SQRT($AT$32)))), "Non-Compact", L246 &gt; ($AT$32*(0.79-(0.002*((E246-G246/2)/(2*F246))*SQRT($AT$32)))), "Slender")</f>
        <v/>
      </c>
      <c r="Y246" s="129">
        <f t="array" ref="Y246">_xlfn.IFS(K246 &lt;= (65/SQRT($AT$32)), "Compact", K246 &lt;= (95/SQRT($AT$32)), "Non-Compact", K246 &gt; (95/SQRT($AT$32)), "Slender")</f>
        <v/>
      </c>
      <c r="Z246" s="125">
        <f>E246/F246</f>
        <v/>
      </c>
      <c r="AA246" s="125">
        <f>D246/G246</f>
        <v/>
      </c>
      <c r="AB246" s="125">
        <f t="array" ref="AB246">_xlfn.IFS(Z246 &lt;= 9, "1", Z246 &lt;= 12, "2", Z246 &lt;= 15, "3", Z246 &gt; 15, "4")</f>
        <v/>
      </c>
      <c r="AC246" s="125">
        <f t="array" ref="AC246">_xlfn.IFS(AA246 &lt;= 200, "1", L246 &lt;= 300, "2", L246 &lt;= 400, "3", L246 &gt; 400, "4")</f>
        <v/>
      </c>
      <c r="AD246" s="129">
        <f>SQRT((((VLOOKUP($AT$4,$A$4:$D$1021,4,FALSE))-D246)^2)+(((VLOOKUP($AT$4,$A$4:$E$1021,5,FALSE))-E246)^2)+(((VLOOKUP($AT$4,$A$4:$N$1021,14,FALSE))-N246)^2)+(((VLOOKUP($AT$4,$A$4:$O$1021,15,FALSE))-O246)^2))</f>
        <v/>
      </c>
      <c r="AG246" s="129">
        <f>SQRT((((VLOOKUP($AT$4,$A$4:$D$1021,4,FALSE))-D246)^2)+(((VLOOKUP($AT$4,$A$4:$E$1021,5,FALSE))-E246)^2)+(((VLOOKUP($AT$4,$A$4:$R$1021,18,FALSE))-R246)^2)+(((VLOOKUP($AT$4,$A$4:$S$1021,19,FALSE))-S246)^2))</f>
        <v/>
      </c>
      <c r="AJ246" s="125" t="inlineStr">
        <is>
          <t>W27X94</t>
        </is>
      </c>
      <c r="AK246" s="125">
        <f>SQRT(((VLOOKUP($AT$4,$A$4:$J$1021,10,FALSE))-J246)^2)</f>
        <v/>
      </c>
      <c r="AL246" s="125" t="n"/>
      <c r="AM246" s="125" t="n"/>
      <c r="AN246" s="125">
        <f>SQRT(((VLOOKUP($AT$4,$A$4:$R$1021,18,FALSE))-R246)^2)</f>
        <v/>
      </c>
      <c r="AO246" s="125" t="n"/>
      <c r="AP246" s="125" t="n"/>
      <c r="AQ246" s="125" t="inlineStr">
        <is>
          <t>W27X94</t>
        </is>
      </c>
      <c r="BB246" s="125">
        <f>SQRT(($J$1022-J246)^2)</f>
        <v/>
      </c>
      <c r="BC246" s="125">
        <f>SQRT(($R$1022-R246)^2)</f>
        <v/>
      </c>
      <c r="BD246" s="125" t="inlineStr">
        <is>
          <t>W27X94</t>
        </is>
      </c>
      <c r="BI246">
        <f>SQRT(($J$1023-J246)^2)</f>
        <v/>
      </c>
      <c r="BJ246">
        <f>SQRT(($R$1023-R246)^2)</f>
        <v/>
      </c>
      <c r="BK246" s="125" t="inlineStr">
        <is>
          <t>W27X94</t>
        </is>
      </c>
      <c r="BP246">
        <f>SQRT(($J$1024-J246)^2)</f>
        <v/>
      </c>
      <c r="BQ246">
        <f>SQRT(($R$1024-R246)^2)</f>
        <v/>
      </c>
      <c r="BR246" s="125" t="inlineStr">
        <is>
          <t>W27X94</t>
        </is>
      </c>
      <c r="BW246">
        <f>SQRT(($J$1025-J246)^2)</f>
        <v/>
      </c>
      <c r="BX246">
        <f>SQRT(($R$1025-R246)^2)</f>
        <v/>
      </c>
      <c r="BY246" s="125" t="inlineStr">
        <is>
          <t>W27X94</t>
        </is>
      </c>
      <c r="CD246">
        <f>SQRT(($J$1026-J246)^2)</f>
        <v/>
      </c>
      <c r="CE246">
        <f>SQRT(($R$1026-R246)^2)</f>
        <v/>
      </c>
      <c r="CF246" s="125" t="inlineStr">
        <is>
          <t>W27X94</t>
        </is>
      </c>
    </row>
    <row r="247">
      <c r="A247" s="125" t="inlineStr">
        <is>
          <t>W27X102</t>
        </is>
      </c>
      <c r="B247" s="129" t="inlineStr">
        <is>
          <t>AISC</t>
        </is>
      </c>
      <c r="C247" s="125" t="n">
        <v>152.4</v>
      </c>
      <c r="D247" s="125" t="n">
        <v>687.5</v>
      </c>
      <c r="E247" s="125" t="n">
        <v>254.5</v>
      </c>
      <c r="F247" s="125" t="n">
        <v>21</v>
      </c>
      <c r="G247" s="125" t="n">
        <v>13.2</v>
      </c>
      <c r="H247" s="125" t="n">
        <v>15.2</v>
      </c>
      <c r="I247" s="125" t="n">
        <v>615.1</v>
      </c>
      <c r="J247" s="125" t="n">
        <v>194</v>
      </c>
      <c r="K247" s="125">
        <f>((E247-G247)/2)/F247</f>
        <v/>
      </c>
      <c r="L247" s="125">
        <f>I247/G247</f>
        <v/>
      </c>
      <c r="M247" s="125" t="n">
        <v>2.34</v>
      </c>
      <c r="N247" s="125" t="n">
        <v>150400</v>
      </c>
      <c r="O247" s="125" t="n">
        <v>5784</v>
      </c>
      <c r="P247" s="125" t="n">
        <v>27.8</v>
      </c>
      <c r="Q247" s="125" t="n">
        <v>5.46</v>
      </c>
      <c r="R247" s="125" t="n">
        <v>4374</v>
      </c>
      <c r="S247" s="125" t="n">
        <v>455</v>
      </c>
      <c r="T247" s="125" t="n">
        <v>5000</v>
      </c>
      <c r="U247" s="125" t="n">
        <v>710</v>
      </c>
      <c r="X247" s="129">
        <f t="array" ref="X247">_xlfn.IFS((D247/F247) &lt;= (640/SQRT($AT$32)), "Compact", L247 &lt;= ($AT$32*(0.79-(0.002*((E247-G247/2)/(2*F247))*SQRT($AT$32)))), "Non-Compact", L247 &gt; ($AT$32*(0.79-(0.002*((E247-G247/2)/(2*F247))*SQRT($AT$32)))), "Slender")</f>
        <v/>
      </c>
      <c r="Y247" s="129">
        <f t="array" ref="Y247">_xlfn.IFS(K247 &lt;= (65/SQRT($AT$32)), "Compact", K247 &lt;= (95/SQRT($AT$32)), "Non-Compact", K247 &gt; (95/SQRT($AT$32)), "Slender")</f>
        <v/>
      </c>
      <c r="Z247" s="125">
        <f>E247/F247</f>
        <v/>
      </c>
      <c r="AA247" s="125">
        <f>D247/G247</f>
        <v/>
      </c>
      <c r="AB247" s="125">
        <f t="array" ref="AB247">_xlfn.IFS(Z247 &lt;= 9, "1", Z247 &lt;= 12, "2", Z247 &lt;= 15, "3", Z247 &gt; 15, "4")</f>
        <v/>
      </c>
      <c r="AC247" s="125">
        <f t="array" ref="AC247">_xlfn.IFS(AA247 &lt;= 200, "1", L247 &lt;= 300, "2", L247 &lt;= 400, "3", L247 &gt; 400, "4")</f>
        <v/>
      </c>
      <c r="AD247" s="129">
        <f>SQRT((((VLOOKUP($AT$4,$A$4:$D$1021,4,FALSE))-D247)^2)+(((VLOOKUP($AT$4,$A$4:$E$1021,5,FALSE))-E247)^2)+(((VLOOKUP($AT$4,$A$4:$N$1021,14,FALSE))-N247)^2)+(((VLOOKUP($AT$4,$A$4:$O$1021,15,FALSE))-O247)^2))</f>
        <v/>
      </c>
      <c r="AG247" s="129">
        <f>SQRT((((VLOOKUP($AT$4,$A$4:$D$1021,4,FALSE))-D247)^2)+(((VLOOKUP($AT$4,$A$4:$E$1021,5,FALSE))-E247)^2)+(((VLOOKUP($AT$4,$A$4:$R$1021,18,FALSE))-R247)^2)+(((VLOOKUP($AT$4,$A$4:$S$1021,19,FALSE))-S247)^2))</f>
        <v/>
      </c>
      <c r="AJ247" s="125" t="inlineStr">
        <is>
          <t>W27X102</t>
        </is>
      </c>
      <c r="AK247" s="125">
        <f>SQRT(((VLOOKUP($AT$4,$A$4:$J$1021,10,FALSE))-J247)^2)</f>
        <v/>
      </c>
      <c r="AL247" s="125" t="n"/>
      <c r="AM247" s="125" t="n"/>
      <c r="AN247" s="125">
        <f>SQRT(((VLOOKUP($AT$4,$A$4:$R$1021,18,FALSE))-R247)^2)</f>
        <v/>
      </c>
      <c r="AO247" s="125" t="n"/>
      <c r="AP247" s="125" t="n"/>
      <c r="AQ247" s="125" t="inlineStr">
        <is>
          <t>W27X102</t>
        </is>
      </c>
      <c r="BB247" s="125">
        <f>SQRT(($J$1022-J247)^2)</f>
        <v/>
      </c>
      <c r="BC247" s="125">
        <f>SQRT(($R$1022-R247)^2)</f>
        <v/>
      </c>
      <c r="BD247" s="125" t="inlineStr">
        <is>
          <t>W27X102</t>
        </is>
      </c>
      <c r="BI247">
        <f>SQRT(($J$1023-J247)^2)</f>
        <v/>
      </c>
      <c r="BJ247">
        <f>SQRT(($R$1023-R247)^2)</f>
        <v/>
      </c>
      <c r="BK247" s="125" t="inlineStr">
        <is>
          <t>W27X102</t>
        </is>
      </c>
      <c r="BP247">
        <f>SQRT(($J$1024-J247)^2)</f>
        <v/>
      </c>
      <c r="BQ247">
        <f>SQRT(($R$1024-R247)^2)</f>
        <v/>
      </c>
      <c r="BR247" s="125" t="inlineStr">
        <is>
          <t>W27X102</t>
        </is>
      </c>
      <c r="BW247">
        <f>SQRT(($J$1025-J247)^2)</f>
        <v/>
      </c>
      <c r="BX247">
        <f>SQRT(($R$1025-R247)^2)</f>
        <v/>
      </c>
      <c r="BY247" s="125" t="inlineStr">
        <is>
          <t>W27X102</t>
        </is>
      </c>
      <c r="CD247">
        <f>SQRT(($J$1026-J247)^2)</f>
        <v/>
      </c>
      <c r="CE247">
        <f>SQRT(($R$1026-R247)^2)</f>
        <v/>
      </c>
      <c r="CF247" s="125" t="inlineStr">
        <is>
          <t>W27X102</t>
        </is>
      </c>
    </row>
    <row r="248">
      <c r="A248" s="125" t="inlineStr">
        <is>
          <t>W27X114</t>
        </is>
      </c>
      <c r="B248" s="129" t="inlineStr">
        <is>
          <t>AISC</t>
        </is>
      </c>
      <c r="C248" s="125" t="n">
        <v>170.2</v>
      </c>
      <c r="D248" s="125" t="n">
        <v>692.9</v>
      </c>
      <c r="E248" s="125" t="n">
        <v>255.8</v>
      </c>
      <c r="F248" s="125" t="n">
        <v>23.7</v>
      </c>
      <c r="G248" s="125" t="n">
        <v>14.5</v>
      </c>
      <c r="H248" s="125" t="n">
        <v>15.2</v>
      </c>
      <c r="I248" s="125" t="n">
        <v>615.1</v>
      </c>
      <c r="J248" s="125" t="n">
        <v>217</v>
      </c>
      <c r="K248" s="125">
        <f>((E248-G248)/2)/F248</f>
        <v/>
      </c>
      <c r="L248" s="125">
        <f>I248/G248</f>
        <v/>
      </c>
      <c r="M248" s="125" t="n">
        <v>2.35</v>
      </c>
      <c r="N248" s="125" t="n">
        <v>170300</v>
      </c>
      <c r="O248" s="125" t="n">
        <v>6631</v>
      </c>
      <c r="P248" s="125" t="n">
        <v>28</v>
      </c>
      <c r="Q248" s="125" t="n">
        <v>5.53</v>
      </c>
      <c r="R248" s="125" t="n">
        <v>4916</v>
      </c>
      <c r="S248" s="125" t="n">
        <v>518</v>
      </c>
      <c r="T248" s="125" t="n">
        <v>5631</v>
      </c>
      <c r="U248" s="125" t="n">
        <v>811</v>
      </c>
      <c r="X248" s="129">
        <f t="array" ref="X248">_xlfn.IFS((D248/F248) &lt;= (640/SQRT($AT$32)), "Compact", L248 &lt;= ($AT$32*(0.79-(0.002*((E248-G248/2)/(2*F248))*SQRT($AT$32)))), "Non-Compact", L248 &gt; ($AT$32*(0.79-(0.002*((E248-G248/2)/(2*F248))*SQRT($AT$32)))), "Slender")</f>
        <v/>
      </c>
      <c r="Y248" s="129">
        <f t="array" ref="Y248">_xlfn.IFS(K248 &lt;= (65/SQRT($AT$32)), "Compact", K248 &lt;= (95/SQRT($AT$32)), "Non-Compact", K248 &gt; (95/SQRT($AT$32)), "Slender")</f>
        <v/>
      </c>
      <c r="Z248" s="125">
        <f>E248/F248</f>
        <v/>
      </c>
      <c r="AA248" s="125">
        <f>D248/G248</f>
        <v/>
      </c>
      <c r="AB248" s="125">
        <f t="array" ref="AB248">_xlfn.IFS(Z248 &lt;= 9, "1", Z248 &lt;= 12, "2", Z248 &lt;= 15, "3", Z248 &gt; 15, "4")</f>
        <v/>
      </c>
      <c r="AC248" s="125">
        <f t="array" ref="AC248">_xlfn.IFS(AA248 &lt;= 200, "1", L248 &lt;= 300, "2", L248 &lt;= 400, "3", L248 &gt; 400, "4")</f>
        <v/>
      </c>
      <c r="AD248" s="129">
        <f>SQRT((((VLOOKUP($AT$4,$A$4:$D$1021,4,FALSE))-D248)^2)+(((VLOOKUP($AT$4,$A$4:$E$1021,5,FALSE))-E248)^2)+(((VLOOKUP($AT$4,$A$4:$N$1021,14,FALSE))-N248)^2)+(((VLOOKUP($AT$4,$A$4:$O$1021,15,FALSE))-O248)^2))</f>
        <v/>
      </c>
      <c r="AG248" s="129">
        <f>SQRT((((VLOOKUP($AT$4,$A$4:$D$1021,4,FALSE))-D248)^2)+(((VLOOKUP($AT$4,$A$4:$E$1021,5,FALSE))-E248)^2)+(((VLOOKUP($AT$4,$A$4:$R$1021,18,FALSE))-R248)^2)+(((VLOOKUP($AT$4,$A$4:$S$1021,19,FALSE))-S248)^2))</f>
        <v/>
      </c>
      <c r="AJ248" s="125" t="inlineStr">
        <is>
          <t>W27X114</t>
        </is>
      </c>
      <c r="AK248" s="125">
        <f>SQRT(((VLOOKUP($AT$4,$A$4:$J$1021,10,FALSE))-J248)^2)</f>
        <v/>
      </c>
      <c r="AL248" s="125" t="n"/>
      <c r="AM248" s="125" t="n"/>
      <c r="AN248" s="125">
        <f>SQRT(((VLOOKUP($AT$4,$A$4:$R$1021,18,FALSE))-R248)^2)</f>
        <v/>
      </c>
      <c r="AO248" s="125" t="n"/>
      <c r="AP248" s="125" t="n"/>
      <c r="AQ248" s="125" t="inlineStr">
        <is>
          <t>W27X114</t>
        </is>
      </c>
      <c r="BB248" s="125">
        <f>SQRT(($J$1022-J248)^2)</f>
        <v/>
      </c>
      <c r="BC248" s="125">
        <f>SQRT(($R$1022-R248)^2)</f>
        <v/>
      </c>
      <c r="BD248" s="125" t="inlineStr">
        <is>
          <t>W27X114</t>
        </is>
      </c>
      <c r="BI248">
        <f>SQRT(($J$1023-J248)^2)</f>
        <v/>
      </c>
      <c r="BJ248">
        <f>SQRT(($R$1023-R248)^2)</f>
        <v/>
      </c>
      <c r="BK248" s="125" t="inlineStr">
        <is>
          <t>W27X114</t>
        </is>
      </c>
      <c r="BP248">
        <f>SQRT(($J$1024-J248)^2)</f>
        <v/>
      </c>
      <c r="BQ248">
        <f>SQRT(($R$1024-R248)^2)</f>
        <v/>
      </c>
      <c r="BR248" s="125" t="inlineStr">
        <is>
          <t>W27X114</t>
        </is>
      </c>
      <c r="BW248">
        <f>SQRT(($J$1025-J248)^2)</f>
        <v/>
      </c>
      <c r="BX248">
        <f>SQRT(($R$1025-R248)^2)</f>
        <v/>
      </c>
      <c r="BY248" s="125" t="inlineStr">
        <is>
          <t>W27X114</t>
        </is>
      </c>
      <c r="CD248">
        <f>SQRT(($J$1026-J248)^2)</f>
        <v/>
      </c>
      <c r="CE248">
        <f>SQRT(($R$1026-R248)^2)</f>
        <v/>
      </c>
      <c r="CF248" s="125" t="inlineStr">
        <is>
          <t>W27X114</t>
        </is>
      </c>
    </row>
    <row r="249">
      <c r="A249" s="125" t="inlineStr">
        <is>
          <t>W27X129</t>
        </is>
      </c>
      <c r="B249" s="129" t="inlineStr">
        <is>
          <t>AISC</t>
        </is>
      </c>
      <c r="C249" s="125" t="n">
        <v>192</v>
      </c>
      <c r="D249" s="125" t="n">
        <v>701.8</v>
      </c>
      <c r="E249" s="125" t="n">
        <v>254.3</v>
      </c>
      <c r="F249" s="125" t="n">
        <v>27.9</v>
      </c>
      <c r="G249" s="125" t="n">
        <v>15.5</v>
      </c>
      <c r="H249" s="125" t="n">
        <v>15.2</v>
      </c>
      <c r="I249" s="125" t="n">
        <v>615.6</v>
      </c>
      <c r="J249" s="125" t="n">
        <v>244</v>
      </c>
      <c r="K249" s="125">
        <f>((E249-G249)/2)/F249</f>
        <v/>
      </c>
      <c r="L249" s="125">
        <f>I249/G249</f>
        <v/>
      </c>
      <c r="M249" s="125" t="n">
        <v>2.36</v>
      </c>
      <c r="N249" s="125" t="n">
        <v>198000</v>
      </c>
      <c r="O249" s="125" t="n">
        <v>7670</v>
      </c>
      <c r="P249" s="125" t="n">
        <v>28.5</v>
      </c>
      <c r="Q249" s="125" t="n">
        <v>5.61</v>
      </c>
      <c r="R249" s="125" t="n">
        <v>5644</v>
      </c>
      <c r="S249" s="125" t="n">
        <v>603</v>
      </c>
      <c r="T249" s="125" t="n">
        <v>6462</v>
      </c>
      <c r="U249" s="125" t="n">
        <v>943</v>
      </c>
      <c r="X249" s="129">
        <f t="array" ref="X249">_xlfn.IFS((D249/F249) &lt;= (640/SQRT($AT$32)), "Compact", L249 &lt;= ($AT$32*(0.79-(0.002*((E249-G249/2)/(2*F249))*SQRT($AT$32)))), "Non-Compact", L249 &gt; ($AT$32*(0.79-(0.002*((E249-G249/2)/(2*F249))*SQRT($AT$32)))), "Slender")</f>
        <v/>
      </c>
      <c r="Y249" s="129">
        <f t="array" ref="Y249">_xlfn.IFS(K249 &lt;= (65/SQRT($AT$32)), "Compact", K249 &lt;= (95/SQRT($AT$32)), "Non-Compact", K249 &gt; (95/SQRT($AT$32)), "Slender")</f>
        <v/>
      </c>
      <c r="Z249" s="125">
        <f>E249/F249</f>
        <v/>
      </c>
      <c r="AA249" s="125">
        <f>D249/G249</f>
        <v/>
      </c>
      <c r="AB249" s="125">
        <f t="array" ref="AB249">_xlfn.IFS(Z249 &lt;= 9, "1", Z249 &lt;= 12, "2", Z249 &lt;= 15, "3", Z249 &gt; 15, "4")</f>
        <v/>
      </c>
      <c r="AC249" s="125">
        <f t="array" ref="AC249">_xlfn.IFS(AA249 &lt;= 200, "1", L249 &lt;= 300, "2", L249 &lt;= 400, "3", L249 &gt; 400, "4")</f>
        <v/>
      </c>
      <c r="AD249" s="129">
        <f>SQRT((((VLOOKUP($AT$4,$A$4:$D$1021,4,FALSE))-D249)^2)+(((VLOOKUP($AT$4,$A$4:$E$1021,5,FALSE))-E249)^2)+(((VLOOKUP($AT$4,$A$4:$N$1021,14,FALSE))-N249)^2)+(((VLOOKUP($AT$4,$A$4:$O$1021,15,FALSE))-O249)^2))</f>
        <v/>
      </c>
      <c r="AG249" s="129">
        <f>SQRT((((VLOOKUP($AT$4,$A$4:$D$1021,4,FALSE))-D249)^2)+(((VLOOKUP($AT$4,$A$4:$E$1021,5,FALSE))-E249)^2)+(((VLOOKUP($AT$4,$A$4:$R$1021,18,FALSE))-R249)^2)+(((VLOOKUP($AT$4,$A$4:$S$1021,19,FALSE))-S249)^2))</f>
        <v/>
      </c>
      <c r="AJ249" s="125" t="inlineStr">
        <is>
          <t>W27X129</t>
        </is>
      </c>
      <c r="AK249" s="125">
        <f>SQRT(((VLOOKUP($AT$4,$A$4:$J$1021,10,FALSE))-J249)^2)</f>
        <v/>
      </c>
      <c r="AL249" s="125" t="n"/>
      <c r="AM249" s="125" t="n"/>
      <c r="AN249" s="125">
        <f>SQRT(((VLOOKUP($AT$4,$A$4:$R$1021,18,FALSE))-R249)^2)</f>
        <v/>
      </c>
      <c r="AO249" s="125" t="n"/>
      <c r="AP249" s="125" t="n"/>
      <c r="AQ249" s="125" t="inlineStr">
        <is>
          <t>W27X129</t>
        </is>
      </c>
      <c r="BB249" s="125">
        <f>SQRT(($J$1022-J249)^2)</f>
        <v/>
      </c>
      <c r="BC249" s="125">
        <f>SQRT(($R$1022-R249)^2)</f>
        <v/>
      </c>
      <c r="BD249" s="125" t="inlineStr">
        <is>
          <t>W27X129</t>
        </is>
      </c>
      <c r="BI249">
        <f>SQRT(($J$1023-J249)^2)</f>
        <v/>
      </c>
      <c r="BJ249">
        <f>SQRT(($R$1023-R249)^2)</f>
        <v/>
      </c>
      <c r="BK249" s="125" t="inlineStr">
        <is>
          <t>W27X129</t>
        </is>
      </c>
      <c r="BP249">
        <f>SQRT(($J$1024-J249)^2)</f>
        <v/>
      </c>
      <c r="BQ249">
        <f>SQRT(($R$1024-R249)^2)</f>
        <v/>
      </c>
      <c r="BR249" s="125" t="inlineStr">
        <is>
          <t>W27X129</t>
        </is>
      </c>
      <c r="BW249">
        <f>SQRT(($J$1025-J249)^2)</f>
        <v/>
      </c>
      <c r="BX249">
        <f>SQRT(($R$1025-R249)^2)</f>
        <v/>
      </c>
      <c r="BY249" s="125" t="inlineStr">
        <is>
          <t>W27X129</t>
        </is>
      </c>
      <c r="CD249">
        <f>SQRT(($J$1026-J249)^2)</f>
        <v/>
      </c>
      <c r="CE249">
        <f>SQRT(($R$1026-R249)^2)</f>
        <v/>
      </c>
      <c r="CF249" s="125" t="inlineStr">
        <is>
          <t>W27X129</t>
        </is>
      </c>
    </row>
    <row r="250">
      <c r="A250" s="125" t="inlineStr">
        <is>
          <t>W27X143</t>
        </is>
      </c>
      <c r="B250" s="129" t="inlineStr">
        <is>
          <t>AISC</t>
        </is>
      </c>
      <c r="C250" s="125" t="n">
        <v>213</v>
      </c>
      <c r="D250" s="125" t="n">
        <v>707.9</v>
      </c>
      <c r="E250" s="125" t="n">
        <v>255.8</v>
      </c>
      <c r="F250" s="125" t="n">
        <v>31</v>
      </c>
      <c r="G250" s="125" t="n">
        <v>17</v>
      </c>
      <c r="H250" s="125" t="n">
        <v>15.2</v>
      </c>
      <c r="I250" s="125" t="n">
        <v>615.5</v>
      </c>
      <c r="J250" s="125" t="n">
        <v>270</v>
      </c>
      <c r="K250" s="125">
        <f>((E250-G250)/2)/F250</f>
        <v/>
      </c>
      <c r="L250" s="125">
        <f>I250/G250</f>
        <v/>
      </c>
      <c r="M250" s="125" t="n">
        <v>2.38</v>
      </c>
      <c r="N250" s="125" t="n">
        <v>222000</v>
      </c>
      <c r="O250" s="125" t="n">
        <v>8678</v>
      </c>
      <c r="P250" s="125" t="n">
        <v>28.7</v>
      </c>
      <c r="Q250" s="125" t="n">
        <v>5.67</v>
      </c>
      <c r="R250" s="125" t="n">
        <v>6272</v>
      </c>
      <c r="S250" s="125" t="n">
        <v>678</v>
      </c>
      <c r="T250" s="125" t="n">
        <v>7204</v>
      </c>
      <c r="U250" s="125" t="n">
        <v>1063</v>
      </c>
      <c r="X250" s="129">
        <f t="array" ref="X250">_xlfn.IFS((D250/F250) &lt;= (640/SQRT($AT$32)), "Compact", L250 &lt;= ($AT$32*(0.79-(0.002*((E250-G250/2)/(2*F250))*SQRT($AT$32)))), "Non-Compact", L250 &gt; ($AT$32*(0.79-(0.002*((E250-G250/2)/(2*F250))*SQRT($AT$32)))), "Slender")</f>
        <v/>
      </c>
      <c r="Y250" s="129">
        <f t="array" ref="Y250">_xlfn.IFS(K250 &lt;= (65/SQRT($AT$32)), "Compact", K250 &lt;= (95/SQRT($AT$32)), "Non-Compact", K250 &gt; (95/SQRT($AT$32)), "Slender")</f>
        <v/>
      </c>
      <c r="Z250" s="125">
        <f>E250/F250</f>
        <v/>
      </c>
      <c r="AA250" s="125">
        <f>D250/G250</f>
        <v/>
      </c>
      <c r="AB250" s="125">
        <f t="array" ref="AB250">_xlfn.IFS(Z250 &lt;= 9, "1", Z250 &lt;= 12, "2", Z250 &lt;= 15, "3", Z250 &gt; 15, "4")</f>
        <v/>
      </c>
      <c r="AC250" s="125">
        <f t="array" ref="AC250">_xlfn.IFS(AA250 &lt;= 200, "1", L250 &lt;= 300, "2", L250 &lt;= 400, "3", L250 &gt; 400, "4")</f>
        <v/>
      </c>
      <c r="AD250" s="129">
        <f>SQRT((((VLOOKUP($AT$4,$A$4:$D$1021,4,FALSE))-D250)^2)+(((VLOOKUP($AT$4,$A$4:$E$1021,5,FALSE))-E250)^2)+(((VLOOKUP($AT$4,$A$4:$N$1021,14,FALSE))-N250)^2)+(((VLOOKUP($AT$4,$A$4:$O$1021,15,FALSE))-O250)^2))</f>
        <v/>
      </c>
      <c r="AG250" s="129">
        <f>SQRT((((VLOOKUP($AT$4,$A$4:$D$1021,4,FALSE))-D250)^2)+(((VLOOKUP($AT$4,$A$4:$E$1021,5,FALSE))-E250)^2)+(((VLOOKUP($AT$4,$A$4:$R$1021,18,FALSE))-R250)^2)+(((VLOOKUP($AT$4,$A$4:$S$1021,19,FALSE))-S250)^2))</f>
        <v/>
      </c>
      <c r="AJ250" s="125" t="inlineStr">
        <is>
          <t>W27X143</t>
        </is>
      </c>
      <c r="AK250" s="125">
        <f>SQRT(((VLOOKUP($AT$4,$A$4:$J$1021,10,FALSE))-J250)^2)</f>
        <v/>
      </c>
      <c r="AL250" s="125" t="n"/>
      <c r="AM250" s="125" t="n"/>
      <c r="AN250" s="125">
        <f>SQRT(((VLOOKUP($AT$4,$A$4:$R$1021,18,FALSE))-R250)^2)</f>
        <v/>
      </c>
      <c r="AO250" s="125" t="n"/>
      <c r="AP250" s="125" t="n"/>
      <c r="AQ250" s="125" t="inlineStr">
        <is>
          <t>W27X143</t>
        </is>
      </c>
      <c r="BB250" s="125">
        <f>SQRT(($J$1022-J250)^2)</f>
        <v/>
      </c>
      <c r="BC250" s="125">
        <f>SQRT(($R$1022-R250)^2)</f>
        <v/>
      </c>
      <c r="BD250" s="125" t="inlineStr">
        <is>
          <t>W27X143</t>
        </is>
      </c>
      <c r="BI250">
        <f>SQRT(($J$1023-J250)^2)</f>
        <v/>
      </c>
      <c r="BJ250">
        <f>SQRT(($R$1023-R250)^2)</f>
        <v/>
      </c>
      <c r="BK250" s="125" t="inlineStr">
        <is>
          <t>W27X143</t>
        </is>
      </c>
      <c r="BP250">
        <f>SQRT(($J$1024-J250)^2)</f>
        <v/>
      </c>
      <c r="BQ250">
        <f>SQRT(($R$1024-R250)^2)</f>
        <v/>
      </c>
      <c r="BR250" s="125" t="inlineStr">
        <is>
          <t>W27X143</t>
        </is>
      </c>
      <c r="BW250">
        <f>SQRT(($J$1025-J250)^2)</f>
        <v/>
      </c>
      <c r="BX250">
        <f>SQRT(($R$1025-R250)^2)</f>
        <v/>
      </c>
      <c r="BY250" s="125" t="inlineStr">
        <is>
          <t>W27X143</t>
        </is>
      </c>
      <c r="CD250">
        <f>SQRT(($J$1026-J250)^2)</f>
        <v/>
      </c>
      <c r="CE250">
        <f>SQRT(($R$1026-R250)^2)</f>
        <v/>
      </c>
      <c r="CF250" s="125" t="inlineStr">
        <is>
          <t>W27X143</t>
        </is>
      </c>
    </row>
    <row r="251">
      <c r="A251" s="125" t="inlineStr">
        <is>
          <t>W27X159</t>
        </is>
      </c>
      <c r="B251" s="129" t="inlineStr">
        <is>
          <t>AISC</t>
        </is>
      </c>
      <c r="C251" s="125" t="n">
        <v>237</v>
      </c>
      <c r="D251" s="125" t="n">
        <v>714</v>
      </c>
      <c r="E251" s="125" t="n">
        <v>257.8</v>
      </c>
      <c r="F251" s="125" t="n">
        <v>34</v>
      </c>
      <c r="G251" s="125" t="n">
        <v>19.1</v>
      </c>
      <c r="H251" s="125" t="n">
        <v>15.2</v>
      </c>
      <c r="I251" s="125" t="n">
        <v>615.6</v>
      </c>
      <c r="J251" s="125" t="n">
        <v>301</v>
      </c>
      <c r="K251" s="125">
        <f>((E251-G251)/2)/F251</f>
        <v/>
      </c>
      <c r="L251" s="125">
        <f>I251/G251</f>
        <v/>
      </c>
      <c r="M251" s="125" t="n">
        <v>2.39</v>
      </c>
      <c r="N251" s="125" t="n">
        <v>247800</v>
      </c>
      <c r="O251" s="125" t="n">
        <v>9750</v>
      </c>
      <c r="P251" s="125" t="n">
        <v>28.7</v>
      </c>
      <c r="Q251" s="125" t="n">
        <v>5.69</v>
      </c>
      <c r="R251" s="125" t="n">
        <v>6940</v>
      </c>
      <c r="S251" s="125" t="n">
        <v>756</v>
      </c>
      <c r="T251" s="125" t="n">
        <v>8016</v>
      </c>
      <c r="U251" s="125" t="n">
        <v>1191</v>
      </c>
      <c r="X251" s="129">
        <f t="array" ref="X251">_xlfn.IFS((D251/F251) &lt;= (640/SQRT($AT$32)), "Compact", L251 &lt;= ($AT$32*(0.79-(0.002*((E251-G251/2)/(2*F251))*SQRT($AT$32)))), "Non-Compact", L251 &gt; ($AT$32*(0.79-(0.002*((E251-G251/2)/(2*F251))*SQRT($AT$32)))), "Slender")</f>
        <v/>
      </c>
      <c r="Y251" s="129">
        <f t="array" ref="Y251">_xlfn.IFS(K251 &lt;= (65/SQRT($AT$32)), "Compact", K251 &lt;= (95/SQRT($AT$32)), "Non-Compact", K251 &gt; (95/SQRT($AT$32)), "Slender")</f>
        <v/>
      </c>
      <c r="Z251" s="125">
        <f>E251/F251</f>
        <v/>
      </c>
      <c r="AA251" s="125">
        <f>D251/G251</f>
        <v/>
      </c>
      <c r="AB251" s="125">
        <f t="array" ref="AB251">_xlfn.IFS(Z251 &lt;= 9, "1", Z251 &lt;= 12, "2", Z251 &lt;= 15, "3", Z251 &gt; 15, "4")</f>
        <v/>
      </c>
      <c r="AC251" s="125">
        <f t="array" ref="AC251">_xlfn.IFS(AA251 &lt;= 200, "1", L251 &lt;= 300, "2", L251 &lt;= 400, "3", L251 &gt; 400, "4")</f>
        <v/>
      </c>
      <c r="AD251" s="129">
        <f>SQRT((((VLOOKUP($AT$4,$A$4:$D$1021,4,FALSE))-D251)^2)+(((VLOOKUP($AT$4,$A$4:$E$1021,5,FALSE))-E251)^2)+(((VLOOKUP($AT$4,$A$4:$N$1021,14,FALSE))-N251)^2)+(((VLOOKUP($AT$4,$A$4:$O$1021,15,FALSE))-O251)^2))</f>
        <v/>
      </c>
      <c r="AG251" s="129">
        <f>SQRT((((VLOOKUP($AT$4,$A$4:$D$1021,4,FALSE))-D251)^2)+(((VLOOKUP($AT$4,$A$4:$E$1021,5,FALSE))-E251)^2)+(((VLOOKUP($AT$4,$A$4:$R$1021,18,FALSE))-R251)^2)+(((VLOOKUP($AT$4,$A$4:$S$1021,19,FALSE))-S251)^2))</f>
        <v/>
      </c>
      <c r="AJ251" s="125" t="inlineStr">
        <is>
          <t>W27X159</t>
        </is>
      </c>
      <c r="AK251" s="125">
        <f>SQRT(((VLOOKUP($AT$4,$A$4:$J$1021,10,FALSE))-J251)^2)</f>
        <v/>
      </c>
      <c r="AL251" s="125" t="n"/>
      <c r="AM251" s="125" t="n"/>
      <c r="AN251" s="125">
        <f>SQRT(((VLOOKUP($AT$4,$A$4:$R$1021,18,FALSE))-R251)^2)</f>
        <v/>
      </c>
      <c r="AO251" s="125" t="n"/>
      <c r="AP251" s="125" t="n"/>
      <c r="AQ251" s="125" t="inlineStr">
        <is>
          <t>W27X159</t>
        </is>
      </c>
      <c r="BB251" s="125">
        <f>SQRT(($J$1022-J251)^2)</f>
        <v/>
      </c>
      <c r="BC251" s="125">
        <f>SQRT(($R$1022-R251)^2)</f>
        <v/>
      </c>
      <c r="BD251" s="125" t="inlineStr">
        <is>
          <t>W27X159</t>
        </is>
      </c>
      <c r="BI251">
        <f>SQRT(($J$1023-J251)^2)</f>
        <v/>
      </c>
      <c r="BJ251">
        <f>SQRT(($R$1023-R251)^2)</f>
        <v/>
      </c>
      <c r="BK251" s="125" t="inlineStr">
        <is>
          <t>W27X159</t>
        </is>
      </c>
      <c r="BP251">
        <f>SQRT(($J$1024-J251)^2)</f>
        <v/>
      </c>
      <c r="BQ251">
        <f>SQRT(($R$1024-R251)^2)</f>
        <v/>
      </c>
      <c r="BR251" s="125" t="inlineStr">
        <is>
          <t>W27X159</t>
        </is>
      </c>
      <c r="BW251">
        <f>SQRT(($J$1025-J251)^2)</f>
        <v/>
      </c>
      <c r="BX251">
        <f>SQRT(($R$1025-R251)^2)</f>
        <v/>
      </c>
      <c r="BY251" s="125" t="inlineStr">
        <is>
          <t>W27X159</t>
        </is>
      </c>
      <c r="CD251">
        <f>SQRT(($J$1026-J251)^2)</f>
        <v/>
      </c>
      <c r="CE251">
        <f>SQRT(($R$1026-R251)^2)</f>
        <v/>
      </c>
      <c r="CF251" s="125" t="inlineStr">
        <is>
          <t>W27X159</t>
        </is>
      </c>
    </row>
    <row r="252">
      <c r="A252" s="125" t="inlineStr">
        <is>
          <t>W27X182</t>
        </is>
      </c>
      <c r="B252" s="129" t="inlineStr">
        <is>
          <t>AISC</t>
        </is>
      </c>
      <c r="C252" s="125" t="n">
        <v>271</v>
      </c>
      <c r="D252" s="125" t="n">
        <v>723.9</v>
      </c>
      <c r="E252" s="125" t="n">
        <v>260.2</v>
      </c>
      <c r="F252" s="125" t="n">
        <v>39.1</v>
      </c>
      <c r="G252" s="125" t="n">
        <v>21.6</v>
      </c>
      <c r="H252" s="125" t="n">
        <v>15.2</v>
      </c>
      <c r="I252" s="125" t="n">
        <v>615.3</v>
      </c>
      <c r="J252" s="125" t="n">
        <v>345</v>
      </c>
      <c r="K252" s="125">
        <f>((E252-G252)/2)/F252</f>
        <v/>
      </c>
      <c r="L252" s="125">
        <f>I252/G252</f>
        <v/>
      </c>
      <c r="M252" s="125" t="n">
        <v>2.42</v>
      </c>
      <c r="N252" s="125" t="n">
        <v>289300</v>
      </c>
      <c r="O252" s="125" t="n">
        <v>11540</v>
      </c>
      <c r="P252" s="125" t="n">
        <v>29</v>
      </c>
      <c r="Q252" s="125" t="n">
        <v>5.78</v>
      </c>
      <c r="R252" s="125" t="n">
        <v>7993</v>
      </c>
      <c r="S252" s="125" t="n">
        <v>887</v>
      </c>
      <c r="T252" s="125" t="n">
        <v>9282</v>
      </c>
      <c r="U252" s="125" t="n">
        <v>1402</v>
      </c>
      <c r="X252" s="129">
        <f t="array" ref="X252">_xlfn.IFS((D252/F252) &lt;= (640/SQRT($AT$32)), "Compact", L252 &lt;= ($AT$32*(0.79-(0.002*((E252-G252/2)/(2*F252))*SQRT($AT$32)))), "Non-Compact", L252 &gt; ($AT$32*(0.79-(0.002*((E252-G252/2)/(2*F252))*SQRT($AT$32)))), "Slender")</f>
        <v/>
      </c>
      <c r="Y252" s="129">
        <f t="array" ref="Y252">_xlfn.IFS(K252 &lt;= (65/SQRT($AT$32)), "Compact", K252 &lt;= (95/SQRT($AT$32)), "Non-Compact", K252 &gt; (95/SQRT($AT$32)), "Slender")</f>
        <v/>
      </c>
      <c r="Z252" s="125">
        <f>E252/F252</f>
        <v/>
      </c>
      <c r="AA252" s="125">
        <f>D252/G252</f>
        <v/>
      </c>
      <c r="AB252" s="125">
        <f t="array" ref="AB252">_xlfn.IFS(Z252 &lt;= 9, "1", Z252 &lt;= 12, "2", Z252 &lt;= 15, "3", Z252 &gt; 15, "4")</f>
        <v/>
      </c>
      <c r="AC252" s="125">
        <f t="array" ref="AC252">_xlfn.IFS(AA252 &lt;= 200, "1", L252 &lt;= 300, "2", L252 &lt;= 400, "3", L252 &gt; 400, "4")</f>
        <v/>
      </c>
      <c r="AD252" s="129">
        <f>SQRT((((VLOOKUP($AT$4,$A$4:$D$1021,4,FALSE))-D252)^2)+(((VLOOKUP($AT$4,$A$4:$E$1021,5,FALSE))-E252)^2)+(((VLOOKUP($AT$4,$A$4:$N$1021,14,FALSE))-N252)^2)+(((VLOOKUP($AT$4,$A$4:$O$1021,15,FALSE))-O252)^2))</f>
        <v/>
      </c>
      <c r="AG252" s="129">
        <f>SQRT((((VLOOKUP($AT$4,$A$4:$D$1021,4,FALSE))-D252)^2)+(((VLOOKUP($AT$4,$A$4:$E$1021,5,FALSE))-E252)^2)+(((VLOOKUP($AT$4,$A$4:$R$1021,18,FALSE))-R252)^2)+(((VLOOKUP($AT$4,$A$4:$S$1021,19,FALSE))-S252)^2))</f>
        <v/>
      </c>
      <c r="AJ252" s="125" t="inlineStr">
        <is>
          <t>W27X182</t>
        </is>
      </c>
      <c r="AK252" s="125">
        <f>SQRT(((VLOOKUP($AT$4,$A$4:$J$1021,10,FALSE))-J252)^2)</f>
        <v/>
      </c>
      <c r="AL252" s="125" t="n"/>
      <c r="AM252" s="125" t="n"/>
      <c r="AN252" s="125">
        <f>SQRT(((VLOOKUP($AT$4,$A$4:$R$1021,18,FALSE))-R252)^2)</f>
        <v/>
      </c>
      <c r="AO252" s="125" t="n"/>
      <c r="AP252" s="125" t="n"/>
      <c r="AQ252" s="125" t="inlineStr">
        <is>
          <t>W27X182</t>
        </is>
      </c>
      <c r="BB252" s="125">
        <f>SQRT(($J$1022-J252)^2)</f>
        <v/>
      </c>
      <c r="BC252" s="125">
        <f>SQRT(($R$1022-R252)^2)</f>
        <v/>
      </c>
      <c r="BD252" s="125" t="inlineStr">
        <is>
          <t>W27X182</t>
        </is>
      </c>
      <c r="BI252">
        <f>SQRT(($J$1023-J252)^2)</f>
        <v/>
      </c>
      <c r="BJ252">
        <f>SQRT(($R$1023-R252)^2)</f>
        <v/>
      </c>
      <c r="BK252" s="125" t="inlineStr">
        <is>
          <t>W27X182</t>
        </is>
      </c>
      <c r="BP252">
        <f>SQRT(($J$1024-J252)^2)</f>
        <v/>
      </c>
      <c r="BQ252">
        <f>SQRT(($R$1024-R252)^2)</f>
        <v/>
      </c>
      <c r="BR252" s="125" t="inlineStr">
        <is>
          <t>W27X182</t>
        </is>
      </c>
      <c r="BW252">
        <f>SQRT(($J$1025-J252)^2)</f>
        <v/>
      </c>
      <c r="BX252">
        <f>SQRT(($R$1025-R252)^2)</f>
        <v/>
      </c>
      <c r="BY252" s="125" t="inlineStr">
        <is>
          <t>W27X182</t>
        </is>
      </c>
      <c r="CD252">
        <f>SQRT(($J$1026-J252)^2)</f>
        <v/>
      </c>
      <c r="CE252">
        <f>SQRT(($R$1026-R252)^2)</f>
        <v/>
      </c>
      <c r="CF252" s="125" t="inlineStr">
        <is>
          <t>W27X182</t>
        </is>
      </c>
    </row>
    <row r="253">
      <c r="A253" s="125" t="inlineStr">
        <is>
          <t>W27X201</t>
        </is>
      </c>
      <c r="B253" s="129" t="inlineStr">
        <is>
          <t>AISC</t>
        </is>
      </c>
      <c r="C253" s="125" t="n">
        <v>299</v>
      </c>
      <c r="D253" s="125" t="n">
        <v>732</v>
      </c>
      <c r="E253" s="125" t="n">
        <v>262.8</v>
      </c>
      <c r="F253" s="125" t="n">
        <v>42.9</v>
      </c>
      <c r="G253" s="125" t="n">
        <v>23.9</v>
      </c>
      <c r="H253" s="125" t="n">
        <v>15.2</v>
      </c>
      <c r="I253" s="125" t="n">
        <v>615.8</v>
      </c>
      <c r="J253" s="125" t="n">
        <v>382</v>
      </c>
      <c r="K253" s="125">
        <f>((E253-G253)/2)/F253</f>
        <v/>
      </c>
      <c r="L253" s="125">
        <f>I253/G253</f>
        <v/>
      </c>
      <c r="M253" s="125" t="n">
        <v>2.44</v>
      </c>
      <c r="N253" s="125" t="n">
        <v>323800</v>
      </c>
      <c r="O253" s="125" t="n">
        <v>13060</v>
      </c>
      <c r="P253" s="125" t="n">
        <v>29.1</v>
      </c>
      <c r="Q253" s="125" t="n">
        <v>5.85</v>
      </c>
      <c r="R253" s="125" t="n">
        <v>8847</v>
      </c>
      <c r="S253" s="125" t="n">
        <v>994</v>
      </c>
      <c r="T253" s="125" t="n">
        <v>10330</v>
      </c>
      <c r="U253" s="125" t="n">
        <v>1577</v>
      </c>
      <c r="X253" s="129">
        <f t="array" ref="X253">_xlfn.IFS((D253/F253) &lt;= (640/SQRT($AT$32)), "Compact", L253 &lt;= ($AT$32*(0.79-(0.002*((E253-G253/2)/(2*F253))*SQRT($AT$32)))), "Non-Compact", L253 &gt; ($AT$32*(0.79-(0.002*((E253-G253/2)/(2*F253))*SQRT($AT$32)))), "Slender")</f>
        <v/>
      </c>
      <c r="Y253" s="129">
        <f t="array" ref="Y253">_xlfn.IFS(K253 &lt;= (65/SQRT($AT$32)), "Compact", K253 &lt;= (95/SQRT($AT$32)), "Non-Compact", K253 &gt; (95/SQRT($AT$32)), "Slender")</f>
        <v/>
      </c>
      <c r="Z253" s="125">
        <f>E253/F253</f>
        <v/>
      </c>
      <c r="AA253" s="125">
        <f>D253/G253</f>
        <v/>
      </c>
      <c r="AB253" s="125">
        <f t="array" ref="AB253">_xlfn.IFS(Z253 &lt;= 9, "1", Z253 &lt;= 12, "2", Z253 &lt;= 15, "3", Z253 &gt; 15, "4")</f>
        <v/>
      </c>
      <c r="AC253" s="125">
        <f t="array" ref="AC253">_xlfn.IFS(AA253 &lt;= 200, "1", L253 &lt;= 300, "2", L253 &lt;= 400, "3", L253 &gt; 400, "4")</f>
        <v/>
      </c>
      <c r="AD253" s="129">
        <f>SQRT((((VLOOKUP($AT$4,$A$4:$D$1021,4,FALSE))-D253)^2)+(((VLOOKUP($AT$4,$A$4:$E$1021,5,FALSE))-E253)^2)+(((VLOOKUP($AT$4,$A$4:$N$1021,14,FALSE))-N253)^2)+(((VLOOKUP($AT$4,$A$4:$O$1021,15,FALSE))-O253)^2))</f>
        <v/>
      </c>
      <c r="AG253" s="129">
        <f>SQRT((((VLOOKUP($AT$4,$A$4:$D$1021,4,FALSE))-D253)^2)+(((VLOOKUP($AT$4,$A$4:$E$1021,5,FALSE))-E253)^2)+(((VLOOKUP($AT$4,$A$4:$R$1021,18,FALSE))-R253)^2)+(((VLOOKUP($AT$4,$A$4:$S$1021,19,FALSE))-S253)^2))</f>
        <v/>
      </c>
      <c r="AJ253" s="125" t="inlineStr">
        <is>
          <t>W27X201</t>
        </is>
      </c>
      <c r="AK253" s="125">
        <f>SQRT(((VLOOKUP($AT$4,$A$4:$J$1021,10,FALSE))-J253)^2)</f>
        <v/>
      </c>
      <c r="AL253" s="125" t="n"/>
      <c r="AM253" s="125" t="n"/>
      <c r="AN253" s="125">
        <f>SQRT(((VLOOKUP($AT$4,$A$4:$R$1021,18,FALSE))-R253)^2)</f>
        <v/>
      </c>
      <c r="AO253" s="125" t="n"/>
      <c r="AP253" s="125" t="n"/>
      <c r="AQ253" s="125" t="inlineStr">
        <is>
          <t>W27X201</t>
        </is>
      </c>
      <c r="BB253" s="125">
        <f>SQRT(($J$1022-J253)^2)</f>
        <v/>
      </c>
      <c r="BC253" s="125">
        <f>SQRT(($R$1022-R253)^2)</f>
        <v/>
      </c>
      <c r="BD253" s="125" t="inlineStr">
        <is>
          <t>W27X201</t>
        </is>
      </c>
      <c r="BI253">
        <f>SQRT(($J$1023-J253)^2)</f>
        <v/>
      </c>
      <c r="BJ253">
        <f>SQRT(($R$1023-R253)^2)</f>
        <v/>
      </c>
      <c r="BK253" s="125" t="inlineStr">
        <is>
          <t>W27X201</t>
        </is>
      </c>
      <c r="BP253">
        <f>SQRT(($J$1024-J253)^2)</f>
        <v/>
      </c>
      <c r="BQ253">
        <f>SQRT(($R$1024-R253)^2)</f>
        <v/>
      </c>
      <c r="BR253" s="125" t="inlineStr">
        <is>
          <t>W27X201</t>
        </is>
      </c>
      <c r="BW253">
        <f>SQRT(($J$1025-J253)^2)</f>
        <v/>
      </c>
      <c r="BX253">
        <f>SQRT(($R$1025-R253)^2)</f>
        <v/>
      </c>
      <c r="BY253" s="125" t="inlineStr">
        <is>
          <t>W27X201</t>
        </is>
      </c>
      <c r="CD253">
        <f>SQRT(($J$1026-J253)^2)</f>
        <v/>
      </c>
      <c r="CE253">
        <f>SQRT(($R$1026-R253)^2)</f>
        <v/>
      </c>
      <c r="CF253" s="125" t="inlineStr">
        <is>
          <t>W27X201</t>
        </is>
      </c>
    </row>
    <row r="254">
      <c r="A254" s="125" t="inlineStr">
        <is>
          <t>W27X221</t>
        </is>
      </c>
      <c r="B254" s="129" t="inlineStr">
        <is>
          <t>AISC</t>
        </is>
      </c>
      <c r="C254" s="125" t="n">
        <v>329</v>
      </c>
      <c r="D254" s="125" t="n">
        <v>739.9</v>
      </c>
      <c r="E254" s="125" t="n">
        <v>264.8</v>
      </c>
      <c r="F254" s="125" t="n">
        <v>47</v>
      </c>
      <c r="G254" s="125" t="n">
        <v>25.9</v>
      </c>
      <c r="H254" s="125" t="n">
        <v>15.2</v>
      </c>
      <c r="I254" s="125" t="n">
        <v>615.5</v>
      </c>
      <c r="J254" s="125" t="n">
        <v>418</v>
      </c>
      <c r="K254" s="125">
        <f>((E254-G254)/2)/F254</f>
        <v/>
      </c>
      <c r="L254" s="125">
        <f>I254/G254</f>
        <v/>
      </c>
      <c r="M254" s="125" t="n">
        <v>2.46</v>
      </c>
      <c r="N254" s="125" t="n">
        <v>359400</v>
      </c>
      <c r="O254" s="125" t="n">
        <v>14640</v>
      </c>
      <c r="P254" s="125" t="n">
        <v>29.3</v>
      </c>
      <c r="Q254" s="125" t="n">
        <v>5.92</v>
      </c>
      <c r="R254" s="125" t="n">
        <v>9715</v>
      </c>
      <c r="S254" s="125" t="n">
        <v>1106</v>
      </c>
      <c r="T254" s="125" t="n">
        <v>11390</v>
      </c>
      <c r="U254" s="125" t="n">
        <v>1759</v>
      </c>
      <c r="X254" s="129">
        <f t="array" ref="X254">_xlfn.IFS((D254/F254) &lt;= (640/SQRT($AT$32)), "Compact", L254 &lt;= ($AT$32*(0.79-(0.002*((E254-G254/2)/(2*F254))*SQRT($AT$32)))), "Non-Compact", L254 &gt; ($AT$32*(0.79-(0.002*((E254-G254/2)/(2*F254))*SQRT($AT$32)))), "Slender")</f>
        <v/>
      </c>
      <c r="Y254" s="129">
        <f t="array" ref="Y254">_xlfn.IFS(K254 &lt;= (65/SQRT($AT$32)), "Compact", K254 &lt;= (95/SQRT($AT$32)), "Non-Compact", K254 &gt; (95/SQRT($AT$32)), "Slender")</f>
        <v/>
      </c>
      <c r="Z254" s="125">
        <f>E254/F254</f>
        <v/>
      </c>
      <c r="AA254" s="125">
        <f>D254/G254</f>
        <v/>
      </c>
      <c r="AB254" s="125">
        <f t="array" ref="AB254">_xlfn.IFS(Z254 &lt;= 9, "1", Z254 &lt;= 12, "2", Z254 &lt;= 15, "3", Z254 &gt; 15, "4")</f>
        <v/>
      </c>
      <c r="AC254" s="125">
        <f t="array" ref="AC254">_xlfn.IFS(AA254 &lt;= 200, "1", L254 &lt;= 300, "2", L254 &lt;= 400, "3", L254 &gt; 400, "4")</f>
        <v/>
      </c>
      <c r="AD254" s="129">
        <f>SQRT((((VLOOKUP($AT$4,$A$4:$D$1021,4,FALSE))-D254)^2)+(((VLOOKUP($AT$4,$A$4:$E$1021,5,FALSE))-E254)^2)+(((VLOOKUP($AT$4,$A$4:$N$1021,14,FALSE))-N254)^2)+(((VLOOKUP($AT$4,$A$4:$O$1021,15,FALSE))-O254)^2))</f>
        <v/>
      </c>
      <c r="AG254" s="129">
        <f>SQRT((((VLOOKUP($AT$4,$A$4:$D$1021,4,FALSE))-D254)^2)+(((VLOOKUP($AT$4,$A$4:$E$1021,5,FALSE))-E254)^2)+(((VLOOKUP($AT$4,$A$4:$R$1021,18,FALSE))-R254)^2)+(((VLOOKUP($AT$4,$A$4:$S$1021,19,FALSE))-S254)^2))</f>
        <v/>
      </c>
      <c r="AJ254" s="125" t="inlineStr">
        <is>
          <t>W27X221</t>
        </is>
      </c>
      <c r="AK254" s="125">
        <f>SQRT(((VLOOKUP($AT$4,$A$4:$J$1021,10,FALSE))-J254)^2)</f>
        <v/>
      </c>
      <c r="AL254" s="125" t="n"/>
      <c r="AM254" s="125" t="n"/>
      <c r="AN254" s="125">
        <f>SQRT(((VLOOKUP($AT$4,$A$4:$R$1021,18,FALSE))-R254)^2)</f>
        <v/>
      </c>
      <c r="AO254" s="125" t="n"/>
      <c r="AP254" s="125" t="n"/>
      <c r="AQ254" s="125" t="inlineStr">
        <is>
          <t>W27X221</t>
        </is>
      </c>
      <c r="BB254" s="125">
        <f>SQRT(($J$1022-J254)^2)</f>
        <v/>
      </c>
      <c r="BC254" s="125">
        <f>SQRT(($R$1022-R254)^2)</f>
        <v/>
      </c>
      <c r="BD254" s="125" t="inlineStr">
        <is>
          <t>W27X221</t>
        </is>
      </c>
      <c r="BI254">
        <f>SQRT(($J$1023-J254)^2)</f>
        <v/>
      </c>
      <c r="BJ254">
        <f>SQRT(($R$1023-R254)^2)</f>
        <v/>
      </c>
      <c r="BK254" s="125" t="inlineStr">
        <is>
          <t>W27X221</t>
        </is>
      </c>
      <c r="BP254">
        <f>SQRT(($J$1024-J254)^2)</f>
        <v/>
      </c>
      <c r="BQ254">
        <f>SQRT(($R$1024-R254)^2)</f>
        <v/>
      </c>
      <c r="BR254" s="125" t="inlineStr">
        <is>
          <t>W27X221</t>
        </is>
      </c>
      <c r="BW254">
        <f>SQRT(($J$1025-J254)^2)</f>
        <v/>
      </c>
      <c r="BX254">
        <f>SQRT(($R$1025-R254)^2)</f>
        <v/>
      </c>
      <c r="BY254" s="125" t="inlineStr">
        <is>
          <t>W27X221</t>
        </is>
      </c>
      <c r="CD254">
        <f>SQRT(($J$1026-J254)^2)</f>
        <v/>
      </c>
      <c r="CE254">
        <f>SQRT(($R$1026-R254)^2)</f>
        <v/>
      </c>
      <c r="CF254" s="125" t="inlineStr">
        <is>
          <t>W27X221</t>
        </is>
      </c>
    </row>
    <row r="255">
      <c r="A255" s="125" t="inlineStr">
        <is>
          <t>W27X247</t>
        </is>
      </c>
      <c r="B255" s="129" t="inlineStr">
        <is>
          <t>AISC</t>
        </is>
      </c>
      <c r="C255" s="125" t="n">
        <v>368</v>
      </c>
      <c r="D255" s="125" t="n">
        <v>749.8</v>
      </c>
      <c r="E255" s="125" t="n">
        <v>267.7</v>
      </c>
      <c r="F255" s="125" t="n">
        <v>52.1</v>
      </c>
      <c r="G255" s="125" t="n">
        <v>28.9</v>
      </c>
      <c r="H255" s="125" t="n">
        <v>15.2</v>
      </c>
      <c r="I255" s="125" t="n">
        <v>615.2</v>
      </c>
      <c r="J255" s="125" t="n">
        <v>468</v>
      </c>
      <c r="K255" s="125">
        <f>((E255-G255)/2)/F255</f>
        <v/>
      </c>
      <c r="L255" s="125">
        <f>I255/G255</f>
        <v/>
      </c>
      <c r="M255" s="125" t="n">
        <v>2.49</v>
      </c>
      <c r="N255" s="125" t="n">
        <v>406900</v>
      </c>
      <c r="O255" s="125" t="n">
        <v>16800</v>
      </c>
      <c r="P255" s="125" t="n">
        <v>29.5</v>
      </c>
      <c r="Q255" s="125" t="n">
        <v>5.99</v>
      </c>
      <c r="R255" s="125" t="n">
        <v>10850</v>
      </c>
      <c r="S255" s="125" t="n">
        <v>1255</v>
      </c>
      <c r="T255" s="125" t="n">
        <v>12810</v>
      </c>
      <c r="U255" s="125" t="n">
        <v>2005</v>
      </c>
      <c r="X255" s="129">
        <f t="array" ref="X255">_xlfn.IFS((D255/F255) &lt;= (640/SQRT($AT$32)), "Compact", L255 &lt;= ($AT$32*(0.79-(0.002*((E255-G255/2)/(2*F255))*SQRT($AT$32)))), "Non-Compact", L255 &gt; ($AT$32*(0.79-(0.002*((E255-G255/2)/(2*F255))*SQRT($AT$32)))), "Slender")</f>
        <v/>
      </c>
      <c r="Y255" s="129">
        <f t="array" ref="Y255">_xlfn.IFS(K255 &lt;= (65/SQRT($AT$32)), "Compact", K255 &lt;= (95/SQRT($AT$32)), "Non-Compact", K255 &gt; (95/SQRT($AT$32)), "Slender")</f>
        <v/>
      </c>
      <c r="Z255" s="125">
        <f>E255/F255</f>
        <v/>
      </c>
      <c r="AA255" s="125">
        <f>D255/G255</f>
        <v/>
      </c>
      <c r="AB255" s="125">
        <f t="array" ref="AB255">_xlfn.IFS(Z255 &lt;= 9, "1", Z255 &lt;= 12, "2", Z255 &lt;= 15, "3", Z255 &gt; 15, "4")</f>
        <v/>
      </c>
      <c r="AC255" s="125">
        <f t="array" ref="AC255">_xlfn.IFS(AA255 &lt;= 200, "1", L255 &lt;= 300, "2", L255 &lt;= 400, "3", L255 &gt; 400, "4")</f>
        <v/>
      </c>
      <c r="AD255" s="129">
        <f>SQRT((((VLOOKUP($AT$4,$A$4:$D$1021,4,FALSE))-D255)^2)+(((VLOOKUP($AT$4,$A$4:$E$1021,5,FALSE))-E255)^2)+(((VLOOKUP($AT$4,$A$4:$N$1021,14,FALSE))-N255)^2)+(((VLOOKUP($AT$4,$A$4:$O$1021,15,FALSE))-O255)^2))</f>
        <v/>
      </c>
      <c r="AG255" s="129">
        <f>SQRT((((VLOOKUP($AT$4,$A$4:$D$1021,4,FALSE))-D255)^2)+(((VLOOKUP($AT$4,$A$4:$E$1021,5,FALSE))-E255)^2)+(((VLOOKUP($AT$4,$A$4:$R$1021,18,FALSE))-R255)^2)+(((VLOOKUP($AT$4,$A$4:$S$1021,19,FALSE))-S255)^2))</f>
        <v/>
      </c>
      <c r="AJ255" s="125" t="inlineStr">
        <is>
          <t>W27X247</t>
        </is>
      </c>
      <c r="AK255" s="125">
        <f>SQRT(((VLOOKUP($AT$4,$A$4:$J$1021,10,FALSE))-J255)^2)</f>
        <v/>
      </c>
      <c r="AL255" s="125" t="n"/>
      <c r="AM255" s="125" t="n"/>
      <c r="AN255" s="125">
        <f>SQRT(((VLOOKUP($AT$4,$A$4:$R$1021,18,FALSE))-R255)^2)</f>
        <v/>
      </c>
      <c r="AO255" s="125" t="n"/>
      <c r="AP255" s="125" t="n"/>
      <c r="AQ255" s="125" t="inlineStr">
        <is>
          <t>W27X247</t>
        </is>
      </c>
      <c r="BB255" s="125">
        <f>SQRT(($J$1022-J255)^2)</f>
        <v/>
      </c>
      <c r="BC255" s="125">
        <f>SQRT(($R$1022-R255)^2)</f>
        <v/>
      </c>
      <c r="BD255" s="125" t="inlineStr">
        <is>
          <t>W27X247</t>
        </is>
      </c>
      <c r="BI255">
        <f>SQRT(($J$1023-J255)^2)</f>
        <v/>
      </c>
      <c r="BJ255">
        <f>SQRT(($R$1023-R255)^2)</f>
        <v/>
      </c>
      <c r="BK255" s="125" t="inlineStr">
        <is>
          <t>W27X247</t>
        </is>
      </c>
      <c r="BP255">
        <f>SQRT(($J$1024-J255)^2)</f>
        <v/>
      </c>
      <c r="BQ255">
        <f>SQRT(($R$1024-R255)^2)</f>
        <v/>
      </c>
      <c r="BR255" s="125" t="inlineStr">
        <is>
          <t>W27X247</t>
        </is>
      </c>
      <c r="BW255">
        <f>SQRT(($J$1025-J255)^2)</f>
        <v/>
      </c>
      <c r="BX255">
        <f>SQRT(($R$1025-R255)^2)</f>
        <v/>
      </c>
      <c r="BY255" s="125" t="inlineStr">
        <is>
          <t>W27X247</t>
        </is>
      </c>
      <c r="CD255">
        <f>SQRT(($J$1026-J255)^2)</f>
        <v/>
      </c>
      <c r="CE255">
        <f>SQRT(($R$1026-R255)^2)</f>
        <v/>
      </c>
      <c r="CF255" s="125" t="inlineStr">
        <is>
          <t>W27X247</t>
        </is>
      </c>
    </row>
    <row r="256">
      <c r="A256" s="125" t="inlineStr">
        <is>
          <t>W27X271</t>
        </is>
      </c>
      <c r="B256" s="129" t="inlineStr">
        <is>
          <t>AISC</t>
        </is>
      </c>
      <c r="C256" s="125" t="n">
        <v>404</v>
      </c>
      <c r="D256" s="125" t="n">
        <v>760</v>
      </c>
      <c r="E256" s="125" t="n">
        <v>270.3</v>
      </c>
      <c r="F256" s="125" t="n">
        <v>56.9</v>
      </c>
      <c r="G256" s="125" t="n">
        <v>31.5</v>
      </c>
      <c r="H256" s="125" t="n">
        <v>15.2</v>
      </c>
      <c r="I256" s="125" t="n">
        <v>615.8</v>
      </c>
      <c r="J256" s="125" t="n">
        <v>513</v>
      </c>
      <c r="K256" s="125">
        <f>((E256-G256)/2)/F256</f>
        <v/>
      </c>
      <c r="L256" s="125">
        <f>I256/G256</f>
        <v/>
      </c>
      <c r="M256" s="125" t="n">
        <v>2.51</v>
      </c>
      <c r="N256" s="125" t="n">
        <v>453800</v>
      </c>
      <c r="O256" s="125" t="n">
        <v>18910</v>
      </c>
      <c r="P256" s="125" t="n">
        <v>29.7</v>
      </c>
      <c r="Q256" s="125" t="n">
        <v>6.07</v>
      </c>
      <c r="R256" s="125" t="n">
        <v>11940</v>
      </c>
      <c r="S256" s="125" t="n">
        <v>1399</v>
      </c>
      <c r="T256" s="125" t="n">
        <v>14170</v>
      </c>
      <c r="U256" s="125" t="n">
        <v>2243</v>
      </c>
      <c r="X256" s="129">
        <f t="array" ref="X256">_xlfn.IFS((D256/F256) &lt;= (640/SQRT($AT$32)), "Compact", L256 &lt;= ($AT$32*(0.79-(0.002*((E256-G256/2)/(2*F256))*SQRT($AT$32)))), "Non-Compact", L256 &gt; ($AT$32*(0.79-(0.002*((E256-G256/2)/(2*F256))*SQRT($AT$32)))), "Slender")</f>
        <v/>
      </c>
      <c r="Y256" s="129">
        <f t="array" ref="Y256">_xlfn.IFS(K256 &lt;= (65/SQRT($AT$32)), "Compact", K256 &lt;= (95/SQRT($AT$32)), "Non-Compact", K256 &gt; (95/SQRT($AT$32)), "Slender")</f>
        <v/>
      </c>
      <c r="Z256" s="125">
        <f>E256/F256</f>
        <v/>
      </c>
      <c r="AA256" s="125">
        <f>D256/G256</f>
        <v/>
      </c>
      <c r="AB256" s="125">
        <f t="array" ref="AB256">_xlfn.IFS(Z256 &lt;= 9, "1", Z256 &lt;= 12, "2", Z256 &lt;= 15, "3", Z256 &gt; 15, "4")</f>
        <v/>
      </c>
      <c r="AC256" s="125">
        <f t="array" ref="AC256">_xlfn.IFS(AA256 &lt;= 200, "1", L256 &lt;= 300, "2", L256 &lt;= 400, "3", L256 &gt; 400, "4")</f>
        <v/>
      </c>
      <c r="AD256" s="129">
        <f>SQRT((((VLOOKUP($AT$4,$A$4:$D$1021,4,FALSE))-D256)^2)+(((VLOOKUP($AT$4,$A$4:$E$1021,5,FALSE))-E256)^2)+(((VLOOKUP($AT$4,$A$4:$N$1021,14,FALSE))-N256)^2)+(((VLOOKUP($AT$4,$A$4:$O$1021,15,FALSE))-O256)^2))</f>
        <v/>
      </c>
      <c r="AG256" s="129">
        <f>SQRT((((VLOOKUP($AT$4,$A$4:$D$1021,4,FALSE))-D256)^2)+(((VLOOKUP($AT$4,$A$4:$E$1021,5,FALSE))-E256)^2)+(((VLOOKUP($AT$4,$A$4:$R$1021,18,FALSE))-R256)^2)+(((VLOOKUP($AT$4,$A$4:$S$1021,19,FALSE))-S256)^2))</f>
        <v/>
      </c>
      <c r="AJ256" s="125" t="inlineStr">
        <is>
          <t>W27X271</t>
        </is>
      </c>
      <c r="AK256" s="125">
        <f>SQRT(((VLOOKUP($AT$4,$A$4:$J$1021,10,FALSE))-J256)^2)</f>
        <v/>
      </c>
      <c r="AL256" s="125" t="n"/>
      <c r="AM256" s="125" t="n"/>
      <c r="AN256" s="125">
        <f>SQRT(((VLOOKUP($AT$4,$A$4:$R$1021,18,FALSE))-R256)^2)</f>
        <v/>
      </c>
      <c r="AO256" s="125" t="n"/>
      <c r="AP256" s="125" t="n"/>
      <c r="AQ256" s="125" t="inlineStr">
        <is>
          <t>W27X271</t>
        </is>
      </c>
      <c r="BB256" s="125">
        <f>SQRT(($J$1022-J256)^2)</f>
        <v/>
      </c>
      <c r="BC256" s="125">
        <f>SQRT(($R$1022-R256)^2)</f>
        <v/>
      </c>
      <c r="BD256" s="125" t="inlineStr">
        <is>
          <t>W27X271</t>
        </is>
      </c>
      <c r="BI256">
        <f>SQRT(($J$1023-J256)^2)</f>
        <v/>
      </c>
      <c r="BJ256">
        <f>SQRT(($R$1023-R256)^2)</f>
        <v/>
      </c>
      <c r="BK256" s="125" t="inlineStr">
        <is>
          <t>W27X271</t>
        </is>
      </c>
      <c r="BP256">
        <f>SQRT(($J$1024-J256)^2)</f>
        <v/>
      </c>
      <c r="BQ256">
        <f>SQRT(($R$1024-R256)^2)</f>
        <v/>
      </c>
      <c r="BR256" s="125" t="inlineStr">
        <is>
          <t>W27X271</t>
        </is>
      </c>
      <c r="BW256">
        <f>SQRT(($J$1025-J256)^2)</f>
        <v/>
      </c>
      <c r="BX256">
        <f>SQRT(($R$1025-R256)^2)</f>
        <v/>
      </c>
      <c r="BY256" s="125" t="inlineStr">
        <is>
          <t>W27X271</t>
        </is>
      </c>
      <c r="CD256">
        <f>SQRT(($J$1026-J256)^2)</f>
        <v/>
      </c>
      <c r="CE256">
        <f>SQRT(($R$1026-R256)^2)</f>
        <v/>
      </c>
      <c r="CF256" s="125" t="inlineStr">
        <is>
          <t>W27X271</t>
        </is>
      </c>
    </row>
    <row r="257">
      <c r="A257" s="125" t="inlineStr">
        <is>
          <t>W27X302</t>
        </is>
      </c>
      <c r="B257" s="129" t="inlineStr">
        <is>
          <t>AISC</t>
        </is>
      </c>
      <c r="C257" s="125" t="n">
        <v>449</v>
      </c>
      <c r="D257" s="125" t="n">
        <v>771.9</v>
      </c>
      <c r="E257" s="125" t="n">
        <v>273.8</v>
      </c>
      <c r="F257" s="125" t="n">
        <v>63</v>
      </c>
      <c r="G257" s="125" t="n">
        <v>35.1</v>
      </c>
      <c r="H257" s="125" t="n">
        <v>15.2</v>
      </c>
      <c r="I257" s="125" t="n">
        <v>615.5</v>
      </c>
      <c r="J257" s="125" t="n">
        <v>574</v>
      </c>
      <c r="K257" s="125">
        <f>((E257-G257)/2)/F257</f>
        <v/>
      </c>
      <c r="L257" s="125">
        <f>I257/G257</f>
        <v/>
      </c>
      <c r="M257" s="125" t="n">
        <v>2.54</v>
      </c>
      <c r="N257" s="125" t="n">
        <v>515400</v>
      </c>
      <c r="O257" s="125" t="n">
        <v>21790</v>
      </c>
      <c r="P257" s="125" t="n">
        <v>30</v>
      </c>
      <c r="Q257" s="125" t="n">
        <v>6.16</v>
      </c>
      <c r="R257" s="125" t="n">
        <v>13350</v>
      </c>
      <c r="S257" s="125" t="n">
        <v>1592</v>
      </c>
      <c r="T257" s="125" t="n">
        <v>15950</v>
      </c>
      <c r="U257" s="125" t="n">
        <v>2565</v>
      </c>
      <c r="X257" s="129">
        <f t="array" ref="X257">_xlfn.IFS((D257/F257) &lt;= (640/SQRT($AT$32)), "Compact", L257 &lt;= ($AT$32*(0.79-(0.002*((E257-G257/2)/(2*F257))*SQRT($AT$32)))), "Non-Compact", L257 &gt; ($AT$32*(0.79-(0.002*((E257-G257/2)/(2*F257))*SQRT($AT$32)))), "Slender")</f>
        <v/>
      </c>
      <c r="Y257" s="129">
        <f t="array" ref="Y257">_xlfn.IFS(K257 &lt;= (65/SQRT($AT$32)), "Compact", K257 &lt;= (95/SQRT($AT$32)), "Non-Compact", K257 &gt; (95/SQRT($AT$32)), "Slender")</f>
        <v/>
      </c>
      <c r="Z257" s="125">
        <f>E257/F257</f>
        <v/>
      </c>
      <c r="AA257" s="125">
        <f>D257/G257</f>
        <v/>
      </c>
      <c r="AB257" s="125">
        <f t="array" ref="AB257">_xlfn.IFS(Z257 &lt;= 9, "1", Z257 &lt;= 12, "2", Z257 &lt;= 15, "3", Z257 &gt; 15, "4")</f>
        <v/>
      </c>
      <c r="AC257" s="125">
        <f t="array" ref="AC257">_xlfn.IFS(AA257 &lt;= 200, "1", L257 &lt;= 300, "2", L257 &lt;= 400, "3", L257 &gt; 400, "4")</f>
        <v/>
      </c>
      <c r="AD257" s="129">
        <f>SQRT((((VLOOKUP($AT$4,$A$4:$D$1021,4,FALSE))-D257)^2)+(((VLOOKUP($AT$4,$A$4:$E$1021,5,FALSE))-E257)^2)+(((VLOOKUP($AT$4,$A$4:$N$1021,14,FALSE))-N257)^2)+(((VLOOKUP($AT$4,$A$4:$O$1021,15,FALSE))-O257)^2))</f>
        <v/>
      </c>
      <c r="AG257" s="129">
        <f>SQRT((((VLOOKUP($AT$4,$A$4:$D$1021,4,FALSE))-D257)^2)+(((VLOOKUP($AT$4,$A$4:$E$1021,5,FALSE))-E257)^2)+(((VLOOKUP($AT$4,$A$4:$R$1021,18,FALSE))-R257)^2)+(((VLOOKUP($AT$4,$A$4:$S$1021,19,FALSE))-S257)^2))</f>
        <v/>
      </c>
      <c r="AJ257" s="125" t="inlineStr">
        <is>
          <t>W27X302</t>
        </is>
      </c>
      <c r="AK257" s="125">
        <f>SQRT(((VLOOKUP($AT$4,$A$4:$J$1021,10,FALSE))-J257)^2)</f>
        <v/>
      </c>
      <c r="AL257" s="125" t="n"/>
      <c r="AM257" s="125" t="n"/>
      <c r="AN257" s="125">
        <f>SQRT(((VLOOKUP($AT$4,$A$4:$R$1021,18,FALSE))-R257)^2)</f>
        <v/>
      </c>
      <c r="AO257" s="125" t="n"/>
      <c r="AP257" s="125" t="n"/>
      <c r="AQ257" s="125" t="inlineStr">
        <is>
          <t>W27X302</t>
        </is>
      </c>
      <c r="BB257" s="125">
        <f>SQRT(($J$1022-J257)^2)</f>
        <v/>
      </c>
      <c r="BC257" s="125">
        <f>SQRT(($R$1022-R257)^2)</f>
        <v/>
      </c>
      <c r="BD257" s="125" t="inlineStr">
        <is>
          <t>W27X302</t>
        </is>
      </c>
      <c r="BI257">
        <f>SQRT(($J$1023-J257)^2)</f>
        <v/>
      </c>
      <c r="BJ257">
        <f>SQRT(($R$1023-R257)^2)</f>
        <v/>
      </c>
      <c r="BK257" s="125" t="inlineStr">
        <is>
          <t>W27X302</t>
        </is>
      </c>
      <c r="BP257">
        <f>SQRT(($J$1024-J257)^2)</f>
        <v/>
      </c>
      <c r="BQ257">
        <f>SQRT(($R$1024-R257)^2)</f>
        <v/>
      </c>
      <c r="BR257" s="125" t="inlineStr">
        <is>
          <t>W27X302</t>
        </is>
      </c>
      <c r="BW257">
        <f>SQRT(($J$1025-J257)^2)</f>
        <v/>
      </c>
      <c r="BX257">
        <f>SQRT(($R$1025-R257)^2)</f>
        <v/>
      </c>
      <c r="BY257" s="125" t="inlineStr">
        <is>
          <t>W27X302</t>
        </is>
      </c>
      <c r="CD257">
        <f>SQRT(($J$1026-J257)^2)</f>
        <v/>
      </c>
      <c r="CE257">
        <f>SQRT(($R$1026-R257)^2)</f>
        <v/>
      </c>
      <c r="CF257" s="125" t="inlineStr">
        <is>
          <t>W27X302</t>
        </is>
      </c>
    </row>
    <row r="258">
      <c r="A258" s="125" t="inlineStr">
        <is>
          <t>W27X146</t>
        </is>
      </c>
      <c r="B258" s="129" t="inlineStr">
        <is>
          <t>AISC</t>
        </is>
      </c>
      <c r="C258" s="125" t="n">
        <v>217.3</v>
      </c>
      <c r="D258" s="125" t="n">
        <v>695.5</v>
      </c>
      <c r="E258" s="125" t="n">
        <v>354.7</v>
      </c>
      <c r="F258" s="125" t="n">
        <v>24.8</v>
      </c>
      <c r="G258" s="125" t="n">
        <v>15.4</v>
      </c>
      <c r="H258" s="125" t="n">
        <v>15.2</v>
      </c>
      <c r="I258" s="125" t="n">
        <v>615.6</v>
      </c>
      <c r="J258" s="125" t="n">
        <v>277</v>
      </c>
      <c r="K258" s="125">
        <f>((E258-G258)/2)/F258</f>
        <v/>
      </c>
      <c r="L258" s="125">
        <f>I258/G258</f>
        <v/>
      </c>
      <c r="M258" s="125" t="n">
        <v>2.75</v>
      </c>
      <c r="N258" s="125" t="n">
        <v>234200</v>
      </c>
      <c r="O258" s="125" t="n">
        <v>18440</v>
      </c>
      <c r="P258" s="125" t="n">
        <v>29.1</v>
      </c>
      <c r="Q258" s="125" t="n">
        <v>8.16</v>
      </c>
      <c r="R258" s="125" t="n">
        <v>6735</v>
      </c>
      <c r="S258" s="125" t="n">
        <v>1040</v>
      </c>
      <c r="T258" s="125" t="n">
        <v>7558</v>
      </c>
      <c r="U258" s="125" t="n">
        <v>1598</v>
      </c>
      <c r="X258" s="129">
        <f t="array" ref="X258">_xlfn.IFS((D258/F258) &lt;= (640/SQRT($AT$32)), "Compact", L258 &lt;= ($AT$32*(0.79-(0.002*((E258-G258/2)/(2*F258))*SQRT($AT$32)))), "Non-Compact", L258 &gt; ($AT$32*(0.79-(0.002*((E258-G258/2)/(2*F258))*SQRT($AT$32)))), "Slender")</f>
        <v/>
      </c>
      <c r="Y258" s="129">
        <f t="array" ref="Y258">_xlfn.IFS(K258 &lt;= (65/SQRT($AT$32)), "Compact", K258 &lt;= (95/SQRT($AT$32)), "Non-Compact", K258 &gt; (95/SQRT($AT$32)), "Slender")</f>
        <v/>
      </c>
      <c r="Z258" s="125">
        <f>E258/F258</f>
        <v/>
      </c>
      <c r="AA258" s="125">
        <f>D258/G258</f>
        <v/>
      </c>
      <c r="AB258" s="125">
        <f t="array" ref="AB258">_xlfn.IFS(Z258 &lt;= 9, "1", Z258 &lt;= 12, "2", Z258 &lt;= 15, "3", Z258 &gt; 15, "4")</f>
        <v/>
      </c>
      <c r="AC258" s="125">
        <f t="array" ref="AC258">_xlfn.IFS(AA258 &lt;= 200, "1", L258 &lt;= 300, "2", L258 &lt;= 400, "3", L258 &gt; 400, "4")</f>
        <v/>
      </c>
      <c r="AD258" s="129">
        <f>SQRT((((VLOOKUP($AT$4,$A$4:$D$1021,4,FALSE))-D258)^2)+(((VLOOKUP($AT$4,$A$4:$E$1021,5,FALSE))-E258)^2)+(((VLOOKUP($AT$4,$A$4:$N$1021,14,FALSE))-N258)^2)+(((VLOOKUP($AT$4,$A$4:$O$1021,15,FALSE))-O258)^2))</f>
        <v/>
      </c>
      <c r="AG258" s="129">
        <f>SQRT((((VLOOKUP($AT$4,$A$4:$D$1021,4,FALSE))-D258)^2)+(((VLOOKUP($AT$4,$A$4:$E$1021,5,FALSE))-E258)^2)+(((VLOOKUP($AT$4,$A$4:$R$1021,18,FALSE))-R258)^2)+(((VLOOKUP($AT$4,$A$4:$S$1021,19,FALSE))-S258)^2))</f>
        <v/>
      </c>
      <c r="AJ258" s="125" t="inlineStr">
        <is>
          <t>W27X146</t>
        </is>
      </c>
      <c r="AK258" s="125">
        <f>SQRT(((VLOOKUP($AT$4,$A$4:$J$1021,10,FALSE))-J258)^2)</f>
        <v/>
      </c>
      <c r="AL258" s="125" t="n"/>
      <c r="AM258" s="125" t="n"/>
      <c r="AN258" s="125">
        <f>SQRT(((VLOOKUP($AT$4,$A$4:$R$1021,18,FALSE))-R258)^2)</f>
        <v/>
      </c>
      <c r="AO258" s="125" t="n"/>
      <c r="AP258" s="125" t="n"/>
      <c r="AQ258" s="125" t="inlineStr">
        <is>
          <t>W27X146</t>
        </is>
      </c>
      <c r="BB258" s="125">
        <f>SQRT(($J$1022-J258)^2)</f>
        <v/>
      </c>
      <c r="BC258" s="125">
        <f>SQRT(($R$1022-R258)^2)</f>
        <v/>
      </c>
      <c r="BD258" s="125" t="inlineStr">
        <is>
          <t>W27X146</t>
        </is>
      </c>
      <c r="BI258">
        <f>SQRT(($J$1023-J258)^2)</f>
        <v/>
      </c>
      <c r="BJ258">
        <f>SQRT(($R$1023-R258)^2)</f>
        <v/>
      </c>
      <c r="BK258" s="125" t="inlineStr">
        <is>
          <t>W27X146</t>
        </is>
      </c>
      <c r="BP258">
        <f>SQRT(($J$1024-J258)^2)</f>
        <v/>
      </c>
      <c r="BQ258">
        <f>SQRT(($R$1024-R258)^2)</f>
        <v/>
      </c>
      <c r="BR258" s="125" t="inlineStr">
        <is>
          <t>W27X146</t>
        </is>
      </c>
      <c r="BW258">
        <f>SQRT(($J$1025-J258)^2)</f>
        <v/>
      </c>
      <c r="BX258">
        <f>SQRT(($R$1025-R258)^2)</f>
        <v/>
      </c>
      <c r="BY258" s="125" t="inlineStr">
        <is>
          <t>W27X146</t>
        </is>
      </c>
      <c r="CD258">
        <f>SQRT(($J$1026-J258)^2)</f>
        <v/>
      </c>
      <c r="CE258">
        <f>SQRT(($R$1026-R258)^2)</f>
        <v/>
      </c>
      <c r="CF258" s="125" t="inlineStr">
        <is>
          <t>W27X146</t>
        </is>
      </c>
    </row>
    <row r="259">
      <c r="A259" s="125" t="inlineStr">
        <is>
          <t>W27X161</t>
        </is>
      </c>
      <c r="B259" s="129" t="inlineStr">
        <is>
          <t>AISC</t>
        </is>
      </c>
      <c r="C259" s="125" t="n">
        <v>239.6</v>
      </c>
      <c r="D259" s="125" t="n">
        <v>700.8</v>
      </c>
      <c r="E259" s="125" t="n">
        <v>356.1</v>
      </c>
      <c r="F259" s="125" t="n">
        <v>27.4</v>
      </c>
      <c r="G259" s="125" t="n">
        <v>16.8</v>
      </c>
      <c r="H259" s="125" t="n">
        <v>15.2</v>
      </c>
      <c r="I259" s="125" t="n">
        <v>615.5</v>
      </c>
      <c r="J259" s="125" t="n">
        <v>306</v>
      </c>
      <c r="K259" s="125">
        <f>((E259-G259)/2)/F259</f>
        <v/>
      </c>
      <c r="L259" s="125">
        <f>I259/G259</f>
        <v/>
      </c>
      <c r="M259" s="125" t="n">
        <v>2.77</v>
      </c>
      <c r="N259" s="125" t="n">
        <v>261200</v>
      </c>
      <c r="O259" s="125" t="n">
        <v>20670</v>
      </c>
      <c r="P259" s="125" t="n">
        <v>29.2</v>
      </c>
      <c r="Q259" s="125" t="n">
        <v>8.220000000000001</v>
      </c>
      <c r="R259" s="125" t="n">
        <v>7455</v>
      </c>
      <c r="S259" s="125" t="n">
        <v>1161</v>
      </c>
      <c r="T259" s="125" t="n">
        <v>8389</v>
      </c>
      <c r="U259" s="125" t="n">
        <v>1787</v>
      </c>
      <c r="X259" s="129">
        <f t="array" ref="X259">_xlfn.IFS((D259/F259) &lt;= (640/SQRT($AT$32)), "Compact", L259 &lt;= ($AT$32*(0.79-(0.002*((E259-G259/2)/(2*F259))*SQRT($AT$32)))), "Non-Compact", L259 &gt; ($AT$32*(0.79-(0.002*((E259-G259/2)/(2*F259))*SQRT($AT$32)))), "Slender")</f>
        <v/>
      </c>
      <c r="Y259" s="129">
        <f t="array" ref="Y259">_xlfn.IFS(K259 &lt;= (65/SQRT($AT$32)), "Compact", K259 &lt;= (95/SQRT($AT$32)), "Non-Compact", K259 &gt; (95/SQRT($AT$32)), "Slender")</f>
        <v/>
      </c>
      <c r="Z259" s="125">
        <f>E259/F259</f>
        <v/>
      </c>
      <c r="AA259" s="125">
        <f>D259/G259</f>
        <v/>
      </c>
      <c r="AB259" s="125">
        <f t="array" ref="AB259">_xlfn.IFS(Z259 &lt;= 9, "1", Z259 &lt;= 12, "2", Z259 &lt;= 15, "3", Z259 &gt; 15, "4")</f>
        <v/>
      </c>
      <c r="AC259" s="125">
        <f t="array" ref="AC259">_xlfn.IFS(AA259 &lt;= 200, "1", L259 &lt;= 300, "2", L259 &lt;= 400, "3", L259 &gt; 400, "4")</f>
        <v/>
      </c>
      <c r="AD259" s="129">
        <f>SQRT((((VLOOKUP($AT$4,$A$4:$D$1021,4,FALSE))-D259)^2)+(((VLOOKUP($AT$4,$A$4:$E$1021,5,FALSE))-E259)^2)+(((VLOOKUP($AT$4,$A$4:$N$1021,14,FALSE))-N259)^2)+(((VLOOKUP($AT$4,$A$4:$O$1021,15,FALSE))-O259)^2))</f>
        <v/>
      </c>
      <c r="AG259" s="129">
        <f>SQRT((((VLOOKUP($AT$4,$A$4:$D$1021,4,FALSE))-D259)^2)+(((VLOOKUP($AT$4,$A$4:$E$1021,5,FALSE))-E259)^2)+(((VLOOKUP($AT$4,$A$4:$R$1021,18,FALSE))-R259)^2)+(((VLOOKUP($AT$4,$A$4:$S$1021,19,FALSE))-S259)^2))</f>
        <v/>
      </c>
      <c r="AJ259" s="125" t="inlineStr">
        <is>
          <t>W27X161</t>
        </is>
      </c>
      <c r="AK259" s="125">
        <f>SQRT(((VLOOKUP($AT$4,$A$4:$J$1021,10,FALSE))-J259)^2)</f>
        <v/>
      </c>
      <c r="AL259" s="125" t="n"/>
      <c r="AM259" s="125" t="n"/>
      <c r="AN259" s="125">
        <f>SQRT(((VLOOKUP($AT$4,$A$4:$R$1021,18,FALSE))-R259)^2)</f>
        <v/>
      </c>
      <c r="AO259" s="125" t="n"/>
      <c r="AP259" s="125" t="n"/>
      <c r="AQ259" s="125" t="inlineStr">
        <is>
          <t>W27X161</t>
        </is>
      </c>
      <c r="BB259" s="125">
        <f>SQRT(($J$1022-J259)^2)</f>
        <v/>
      </c>
      <c r="BC259" s="125">
        <f>SQRT(($R$1022-R259)^2)</f>
        <v/>
      </c>
      <c r="BD259" s="125" t="inlineStr">
        <is>
          <t>W27X161</t>
        </is>
      </c>
      <c r="BI259">
        <f>SQRT(($J$1023-J259)^2)</f>
        <v/>
      </c>
      <c r="BJ259">
        <f>SQRT(($R$1023-R259)^2)</f>
        <v/>
      </c>
      <c r="BK259" s="125" t="inlineStr">
        <is>
          <t>W27X161</t>
        </is>
      </c>
      <c r="BP259">
        <f>SQRT(($J$1024-J259)^2)</f>
        <v/>
      </c>
      <c r="BQ259">
        <f>SQRT(($R$1024-R259)^2)</f>
        <v/>
      </c>
      <c r="BR259" s="125" t="inlineStr">
        <is>
          <t>W27X161</t>
        </is>
      </c>
      <c r="BW259">
        <f>SQRT(($J$1025-J259)^2)</f>
        <v/>
      </c>
      <c r="BX259">
        <f>SQRT(($R$1025-R259)^2)</f>
        <v/>
      </c>
      <c r="BY259" s="125" t="inlineStr">
        <is>
          <t>W27X161</t>
        </is>
      </c>
      <c r="CD259">
        <f>SQRT(($J$1026-J259)^2)</f>
        <v/>
      </c>
      <c r="CE259">
        <f>SQRT(($R$1026-R259)^2)</f>
        <v/>
      </c>
      <c r="CF259" s="125" t="inlineStr">
        <is>
          <t>W27X161</t>
        </is>
      </c>
    </row>
    <row r="260">
      <c r="A260" s="125" t="inlineStr">
        <is>
          <t>W27X178</t>
        </is>
      </c>
      <c r="B260" s="129" t="inlineStr">
        <is>
          <t>AISC</t>
        </is>
      </c>
      <c r="C260" s="125" t="n">
        <v>264.9</v>
      </c>
      <c r="D260" s="125" t="n">
        <v>706.4</v>
      </c>
      <c r="E260" s="125" t="n">
        <v>357.8</v>
      </c>
      <c r="F260" s="125" t="n">
        <v>30.2</v>
      </c>
      <c r="G260" s="125" t="n">
        <v>18.4</v>
      </c>
      <c r="H260" s="125" t="n">
        <v>15.2</v>
      </c>
      <c r="I260" s="125" t="n">
        <v>615.5</v>
      </c>
      <c r="J260" s="125" t="n">
        <v>337</v>
      </c>
      <c r="K260" s="125">
        <f>((E260-G260)/2)/F260</f>
        <v/>
      </c>
      <c r="L260" s="125">
        <f>I260/G260</f>
        <v/>
      </c>
      <c r="M260" s="125" t="n">
        <v>2.78</v>
      </c>
      <c r="N260" s="125" t="n">
        <v>290800</v>
      </c>
      <c r="O260" s="125" t="n">
        <v>23120</v>
      </c>
      <c r="P260" s="125" t="n">
        <v>29.4</v>
      </c>
      <c r="Q260" s="125" t="n">
        <v>8.279999999999999</v>
      </c>
      <c r="R260" s="125" t="n">
        <v>8233</v>
      </c>
      <c r="S260" s="125" t="n">
        <v>1292</v>
      </c>
      <c r="T260" s="125" t="n">
        <v>9297</v>
      </c>
      <c r="U260" s="125" t="n">
        <v>1992</v>
      </c>
      <c r="X260" s="129">
        <f t="array" ref="X260">_xlfn.IFS((D260/F260) &lt;= (640/SQRT($AT$32)), "Compact", L260 &lt;= ($AT$32*(0.79-(0.002*((E260-G260/2)/(2*F260))*SQRT($AT$32)))), "Non-Compact", L260 &gt; ($AT$32*(0.79-(0.002*((E260-G260/2)/(2*F260))*SQRT($AT$32)))), "Slender")</f>
        <v/>
      </c>
      <c r="Y260" s="129">
        <f t="array" ref="Y260">_xlfn.IFS(K260 &lt;= (65/SQRT($AT$32)), "Compact", K260 &lt;= (95/SQRT($AT$32)), "Non-Compact", K260 &gt; (95/SQRT($AT$32)), "Slender")</f>
        <v/>
      </c>
      <c r="Z260" s="125">
        <f>E260/F260</f>
        <v/>
      </c>
      <c r="AA260" s="125">
        <f>D260/G260</f>
        <v/>
      </c>
      <c r="AB260" s="125">
        <f t="array" ref="AB260">_xlfn.IFS(Z260 &lt;= 9, "1", Z260 &lt;= 12, "2", Z260 &lt;= 15, "3", Z260 &gt; 15, "4")</f>
        <v/>
      </c>
      <c r="AC260" s="125">
        <f t="array" ref="AC260">_xlfn.IFS(AA260 &lt;= 200, "1", L260 &lt;= 300, "2", L260 &lt;= 400, "3", L260 &gt; 400, "4")</f>
        <v/>
      </c>
      <c r="AD260" s="129">
        <f>SQRT((((VLOOKUP($AT$4,$A$4:$D$1021,4,FALSE))-D260)^2)+(((VLOOKUP($AT$4,$A$4:$E$1021,5,FALSE))-E260)^2)+(((VLOOKUP($AT$4,$A$4:$N$1021,14,FALSE))-N260)^2)+(((VLOOKUP($AT$4,$A$4:$O$1021,15,FALSE))-O260)^2))</f>
        <v/>
      </c>
      <c r="AG260" s="129">
        <f>SQRT((((VLOOKUP($AT$4,$A$4:$D$1021,4,FALSE))-D260)^2)+(((VLOOKUP($AT$4,$A$4:$E$1021,5,FALSE))-E260)^2)+(((VLOOKUP($AT$4,$A$4:$R$1021,18,FALSE))-R260)^2)+(((VLOOKUP($AT$4,$A$4:$S$1021,19,FALSE))-S260)^2))</f>
        <v/>
      </c>
      <c r="AJ260" s="125" t="inlineStr">
        <is>
          <t>W27X178</t>
        </is>
      </c>
      <c r="AK260" s="125">
        <f>SQRT(((VLOOKUP($AT$4,$A$4:$J$1021,10,FALSE))-J260)^2)</f>
        <v/>
      </c>
      <c r="AL260" s="125" t="n"/>
      <c r="AM260" s="125" t="n"/>
      <c r="AN260" s="125">
        <f>SQRT(((VLOOKUP($AT$4,$A$4:$R$1021,18,FALSE))-R260)^2)</f>
        <v/>
      </c>
      <c r="AO260" s="125" t="n"/>
      <c r="AP260" s="125" t="n"/>
      <c r="AQ260" s="125" t="inlineStr">
        <is>
          <t>W27X178</t>
        </is>
      </c>
      <c r="BB260" s="125">
        <f>SQRT(($J$1022-J260)^2)</f>
        <v/>
      </c>
      <c r="BC260" s="125">
        <f>SQRT(($R$1022-R260)^2)</f>
        <v/>
      </c>
      <c r="BD260" s="125" t="inlineStr">
        <is>
          <t>W27X178</t>
        </is>
      </c>
      <c r="BI260">
        <f>SQRT(($J$1023-J260)^2)</f>
        <v/>
      </c>
      <c r="BJ260">
        <f>SQRT(($R$1023-R260)^2)</f>
        <v/>
      </c>
      <c r="BK260" s="125" t="inlineStr">
        <is>
          <t>W27X178</t>
        </is>
      </c>
      <c r="BP260">
        <f>SQRT(($J$1024-J260)^2)</f>
        <v/>
      </c>
      <c r="BQ260">
        <f>SQRT(($R$1024-R260)^2)</f>
        <v/>
      </c>
      <c r="BR260" s="125" t="inlineStr">
        <is>
          <t>W27X178</t>
        </is>
      </c>
      <c r="BW260">
        <f>SQRT(($J$1025-J260)^2)</f>
        <v/>
      </c>
      <c r="BX260">
        <f>SQRT(($R$1025-R260)^2)</f>
        <v/>
      </c>
      <c r="BY260" s="125" t="inlineStr">
        <is>
          <t>W27X178</t>
        </is>
      </c>
      <c r="CD260">
        <f>SQRT(($J$1026-J260)^2)</f>
        <v/>
      </c>
      <c r="CE260">
        <f>SQRT(($R$1026-R260)^2)</f>
        <v/>
      </c>
      <c r="CF260" s="125" t="inlineStr">
        <is>
          <t>W27X178</t>
        </is>
      </c>
    </row>
    <row r="261">
      <c r="A261" s="125" t="inlineStr">
        <is>
          <t>W27X194</t>
        </is>
      </c>
      <c r="B261" s="129" t="inlineStr">
        <is>
          <t>AISC</t>
        </is>
      </c>
      <c r="C261" s="125" t="n">
        <v>288.7</v>
      </c>
      <c r="D261" s="125" t="n">
        <v>714</v>
      </c>
      <c r="E261" s="125" t="n">
        <v>356.4</v>
      </c>
      <c r="F261" s="125" t="n">
        <v>34</v>
      </c>
      <c r="G261" s="125" t="n">
        <v>19.1</v>
      </c>
      <c r="H261" s="125" t="n">
        <v>15.2</v>
      </c>
      <c r="I261" s="125" t="n">
        <v>615.5</v>
      </c>
      <c r="J261" s="125" t="n">
        <v>368</v>
      </c>
      <c r="K261" s="125">
        <f>((E261-G261)/2)/F261</f>
        <v/>
      </c>
      <c r="L261" s="125">
        <f>I261/G261</f>
        <v/>
      </c>
      <c r="M261" s="125" t="n">
        <v>2.79</v>
      </c>
      <c r="N261" s="125" t="n">
        <v>325500</v>
      </c>
      <c r="O261" s="125" t="n">
        <v>25720</v>
      </c>
      <c r="P261" s="125" t="n">
        <v>29.8</v>
      </c>
      <c r="Q261" s="125" t="n">
        <v>8.359999999999999</v>
      </c>
      <c r="R261" s="125" t="n">
        <v>9118</v>
      </c>
      <c r="S261" s="125" t="n">
        <v>1444</v>
      </c>
      <c r="T261" s="125" t="n">
        <v>10300</v>
      </c>
      <c r="U261" s="125" t="n">
        <v>2223</v>
      </c>
      <c r="X261" s="129">
        <f t="array" ref="X261">_xlfn.IFS((D261/F261) &lt;= (640/SQRT($AT$32)), "Compact", L261 &lt;= ($AT$32*(0.79-(0.002*((E261-G261/2)/(2*F261))*SQRT($AT$32)))), "Non-Compact", L261 &gt; ($AT$32*(0.79-(0.002*((E261-G261/2)/(2*F261))*SQRT($AT$32)))), "Slender")</f>
        <v/>
      </c>
      <c r="Y261" s="129">
        <f t="array" ref="Y261">_xlfn.IFS(K261 &lt;= (65/SQRT($AT$32)), "Compact", K261 &lt;= (95/SQRT($AT$32)), "Non-Compact", K261 &gt; (95/SQRT($AT$32)), "Slender")</f>
        <v/>
      </c>
      <c r="Z261" s="125">
        <f>E261/F261</f>
        <v/>
      </c>
      <c r="AA261" s="125">
        <f>D261/G261</f>
        <v/>
      </c>
      <c r="AB261" s="125">
        <f t="array" ref="AB261">_xlfn.IFS(Z261 &lt;= 9, "1", Z261 &lt;= 12, "2", Z261 &lt;= 15, "3", Z261 &gt; 15, "4")</f>
        <v/>
      </c>
      <c r="AC261" s="125">
        <f t="array" ref="AC261">_xlfn.IFS(AA261 &lt;= 200, "1", L261 &lt;= 300, "2", L261 &lt;= 400, "3", L261 &gt; 400, "4")</f>
        <v/>
      </c>
      <c r="AD261" s="129">
        <f>SQRT((((VLOOKUP($AT$4,$A$4:$D$1021,4,FALSE))-D261)^2)+(((VLOOKUP($AT$4,$A$4:$E$1021,5,FALSE))-E261)^2)+(((VLOOKUP($AT$4,$A$4:$N$1021,14,FALSE))-N261)^2)+(((VLOOKUP($AT$4,$A$4:$O$1021,15,FALSE))-O261)^2))</f>
        <v/>
      </c>
      <c r="AG261" s="129">
        <f>SQRT((((VLOOKUP($AT$4,$A$4:$D$1021,4,FALSE))-D261)^2)+(((VLOOKUP($AT$4,$A$4:$E$1021,5,FALSE))-E261)^2)+(((VLOOKUP($AT$4,$A$4:$R$1021,18,FALSE))-R261)^2)+(((VLOOKUP($AT$4,$A$4:$S$1021,19,FALSE))-S261)^2))</f>
        <v/>
      </c>
      <c r="AJ261" s="125" t="inlineStr">
        <is>
          <t>W27X194</t>
        </is>
      </c>
      <c r="AK261" s="125">
        <f>SQRT(((VLOOKUP($AT$4,$A$4:$J$1021,10,FALSE))-J261)^2)</f>
        <v/>
      </c>
      <c r="AL261" s="125" t="n"/>
      <c r="AM261" s="125" t="n"/>
      <c r="AN261" s="125">
        <f>SQRT(((VLOOKUP($AT$4,$A$4:$R$1021,18,FALSE))-R261)^2)</f>
        <v/>
      </c>
      <c r="AO261" s="125" t="n"/>
      <c r="AP261" s="125" t="n"/>
      <c r="AQ261" s="125" t="inlineStr">
        <is>
          <t>W27X194</t>
        </is>
      </c>
      <c r="BB261" s="125">
        <f>SQRT(($J$1022-J261)^2)</f>
        <v/>
      </c>
      <c r="BC261" s="125">
        <f>SQRT(($R$1022-R261)^2)</f>
        <v/>
      </c>
      <c r="BD261" s="125" t="inlineStr">
        <is>
          <t>W27X194</t>
        </is>
      </c>
      <c r="BI261">
        <f>SQRT(($J$1023-J261)^2)</f>
        <v/>
      </c>
      <c r="BJ261">
        <f>SQRT(($R$1023-R261)^2)</f>
        <v/>
      </c>
      <c r="BK261" s="125" t="inlineStr">
        <is>
          <t>W27X194</t>
        </is>
      </c>
      <c r="BP261">
        <f>SQRT(($J$1024-J261)^2)</f>
        <v/>
      </c>
      <c r="BQ261">
        <f>SQRT(($R$1024-R261)^2)</f>
        <v/>
      </c>
      <c r="BR261" s="125" t="inlineStr">
        <is>
          <t>W27X194</t>
        </is>
      </c>
      <c r="BW261">
        <f>SQRT(($J$1025-J261)^2)</f>
        <v/>
      </c>
      <c r="BX261">
        <f>SQRT(($R$1025-R261)^2)</f>
        <v/>
      </c>
      <c r="BY261" s="125" t="inlineStr">
        <is>
          <t>W27X194</t>
        </is>
      </c>
      <c r="CD261">
        <f>SQRT(($J$1026-J261)^2)</f>
        <v/>
      </c>
      <c r="CE261">
        <f>SQRT(($R$1026-R261)^2)</f>
        <v/>
      </c>
      <c r="CF261" s="125" t="inlineStr">
        <is>
          <t>W27X194</t>
        </is>
      </c>
    </row>
    <row r="262">
      <c r="A262" s="125" t="inlineStr">
        <is>
          <t>W27X217</t>
        </is>
      </c>
      <c r="B262" s="129" t="inlineStr">
        <is>
          <t>AISC</t>
        </is>
      </c>
      <c r="C262" s="125" t="n">
        <v>322.9</v>
      </c>
      <c r="D262" s="125" t="n">
        <v>722.1</v>
      </c>
      <c r="E262" s="125" t="n">
        <v>358.5</v>
      </c>
      <c r="F262" s="125" t="n">
        <v>38.1</v>
      </c>
      <c r="G262" s="125" t="n">
        <v>21.1</v>
      </c>
      <c r="H262" s="125" t="n">
        <v>15.2</v>
      </c>
      <c r="I262" s="125" t="n">
        <v>615.5</v>
      </c>
      <c r="J262" s="125" t="n">
        <v>411</v>
      </c>
      <c r="K262" s="125">
        <f>((E262-G262)/2)/F262</f>
        <v/>
      </c>
      <c r="L262" s="125">
        <f>I262/G262</f>
        <v/>
      </c>
      <c r="M262" s="125" t="n">
        <v>2.81</v>
      </c>
      <c r="N262" s="125" t="n">
        <v>369200</v>
      </c>
      <c r="O262" s="125" t="n">
        <v>29310</v>
      </c>
      <c r="P262" s="125" t="n">
        <v>30</v>
      </c>
      <c r="Q262" s="125" t="n">
        <v>8.44</v>
      </c>
      <c r="R262" s="125" t="n">
        <v>10230</v>
      </c>
      <c r="S262" s="125" t="n">
        <v>1635</v>
      </c>
      <c r="T262" s="125" t="n">
        <v>11610</v>
      </c>
      <c r="U262" s="125" t="n">
        <v>2523</v>
      </c>
      <c r="X262" s="129">
        <f t="array" ref="X262">_xlfn.IFS((D262/F262) &lt;= (640/SQRT($AT$32)), "Compact", L262 &lt;= ($AT$32*(0.79-(0.002*((E262-G262/2)/(2*F262))*SQRT($AT$32)))), "Non-Compact", L262 &gt; ($AT$32*(0.79-(0.002*((E262-G262/2)/(2*F262))*SQRT($AT$32)))), "Slender")</f>
        <v/>
      </c>
      <c r="Y262" s="129">
        <f t="array" ref="Y262">_xlfn.IFS(K262 &lt;= (65/SQRT($AT$32)), "Compact", K262 &lt;= (95/SQRT($AT$32)), "Non-Compact", K262 &gt; (95/SQRT($AT$32)), "Slender")</f>
        <v/>
      </c>
      <c r="Z262" s="125">
        <f>E262/F262</f>
        <v/>
      </c>
      <c r="AA262" s="125">
        <f>D262/G262</f>
        <v/>
      </c>
      <c r="AB262" s="125">
        <f t="array" ref="AB262">_xlfn.IFS(Z262 &lt;= 9, "1", Z262 &lt;= 12, "2", Z262 &lt;= 15, "3", Z262 &gt; 15, "4")</f>
        <v/>
      </c>
      <c r="AC262" s="125">
        <f t="array" ref="AC262">_xlfn.IFS(AA262 &lt;= 200, "1", L262 &lt;= 300, "2", L262 &lt;= 400, "3", L262 &gt; 400, "4")</f>
        <v/>
      </c>
      <c r="AD262" s="129">
        <f>SQRT((((VLOOKUP($AT$4,$A$4:$D$1021,4,FALSE))-D262)^2)+(((VLOOKUP($AT$4,$A$4:$E$1021,5,FALSE))-E262)^2)+(((VLOOKUP($AT$4,$A$4:$N$1021,14,FALSE))-N262)^2)+(((VLOOKUP($AT$4,$A$4:$O$1021,15,FALSE))-O262)^2))</f>
        <v/>
      </c>
      <c r="AG262" s="129">
        <f>SQRT((((VLOOKUP($AT$4,$A$4:$D$1021,4,FALSE))-D262)^2)+(((VLOOKUP($AT$4,$A$4:$E$1021,5,FALSE))-E262)^2)+(((VLOOKUP($AT$4,$A$4:$R$1021,18,FALSE))-R262)^2)+(((VLOOKUP($AT$4,$A$4:$S$1021,19,FALSE))-S262)^2))</f>
        <v/>
      </c>
      <c r="AJ262" s="125" t="inlineStr">
        <is>
          <t>W27X217</t>
        </is>
      </c>
      <c r="AK262" s="125">
        <f>SQRT(((VLOOKUP($AT$4,$A$4:$J$1021,10,FALSE))-J262)^2)</f>
        <v/>
      </c>
      <c r="AL262" s="125" t="n"/>
      <c r="AM262" s="125" t="n"/>
      <c r="AN262" s="125">
        <f>SQRT(((VLOOKUP($AT$4,$A$4:$R$1021,18,FALSE))-R262)^2)</f>
        <v/>
      </c>
      <c r="AO262" s="125" t="n"/>
      <c r="AP262" s="125" t="n"/>
      <c r="AQ262" s="125" t="inlineStr">
        <is>
          <t>W27X217</t>
        </is>
      </c>
      <c r="BB262" s="125">
        <f>SQRT(($J$1022-J262)^2)</f>
        <v/>
      </c>
      <c r="BC262" s="125">
        <f>SQRT(($R$1022-R262)^2)</f>
        <v/>
      </c>
      <c r="BD262" s="125" t="inlineStr">
        <is>
          <t>W27X217</t>
        </is>
      </c>
      <c r="BI262">
        <f>SQRT(($J$1023-J262)^2)</f>
        <v/>
      </c>
      <c r="BJ262">
        <f>SQRT(($R$1023-R262)^2)</f>
        <v/>
      </c>
      <c r="BK262" s="125" t="inlineStr">
        <is>
          <t>W27X217</t>
        </is>
      </c>
      <c r="BP262">
        <f>SQRT(($J$1024-J262)^2)</f>
        <v/>
      </c>
      <c r="BQ262">
        <f>SQRT(($R$1024-R262)^2)</f>
        <v/>
      </c>
      <c r="BR262" s="125" t="inlineStr">
        <is>
          <t>W27X217</t>
        </is>
      </c>
      <c r="BW262">
        <f>SQRT(($J$1025-J262)^2)</f>
        <v/>
      </c>
      <c r="BX262">
        <f>SQRT(($R$1025-R262)^2)</f>
        <v/>
      </c>
      <c r="BY262" s="125" t="inlineStr">
        <is>
          <t>W27X217</t>
        </is>
      </c>
      <c r="CD262">
        <f>SQRT(($J$1026-J262)^2)</f>
        <v/>
      </c>
      <c r="CE262">
        <f>SQRT(($R$1026-R262)^2)</f>
        <v/>
      </c>
      <c r="CF262" s="125" t="inlineStr">
        <is>
          <t>W27X217</t>
        </is>
      </c>
    </row>
    <row r="263">
      <c r="A263" s="125" t="inlineStr">
        <is>
          <t>W27X235</t>
        </is>
      </c>
      <c r="B263" s="129" t="inlineStr">
        <is>
          <t>AISC</t>
        </is>
      </c>
      <c r="C263" s="125" t="n">
        <v>349.7</v>
      </c>
      <c r="D263" s="125" t="n">
        <v>728</v>
      </c>
      <c r="E263" s="125" t="n">
        <v>360.4</v>
      </c>
      <c r="F263" s="125" t="n">
        <v>40.9</v>
      </c>
      <c r="G263" s="125" t="n">
        <v>23.1</v>
      </c>
      <c r="H263" s="125" t="n">
        <v>15.2</v>
      </c>
      <c r="I263" s="125" t="n">
        <v>615.8</v>
      </c>
      <c r="J263" s="125" t="n">
        <v>446</v>
      </c>
      <c r="K263" s="125">
        <f>((E263-G263)/2)/F263</f>
        <v/>
      </c>
      <c r="L263" s="125">
        <f>I263/G263</f>
        <v/>
      </c>
      <c r="M263" s="125" t="n">
        <v>2.83</v>
      </c>
      <c r="N263" s="125" t="n">
        <v>402300</v>
      </c>
      <c r="O263" s="125" t="n">
        <v>31970</v>
      </c>
      <c r="P263" s="125" t="n">
        <v>30</v>
      </c>
      <c r="Q263" s="125" t="n">
        <v>8.470000000000001</v>
      </c>
      <c r="R263" s="125" t="n">
        <v>11050</v>
      </c>
      <c r="S263" s="125" t="n">
        <v>1774</v>
      </c>
      <c r="T263" s="125" t="n">
        <v>12600</v>
      </c>
      <c r="U263" s="125" t="n">
        <v>2745</v>
      </c>
      <c r="X263" s="129">
        <f t="array" ref="X263">_xlfn.IFS((D263/F263) &lt;= (640/SQRT($AT$32)), "Compact", L263 &lt;= ($AT$32*(0.79-(0.002*((E263-G263/2)/(2*F263))*SQRT($AT$32)))), "Non-Compact", L263 &gt; ($AT$32*(0.79-(0.002*((E263-G263/2)/(2*F263))*SQRT($AT$32)))), "Slender")</f>
        <v/>
      </c>
      <c r="Y263" s="129">
        <f t="array" ref="Y263">_xlfn.IFS(K263 &lt;= (65/SQRT($AT$32)), "Compact", K263 &lt;= (95/SQRT($AT$32)), "Non-Compact", K263 &gt; (95/SQRT($AT$32)), "Slender")</f>
        <v/>
      </c>
      <c r="Z263" s="125">
        <f>E263/F263</f>
        <v/>
      </c>
      <c r="AA263" s="125">
        <f>D263/G263</f>
        <v/>
      </c>
      <c r="AB263" s="125">
        <f t="array" ref="AB263">_xlfn.IFS(Z263 &lt;= 9, "1", Z263 &lt;= 12, "2", Z263 &lt;= 15, "3", Z263 &gt; 15, "4")</f>
        <v/>
      </c>
      <c r="AC263" s="125">
        <f t="array" ref="AC263">_xlfn.IFS(AA263 &lt;= 200, "1", L263 &lt;= 300, "2", L263 &lt;= 400, "3", L263 &gt; 400, "4")</f>
        <v/>
      </c>
      <c r="AD263" s="129">
        <f>SQRT((((VLOOKUP($AT$4,$A$4:$D$1021,4,FALSE))-D263)^2)+(((VLOOKUP($AT$4,$A$4:$E$1021,5,FALSE))-E263)^2)+(((VLOOKUP($AT$4,$A$4:$N$1021,14,FALSE))-N263)^2)+(((VLOOKUP($AT$4,$A$4:$O$1021,15,FALSE))-O263)^2))</f>
        <v/>
      </c>
      <c r="AG263" s="129">
        <f>SQRT((((VLOOKUP($AT$4,$A$4:$D$1021,4,FALSE))-D263)^2)+(((VLOOKUP($AT$4,$A$4:$E$1021,5,FALSE))-E263)^2)+(((VLOOKUP($AT$4,$A$4:$R$1021,18,FALSE))-R263)^2)+(((VLOOKUP($AT$4,$A$4:$S$1021,19,FALSE))-S263)^2))</f>
        <v/>
      </c>
      <c r="AJ263" s="125" t="inlineStr">
        <is>
          <t>W27X235</t>
        </is>
      </c>
      <c r="AK263" s="125">
        <f>SQRT(((VLOOKUP($AT$4,$A$4:$J$1021,10,FALSE))-J263)^2)</f>
        <v/>
      </c>
      <c r="AL263" s="125" t="n"/>
      <c r="AM263" s="125" t="n"/>
      <c r="AN263" s="125">
        <f>SQRT(((VLOOKUP($AT$4,$A$4:$R$1021,18,FALSE))-R263)^2)</f>
        <v/>
      </c>
      <c r="AO263" s="125" t="n"/>
      <c r="AP263" s="125" t="n"/>
      <c r="AQ263" s="125" t="inlineStr">
        <is>
          <t>W27X235</t>
        </is>
      </c>
      <c r="BB263" s="125">
        <f>SQRT(($J$1022-J263)^2)</f>
        <v/>
      </c>
      <c r="BC263" s="125">
        <f>SQRT(($R$1022-R263)^2)</f>
        <v/>
      </c>
      <c r="BD263" s="125" t="inlineStr">
        <is>
          <t>W27X235</t>
        </is>
      </c>
      <c r="BI263">
        <f>SQRT(($J$1023-J263)^2)</f>
        <v/>
      </c>
      <c r="BJ263">
        <f>SQRT(($R$1023-R263)^2)</f>
        <v/>
      </c>
      <c r="BK263" s="125" t="inlineStr">
        <is>
          <t>W27X235</t>
        </is>
      </c>
      <c r="BP263">
        <f>SQRT(($J$1024-J263)^2)</f>
        <v/>
      </c>
      <c r="BQ263">
        <f>SQRT(($R$1024-R263)^2)</f>
        <v/>
      </c>
      <c r="BR263" s="125" t="inlineStr">
        <is>
          <t>W27X235</t>
        </is>
      </c>
      <c r="BW263">
        <f>SQRT(($J$1025-J263)^2)</f>
        <v/>
      </c>
      <c r="BX263">
        <f>SQRT(($R$1025-R263)^2)</f>
        <v/>
      </c>
      <c r="BY263" s="125" t="inlineStr">
        <is>
          <t>W27X235</t>
        </is>
      </c>
      <c r="CD263">
        <f>SQRT(($J$1026-J263)^2)</f>
        <v/>
      </c>
      <c r="CE263">
        <f>SQRT(($R$1026-R263)^2)</f>
        <v/>
      </c>
      <c r="CF263" s="125" t="inlineStr">
        <is>
          <t>W27X235</t>
        </is>
      </c>
    </row>
    <row r="264">
      <c r="A264" s="125" t="inlineStr">
        <is>
          <t>W27X258</t>
        </is>
      </c>
      <c r="B264" s="129" t="inlineStr">
        <is>
          <t>AISC</t>
        </is>
      </c>
      <c r="C264" s="125" t="n">
        <v>383.9</v>
      </c>
      <c r="D264" s="125" t="n">
        <v>736.1</v>
      </c>
      <c r="E264" s="125" t="n">
        <v>362.5</v>
      </c>
      <c r="F264" s="125" t="n">
        <v>45</v>
      </c>
      <c r="G264" s="125" t="n">
        <v>24.9</v>
      </c>
      <c r="H264" s="125" t="n">
        <v>15.2</v>
      </c>
      <c r="I264" s="125" t="n">
        <v>615.8</v>
      </c>
      <c r="J264" s="125" t="n">
        <v>489</v>
      </c>
      <c r="K264" s="125">
        <f>((E264-G264)/2)/F264</f>
        <v/>
      </c>
      <c r="L264" s="125">
        <f>I264/G264</f>
        <v/>
      </c>
      <c r="M264" s="125" t="n">
        <v>2.85</v>
      </c>
      <c r="N264" s="125" t="n">
        <v>447800</v>
      </c>
      <c r="O264" s="125" t="n">
        <v>35780</v>
      </c>
      <c r="P264" s="125" t="n">
        <v>30.3</v>
      </c>
      <c r="Q264" s="125" t="n">
        <v>8.56</v>
      </c>
      <c r="R264" s="125" t="n">
        <v>12170</v>
      </c>
      <c r="S264" s="125" t="n">
        <v>1974</v>
      </c>
      <c r="T264" s="125" t="n">
        <v>13930</v>
      </c>
      <c r="U264" s="125" t="n">
        <v>3057</v>
      </c>
      <c r="X264" s="129">
        <f t="array" ref="X264">_xlfn.IFS((D264/F264) &lt;= (640/SQRT($AT$32)), "Compact", L264 &lt;= ($AT$32*(0.79-(0.002*((E264-G264/2)/(2*F264))*SQRT($AT$32)))), "Non-Compact", L264 &gt; ($AT$32*(0.79-(0.002*((E264-G264/2)/(2*F264))*SQRT($AT$32)))), "Slender")</f>
        <v/>
      </c>
      <c r="Y264" s="129">
        <f t="array" ref="Y264">_xlfn.IFS(K264 &lt;= (65/SQRT($AT$32)), "Compact", K264 &lt;= (95/SQRT($AT$32)), "Non-Compact", K264 &gt; (95/SQRT($AT$32)), "Slender")</f>
        <v/>
      </c>
      <c r="Z264" s="125">
        <f>E264/F264</f>
        <v/>
      </c>
      <c r="AA264" s="125">
        <f>D264/G264</f>
        <v/>
      </c>
      <c r="AB264" s="125">
        <f t="array" ref="AB264">_xlfn.IFS(Z264 &lt;= 9, "1", Z264 &lt;= 12, "2", Z264 &lt;= 15, "3", Z264 &gt; 15, "4")</f>
        <v/>
      </c>
      <c r="AC264" s="125">
        <f t="array" ref="AC264">_xlfn.IFS(AA264 &lt;= 200, "1", L264 &lt;= 300, "2", L264 &lt;= 400, "3", L264 &gt; 400, "4")</f>
        <v/>
      </c>
      <c r="AD264" s="129">
        <f>SQRT((((VLOOKUP($AT$4,$A$4:$D$1021,4,FALSE))-D264)^2)+(((VLOOKUP($AT$4,$A$4:$E$1021,5,FALSE))-E264)^2)+(((VLOOKUP($AT$4,$A$4:$N$1021,14,FALSE))-N264)^2)+(((VLOOKUP($AT$4,$A$4:$O$1021,15,FALSE))-O264)^2))</f>
        <v/>
      </c>
      <c r="AG264" s="129">
        <f>SQRT((((VLOOKUP($AT$4,$A$4:$D$1021,4,FALSE))-D264)^2)+(((VLOOKUP($AT$4,$A$4:$E$1021,5,FALSE))-E264)^2)+(((VLOOKUP($AT$4,$A$4:$R$1021,18,FALSE))-R264)^2)+(((VLOOKUP($AT$4,$A$4:$S$1021,19,FALSE))-S264)^2))</f>
        <v/>
      </c>
      <c r="AJ264" s="125" t="inlineStr">
        <is>
          <t>W27X258</t>
        </is>
      </c>
      <c r="AK264" s="125">
        <f>SQRT(((VLOOKUP($AT$4,$A$4:$J$1021,10,FALSE))-J264)^2)</f>
        <v/>
      </c>
      <c r="AL264" s="125" t="n"/>
      <c r="AM264" s="125" t="n"/>
      <c r="AN264" s="125">
        <f>SQRT(((VLOOKUP($AT$4,$A$4:$R$1021,18,FALSE))-R264)^2)</f>
        <v/>
      </c>
      <c r="AO264" s="125" t="n"/>
      <c r="AP264" s="125" t="n"/>
      <c r="AQ264" s="125" t="inlineStr">
        <is>
          <t>W27X258</t>
        </is>
      </c>
      <c r="BB264" s="125">
        <f>SQRT(($J$1022-J264)^2)</f>
        <v/>
      </c>
      <c r="BC264" s="125">
        <f>SQRT(($R$1022-R264)^2)</f>
        <v/>
      </c>
      <c r="BD264" s="125" t="inlineStr">
        <is>
          <t>W27X258</t>
        </is>
      </c>
      <c r="BI264">
        <f>SQRT(($J$1023-J264)^2)</f>
        <v/>
      </c>
      <c r="BJ264">
        <f>SQRT(($R$1023-R264)^2)</f>
        <v/>
      </c>
      <c r="BK264" s="125" t="inlineStr">
        <is>
          <t>W27X258</t>
        </is>
      </c>
      <c r="BP264">
        <f>SQRT(($J$1024-J264)^2)</f>
        <v/>
      </c>
      <c r="BQ264">
        <f>SQRT(($R$1024-R264)^2)</f>
        <v/>
      </c>
      <c r="BR264" s="125" t="inlineStr">
        <is>
          <t>W27X258</t>
        </is>
      </c>
      <c r="BW264">
        <f>SQRT(($J$1025-J264)^2)</f>
        <v/>
      </c>
      <c r="BX264">
        <f>SQRT(($R$1025-R264)^2)</f>
        <v/>
      </c>
      <c r="BY264" s="125" t="inlineStr">
        <is>
          <t>W27X258</t>
        </is>
      </c>
      <c r="CD264">
        <f>SQRT(($J$1026-J264)^2)</f>
        <v/>
      </c>
      <c r="CE264">
        <f>SQRT(($R$1026-R264)^2)</f>
        <v/>
      </c>
      <c r="CF264" s="125" t="inlineStr">
        <is>
          <t>W27X258</t>
        </is>
      </c>
    </row>
    <row r="265">
      <c r="A265" s="125" t="inlineStr">
        <is>
          <t>W27X281</t>
        </is>
      </c>
      <c r="B265" s="129" t="inlineStr">
        <is>
          <t>AISC</t>
        </is>
      </c>
      <c r="C265" s="125" t="n">
        <v>418.2</v>
      </c>
      <c r="D265" s="125" t="n">
        <v>744</v>
      </c>
      <c r="E265" s="125" t="n">
        <v>364.5</v>
      </c>
      <c r="F265" s="125" t="n">
        <v>49</v>
      </c>
      <c r="G265" s="125" t="n">
        <v>26.9</v>
      </c>
      <c r="H265" s="125" t="n">
        <v>15.2</v>
      </c>
      <c r="I265" s="125" t="n">
        <v>615.6</v>
      </c>
      <c r="J265" s="125" t="n">
        <v>533</v>
      </c>
      <c r="K265" s="125">
        <f>((E265-G265)/2)/F265</f>
        <v/>
      </c>
      <c r="L265" s="125">
        <f>I265/G265</f>
        <v/>
      </c>
      <c r="M265" s="125" t="n">
        <v>2.87</v>
      </c>
      <c r="N265" s="125" t="n">
        <v>494700</v>
      </c>
      <c r="O265" s="125" t="n">
        <v>39680</v>
      </c>
      <c r="P265" s="125" t="n">
        <v>30.5</v>
      </c>
      <c r="Q265" s="125" t="n">
        <v>8.630000000000001</v>
      </c>
      <c r="R265" s="125" t="n">
        <v>13300</v>
      </c>
      <c r="S265" s="125" t="n">
        <v>2177</v>
      </c>
      <c r="T265" s="125" t="n">
        <v>15290</v>
      </c>
      <c r="U265" s="125" t="n">
        <v>3377</v>
      </c>
      <c r="X265" s="129">
        <f t="array" ref="X265">_xlfn.IFS((D265/F265) &lt;= (640/SQRT($AT$32)), "Compact", L265 &lt;= ($AT$32*(0.79-(0.002*((E265-G265/2)/(2*F265))*SQRT($AT$32)))), "Non-Compact", L265 &gt; ($AT$32*(0.79-(0.002*((E265-G265/2)/(2*F265))*SQRT($AT$32)))), "Slender")</f>
        <v/>
      </c>
      <c r="Y265" s="129">
        <f t="array" ref="Y265">_xlfn.IFS(K265 &lt;= (65/SQRT($AT$32)), "Compact", K265 &lt;= (95/SQRT($AT$32)), "Non-Compact", K265 &gt; (95/SQRT($AT$32)), "Slender")</f>
        <v/>
      </c>
      <c r="Z265" s="125">
        <f>E265/F265</f>
        <v/>
      </c>
      <c r="AA265" s="125">
        <f>D265/G265</f>
        <v/>
      </c>
      <c r="AB265" s="125">
        <f t="array" ref="AB265">_xlfn.IFS(Z265 &lt;= 9, "1", Z265 &lt;= 12, "2", Z265 &lt;= 15, "3", Z265 &gt; 15, "4")</f>
        <v/>
      </c>
      <c r="AC265" s="125">
        <f t="array" ref="AC265">_xlfn.IFS(AA265 &lt;= 200, "1", L265 &lt;= 300, "2", L265 &lt;= 400, "3", L265 &gt; 400, "4")</f>
        <v/>
      </c>
      <c r="AD265" s="129">
        <f>SQRT((((VLOOKUP($AT$4,$A$4:$D$1021,4,FALSE))-D265)^2)+(((VLOOKUP($AT$4,$A$4:$E$1021,5,FALSE))-E265)^2)+(((VLOOKUP($AT$4,$A$4:$N$1021,14,FALSE))-N265)^2)+(((VLOOKUP($AT$4,$A$4:$O$1021,15,FALSE))-O265)^2))</f>
        <v/>
      </c>
      <c r="AG265" s="129">
        <f>SQRT((((VLOOKUP($AT$4,$A$4:$D$1021,4,FALSE))-D265)^2)+(((VLOOKUP($AT$4,$A$4:$E$1021,5,FALSE))-E265)^2)+(((VLOOKUP($AT$4,$A$4:$R$1021,18,FALSE))-R265)^2)+(((VLOOKUP($AT$4,$A$4:$S$1021,19,FALSE))-S265)^2))</f>
        <v/>
      </c>
      <c r="AJ265" s="125" t="inlineStr">
        <is>
          <t>W27X281</t>
        </is>
      </c>
      <c r="AK265" s="125">
        <f>SQRT(((VLOOKUP($AT$4,$A$4:$J$1021,10,FALSE))-J265)^2)</f>
        <v/>
      </c>
      <c r="AL265" s="125" t="n"/>
      <c r="AM265" s="125" t="n"/>
      <c r="AN265" s="125">
        <f>SQRT(((VLOOKUP($AT$4,$A$4:$R$1021,18,FALSE))-R265)^2)</f>
        <v/>
      </c>
      <c r="AO265" s="125" t="n"/>
      <c r="AP265" s="125" t="n"/>
      <c r="AQ265" s="125" t="inlineStr">
        <is>
          <t>W27X281</t>
        </is>
      </c>
      <c r="BB265" s="125">
        <f>SQRT(($J$1022-J265)^2)</f>
        <v/>
      </c>
      <c r="BC265" s="125">
        <f>SQRT(($R$1022-R265)^2)</f>
        <v/>
      </c>
      <c r="BD265" s="125" t="inlineStr">
        <is>
          <t>W27X281</t>
        </is>
      </c>
      <c r="BI265">
        <f>SQRT(($J$1023-J265)^2)</f>
        <v/>
      </c>
      <c r="BJ265">
        <f>SQRT(($R$1023-R265)^2)</f>
        <v/>
      </c>
      <c r="BK265" s="125" t="inlineStr">
        <is>
          <t>W27X281</t>
        </is>
      </c>
      <c r="BP265">
        <f>SQRT(($J$1024-J265)^2)</f>
        <v/>
      </c>
      <c r="BQ265">
        <f>SQRT(($R$1024-R265)^2)</f>
        <v/>
      </c>
      <c r="BR265" s="125" t="inlineStr">
        <is>
          <t>W27X281</t>
        </is>
      </c>
      <c r="BW265">
        <f>SQRT(($J$1025-J265)^2)</f>
        <v/>
      </c>
      <c r="BX265">
        <f>SQRT(($R$1025-R265)^2)</f>
        <v/>
      </c>
      <c r="BY265" s="125" t="inlineStr">
        <is>
          <t>W27X281</t>
        </is>
      </c>
      <c r="CD265">
        <f>SQRT(($J$1026-J265)^2)</f>
        <v/>
      </c>
      <c r="CE265">
        <f>SQRT(($R$1026-R265)^2)</f>
        <v/>
      </c>
      <c r="CF265" s="125" t="inlineStr">
        <is>
          <t>W27X281</t>
        </is>
      </c>
    </row>
    <row r="266">
      <c r="A266" s="125" t="inlineStr">
        <is>
          <t>W27X307</t>
        </is>
      </c>
      <c r="B266" s="129" t="inlineStr">
        <is>
          <t>AISC</t>
        </is>
      </c>
      <c r="C266" s="125" t="n">
        <v>456.9</v>
      </c>
      <c r="D266" s="125" t="n">
        <v>752.1</v>
      </c>
      <c r="E266" s="125" t="n">
        <v>366.9</v>
      </c>
      <c r="F266" s="125" t="n">
        <v>53.1</v>
      </c>
      <c r="G266" s="125" t="n">
        <v>29.5</v>
      </c>
      <c r="H266" s="125" t="n">
        <v>15.2</v>
      </c>
      <c r="I266" s="125" t="n">
        <v>615.5</v>
      </c>
      <c r="J266" s="125" t="n">
        <v>582</v>
      </c>
      <c r="K266" s="125">
        <f>((E266-G266)/2)/F266</f>
        <v/>
      </c>
      <c r="L266" s="125">
        <f>I266/G266</f>
        <v/>
      </c>
      <c r="M266" s="125" t="n">
        <v>2.89</v>
      </c>
      <c r="N266" s="125" t="n">
        <v>545000</v>
      </c>
      <c r="O266" s="125" t="n">
        <v>43850</v>
      </c>
      <c r="P266" s="125" t="n">
        <v>30.6</v>
      </c>
      <c r="Q266" s="125" t="n">
        <v>8.68</v>
      </c>
      <c r="R266" s="125" t="n">
        <v>14990</v>
      </c>
      <c r="S266" s="125" t="n">
        <v>2390</v>
      </c>
      <c r="T266" s="125" t="n">
        <v>16750</v>
      </c>
      <c r="U266" s="125" t="n">
        <v>3717</v>
      </c>
      <c r="X266" s="129">
        <f t="array" ref="X266">_xlfn.IFS((D266/F266) &lt;= (640/SQRT($AT$32)), "Compact", L266 &lt;= ($AT$32*(0.79-(0.002*((E266-G266/2)/(2*F266))*SQRT($AT$32)))), "Non-Compact", L266 &gt; ($AT$32*(0.79-(0.002*((E266-G266/2)/(2*F266))*SQRT($AT$32)))), "Slender")</f>
        <v/>
      </c>
      <c r="Y266" s="129">
        <f t="array" ref="Y266">_xlfn.IFS(K266 &lt;= (65/SQRT($AT$32)), "Compact", K266 &lt;= (95/SQRT($AT$32)), "Non-Compact", K266 &gt; (95/SQRT($AT$32)), "Slender")</f>
        <v/>
      </c>
      <c r="Z266" s="125">
        <f>E266/F266</f>
        <v/>
      </c>
      <c r="AA266" s="125">
        <f>D266/G266</f>
        <v/>
      </c>
      <c r="AB266" s="125">
        <f t="array" ref="AB266">_xlfn.IFS(Z266 &lt;= 9, "1", Z266 &lt;= 12, "2", Z266 &lt;= 15, "3", Z266 &gt; 15, "4")</f>
        <v/>
      </c>
      <c r="AC266" s="125">
        <f t="array" ref="AC266">_xlfn.IFS(AA266 &lt;= 200, "1", L266 &lt;= 300, "2", L266 &lt;= 400, "3", L266 &gt; 400, "4")</f>
        <v/>
      </c>
      <c r="AD266" s="129">
        <f>SQRT((((VLOOKUP($AT$4,$A$4:$D$1021,4,FALSE))-D266)^2)+(((VLOOKUP($AT$4,$A$4:$E$1021,5,FALSE))-E266)^2)+(((VLOOKUP($AT$4,$A$4:$N$1021,14,FALSE))-N266)^2)+(((VLOOKUP($AT$4,$A$4:$O$1021,15,FALSE))-O266)^2))</f>
        <v/>
      </c>
      <c r="AG266" s="129">
        <f>SQRT((((VLOOKUP($AT$4,$A$4:$D$1021,4,FALSE))-D266)^2)+(((VLOOKUP($AT$4,$A$4:$E$1021,5,FALSE))-E266)^2)+(((VLOOKUP($AT$4,$A$4:$R$1021,18,FALSE))-R266)^2)+(((VLOOKUP($AT$4,$A$4:$S$1021,19,FALSE))-S266)^2))</f>
        <v/>
      </c>
      <c r="AJ266" s="125" t="inlineStr">
        <is>
          <t>W27X307</t>
        </is>
      </c>
      <c r="AK266" s="125">
        <f>SQRT(((VLOOKUP($AT$4,$A$4:$J$1021,10,FALSE))-J266)^2)</f>
        <v/>
      </c>
      <c r="AL266" s="125" t="n"/>
      <c r="AM266" s="125" t="n"/>
      <c r="AN266" s="125">
        <f>SQRT(((VLOOKUP($AT$4,$A$4:$R$1021,18,FALSE))-R266)^2)</f>
        <v/>
      </c>
      <c r="AO266" s="125" t="n"/>
      <c r="AP266" s="125" t="n"/>
      <c r="AQ266" s="125" t="inlineStr">
        <is>
          <t>W27X307</t>
        </is>
      </c>
      <c r="BB266" s="125">
        <f>SQRT(($J$1022-J266)^2)</f>
        <v/>
      </c>
      <c r="BC266" s="125">
        <f>SQRT(($R$1022-R266)^2)</f>
        <v/>
      </c>
      <c r="BD266" s="125" t="inlineStr">
        <is>
          <t>W27X307</t>
        </is>
      </c>
      <c r="BI266">
        <f>SQRT(($J$1023-J266)^2)</f>
        <v/>
      </c>
      <c r="BJ266">
        <f>SQRT(($R$1023-R266)^2)</f>
        <v/>
      </c>
      <c r="BK266" s="125" t="inlineStr">
        <is>
          <t>W27X307</t>
        </is>
      </c>
      <c r="BP266">
        <f>SQRT(($J$1024-J266)^2)</f>
        <v/>
      </c>
      <c r="BQ266">
        <f>SQRT(($R$1024-R266)^2)</f>
        <v/>
      </c>
      <c r="BR266" s="125" t="inlineStr">
        <is>
          <t>W27X307</t>
        </is>
      </c>
      <c r="BW266">
        <f>SQRT(($J$1025-J266)^2)</f>
        <v/>
      </c>
      <c r="BX266">
        <f>SQRT(($R$1025-R266)^2)</f>
        <v/>
      </c>
      <c r="BY266" s="125" t="inlineStr">
        <is>
          <t>W27X307</t>
        </is>
      </c>
      <c r="CD266">
        <f>SQRT(($J$1026-J266)^2)</f>
        <v/>
      </c>
      <c r="CE266">
        <f>SQRT(($R$1026-R266)^2)</f>
        <v/>
      </c>
      <c r="CF266" s="125" t="inlineStr">
        <is>
          <t>W27X307</t>
        </is>
      </c>
    </row>
    <row r="267">
      <c r="A267" s="125" t="inlineStr">
        <is>
          <t>W27X336</t>
        </is>
      </c>
      <c r="B267" s="129" t="inlineStr">
        <is>
          <t>AISC</t>
        </is>
      </c>
      <c r="C267" s="125" t="n">
        <v>500</v>
      </c>
      <c r="D267" s="125" t="n">
        <v>762</v>
      </c>
      <c r="E267" s="125" t="n">
        <v>369</v>
      </c>
      <c r="F267" s="125" t="n">
        <v>57.9</v>
      </c>
      <c r="G267" s="125" t="n">
        <v>32</v>
      </c>
      <c r="H267" s="125" t="n">
        <v>15.2</v>
      </c>
      <c r="I267" s="125" t="n">
        <v>615.8</v>
      </c>
      <c r="J267" s="125" t="n">
        <v>636</v>
      </c>
      <c r="K267" s="125">
        <f>((E267-G267)/2)/F267</f>
        <v/>
      </c>
      <c r="L267" s="125">
        <f>I267/G267</f>
        <v/>
      </c>
      <c r="M267" s="125" t="n">
        <v>2.91</v>
      </c>
      <c r="N267" s="125" t="n">
        <v>604800</v>
      </c>
      <c r="O267" s="125" t="n">
        <v>48670</v>
      </c>
      <c r="P267" s="125" t="n">
        <v>30.8</v>
      </c>
      <c r="Q267" s="125" t="n">
        <v>8.75</v>
      </c>
      <c r="R267" s="125" t="n">
        <v>15870</v>
      </c>
      <c r="S267" s="125" t="n">
        <v>2638</v>
      </c>
      <c r="T267" s="125" t="n">
        <v>18450</v>
      </c>
      <c r="U267" s="125" t="n">
        <v>4111</v>
      </c>
      <c r="X267" s="129">
        <f t="array" ref="X267">_xlfn.IFS((D267/F267) &lt;= (640/SQRT($AT$32)), "Compact", L267 &lt;= ($AT$32*(0.79-(0.002*((E267-G267/2)/(2*F267))*SQRT($AT$32)))), "Non-Compact", L267 &gt; ($AT$32*(0.79-(0.002*((E267-G267/2)/(2*F267))*SQRT($AT$32)))), "Slender")</f>
        <v/>
      </c>
      <c r="Y267" s="129">
        <f t="array" ref="Y267">_xlfn.IFS(K267 &lt;= (65/SQRT($AT$32)), "Compact", K267 &lt;= (95/SQRT($AT$32)), "Non-Compact", K267 &gt; (95/SQRT($AT$32)), "Slender")</f>
        <v/>
      </c>
      <c r="Z267" s="125">
        <f>E267/F267</f>
        <v/>
      </c>
      <c r="AA267" s="125">
        <f>D267/G267</f>
        <v/>
      </c>
      <c r="AB267" s="125">
        <f t="array" ref="AB267">_xlfn.IFS(Z267 &lt;= 9, "1", Z267 &lt;= 12, "2", Z267 &lt;= 15, "3", Z267 &gt; 15, "4")</f>
        <v/>
      </c>
      <c r="AC267" s="125">
        <f t="array" ref="AC267">_xlfn.IFS(AA267 &lt;= 200, "1", L267 &lt;= 300, "2", L267 &lt;= 400, "3", L267 &gt; 400, "4")</f>
        <v/>
      </c>
      <c r="AD267" s="129">
        <f>SQRT((((VLOOKUP($AT$4,$A$4:$D$1021,4,FALSE))-D267)^2)+(((VLOOKUP($AT$4,$A$4:$E$1021,5,FALSE))-E267)^2)+(((VLOOKUP($AT$4,$A$4:$N$1021,14,FALSE))-N267)^2)+(((VLOOKUP($AT$4,$A$4:$O$1021,15,FALSE))-O267)^2))</f>
        <v/>
      </c>
      <c r="AG267" s="129">
        <f>SQRT((((VLOOKUP($AT$4,$A$4:$D$1021,4,FALSE))-D267)^2)+(((VLOOKUP($AT$4,$A$4:$E$1021,5,FALSE))-E267)^2)+(((VLOOKUP($AT$4,$A$4:$R$1021,18,FALSE))-R267)^2)+(((VLOOKUP($AT$4,$A$4:$S$1021,19,FALSE))-S267)^2))</f>
        <v/>
      </c>
      <c r="AJ267" s="125" t="inlineStr">
        <is>
          <t>W27X336</t>
        </is>
      </c>
      <c r="AK267" s="125">
        <f>SQRT(((VLOOKUP($AT$4,$A$4:$J$1021,10,FALSE))-J267)^2)</f>
        <v/>
      </c>
      <c r="AL267" s="125" t="n"/>
      <c r="AM267" s="125" t="n"/>
      <c r="AN267" s="125">
        <f>SQRT(((VLOOKUP($AT$4,$A$4:$R$1021,18,FALSE))-R267)^2)</f>
        <v/>
      </c>
      <c r="AO267" s="125" t="n"/>
      <c r="AP267" s="125" t="n"/>
      <c r="AQ267" s="125" t="inlineStr">
        <is>
          <t>W27X336</t>
        </is>
      </c>
      <c r="BB267" s="125">
        <f>SQRT(($J$1022-J267)^2)</f>
        <v/>
      </c>
      <c r="BC267" s="125">
        <f>SQRT(($R$1022-R267)^2)</f>
        <v/>
      </c>
      <c r="BD267" s="125" t="inlineStr">
        <is>
          <t>W27X336</t>
        </is>
      </c>
      <c r="BI267">
        <f>SQRT(($J$1023-J267)^2)</f>
        <v/>
      </c>
      <c r="BJ267">
        <f>SQRT(($R$1023-R267)^2)</f>
        <v/>
      </c>
      <c r="BK267" s="125" t="inlineStr">
        <is>
          <t>W27X336</t>
        </is>
      </c>
      <c r="BP267">
        <f>SQRT(($J$1024-J267)^2)</f>
        <v/>
      </c>
      <c r="BQ267">
        <f>SQRT(($R$1024-R267)^2)</f>
        <v/>
      </c>
      <c r="BR267" s="125" t="inlineStr">
        <is>
          <t>W27X336</t>
        </is>
      </c>
      <c r="BW267">
        <f>SQRT(($J$1025-J267)^2)</f>
        <v/>
      </c>
      <c r="BX267">
        <f>SQRT(($R$1025-R267)^2)</f>
        <v/>
      </c>
      <c r="BY267" s="125" t="inlineStr">
        <is>
          <t>W27X336</t>
        </is>
      </c>
      <c r="CD267">
        <f>SQRT(($J$1026-J267)^2)</f>
        <v/>
      </c>
      <c r="CE267">
        <f>SQRT(($R$1026-R267)^2)</f>
        <v/>
      </c>
      <c r="CF267" s="125" t="inlineStr">
        <is>
          <t>W27X336</t>
        </is>
      </c>
    </row>
    <row r="268">
      <c r="A268" s="125" t="inlineStr">
        <is>
          <t>W30X90</t>
        </is>
      </c>
      <c r="B268" s="129" t="inlineStr">
        <is>
          <t>AISC</t>
        </is>
      </c>
      <c r="C268" s="125" t="n">
        <v>133.9</v>
      </c>
      <c r="D268" s="125" t="n">
        <v>750</v>
      </c>
      <c r="E268" s="125" t="n">
        <v>264.4</v>
      </c>
      <c r="F268" s="125" t="n">
        <v>15.5</v>
      </c>
      <c r="G268" s="125" t="n">
        <v>12</v>
      </c>
      <c r="H268" s="125" t="n">
        <v>16.5</v>
      </c>
      <c r="I268" s="125" t="n">
        <v>686</v>
      </c>
      <c r="J268" s="125" t="n">
        <v>171</v>
      </c>
      <c r="K268" s="125">
        <f>((E268-G268)/2)/F268</f>
        <v/>
      </c>
      <c r="L268" s="125">
        <f>I268/G268</f>
        <v/>
      </c>
      <c r="M268" s="125" t="n">
        <v>2.51</v>
      </c>
      <c r="N268" s="125" t="n">
        <v>150700</v>
      </c>
      <c r="O268" s="125" t="n">
        <v>4788</v>
      </c>
      <c r="P268" s="125" t="n">
        <v>29.7</v>
      </c>
      <c r="Q268" s="125" t="n">
        <v>5.3</v>
      </c>
      <c r="R268" s="125" t="n">
        <v>4018</v>
      </c>
      <c r="S268" s="125" t="n">
        <v>362</v>
      </c>
      <c r="T268" s="125" t="n">
        <v>4644</v>
      </c>
      <c r="U268" s="125" t="n">
        <v>570</v>
      </c>
      <c r="X268" s="129">
        <f t="array" ref="X268">_xlfn.IFS((D268/F268) &lt;= (640/SQRT($AT$32)), "Compact", L268 &lt;= ($AT$32*(0.79-(0.002*((E268-G268/2)/(2*F268))*SQRT($AT$32)))), "Non-Compact", L268 &gt; ($AT$32*(0.79-(0.002*((E268-G268/2)/(2*F268))*SQRT($AT$32)))), "Slender")</f>
        <v/>
      </c>
      <c r="Y268" s="129">
        <f t="array" ref="Y268">_xlfn.IFS(K268 &lt;= (65/SQRT($AT$32)), "Compact", K268 &lt;= (95/SQRT($AT$32)), "Non-Compact", K268 &gt; (95/SQRT($AT$32)), "Slender")</f>
        <v/>
      </c>
      <c r="Z268" s="125">
        <f>E268/F268</f>
        <v/>
      </c>
      <c r="AA268" s="125">
        <f>D268/G268</f>
        <v/>
      </c>
      <c r="AB268" s="125">
        <f t="array" ref="AB268">_xlfn.IFS(Z268 &lt;= 9, "1", Z268 &lt;= 12, "2", Z268 &lt;= 15, "3", Z268 &gt; 15, "4")</f>
        <v/>
      </c>
      <c r="AC268" s="125">
        <f t="array" ref="AC268">_xlfn.IFS(AA268 &lt;= 200, "1", L268 &lt;= 300, "2", L268 &lt;= 400, "3", L268 &gt; 400, "4")</f>
        <v/>
      </c>
      <c r="AD268" s="129">
        <f>SQRT((((VLOOKUP($AT$4,$A$4:$D$1021,4,FALSE))-D268)^2)+(((VLOOKUP($AT$4,$A$4:$E$1021,5,FALSE))-E268)^2)+(((VLOOKUP($AT$4,$A$4:$N$1021,14,FALSE))-N268)^2)+(((VLOOKUP($AT$4,$A$4:$O$1021,15,FALSE))-O268)^2))</f>
        <v/>
      </c>
      <c r="AG268" s="129">
        <f>SQRT((((VLOOKUP($AT$4,$A$4:$D$1021,4,FALSE))-D268)^2)+(((VLOOKUP($AT$4,$A$4:$E$1021,5,FALSE))-E268)^2)+(((VLOOKUP($AT$4,$A$4:$R$1021,18,FALSE))-R268)^2)+(((VLOOKUP($AT$4,$A$4:$S$1021,19,FALSE))-S268)^2))</f>
        <v/>
      </c>
      <c r="AJ268" s="125" t="inlineStr">
        <is>
          <t>W30X90</t>
        </is>
      </c>
      <c r="AK268" s="125">
        <f>SQRT(((VLOOKUP($AT$4,$A$4:$J$1021,10,FALSE))-J268)^2)</f>
        <v/>
      </c>
      <c r="AL268" s="125" t="n"/>
      <c r="AM268" s="125" t="n"/>
      <c r="AN268" s="125">
        <f>SQRT(((VLOOKUP($AT$4,$A$4:$R$1021,18,FALSE))-R268)^2)</f>
        <v/>
      </c>
      <c r="AO268" s="125" t="n"/>
      <c r="AP268" s="125" t="n"/>
      <c r="AQ268" s="125" t="inlineStr">
        <is>
          <t>W30X90</t>
        </is>
      </c>
      <c r="BB268" s="125">
        <f>SQRT(($J$1022-J268)^2)</f>
        <v/>
      </c>
      <c r="BC268" s="125">
        <f>SQRT(($R$1022-R268)^2)</f>
        <v/>
      </c>
      <c r="BD268" s="125" t="inlineStr">
        <is>
          <t>W30X90</t>
        </is>
      </c>
      <c r="BI268">
        <f>SQRT(($J$1023-J268)^2)</f>
        <v/>
      </c>
      <c r="BJ268">
        <f>SQRT(($R$1023-R268)^2)</f>
        <v/>
      </c>
      <c r="BK268" s="125" t="inlineStr">
        <is>
          <t>W30X90</t>
        </is>
      </c>
      <c r="BP268">
        <f>SQRT(($J$1024-J268)^2)</f>
        <v/>
      </c>
      <c r="BQ268">
        <f>SQRT(($R$1024-R268)^2)</f>
        <v/>
      </c>
      <c r="BR268" s="125" t="inlineStr">
        <is>
          <t>W30X90</t>
        </is>
      </c>
      <c r="BW268">
        <f>SQRT(($J$1025-J268)^2)</f>
        <v/>
      </c>
      <c r="BX268">
        <f>SQRT(($R$1025-R268)^2)</f>
        <v/>
      </c>
      <c r="BY268" s="125" t="inlineStr">
        <is>
          <t>W30X90</t>
        </is>
      </c>
      <c r="CD268">
        <f>SQRT(($J$1026-J268)^2)</f>
        <v/>
      </c>
      <c r="CE268">
        <f>SQRT(($R$1026-R268)^2)</f>
        <v/>
      </c>
      <c r="CF268" s="125" t="inlineStr">
        <is>
          <t>W30X90</t>
        </is>
      </c>
    </row>
    <row r="269">
      <c r="A269" s="125" t="inlineStr">
        <is>
          <t>W30X99</t>
        </is>
      </c>
      <c r="B269" s="129" t="inlineStr">
        <is>
          <t>AISC</t>
        </is>
      </c>
      <c r="C269" s="125" t="n">
        <v>146.9</v>
      </c>
      <c r="D269" s="125" t="n">
        <v>754</v>
      </c>
      <c r="E269" s="125" t="n">
        <v>265.2</v>
      </c>
      <c r="F269" s="125" t="n">
        <v>17.5</v>
      </c>
      <c r="G269" s="125" t="n">
        <v>12.8</v>
      </c>
      <c r="H269" s="125" t="n">
        <v>16.5</v>
      </c>
      <c r="I269" s="125" t="n">
        <v>686</v>
      </c>
      <c r="J269" s="125" t="n">
        <v>187</v>
      </c>
      <c r="K269" s="125">
        <f>((E269-G269)/2)/F269</f>
        <v/>
      </c>
      <c r="L269" s="125">
        <f>I269/G269</f>
        <v/>
      </c>
      <c r="M269" s="125" t="n">
        <v>2.51</v>
      </c>
      <c r="N269" s="125" t="n">
        <v>168500</v>
      </c>
      <c r="O269" s="125" t="n">
        <v>5456</v>
      </c>
      <c r="P269" s="125" t="n">
        <v>30</v>
      </c>
      <c r="Q269" s="125" t="n">
        <v>5.4</v>
      </c>
      <c r="R269" s="125" t="n">
        <v>4470</v>
      </c>
      <c r="S269" s="125" t="n">
        <v>411</v>
      </c>
      <c r="T269" s="125" t="n">
        <v>5156</v>
      </c>
      <c r="U269" s="125" t="n">
        <v>647</v>
      </c>
      <c r="X269" s="129">
        <f t="array" ref="X269">_xlfn.IFS((D269/F269) &lt;= (640/SQRT($AT$32)), "Compact", L269 &lt;= ($AT$32*(0.79-(0.002*((E269-G269/2)/(2*F269))*SQRT($AT$32)))), "Non-Compact", L269 &gt; ($AT$32*(0.79-(0.002*((E269-G269/2)/(2*F269))*SQRT($AT$32)))), "Slender")</f>
        <v/>
      </c>
      <c r="Y269" s="129">
        <f t="array" ref="Y269">_xlfn.IFS(K269 &lt;= (65/SQRT($AT$32)), "Compact", K269 &lt;= (95/SQRT($AT$32)), "Non-Compact", K269 &gt; (95/SQRT($AT$32)), "Slender")</f>
        <v/>
      </c>
      <c r="Z269" s="125">
        <f>E269/F269</f>
        <v/>
      </c>
      <c r="AA269" s="125">
        <f>D269/G269</f>
        <v/>
      </c>
      <c r="AB269" s="125">
        <f t="array" ref="AB269">_xlfn.IFS(Z269 &lt;= 9, "1", Z269 &lt;= 12, "2", Z269 &lt;= 15, "3", Z269 &gt; 15, "4")</f>
        <v/>
      </c>
      <c r="AC269" s="125">
        <f t="array" ref="AC269">_xlfn.IFS(AA269 &lt;= 200, "1", L269 &lt;= 300, "2", L269 &lt;= 400, "3", L269 &gt; 400, "4")</f>
        <v/>
      </c>
      <c r="AD269" s="129">
        <f>SQRT((((VLOOKUP($AT$4,$A$4:$D$1021,4,FALSE))-D269)^2)+(((VLOOKUP($AT$4,$A$4:$E$1021,5,FALSE))-E269)^2)+(((VLOOKUP($AT$4,$A$4:$N$1021,14,FALSE))-N269)^2)+(((VLOOKUP($AT$4,$A$4:$O$1021,15,FALSE))-O269)^2))</f>
        <v/>
      </c>
      <c r="AG269" s="129">
        <f>SQRT((((VLOOKUP($AT$4,$A$4:$D$1021,4,FALSE))-D269)^2)+(((VLOOKUP($AT$4,$A$4:$E$1021,5,FALSE))-E269)^2)+(((VLOOKUP($AT$4,$A$4:$R$1021,18,FALSE))-R269)^2)+(((VLOOKUP($AT$4,$A$4:$S$1021,19,FALSE))-S269)^2))</f>
        <v/>
      </c>
      <c r="AJ269" s="125" t="inlineStr">
        <is>
          <t>W30X99</t>
        </is>
      </c>
      <c r="AK269" s="125">
        <f>SQRT(((VLOOKUP($AT$4,$A$4:$J$1021,10,FALSE))-J269)^2)</f>
        <v/>
      </c>
      <c r="AL269" s="125" t="n"/>
      <c r="AM269" s="125" t="n"/>
      <c r="AN269" s="125">
        <f>SQRT(((VLOOKUP($AT$4,$A$4:$R$1021,18,FALSE))-R269)^2)</f>
        <v/>
      </c>
      <c r="AO269" s="125" t="n"/>
      <c r="AP269" s="125" t="n"/>
      <c r="AQ269" s="125" t="inlineStr">
        <is>
          <t>W30X99</t>
        </is>
      </c>
      <c r="BB269" s="125">
        <f>SQRT(($J$1022-J269)^2)</f>
        <v/>
      </c>
      <c r="BC269" s="125">
        <f>SQRT(($R$1022-R269)^2)</f>
        <v/>
      </c>
      <c r="BD269" s="125" t="inlineStr">
        <is>
          <t>W30X99</t>
        </is>
      </c>
      <c r="BI269">
        <f>SQRT(($J$1023-J269)^2)</f>
        <v/>
      </c>
      <c r="BJ269">
        <f>SQRT(($R$1023-R269)^2)</f>
        <v/>
      </c>
      <c r="BK269" s="125" t="inlineStr">
        <is>
          <t>W30X99</t>
        </is>
      </c>
      <c r="BP269">
        <f>SQRT(($J$1024-J269)^2)</f>
        <v/>
      </c>
      <c r="BQ269">
        <f>SQRT(($R$1024-R269)^2)</f>
        <v/>
      </c>
      <c r="BR269" s="125" t="inlineStr">
        <is>
          <t>W30X99</t>
        </is>
      </c>
      <c r="BW269">
        <f>SQRT(($J$1025-J269)^2)</f>
        <v/>
      </c>
      <c r="BX269">
        <f>SQRT(($R$1025-R269)^2)</f>
        <v/>
      </c>
      <c r="BY269" s="125" t="inlineStr">
        <is>
          <t>W30X99</t>
        </is>
      </c>
      <c r="CD269">
        <f>SQRT(($J$1026-J269)^2)</f>
        <v/>
      </c>
      <c r="CE269">
        <f>SQRT(($R$1026-R269)^2)</f>
        <v/>
      </c>
      <c r="CF269" s="125" t="inlineStr">
        <is>
          <t>W30X99</t>
        </is>
      </c>
    </row>
    <row r="270">
      <c r="A270" s="125" t="inlineStr">
        <is>
          <t>W30X108</t>
        </is>
      </c>
      <c r="B270" s="129" t="inlineStr">
        <is>
          <t>AISC</t>
        </is>
      </c>
      <c r="C270" s="125" t="n">
        <v>160.7</v>
      </c>
      <c r="D270" s="125" t="n">
        <v>757.7</v>
      </c>
      <c r="E270" s="125" t="n">
        <v>266.1</v>
      </c>
      <c r="F270" s="125" t="n">
        <v>19.3</v>
      </c>
      <c r="G270" s="125" t="n">
        <v>13.8</v>
      </c>
      <c r="H270" s="125" t="n">
        <v>16.5</v>
      </c>
      <c r="I270" s="125" t="n">
        <v>686.1</v>
      </c>
      <c r="J270" s="125" t="n">
        <v>205</v>
      </c>
      <c r="K270" s="125">
        <f>((E270-G270)/2)/F270</f>
        <v/>
      </c>
      <c r="L270" s="125">
        <f>I270/G270</f>
        <v/>
      </c>
      <c r="M270" s="125" t="n">
        <v>2.52</v>
      </c>
      <c r="N270" s="125" t="n">
        <v>185900</v>
      </c>
      <c r="O270" s="125" t="n">
        <v>6080</v>
      </c>
      <c r="P270" s="125" t="n">
        <v>30.1</v>
      </c>
      <c r="Q270" s="125" t="n">
        <v>5.45</v>
      </c>
      <c r="R270" s="125" t="n">
        <v>4907</v>
      </c>
      <c r="S270" s="125" t="n">
        <v>457</v>
      </c>
      <c r="T270" s="125" t="n">
        <v>5665</v>
      </c>
      <c r="U270" s="125" t="n">
        <v>720</v>
      </c>
      <c r="X270" s="129">
        <f t="array" ref="X270">_xlfn.IFS((D270/F270) &lt;= (640/SQRT($AT$32)), "Compact", L270 &lt;= ($AT$32*(0.79-(0.002*((E270-G270/2)/(2*F270))*SQRT($AT$32)))), "Non-Compact", L270 &gt; ($AT$32*(0.79-(0.002*((E270-G270/2)/(2*F270))*SQRT($AT$32)))), "Slender")</f>
        <v/>
      </c>
      <c r="Y270" s="129">
        <f t="array" ref="Y270">_xlfn.IFS(K270 &lt;= (65/SQRT($AT$32)), "Compact", K270 &lt;= (95/SQRT($AT$32)), "Non-Compact", K270 &gt; (95/SQRT($AT$32)), "Slender")</f>
        <v/>
      </c>
      <c r="Z270" s="125">
        <f>E270/F270</f>
        <v/>
      </c>
      <c r="AA270" s="125">
        <f>D270/G270</f>
        <v/>
      </c>
      <c r="AB270" s="125">
        <f t="array" ref="AB270">_xlfn.IFS(Z270 &lt;= 9, "1", Z270 &lt;= 12, "2", Z270 &lt;= 15, "3", Z270 &gt; 15, "4")</f>
        <v/>
      </c>
      <c r="AC270" s="125">
        <f t="array" ref="AC270">_xlfn.IFS(AA270 &lt;= 200, "1", L270 &lt;= 300, "2", L270 &lt;= 400, "3", L270 &gt; 400, "4")</f>
        <v/>
      </c>
      <c r="AD270" s="129">
        <f>SQRT((((VLOOKUP($AT$4,$A$4:$D$1021,4,FALSE))-D270)^2)+(((VLOOKUP($AT$4,$A$4:$E$1021,5,FALSE))-E270)^2)+(((VLOOKUP($AT$4,$A$4:$N$1021,14,FALSE))-N270)^2)+(((VLOOKUP($AT$4,$A$4:$O$1021,15,FALSE))-O270)^2))</f>
        <v/>
      </c>
      <c r="AG270" s="129">
        <f>SQRT((((VLOOKUP($AT$4,$A$4:$D$1021,4,FALSE))-D270)^2)+(((VLOOKUP($AT$4,$A$4:$E$1021,5,FALSE))-E270)^2)+(((VLOOKUP($AT$4,$A$4:$R$1021,18,FALSE))-R270)^2)+(((VLOOKUP($AT$4,$A$4:$S$1021,19,FALSE))-S270)^2))</f>
        <v/>
      </c>
      <c r="AJ270" s="125" t="inlineStr">
        <is>
          <t>W30X108</t>
        </is>
      </c>
      <c r="AK270" s="125">
        <f>SQRT(((VLOOKUP($AT$4,$A$4:$J$1021,10,FALSE))-J270)^2)</f>
        <v/>
      </c>
      <c r="AL270" s="125" t="n"/>
      <c r="AM270" s="125" t="n"/>
      <c r="AN270" s="125">
        <f>SQRT(((VLOOKUP($AT$4,$A$4:$R$1021,18,FALSE))-R270)^2)</f>
        <v/>
      </c>
      <c r="AO270" s="125" t="n"/>
      <c r="AP270" s="125" t="n"/>
      <c r="AQ270" s="125" t="inlineStr">
        <is>
          <t>W30X108</t>
        </is>
      </c>
      <c r="BB270" s="125">
        <f>SQRT(($J$1022-J270)^2)</f>
        <v/>
      </c>
      <c r="BC270" s="125">
        <f>SQRT(($R$1022-R270)^2)</f>
        <v/>
      </c>
      <c r="BD270" s="125" t="inlineStr">
        <is>
          <t>W30X108</t>
        </is>
      </c>
      <c r="BI270">
        <f>SQRT(($J$1023-J270)^2)</f>
        <v/>
      </c>
      <c r="BJ270">
        <f>SQRT(($R$1023-R270)^2)</f>
        <v/>
      </c>
      <c r="BK270" s="125" t="inlineStr">
        <is>
          <t>W30X108</t>
        </is>
      </c>
      <c r="BP270">
        <f>SQRT(($J$1024-J270)^2)</f>
        <v/>
      </c>
      <c r="BQ270">
        <f>SQRT(($R$1024-R270)^2)</f>
        <v/>
      </c>
      <c r="BR270" s="125" t="inlineStr">
        <is>
          <t>W30X108</t>
        </is>
      </c>
      <c r="BW270">
        <f>SQRT(($J$1025-J270)^2)</f>
        <v/>
      </c>
      <c r="BX270">
        <f>SQRT(($R$1025-R270)^2)</f>
        <v/>
      </c>
      <c r="BY270" s="125" t="inlineStr">
        <is>
          <t>W30X108</t>
        </is>
      </c>
      <c r="CD270">
        <f>SQRT(($J$1026-J270)^2)</f>
        <v/>
      </c>
      <c r="CE270">
        <f>SQRT(($R$1026-R270)^2)</f>
        <v/>
      </c>
      <c r="CF270" s="125" t="inlineStr">
        <is>
          <t>W30X108</t>
        </is>
      </c>
    </row>
    <row r="271">
      <c r="A271" s="125" t="inlineStr">
        <is>
          <t>W30X116</t>
        </is>
      </c>
      <c r="B271" s="129" t="inlineStr">
        <is>
          <t>AISC</t>
        </is>
      </c>
      <c r="C271" s="125" t="n">
        <v>173</v>
      </c>
      <c r="D271" s="125" t="n">
        <v>762.2</v>
      </c>
      <c r="E271" s="125" t="n">
        <v>266.7</v>
      </c>
      <c r="F271" s="125" t="n">
        <v>21.6</v>
      </c>
      <c r="G271" s="125" t="n">
        <v>14.3</v>
      </c>
      <c r="H271" s="125" t="n">
        <v>16.5</v>
      </c>
      <c r="I271" s="125" t="n">
        <v>686</v>
      </c>
      <c r="J271" s="125" t="n">
        <v>220</v>
      </c>
      <c r="K271" s="125">
        <f>((E271-G271)/2)/F271</f>
        <v/>
      </c>
      <c r="L271" s="125">
        <f>I271/G271</f>
        <v/>
      </c>
      <c r="M271" s="125" t="n">
        <v>2.53</v>
      </c>
      <c r="N271" s="125" t="n">
        <v>205300</v>
      </c>
      <c r="O271" s="125" t="n">
        <v>6850</v>
      </c>
      <c r="P271" s="125" t="n">
        <v>30.5</v>
      </c>
      <c r="Q271" s="125" t="n">
        <v>5.58</v>
      </c>
      <c r="R271" s="125" t="n">
        <v>5387</v>
      </c>
      <c r="S271" s="125" t="n">
        <v>514</v>
      </c>
      <c r="T271" s="125" t="n">
        <v>6198</v>
      </c>
      <c r="U271" s="125" t="n">
        <v>807</v>
      </c>
      <c r="X271" s="129">
        <f t="array" ref="X271">_xlfn.IFS((D271/F271) &lt;= (640/SQRT($AT$32)), "Compact", L271 &lt;= ($AT$32*(0.79-(0.002*((E271-G271/2)/(2*F271))*SQRT($AT$32)))), "Non-Compact", L271 &gt; ($AT$32*(0.79-(0.002*((E271-G271/2)/(2*F271))*SQRT($AT$32)))), "Slender")</f>
        <v/>
      </c>
      <c r="Y271" s="129">
        <f t="array" ref="Y271">_xlfn.IFS(K271 &lt;= (65/SQRT($AT$32)), "Compact", K271 &lt;= (95/SQRT($AT$32)), "Non-Compact", K271 &gt; (95/SQRT($AT$32)), "Slender")</f>
        <v/>
      </c>
      <c r="Z271" s="125">
        <f>E271/F271</f>
        <v/>
      </c>
      <c r="AA271" s="125">
        <f>D271/G271</f>
        <v/>
      </c>
      <c r="AB271" s="125">
        <f t="array" ref="AB271">_xlfn.IFS(Z271 &lt;= 9, "1", Z271 &lt;= 12, "2", Z271 &lt;= 15, "3", Z271 &gt; 15, "4")</f>
        <v/>
      </c>
      <c r="AC271" s="125">
        <f t="array" ref="AC271">_xlfn.IFS(AA271 &lt;= 200, "1", L271 &lt;= 300, "2", L271 &lt;= 400, "3", L271 &gt; 400, "4")</f>
        <v/>
      </c>
      <c r="AD271" s="129">
        <f>SQRT((((VLOOKUP($AT$4,$A$4:$D$1021,4,FALSE))-D271)^2)+(((VLOOKUP($AT$4,$A$4:$E$1021,5,FALSE))-E271)^2)+(((VLOOKUP($AT$4,$A$4:$N$1021,14,FALSE))-N271)^2)+(((VLOOKUP($AT$4,$A$4:$O$1021,15,FALSE))-O271)^2))</f>
        <v/>
      </c>
      <c r="AG271" s="129">
        <f>SQRT((((VLOOKUP($AT$4,$A$4:$D$1021,4,FALSE))-D271)^2)+(((VLOOKUP($AT$4,$A$4:$E$1021,5,FALSE))-E271)^2)+(((VLOOKUP($AT$4,$A$4:$R$1021,18,FALSE))-R271)^2)+(((VLOOKUP($AT$4,$A$4:$S$1021,19,FALSE))-S271)^2))</f>
        <v/>
      </c>
      <c r="AJ271" s="125" t="inlineStr">
        <is>
          <t>W30X116</t>
        </is>
      </c>
      <c r="AK271" s="125">
        <f>SQRT(((VLOOKUP($AT$4,$A$4:$J$1021,10,FALSE))-J271)^2)</f>
        <v/>
      </c>
      <c r="AL271" s="125" t="n"/>
      <c r="AM271" s="125" t="n"/>
      <c r="AN271" s="125">
        <f>SQRT(((VLOOKUP($AT$4,$A$4:$R$1021,18,FALSE))-R271)^2)</f>
        <v/>
      </c>
      <c r="AO271" s="125" t="n"/>
      <c r="AP271" s="125" t="n"/>
      <c r="AQ271" s="125" t="inlineStr">
        <is>
          <t>W30X116</t>
        </is>
      </c>
      <c r="BB271" s="125">
        <f>SQRT(($J$1022-J271)^2)</f>
        <v/>
      </c>
      <c r="BC271" s="125">
        <f>SQRT(($R$1022-R271)^2)</f>
        <v/>
      </c>
      <c r="BD271" s="125" t="inlineStr">
        <is>
          <t>W30X116</t>
        </is>
      </c>
      <c r="BI271">
        <f>SQRT(($J$1023-J271)^2)</f>
        <v/>
      </c>
      <c r="BJ271">
        <f>SQRT(($R$1023-R271)^2)</f>
        <v/>
      </c>
      <c r="BK271" s="125" t="inlineStr">
        <is>
          <t>W30X116</t>
        </is>
      </c>
      <c r="BP271">
        <f>SQRT(($J$1024-J271)^2)</f>
        <v/>
      </c>
      <c r="BQ271">
        <f>SQRT(($R$1024-R271)^2)</f>
        <v/>
      </c>
      <c r="BR271" s="125" t="inlineStr">
        <is>
          <t>W30X116</t>
        </is>
      </c>
      <c r="BW271">
        <f>SQRT(($J$1025-J271)^2)</f>
        <v/>
      </c>
      <c r="BX271">
        <f>SQRT(($R$1025-R271)^2)</f>
        <v/>
      </c>
      <c r="BY271" s="125" t="inlineStr">
        <is>
          <t>W30X116</t>
        </is>
      </c>
      <c r="CD271">
        <f>SQRT(($J$1026-J271)^2)</f>
        <v/>
      </c>
      <c r="CE271">
        <f>SQRT(($R$1026-R271)^2)</f>
        <v/>
      </c>
      <c r="CF271" s="125" t="inlineStr">
        <is>
          <t>W30X116</t>
        </is>
      </c>
    </row>
    <row r="272">
      <c r="A272" s="125" t="inlineStr">
        <is>
          <t>W30X124</t>
        </is>
      </c>
      <c r="B272" s="129" t="inlineStr">
        <is>
          <t>AISC</t>
        </is>
      </c>
      <c r="C272" s="125" t="n">
        <v>184.5</v>
      </c>
      <c r="D272" s="125" t="n">
        <v>766.3</v>
      </c>
      <c r="E272" s="125" t="n">
        <v>267.1</v>
      </c>
      <c r="F272" s="125" t="n">
        <v>23.6</v>
      </c>
      <c r="G272" s="125" t="n">
        <v>14.9</v>
      </c>
      <c r="H272" s="125" t="n">
        <v>16.5</v>
      </c>
      <c r="I272" s="125" t="n">
        <v>686.1</v>
      </c>
      <c r="J272" s="125" t="n">
        <v>235</v>
      </c>
      <c r="K272" s="125">
        <f>((E272-G272)/2)/F272</f>
        <v/>
      </c>
      <c r="L272" s="125">
        <f>I272/G272</f>
        <v/>
      </c>
      <c r="M272" s="125" t="n">
        <v>2.54</v>
      </c>
      <c r="N272" s="125" t="n">
        <v>223100</v>
      </c>
      <c r="O272" s="125" t="n">
        <v>7525</v>
      </c>
      <c r="P272" s="125" t="n">
        <v>30.8</v>
      </c>
      <c r="Q272" s="125" t="n">
        <v>5.65</v>
      </c>
      <c r="R272" s="125" t="n">
        <v>5821</v>
      </c>
      <c r="S272" s="125" t="n">
        <v>563</v>
      </c>
      <c r="T272" s="125" t="n">
        <v>6689</v>
      </c>
      <c r="U272" s="125" t="n">
        <v>885</v>
      </c>
      <c r="X272" s="129">
        <f t="array" ref="X272">_xlfn.IFS((D272/F272) &lt;= (640/SQRT($AT$32)), "Compact", L272 &lt;= ($AT$32*(0.79-(0.002*((E272-G272/2)/(2*F272))*SQRT($AT$32)))), "Non-Compact", L272 &gt; ($AT$32*(0.79-(0.002*((E272-G272/2)/(2*F272))*SQRT($AT$32)))), "Slender")</f>
        <v/>
      </c>
      <c r="Y272" s="129">
        <f t="array" ref="Y272">_xlfn.IFS(K272 &lt;= (65/SQRT($AT$32)), "Compact", K272 &lt;= (95/SQRT($AT$32)), "Non-Compact", K272 &gt; (95/SQRT($AT$32)), "Slender")</f>
        <v/>
      </c>
      <c r="Z272" s="125">
        <f>E272/F272</f>
        <v/>
      </c>
      <c r="AA272" s="125">
        <f>D272/G272</f>
        <v/>
      </c>
      <c r="AB272" s="125">
        <f t="array" ref="AB272">_xlfn.IFS(Z272 &lt;= 9, "1", Z272 &lt;= 12, "2", Z272 &lt;= 15, "3", Z272 &gt; 15, "4")</f>
        <v/>
      </c>
      <c r="AC272" s="125">
        <f t="array" ref="AC272">_xlfn.IFS(AA272 &lt;= 200, "1", L272 &lt;= 300, "2", L272 &lt;= 400, "3", L272 &gt; 400, "4")</f>
        <v/>
      </c>
      <c r="AD272" s="129">
        <f>SQRT((((VLOOKUP($AT$4,$A$4:$D$1021,4,FALSE))-D272)^2)+(((VLOOKUP($AT$4,$A$4:$E$1021,5,FALSE))-E272)^2)+(((VLOOKUP($AT$4,$A$4:$N$1021,14,FALSE))-N272)^2)+(((VLOOKUP($AT$4,$A$4:$O$1021,15,FALSE))-O272)^2))</f>
        <v/>
      </c>
      <c r="AG272" s="129">
        <f>SQRT((((VLOOKUP($AT$4,$A$4:$D$1021,4,FALSE))-D272)^2)+(((VLOOKUP($AT$4,$A$4:$E$1021,5,FALSE))-E272)^2)+(((VLOOKUP($AT$4,$A$4:$R$1021,18,FALSE))-R272)^2)+(((VLOOKUP($AT$4,$A$4:$S$1021,19,FALSE))-S272)^2))</f>
        <v/>
      </c>
      <c r="AJ272" s="125" t="inlineStr">
        <is>
          <t>W30X124</t>
        </is>
      </c>
      <c r="AK272" s="125">
        <f>SQRT(((VLOOKUP($AT$4,$A$4:$J$1021,10,FALSE))-J272)^2)</f>
        <v/>
      </c>
      <c r="AL272" s="125" t="n"/>
      <c r="AM272" s="125" t="n"/>
      <c r="AN272" s="125">
        <f>SQRT(((VLOOKUP($AT$4,$A$4:$R$1021,18,FALSE))-R272)^2)</f>
        <v/>
      </c>
      <c r="AO272" s="125" t="n"/>
      <c r="AP272" s="125" t="n"/>
      <c r="AQ272" s="125" t="inlineStr">
        <is>
          <t>W30X124</t>
        </is>
      </c>
      <c r="BB272" s="125">
        <f>SQRT(($J$1022-J272)^2)</f>
        <v/>
      </c>
      <c r="BC272" s="125">
        <f>SQRT(($R$1022-R272)^2)</f>
        <v/>
      </c>
      <c r="BD272" s="125" t="inlineStr">
        <is>
          <t>W30X124</t>
        </is>
      </c>
      <c r="BI272">
        <f>SQRT(($J$1023-J272)^2)</f>
        <v/>
      </c>
      <c r="BJ272">
        <f>SQRT(($R$1023-R272)^2)</f>
        <v/>
      </c>
      <c r="BK272" s="125" t="inlineStr">
        <is>
          <t>W30X124</t>
        </is>
      </c>
      <c r="BP272">
        <f>SQRT(($J$1024-J272)^2)</f>
        <v/>
      </c>
      <c r="BQ272">
        <f>SQRT(($R$1024-R272)^2)</f>
        <v/>
      </c>
      <c r="BR272" s="125" t="inlineStr">
        <is>
          <t>W30X124</t>
        </is>
      </c>
      <c r="BW272">
        <f>SQRT(($J$1025-J272)^2)</f>
        <v/>
      </c>
      <c r="BX272">
        <f>SQRT(($R$1025-R272)^2)</f>
        <v/>
      </c>
      <c r="BY272" s="125" t="inlineStr">
        <is>
          <t>W30X124</t>
        </is>
      </c>
      <c r="CD272">
        <f>SQRT(($J$1026-J272)^2)</f>
        <v/>
      </c>
      <c r="CE272">
        <f>SQRT(($R$1026-R272)^2)</f>
        <v/>
      </c>
      <c r="CF272" s="125" t="inlineStr">
        <is>
          <t>W30X124</t>
        </is>
      </c>
    </row>
    <row r="273">
      <c r="A273" s="125" t="inlineStr">
        <is>
          <t>W30X132</t>
        </is>
      </c>
      <c r="B273" s="129" t="inlineStr">
        <is>
          <t>AISC</t>
        </is>
      </c>
      <c r="C273" s="125" t="n">
        <v>196.8</v>
      </c>
      <c r="D273" s="125" t="n">
        <v>769.8</v>
      </c>
      <c r="E273" s="125" t="n">
        <v>268</v>
      </c>
      <c r="F273" s="125" t="n">
        <v>25.4</v>
      </c>
      <c r="G273" s="125" t="n">
        <v>15.6</v>
      </c>
      <c r="H273" s="125" t="n">
        <v>16.5</v>
      </c>
      <c r="I273" s="125" t="n">
        <v>686</v>
      </c>
      <c r="J273" s="125" t="n">
        <v>251</v>
      </c>
      <c r="K273" s="125">
        <f>((E273-G273)/2)/F273</f>
        <v/>
      </c>
      <c r="L273" s="125">
        <f>I273/G273</f>
        <v/>
      </c>
      <c r="M273" s="125" t="n">
        <v>2.55</v>
      </c>
      <c r="N273" s="125" t="n">
        <v>240000</v>
      </c>
      <c r="O273" s="125" t="n">
        <v>8175</v>
      </c>
      <c r="P273" s="125" t="n">
        <v>30.9</v>
      </c>
      <c r="Q273" s="125" t="n">
        <v>5.71</v>
      </c>
      <c r="R273" s="125" t="n">
        <v>6234</v>
      </c>
      <c r="S273" s="125" t="n">
        <v>610</v>
      </c>
      <c r="T273" s="125" t="n">
        <v>7167</v>
      </c>
      <c r="U273" s="125" t="n">
        <v>959</v>
      </c>
      <c r="X273" s="129">
        <f t="array" ref="X273">_xlfn.IFS((D273/F273) &lt;= (640/SQRT($AT$32)), "Compact", L273 &lt;= ($AT$32*(0.79-(0.002*((E273-G273/2)/(2*F273))*SQRT($AT$32)))), "Non-Compact", L273 &gt; ($AT$32*(0.79-(0.002*((E273-G273/2)/(2*F273))*SQRT($AT$32)))), "Slender")</f>
        <v/>
      </c>
      <c r="Y273" s="129">
        <f t="array" ref="Y273">_xlfn.IFS(K273 &lt;= (65/SQRT($AT$32)), "Compact", K273 &lt;= (95/SQRT($AT$32)), "Non-Compact", K273 &gt; (95/SQRT($AT$32)), "Slender")</f>
        <v/>
      </c>
      <c r="Z273" s="125">
        <f>E273/F273</f>
        <v/>
      </c>
      <c r="AA273" s="125">
        <f>D273/G273</f>
        <v/>
      </c>
      <c r="AB273" s="125">
        <f t="array" ref="AB273">_xlfn.IFS(Z273 &lt;= 9, "1", Z273 &lt;= 12, "2", Z273 &lt;= 15, "3", Z273 &gt; 15, "4")</f>
        <v/>
      </c>
      <c r="AC273" s="125">
        <f t="array" ref="AC273">_xlfn.IFS(AA273 &lt;= 200, "1", L273 &lt;= 300, "2", L273 &lt;= 400, "3", L273 &gt; 400, "4")</f>
        <v/>
      </c>
      <c r="AD273" s="129">
        <f>SQRT((((VLOOKUP($AT$4,$A$4:$D$1021,4,FALSE))-D273)^2)+(((VLOOKUP($AT$4,$A$4:$E$1021,5,FALSE))-E273)^2)+(((VLOOKUP($AT$4,$A$4:$N$1021,14,FALSE))-N273)^2)+(((VLOOKUP($AT$4,$A$4:$O$1021,15,FALSE))-O273)^2))</f>
        <v/>
      </c>
      <c r="AG273" s="129">
        <f>SQRT((((VLOOKUP($AT$4,$A$4:$D$1021,4,FALSE))-D273)^2)+(((VLOOKUP($AT$4,$A$4:$E$1021,5,FALSE))-E273)^2)+(((VLOOKUP($AT$4,$A$4:$R$1021,18,FALSE))-R273)^2)+(((VLOOKUP($AT$4,$A$4:$S$1021,19,FALSE))-S273)^2))</f>
        <v/>
      </c>
      <c r="AJ273" s="125" t="inlineStr">
        <is>
          <t>W30X132</t>
        </is>
      </c>
      <c r="AK273" s="125">
        <f>SQRT(((VLOOKUP($AT$4,$A$4:$J$1021,10,FALSE))-J273)^2)</f>
        <v/>
      </c>
      <c r="AL273" s="125" t="n"/>
      <c r="AM273" s="125" t="n"/>
      <c r="AN273" s="125">
        <f>SQRT(((VLOOKUP($AT$4,$A$4:$R$1021,18,FALSE))-R273)^2)</f>
        <v/>
      </c>
      <c r="AO273" s="125" t="n"/>
      <c r="AP273" s="125" t="n"/>
      <c r="AQ273" s="125" t="inlineStr">
        <is>
          <t>W30X132</t>
        </is>
      </c>
      <c r="BB273" s="125">
        <f>SQRT(($J$1022-J273)^2)</f>
        <v/>
      </c>
      <c r="BC273" s="125">
        <f>SQRT(($R$1022-R273)^2)</f>
        <v/>
      </c>
      <c r="BD273" s="125" t="inlineStr">
        <is>
          <t>W30X132</t>
        </is>
      </c>
      <c r="BI273">
        <f>SQRT(($J$1023-J273)^2)</f>
        <v/>
      </c>
      <c r="BJ273">
        <f>SQRT(($R$1023-R273)^2)</f>
        <v/>
      </c>
      <c r="BK273" s="125" t="inlineStr">
        <is>
          <t>W30X132</t>
        </is>
      </c>
      <c r="BP273">
        <f>SQRT(($J$1024-J273)^2)</f>
        <v/>
      </c>
      <c r="BQ273">
        <f>SQRT(($R$1024-R273)^2)</f>
        <v/>
      </c>
      <c r="BR273" s="125" t="inlineStr">
        <is>
          <t>W30X132</t>
        </is>
      </c>
      <c r="BW273">
        <f>SQRT(($J$1025-J273)^2)</f>
        <v/>
      </c>
      <c r="BX273">
        <f>SQRT(($R$1025-R273)^2)</f>
        <v/>
      </c>
      <c r="BY273" s="125" t="inlineStr">
        <is>
          <t>W30X132</t>
        </is>
      </c>
      <c r="CD273">
        <f>SQRT(($J$1026-J273)^2)</f>
        <v/>
      </c>
      <c r="CE273">
        <f>SQRT(($R$1026-R273)^2)</f>
        <v/>
      </c>
      <c r="CF273" s="125" t="inlineStr">
        <is>
          <t>W30X132</t>
        </is>
      </c>
    </row>
    <row r="274">
      <c r="A274" s="125" t="inlineStr">
        <is>
          <t>W30X148</t>
        </is>
      </c>
      <c r="B274" s="129" t="inlineStr">
        <is>
          <t>AISC</t>
        </is>
      </c>
      <c r="C274" s="125" t="n">
        <v>220</v>
      </c>
      <c r="D274" s="125" t="n">
        <v>779</v>
      </c>
      <c r="E274" s="125" t="n">
        <v>266.2</v>
      </c>
      <c r="F274" s="125" t="n">
        <v>30</v>
      </c>
      <c r="G274" s="125" t="n">
        <v>16.5</v>
      </c>
      <c r="H274" s="125" t="n">
        <v>16.5</v>
      </c>
      <c r="I274" s="125" t="n">
        <v>686</v>
      </c>
      <c r="J274" s="125" t="n">
        <v>281</v>
      </c>
      <c r="K274" s="125">
        <f>((E274-G274)/2)/F274</f>
        <v/>
      </c>
      <c r="L274" s="125">
        <f>I274/G274</f>
        <v/>
      </c>
      <c r="M274" s="125" t="n">
        <v>2.56</v>
      </c>
      <c r="N274" s="125" t="n">
        <v>278200</v>
      </c>
      <c r="O274" s="125" t="n">
        <v>9463</v>
      </c>
      <c r="P274" s="125" t="n">
        <v>31.5</v>
      </c>
      <c r="Q274" s="125" t="n">
        <v>5.81</v>
      </c>
      <c r="R274" s="125" t="n">
        <v>7142</v>
      </c>
      <c r="S274" s="125" t="n">
        <v>711</v>
      </c>
      <c r="T274" s="125" t="n">
        <v>8197</v>
      </c>
      <c r="U274" s="125" t="n">
        <v>1115</v>
      </c>
      <c r="X274" s="129">
        <f t="array" ref="X274">_xlfn.IFS((D274/F274) &lt;= (640/SQRT($AT$32)), "Compact", L274 &lt;= ($AT$32*(0.79-(0.002*((E274-G274/2)/(2*F274))*SQRT($AT$32)))), "Non-Compact", L274 &gt; ($AT$32*(0.79-(0.002*((E274-G274/2)/(2*F274))*SQRT($AT$32)))), "Slender")</f>
        <v/>
      </c>
      <c r="Y274" s="129">
        <f t="array" ref="Y274">_xlfn.IFS(K274 &lt;= (65/SQRT($AT$32)), "Compact", K274 &lt;= (95/SQRT($AT$32)), "Non-Compact", K274 &gt; (95/SQRT($AT$32)), "Slender")</f>
        <v/>
      </c>
      <c r="Z274" s="125">
        <f>E274/F274</f>
        <v/>
      </c>
      <c r="AA274" s="125">
        <f>D274/G274</f>
        <v/>
      </c>
      <c r="AB274" s="125">
        <f t="array" ref="AB274">_xlfn.IFS(Z274 &lt;= 9, "1", Z274 &lt;= 12, "2", Z274 &lt;= 15, "3", Z274 &gt; 15, "4")</f>
        <v/>
      </c>
      <c r="AC274" s="125">
        <f t="array" ref="AC274">_xlfn.IFS(AA274 &lt;= 200, "1", L274 &lt;= 300, "2", L274 &lt;= 400, "3", L274 &gt; 400, "4")</f>
        <v/>
      </c>
      <c r="AD274" s="129">
        <f>SQRT((((VLOOKUP($AT$4,$A$4:$D$1021,4,FALSE))-D274)^2)+(((VLOOKUP($AT$4,$A$4:$E$1021,5,FALSE))-E274)^2)+(((VLOOKUP($AT$4,$A$4:$N$1021,14,FALSE))-N274)^2)+(((VLOOKUP($AT$4,$A$4:$O$1021,15,FALSE))-O274)^2))</f>
        <v/>
      </c>
      <c r="AG274" s="129">
        <f>SQRT((((VLOOKUP($AT$4,$A$4:$D$1021,4,FALSE))-D274)^2)+(((VLOOKUP($AT$4,$A$4:$E$1021,5,FALSE))-E274)^2)+(((VLOOKUP($AT$4,$A$4:$R$1021,18,FALSE))-R274)^2)+(((VLOOKUP($AT$4,$A$4:$S$1021,19,FALSE))-S274)^2))</f>
        <v/>
      </c>
      <c r="AJ274" s="125" t="inlineStr">
        <is>
          <t>W30X148</t>
        </is>
      </c>
      <c r="AK274" s="125">
        <f>SQRT(((VLOOKUP($AT$4,$A$4:$J$1021,10,FALSE))-J274)^2)</f>
        <v/>
      </c>
      <c r="AL274" s="125" t="n"/>
      <c r="AM274" s="125" t="n"/>
      <c r="AN274" s="125">
        <f>SQRT(((VLOOKUP($AT$4,$A$4:$R$1021,18,FALSE))-R274)^2)</f>
        <v/>
      </c>
      <c r="AO274" s="125" t="n"/>
      <c r="AP274" s="125" t="n"/>
      <c r="AQ274" s="125" t="inlineStr">
        <is>
          <t>W30X148</t>
        </is>
      </c>
      <c r="BB274" s="125">
        <f>SQRT(($J$1022-J274)^2)</f>
        <v/>
      </c>
      <c r="BC274" s="125">
        <f>SQRT(($R$1022-R274)^2)</f>
        <v/>
      </c>
      <c r="BD274" s="125" t="inlineStr">
        <is>
          <t>W30X148</t>
        </is>
      </c>
      <c r="BI274">
        <f>SQRT(($J$1023-J274)^2)</f>
        <v/>
      </c>
      <c r="BJ274">
        <f>SQRT(($R$1023-R274)^2)</f>
        <v/>
      </c>
      <c r="BK274" s="125" t="inlineStr">
        <is>
          <t>W30X148</t>
        </is>
      </c>
      <c r="BP274">
        <f>SQRT(($J$1024-J274)^2)</f>
        <v/>
      </c>
      <c r="BQ274">
        <f>SQRT(($R$1024-R274)^2)</f>
        <v/>
      </c>
      <c r="BR274" s="125" t="inlineStr">
        <is>
          <t>W30X148</t>
        </is>
      </c>
      <c r="BW274">
        <f>SQRT(($J$1025-J274)^2)</f>
        <v/>
      </c>
      <c r="BX274">
        <f>SQRT(($R$1025-R274)^2)</f>
        <v/>
      </c>
      <c r="BY274" s="125" t="inlineStr">
        <is>
          <t>W30X148</t>
        </is>
      </c>
      <c r="CD274">
        <f>SQRT(($J$1026-J274)^2)</f>
        <v/>
      </c>
      <c r="CE274">
        <f>SQRT(($R$1026-R274)^2)</f>
        <v/>
      </c>
      <c r="CF274" s="125" t="inlineStr">
        <is>
          <t>W30X148</t>
        </is>
      </c>
    </row>
    <row r="275">
      <c r="A275" s="125" t="inlineStr">
        <is>
          <t>W30X165</t>
        </is>
      </c>
      <c r="B275" s="129" t="inlineStr">
        <is>
          <t>AISC</t>
        </is>
      </c>
      <c r="C275" s="125" t="n">
        <v>246</v>
      </c>
      <c r="D275" s="125" t="n">
        <v>785.1</v>
      </c>
      <c r="E275" s="125" t="n">
        <v>268.1</v>
      </c>
      <c r="F275" s="125" t="n">
        <v>33</v>
      </c>
      <c r="G275" s="125" t="n">
        <v>18.5</v>
      </c>
      <c r="H275" s="125" t="n">
        <v>16.5</v>
      </c>
      <c r="I275" s="125" t="n">
        <v>686.1</v>
      </c>
      <c r="J275" s="125" t="n">
        <v>312</v>
      </c>
      <c r="K275" s="125">
        <f>((E275-G275)/2)/F275</f>
        <v/>
      </c>
      <c r="L275" s="125">
        <f>I275/G275</f>
        <v/>
      </c>
      <c r="M275" s="125" t="n">
        <v>2.58</v>
      </c>
      <c r="N275" s="125" t="n">
        <v>310700</v>
      </c>
      <c r="O275" s="125" t="n">
        <v>10640</v>
      </c>
      <c r="P275" s="125" t="n">
        <v>31.5</v>
      </c>
      <c r="Q275" s="125" t="n">
        <v>5.84</v>
      </c>
      <c r="R275" s="125" t="n">
        <v>7914</v>
      </c>
      <c r="S275" s="125" t="n">
        <v>794</v>
      </c>
      <c r="T275" s="125" t="n">
        <v>9129</v>
      </c>
      <c r="U275" s="125" t="n">
        <v>1251</v>
      </c>
      <c r="X275" s="129">
        <f t="array" ref="X275">_xlfn.IFS((D275/F275) &lt;= (640/SQRT($AT$32)), "Compact", L275 &lt;= ($AT$32*(0.79-(0.002*((E275-G275/2)/(2*F275))*SQRT($AT$32)))), "Non-Compact", L275 &gt; ($AT$32*(0.79-(0.002*((E275-G275/2)/(2*F275))*SQRT($AT$32)))), "Slender")</f>
        <v/>
      </c>
      <c r="Y275" s="129">
        <f t="array" ref="Y275">_xlfn.IFS(K275 &lt;= (65/SQRT($AT$32)), "Compact", K275 &lt;= (95/SQRT($AT$32)), "Non-Compact", K275 &gt; (95/SQRT($AT$32)), "Slender")</f>
        <v/>
      </c>
      <c r="Z275" s="125">
        <f>E275/F275</f>
        <v/>
      </c>
      <c r="AA275" s="125">
        <f>D275/G275</f>
        <v/>
      </c>
      <c r="AB275" s="125">
        <f t="array" ref="AB275">_xlfn.IFS(Z275 &lt;= 9, "1", Z275 &lt;= 12, "2", Z275 &lt;= 15, "3", Z275 &gt; 15, "4")</f>
        <v/>
      </c>
      <c r="AC275" s="125">
        <f t="array" ref="AC275">_xlfn.IFS(AA275 &lt;= 200, "1", L275 &lt;= 300, "2", L275 &lt;= 400, "3", L275 &gt; 400, "4")</f>
        <v/>
      </c>
      <c r="AD275" s="129">
        <f>SQRT((((VLOOKUP($AT$4,$A$4:$D$1021,4,FALSE))-D275)^2)+(((VLOOKUP($AT$4,$A$4:$E$1021,5,FALSE))-E275)^2)+(((VLOOKUP($AT$4,$A$4:$N$1021,14,FALSE))-N275)^2)+(((VLOOKUP($AT$4,$A$4:$O$1021,15,FALSE))-O275)^2))</f>
        <v/>
      </c>
      <c r="AG275" s="129">
        <f>SQRT((((VLOOKUP($AT$4,$A$4:$D$1021,4,FALSE))-D275)^2)+(((VLOOKUP($AT$4,$A$4:$E$1021,5,FALSE))-E275)^2)+(((VLOOKUP($AT$4,$A$4:$R$1021,18,FALSE))-R275)^2)+(((VLOOKUP($AT$4,$A$4:$S$1021,19,FALSE))-S275)^2))</f>
        <v/>
      </c>
      <c r="AJ275" s="125" t="inlineStr">
        <is>
          <t>W30X165</t>
        </is>
      </c>
      <c r="AK275" s="125">
        <f>SQRT(((VLOOKUP($AT$4,$A$4:$J$1021,10,FALSE))-J275)^2)</f>
        <v/>
      </c>
      <c r="AL275" s="125" t="n"/>
      <c r="AM275" s="125" t="n"/>
      <c r="AN275" s="125">
        <f>SQRT(((VLOOKUP($AT$4,$A$4:$R$1021,18,FALSE))-R275)^2)</f>
        <v/>
      </c>
      <c r="AO275" s="125" t="n"/>
      <c r="AP275" s="125" t="n"/>
      <c r="AQ275" s="125" t="inlineStr">
        <is>
          <t>W30X165</t>
        </is>
      </c>
      <c r="BB275" s="125">
        <f>SQRT(($J$1022-J275)^2)</f>
        <v/>
      </c>
      <c r="BC275" s="125">
        <f>SQRT(($R$1022-R275)^2)</f>
        <v/>
      </c>
      <c r="BD275" s="125" t="inlineStr">
        <is>
          <t>W30X165</t>
        </is>
      </c>
      <c r="BI275">
        <f>SQRT(($J$1023-J275)^2)</f>
        <v/>
      </c>
      <c r="BJ275">
        <f>SQRT(($R$1023-R275)^2)</f>
        <v/>
      </c>
      <c r="BK275" s="125" t="inlineStr">
        <is>
          <t>W30X165</t>
        </is>
      </c>
      <c r="BP275">
        <f>SQRT(($J$1024-J275)^2)</f>
        <v/>
      </c>
      <c r="BQ275">
        <f>SQRT(($R$1024-R275)^2)</f>
        <v/>
      </c>
      <c r="BR275" s="125" t="inlineStr">
        <is>
          <t>W30X165</t>
        </is>
      </c>
      <c r="BW275">
        <f>SQRT(($J$1025-J275)^2)</f>
        <v/>
      </c>
      <c r="BX275">
        <f>SQRT(($R$1025-R275)^2)</f>
        <v/>
      </c>
      <c r="BY275" s="125" t="inlineStr">
        <is>
          <t>W30X165</t>
        </is>
      </c>
      <c r="CD275">
        <f>SQRT(($J$1026-J275)^2)</f>
        <v/>
      </c>
      <c r="CE275">
        <f>SQRT(($R$1026-R275)^2)</f>
        <v/>
      </c>
      <c r="CF275" s="125" t="inlineStr">
        <is>
          <t>W30X165</t>
        </is>
      </c>
    </row>
    <row r="276">
      <c r="A276" s="125" t="inlineStr">
        <is>
          <t>W30X185</t>
        </is>
      </c>
      <c r="B276" s="129" t="inlineStr">
        <is>
          <t>AISC</t>
        </is>
      </c>
      <c r="C276" s="125" t="n">
        <v>275</v>
      </c>
      <c r="D276" s="125" t="n">
        <v>793</v>
      </c>
      <c r="E276" s="125" t="n">
        <v>270.1</v>
      </c>
      <c r="F276" s="125" t="n">
        <v>37.1</v>
      </c>
      <c r="G276" s="125" t="n">
        <v>20.6</v>
      </c>
      <c r="H276" s="125" t="n">
        <v>16.5</v>
      </c>
      <c r="I276" s="125" t="n">
        <v>685.8</v>
      </c>
      <c r="J276" s="125" t="n">
        <v>351</v>
      </c>
      <c r="K276" s="125">
        <f>((E276-G276)/2)/F276</f>
        <v/>
      </c>
      <c r="L276" s="125">
        <f>I276/G276</f>
        <v/>
      </c>
      <c r="M276" s="125" t="n">
        <v>2.6</v>
      </c>
      <c r="N276" s="125" t="n">
        <v>353200</v>
      </c>
      <c r="O276" s="125" t="n">
        <v>12240</v>
      </c>
      <c r="P276" s="125" t="n">
        <v>31.7</v>
      </c>
      <c r="Q276" s="125" t="n">
        <v>5.91</v>
      </c>
      <c r="R276" s="125" t="n">
        <v>8909</v>
      </c>
      <c r="S276" s="125" t="n">
        <v>906</v>
      </c>
      <c r="T276" s="125" t="n">
        <v>10320</v>
      </c>
      <c r="U276" s="125" t="n">
        <v>1433</v>
      </c>
      <c r="X276" s="129">
        <f t="array" ref="X276">_xlfn.IFS((D276/F276) &lt;= (640/SQRT($AT$32)), "Compact", L276 &lt;= ($AT$32*(0.79-(0.002*((E276-G276/2)/(2*F276))*SQRT($AT$32)))), "Non-Compact", L276 &gt; ($AT$32*(0.79-(0.002*((E276-G276/2)/(2*F276))*SQRT($AT$32)))), "Slender")</f>
        <v/>
      </c>
      <c r="Y276" s="129">
        <f t="array" ref="Y276">_xlfn.IFS(K276 &lt;= (65/SQRT($AT$32)), "Compact", K276 &lt;= (95/SQRT($AT$32)), "Non-Compact", K276 &gt; (95/SQRT($AT$32)), "Slender")</f>
        <v/>
      </c>
      <c r="Z276" s="125">
        <f>E276/F276</f>
        <v/>
      </c>
      <c r="AA276" s="125">
        <f>D276/G276</f>
        <v/>
      </c>
      <c r="AB276" s="125">
        <f t="array" ref="AB276">_xlfn.IFS(Z276 &lt;= 9, "1", Z276 &lt;= 12, "2", Z276 &lt;= 15, "3", Z276 &gt; 15, "4")</f>
        <v/>
      </c>
      <c r="AC276" s="125">
        <f t="array" ref="AC276">_xlfn.IFS(AA276 &lt;= 200, "1", L276 &lt;= 300, "2", L276 &lt;= 400, "3", L276 &gt; 400, "4")</f>
        <v/>
      </c>
      <c r="AD276" s="129">
        <f>SQRT((((VLOOKUP($AT$4,$A$4:$D$1021,4,FALSE))-D276)^2)+(((VLOOKUP($AT$4,$A$4:$E$1021,5,FALSE))-E276)^2)+(((VLOOKUP($AT$4,$A$4:$N$1021,14,FALSE))-N276)^2)+(((VLOOKUP($AT$4,$A$4:$O$1021,15,FALSE))-O276)^2))</f>
        <v/>
      </c>
      <c r="AG276" s="129">
        <f>SQRT((((VLOOKUP($AT$4,$A$4:$D$1021,4,FALSE))-D276)^2)+(((VLOOKUP($AT$4,$A$4:$E$1021,5,FALSE))-E276)^2)+(((VLOOKUP($AT$4,$A$4:$R$1021,18,FALSE))-R276)^2)+(((VLOOKUP($AT$4,$A$4:$S$1021,19,FALSE))-S276)^2))</f>
        <v/>
      </c>
      <c r="AJ276" s="125" t="inlineStr">
        <is>
          <t>W30X185</t>
        </is>
      </c>
      <c r="AK276" s="125">
        <f>SQRT(((VLOOKUP($AT$4,$A$4:$J$1021,10,FALSE))-J276)^2)</f>
        <v/>
      </c>
      <c r="AL276" s="125" t="n"/>
      <c r="AM276" s="125" t="n"/>
      <c r="AN276" s="125">
        <f>SQRT(((VLOOKUP($AT$4,$A$4:$R$1021,18,FALSE))-R276)^2)</f>
        <v/>
      </c>
      <c r="AO276" s="125" t="n"/>
      <c r="AP276" s="125" t="n"/>
      <c r="AQ276" s="125" t="inlineStr">
        <is>
          <t>W30X185</t>
        </is>
      </c>
      <c r="BB276" s="125">
        <f>SQRT(($J$1022-J276)^2)</f>
        <v/>
      </c>
      <c r="BC276" s="125">
        <f>SQRT(($R$1022-R276)^2)</f>
        <v/>
      </c>
      <c r="BD276" s="125" t="inlineStr">
        <is>
          <t>W30X185</t>
        </is>
      </c>
      <c r="BI276">
        <f>SQRT(($J$1023-J276)^2)</f>
        <v/>
      </c>
      <c r="BJ276">
        <f>SQRT(($R$1023-R276)^2)</f>
        <v/>
      </c>
      <c r="BK276" s="125" t="inlineStr">
        <is>
          <t>W30X185</t>
        </is>
      </c>
      <c r="BP276">
        <f>SQRT(($J$1024-J276)^2)</f>
        <v/>
      </c>
      <c r="BQ276">
        <f>SQRT(($R$1024-R276)^2)</f>
        <v/>
      </c>
      <c r="BR276" s="125" t="inlineStr">
        <is>
          <t>W30X185</t>
        </is>
      </c>
      <c r="BW276">
        <f>SQRT(($J$1025-J276)^2)</f>
        <v/>
      </c>
      <c r="BX276">
        <f>SQRT(($R$1025-R276)^2)</f>
        <v/>
      </c>
      <c r="BY276" s="125" t="inlineStr">
        <is>
          <t>W30X185</t>
        </is>
      </c>
      <c r="CD276">
        <f>SQRT(($J$1026-J276)^2)</f>
        <v/>
      </c>
      <c r="CE276">
        <f>SQRT(($R$1026-R276)^2)</f>
        <v/>
      </c>
      <c r="CF276" s="125" t="inlineStr">
        <is>
          <t>W30X185</t>
        </is>
      </c>
    </row>
    <row r="277">
      <c r="A277" s="125" t="inlineStr">
        <is>
          <t>W30X207</t>
        </is>
      </c>
      <c r="B277" s="129" t="inlineStr">
        <is>
          <t>AISC</t>
        </is>
      </c>
      <c r="C277" s="125" t="n">
        <v>308</v>
      </c>
      <c r="D277" s="125" t="n">
        <v>801.1</v>
      </c>
      <c r="E277" s="125" t="n">
        <v>272.7</v>
      </c>
      <c r="F277" s="125" t="n">
        <v>40.9</v>
      </c>
      <c r="G277" s="125" t="n">
        <v>23.1</v>
      </c>
      <c r="H277" s="125" t="n">
        <v>16.5</v>
      </c>
      <c r="I277" s="125" t="n">
        <v>686.3</v>
      </c>
      <c r="J277" s="125" t="n">
        <v>392</v>
      </c>
      <c r="K277" s="125">
        <f>((E277-G277)/2)/F277</f>
        <v/>
      </c>
      <c r="L277" s="125">
        <f>I277/G277</f>
        <v/>
      </c>
      <c r="M277" s="125" t="n">
        <v>2.62</v>
      </c>
      <c r="N277" s="125" t="n">
        <v>397200</v>
      </c>
      <c r="O277" s="125" t="n">
        <v>13900</v>
      </c>
      <c r="P277" s="125" t="n">
        <v>31.8</v>
      </c>
      <c r="Q277" s="125" t="n">
        <v>5.96</v>
      </c>
      <c r="R277" s="125" t="n">
        <v>9916</v>
      </c>
      <c r="S277" s="125" t="n">
        <v>1020</v>
      </c>
      <c r="T277" s="125" t="n">
        <v>11550</v>
      </c>
      <c r="U277" s="125" t="n">
        <v>1620</v>
      </c>
      <c r="X277" s="129">
        <f t="array" ref="X277">_xlfn.IFS((D277/F277) &lt;= (640/SQRT($AT$32)), "Compact", L277 &lt;= ($AT$32*(0.79-(0.002*((E277-G277/2)/(2*F277))*SQRT($AT$32)))), "Non-Compact", L277 &gt; ($AT$32*(0.79-(0.002*((E277-G277/2)/(2*F277))*SQRT($AT$32)))), "Slender")</f>
        <v/>
      </c>
      <c r="Y277" s="129">
        <f t="array" ref="Y277">_xlfn.IFS(K277 &lt;= (65/SQRT($AT$32)), "Compact", K277 &lt;= (95/SQRT($AT$32)), "Non-Compact", K277 &gt; (95/SQRT($AT$32)), "Slender")</f>
        <v/>
      </c>
      <c r="Z277" s="125">
        <f>E277/F277</f>
        <v/>
      </c>
      <c r="AA277" s="125">
        <f>D277/G277</f>
        <v/>
      </c>
      <c r="AB277" s="125">
        <f t="array" ref="AB277">_xlfn.IFS(Z277 &lt;= 9, "1", Z277 &lt;= 12, "2", Z277 &lt;= 15, "3", Z277 &gt; 15, "4")</f>
        <v/>
      </c>
      <c r="AC277" s="125">
        <f t="array" ref="AC277">_xlfn.IFS(AA277 &lt;= 200, "1", L277 &lt;= 300, "2", L277 &lt;= 400, "3", L277 &gt; 400, "4")</f>
        <v/>
      </c>
      <c r="AD277" s="129">
        <f>SQRT((((VLOOKUP($AT$4,$A$4:$D$1021,4,FALSE))-D277)^2)+(((VLOOKUP($AT$4,$A$4:$E$1021,5,FALSE))-E277)^2)+(((VLOOKUP($AT$4,$A$4:$N$1021,14,FALSE))-N277)^2)+(((VLOOKUP($AT$4,$A$4:$O$1021,15,FALSE))-O277)^2))</f>
        <v/>
      </c>
      <c r="AG277" s="129">
        <f>SQRT((((VLOOKUP($AT$4,$A$4:$D$1021,4,FALSE))-D277)^2)+(((VLOOKUP($AT$4,$A$4:$E$1021,5,FALSE))-E277)^2)+(((VLOOKUP($AT$4,$A$4:$R$1021,18,FALSE))-R277)^2)+(((VLOOKUP($AT$4,$A$4:$S$1021,19,FALSE))-S277)^2))</f>
        <v/>
      </c>
      <c r="AJ277" s="125" t="inlineStr">
        <is>
          <t>W30X207</t>
        </is>
      </c>
      <c r="AK277" s="125">
        <f>SQRT(((VLOOKUP($AT$4,$A$4:$J$1021,10,FALSE))-J277)^2)</f>
        <v/>
      </c>
      <c r="AL277" s="125" t="n"/>
      <c r="AM277" s="125" t="n"/>
      <c r="AN277" s="125">
        <f>SQRT(((VLOOKUP($AT$4,$A$4:$R$1021,18,FALSE))-R277)^2)</f>
        <v/>
      </c>
      <c r="AO277" s="125" t="n"/>
      <c r="AP277" s="125" t="n"/>
      <c r="AQ277" s="125" t="inlineStr">
        <is>
          <t>W30X207</t>
        </is>
      </c>
      <c r="BB277" s="125">
        <f>SQRT(($J$1022-J277)^2)</f>
        <v/>
      </c>
      <c r="BC277" s="125">
        <f>SQRT(($R$1022-R277)^2)</f>
        <v/>
      </c>
      <c r="BD277" s="125" t="inlineStr">
        <is>
          <t>W30X207</t>
        </is>
      </c>
      <c r="BI277">
        <f>SQRT(($J$1023-J277)^2)</f>
        <v/>
      </c>
      <c r="BJ277">
        <f>SQRT(($R$1023-R277)^2)</f>
        <v/>
      </c>
      <c r="BK277" s="125" t="inlineStr">
        <is>
          <t>W30X207</t>
        </is>
      </c>
      <c r="BP277">
        <f>SQRT(($J$1024-J277)^2)</f>
        <v/>
      </c>
      <c r="BQ277">
        <f>SQRT(($R$1024-R277)^2)</f>
        <v/>
      </c>
      <c r="BR277" s="125" t="inlineStr">
        <is>
          <t>W30X207</t>
        </is>
      </c>
      <c r="BW277">
        <f>SQRT(($J$1025-J277)^2)</f>
        <v/>
      </c>
      <c r="BX277">
        <f>SQRT(($R$1025-R277)^2)</f>
        <v/>
      </c>
      <c r="BY277" s="125" t="inlineStr">
        <is>
          <t>W30X207</t>
        </is>
      </c>
      <c r="CD277">
        <f>SQRT(($J$1026-J277)^2)</f>
        <v/>
      </c>
      <c r="CE277">
        <f>SQRT(($R$1026-R277)^2)</f>
        <v/>
      </c>
      <c r="CF277" s="125" t="inlineStr">
        <is>
          <t>W30X207</t>
        </is>
      </c>
    </row>
    <row r="278">
      <c r="A278" s="125" t="inlineStr">
        <is>
          <t>W30X226</t>
        </is>
      </c>
      <c r="B278" s="129" t="inlineStr">
        <is>
          <t>AISC</t>
        </is>
      </c>
      <c r="C278" s="125" t="n">
        <v>337</v>
      </c>
      <c r="D278" s="125" t="n">
        <v>809</v>
      </c>
      <c r="E278" s="125" t="n">
        <v>274.6</v>
      </c>
      <c r="F278" s="125" t="n">
        <v>44.9</v>
      </c>
      <c r="G278" s="125" t="n">
        <v>24.9</v>
      </c>
      <c r="H278" s="125" t="n">
        <v>16.5</v>
      </c>
      <c r="I278" s="125" t="n">
        <v>686.2</v>
      </c>
      <c r="J278" s="125" t="n">
        <v>428</v>
      </c>
      <c r="K278" s="125">
        <f>((E278-G278)/2)/F278</f>
        <v/>
      </c>
      <c r="L278" s="125">
        <f>I278/G278</f>
        <v/>
      </c>
      <c r="M278" s="125" t="n">
        <v>2.64</v>
      </c>
      <c r="N278" s="125" t="n">
        <v>440500</v>
      </c>
      <c r="O278" s="125" t="n">
        <v>15600</v>
      </c>
      <c r="P278" s="125" t="n">
        <v>32.1</v>
      </c>
      <c r="Q278" s="125" t="n">
        <v>6.04</v>
      </c>
      <c r="R278" s="125" t="n">
        <v>10890</v>
      </c>
      <c r="S278" s="125" t="n">
        <v>1136</v>
      </c>
      <c r="T278" s="125" t="n">
        <v>12720</v>
      </c>
      <c r="U278" s="125" t="n">
        <v>1808</v>
      </c>
      <c r="X278" s="129">
        <f t="array" ref="X278">_xlfn.IFS((D278/F278) &lt;= (640/SQRT($AT$32)), "Compact", L278 &lt;= ($AT$32*(0.79-(0.002*((E278-G278/2)/(2*F278))*SQRT($AT$32)))), "Non-Compact", L278 &gt; ($AT$32*(0.79-(0.002*((E278-G278/2)/(2*F278))*SQRT($AT$32)))), "Slender")</f>
        <v/>
      </c>
      <c r="Y278" s="129">
        <f t="array" ref="Y278">_xlfn.IFS(K278 &lt;= (65/SQRT($AT$32)), "Compact", K278 &lt;= (95/SQRT($AT$32)), "Non-Compact", K278 &gt; (95/SQRT($AT$32)), "Slender")</f>
        <v/>
      </c>
      <c r="Z278" s="125">
        <f>E278/F278</f>
        <v/>
      </c>
      <c r="AA278" s="125">
        <f>D278/G278</f>
        <v/>
      </c>
      <c r="AB278" s="125">
        <f t="array" ref="AB278">_xlfn.IFS(Z278 &lt;= 9, "1", Z278 &lt;= 12, "2", Z278 &lt;= 15, "3", Z278 &gt; 15, "4")</f>
        <v/>
      </c>
      <c r="AC278" s="125">
        <f t="array" ref="AC278">_xlfn.IFS(AA278 &lt;= 200, "1", L278 &lt;= 300, "2", L278 &lt;= 400, "3", L278 &gt; 400, "4")</f>
        <v/>
      </c>
      <c r="AD278" s="129">
        <f>SQRT((((VLOOKUP($AT$4,$A$4:$D$1021,4,FALSE))-D278)^2)+(((VLOOKUP($AT$4,$A$4:$E$1021,5,FALSE))-E278)^2)+(((VLOOKUP($AT$4,$A$4:$N$1021,14,FALSE))-N278)^2)+(((VLOOKUP($AT$4,$A$4:$O$1021,15,FALSE))-O278)^2))</f>
        <v/>
      </c>
      <c r="AG278" s="129">
        <f>SQRT((((VLOOKUP($AT$4,$A$4:$D$1021,4,FALSE))-D278)^2)+(((VLOOKUP($AT$4,$A$4:$E$1021,5,FALSE))-E278)^2)+(((VLOOKUP($AT$4,$A$4:$R$1021,18,FALSE))-R278)^2)+(((VLOOKUP($AT$4,$A$4:$S$1021,19,FALSE))-S278)^2))</f>
        <v/>
      </c>
      <c r="AJ278" s="125" t="inlineStr">
        <is>
          <t>W30X226</t>
        </is>
      </c>
      <c r="AK278" s="125">
        <f>SQRT(((VLOOKUP($AT$4,$A$4:$J$1021,10,FALSE))-J278)^2)</f>
        <v/>
      </c>
      <c r="AL278" s="125" t="n"/>
      <c r="AM278" s="125" t="n"/>
      <c r="AN278" s="125">
        <f>SQRT(((VLOOKUP($AT$4,$A$4:$R$1021,18,FALSE))-R278)^2)</f>
        <v/>
      </c>
      <c r="AO278" s="125" t="n"/>
      <c r="AP278" s="125" t="n"/>
      <c r="AQ278" s="125" t="inlineStr">
        <is>
          <t>W30X226</t>
        </is>
      </c>
      <c r="BB278" s="125">
        <f>SQRT(($J$1022-J278)^2)</f>
        <v/>
      </c>
      <c r="BC278" s="125">
        <f>SQRT(($R$1022-R278)^2)</f>
        <v/>
      </c>
      <c r="BD278" s="125" t="inlineStr">
        <is>
          <t>W30X226</t>
        </is>
      </c>
      <c r="BI278">
        <f>SQRT(($J$1023-J278)^2)</f>
        <v/>
      </c>
      <c r="BJ278">
        <f>SQRT(($R$1023-R278)^2)</f>
        <v/>
      </c>
      <c r="BK278" s="125" t="inlineStr">
        <is>
          <t>W30X226</t>
        </is>
      </c>
      <c r="BP278">
        <f>SQRT(($J$1024-J278)^2)</f>
        <v/>
      </c>
      <c r="BQ278">
        <f>SQRT(($R$1024-R278)^2)</f>
        <v/>
      </c>
      <c r="BR278" s="125" t="inlineStr">
        <is>
          <t>W30X226</t>
        </is>
      </c>
      <c r="BW278">
        <f>SQRT(($J$1025-J278)^2)</f>
        <v/>
      </c>
      <c r="BX278">
        <f>SQRT(($R$1025-R278)^2)</f>
        <v/>
      </c>
      <c r="BY278" s="125" t="inlineStr">
        <is>
          <t>W30X226</t>
        </is>
      </c>
      <c r="CD278">
        <f>SQRT(($J$1026-J278)^2)</f>
        <v/>
      </c>
      <c r="CE278">
        <f>SQRT(($R$1026-R278)^2)</f>
        <v/>
      </c>
      <c r="CF278" s="125" t="inlineStr">
        <is>
          <t>W30X226</t>
        </is>
      </c>
    </row>
    <row r="279">
      <c r="A279" s="125" t="inlineStr">
        <is>
          <t>W30X246</t>
        </is>
      </c>
      <c r="B279" s="129" t="inlineStr">
        <is>
          <t>AISC</t>
        </is>
      </c>
      <c r="C279" s="125" t="n">
        <v>366</v>
      </c>
      <c r="D279" s="125" t="n">
        <v>817.1</v>
      </c>
      <c r="E279" s="125" t="n">
        <v>276.6</v>
      </c>
      <c r="F279" s="125" t="n">
        <v>48</v>
      </c>
      <c r="G279" s="125" t="n">
        <v>26.9</v>
      </c>
      <c r="H279" s="125" t="n">
        <v>16.5</v>
      </c>
      <c r="I279" s="125" t="n">
        <v>688.1</v>
      </c>
      <c r="J279" s="125" t="n">
        <v>462</v>
      </c>
      <c r="K279" s="125">
        <f>((E279-G279)/2)/F279</f>
        <v/>
      </c>
      <c r="L279" s="125">
        <f>I279/G279</f>
        <v/>
      </c>
      <c r="M279" s="125" t="n">
        <v>2.66</v>
      </c>
      <c r="N279" s="125" t="n">
        <v>480200</v>
      </c>
      <c r="O279" s="125" t="n">
        <v>17050</v>
      </c>
      <c r="P279" s="125" t="n">
        <v>32.2</v>
      </c>
      <c r="Q279" s="125" t="n">
        <v>6.08</v>
      </c>
      <c r="R279" s="125" t="n">
        <v>11750</v>
      </c>
      <c r="S279" s="125" t="n">
        <v>1233</v>
      </c>
      <c r="T279" s="125" t="n">
        <v>13790</v>
      </c>
      <c r="U279" s="125" t="n">
        <v>1971</v>
      </c>
      <c r="X279" s="129">
        <f t="array" ref="X279">_xlfn.IFS((D279/F279) &lt;= (640/SQRT($AT$32)), "Compact", L279 &lt;= ($AT$32*(0.79-(0.002*((E279-G279/2)/(2*F279))*SQRT($AT$32)))), "Non-Compact", L279 &gt; ($AT$32*(0.79-(0.002*((E279-G279/2)/(2*F279))*SQRT($AT$32)))), "Slender")</f>
        <v/>
      </c>
      <c r="Y279" s="129">
        <f t="array" ref="Y279">_xlfn.IFS(K279 &lt;= (65/SQRT($AT$32)), "Compact", K279 &lt;= (95/SQRT($AT$32)), "Non-Compact", K279 &gt; (95/SQRT($AT$32)), "Slender")</f>
        <v/>
      </c>
      <c r="Z279" s="125">
        <f>E279/F279</f>
        <v/>
      </c>
      <c r="AA279" s="125">
        <f>D279/G279</f>
        <v/>
      </c>
      <c r="AB279" s="125">
        <f t="array" ref="AB279">_xlfn.IFS(Z279 &lt;= 9, "1", Z279 &lt;= 12, "2", Z279 &lt;= 15, "3", Z279 &gt; 15, "4")</f>
        <v/>
      </c>
      <c r="AC279" s="125">
        <f t="array" ref="AC279">_xlfn.IFS(AA279 &lt;= 200, "1", L279 &lt;= 300, "2", L279 &lt;= 400, "3", L279 &gt; 400, "4")</f>
        <v/>
      </c>
      <c r="AD279" s="129">
        <f>SQRT((((VLOOKUP($AT$4,$A$4:$D$1021,4,FALSE))-D279)^2)+(((VLOOKUP($AT$4,$A$4:$E$1021,5,FALSE))-E279)^2)+(((VLOOKUP($AT$4,$A$4:$N$1021,14,FALSE))-N279)^2)+(((VLOOKUP($AT$4,$A$4:$O$1021,15,FALSE))-O279)^2))</f>
        <v/>
      </c>
      <c r="AG279" s="129">
        <f>SQRT((((VLOOKUP($AT$4,$A$4:$D$1021,4,FALSE))-D279)^2)+(((VLOOKUP($AT$4,$A$4:$E$1021,5,FALSE))-E279)^2)+(((VLOOKUP($AT$4,$A$4:$R$1021,18,FALSE))-R279)^2)+(((VLOOKUP($AT$4,$A$4:$S$1021,19,FALSE))-S279)^2))</f>
        <v/>
      </c>
      <c r="AJ279" s="125" t="inlineStr">
        <is>
          <t>W30X246</t>
        </is>
      </c>
      <c r="AK279" s="125">
        <f>SQRT(((VLOOKUP($AT$4,$A$4:$J$1021,10,FALSE))-J279)^2)</f>
        <v/>
      </c>
      <c r="AL279" s="125" t="n"/>
      <c r="AM279" s="125" t="n"/>
      <c r="AN279" s="125">
        <f>SQRT(((VLOOKUP($AT$4,$A$4:$R$1021,18,FALSE))-R279)^2)</f>
        <v/>
      </c>
      <c r="AO279" s="125" t="n"/>
      <c r="AP279" s="125" t="n"/>
      <c r="AQ279" s="125" t="inlineStr">
        <is>
          <t>W30X246</t>
        </is>
      </c>
      <c r="BB279" s="125">
        <f>SQRT(($J$1022-J279)^2)</f>
        <v/>
      </c>
      <c r="BC279" s="125">
        <f>SQRT(($R$1022-R279)^2)</f>
        <v/>
      </c>
      <c r="BD279" s="125" t="inlineStr">
        <is>
          <t>W30X246</t>
        </is>
      </c>
      <c r="BI279">
        <f>SQRT(($J$1023-J279)^2)</f>
        <v/>
      </c>
      <c r="BJ279">
        <f>SQRT(($R$1023-R279)^2)</f>
        <v/>
      </c>
      <c r="BK279" s="125" t="inlineStr">
        <is>
          <t>W30X246</t>
        </is>
      </c>
      <c r="BP279">
        <f>SQRT(($J$1024-J279)^2)</f>
        <v/>
      </c>
      <c r="BQ279">
        <f>SQRT(($R$1024-R279)^2)</f>
        <v/>
      </c>
      <c r="BR279" s="125" t="inlineStr">
        <is>
          <t>W30X246</t>
        </is>
      </c>
      <c r="BW279">
        <f>SQRT(($J$1025-J279)^2)</f>
        <v/>
      </c>
      <c r="BX279">
        <f>SQRT(($R$1025-R279)^2)</f>
        <v/>
      </c>
      <c r="BY279" s="125" t="inlineStr">
        <is>
          <t>W30X246</t>
        </is>
      </c>
      <c r="CD279">
        <f>SQRT(($J$1026-J279)^2)</f>
        <v/>
      </c>
      <c r="CE279">
        <f>SQRT(($R$1026-R279)^2)</f>
        <v/>
      </c>
      <c r="CF279" s="125" t="inlineStr">
        <is>
          <t>W30X246</t>
        </is>
      </c>
    </row>
    <row r="280">
      <c r="A280" s="125" t="inlineStr">
        <is>
          <t>W30X269</t>
        </is>
      </c>
      <c r="B280" s="129" t="inlineStr">
        <is>
          <t>AISC</t>
        </is>
      </c>
      <c r="C280" s="125" t="n">
        <v>401</v>
      </c>
      <c r="D280" s="125" t="n">
        <v>825</v>
      </c>
      <c r="E280" s="125" t="n">
        <v>279.1</v>
      </c>
      <c r="F280" s="125" t="n">
        <v>53.1</v>
      </c>
      <c r="G280" s="125" t="n">
        <v>29.5</v>
      </c>
      <c r="H280" s="125" t="n">
        <v>16.5</v>
      </c>
      <c r="I280" s="125" t="n">
        <v>685.8</v>
      </c>
      <c r="J280" s="125" t="n">
        <v>511</v>
      </c>
      <c r="K280" s="125">
        <f>((E280-G280)/2)/F280</f>
        <v/>
      </c>
      <c r="L280" s="125">
        <f>I280/G280</f>
        <v/>
      </c>
      <c r="M280" s="125" t="n">
        <v>2.68</v>
      </c>
      <c r="N280" s="125" t="n">
        <v>536500</v>
      </c>
      <c r="O280" s="125" t="n">
        <v>19400</v>
      </c>
      <c r="P280" s="125" t="n">
        <v>32.4</v>
      </c>
      <c r="Q280" s="125" t="n">
        <v>6.16</v>
      </c>
      <c r="R280" s="125" t="n">
        <v>13010</v>
      </c>
      <c r="S280" s="125" t="n">
        <v>1390</v>
      </c>
      <c r="T280" s="125" t="n">
        <v>15330</v>
      </c>
      <c r="U280" s="125" t="n">
        <v>2229</v>
      </c>
      <c r="X280" s="129">
        <f t="array" ref="X280">_xlfn.IFS((D280/F280) &lt;= (640/SQRT($AT$32)), "Compact", L280 &lt;= ($AT$32*(0.79-(0.002*((E280-G280/2)/(2*F280))*SQRT($AT$32)))), "Non-Compact", L280 &gt; ($AT$32*(0.79-(0.002*((E280-G280/2)/(2*F280))*SQRT($AT$32)))), "Slender")</f>
        <v/>
      </c>
      <c r="Y280" s="129">
        <f t="array" ref="Y280">_xlfn.IFS(K280 &lt;= (65/SQRT($AT$32)), "Compact", K280 &lt;= (95/SQRT($AT$32)), "Non-Compact", K280 &gt; (95/SQRT($AT$32)), "Slender")</f>
        <v/>
      </c>
      <c r="Z280" s="125">
        <f>E280/F280</f>
        <v/>
      </c>
      <c r="AA280" s="125">
        <f>D280/G280</f>
        <v/>
      </c>
      <c r="AB280" s="125">
        <f t="array" ref="AB280">_xlfn.IFS(Z280 &lt;= 9, "1", Z280 &lt;= 12, "2", Z280 &lt;= 15, "3", Z280 &gt; 15, "4")</f>
        <v/>
      </c>
      <c r="AC280" s="125">
        <f t="array" ref="AC280">_xlfn.IFS(AA280 &lt;= 200, "1", L280 &lt;= 300, "2", L280 &lt;= 400, "3", L280 &gt; 400, "4")</f>
        <v/>
      </c>
      <c r="AD280" s="129">
        <f>SQRT((((VLOOKUP($AT$4,$A$4:$D$1021,4,FALSE))-D280)^2)+(((VLOOKUP($AT$4,$A$4:$E$1021,5,FALSE))-E280)^2)+(((VLOOKUP($AT$4,$A$4:$N$1021,14,FALSE))-N280)^2)+(((VLOOKUP($AT$4,$A$4:$O$1021,15,FALSE))-O280)^2))</f>
        <v/>
      </c>
      <c r="AG280" s="129">
        <f>SQRT((((VLOOKUP($AT$4,$A$4:$D$1021,4,FALSE))-D280)^2)+(((VLOOKUP($AT$4,$A$4:$E$1021,5,FALSE))-E280)^2)+(((VLOOKUP($AT$4,$A$4:$R$1021,18,FALSE))-R280)^2)+(((VLOOKUP($AT$4,$A$4:$S$1021,19,FALSE))-S280)^2))</f>
        <v/>
      </c>
      <c r="AJ280" s="125" t="inlineStr">
        <is>
          <t>W30X269</t>
        </is>
      </c>
      <c r="AK280" s="125">
        <f>SQRT(((VLOOKUP($AT$4,$A$4:$J$1021,10,FALSE))-J280)^2)</f>
        <v/>
      </c>
      <c r="AL280" s="125" t="n"/>
      <c r="AM280" s="125" t="n"/>
      <c r="AN280" s="125">
        <f>SQRT(((VLOOKUP($AT$4,$A$4:$R$1021,18,FALSE))-R280)^2)</f>
        <v/>
      </c>
      <c r="AO280" s="125" t="n"/>
      <c r="AP280" s="125" t="n"/>
      <c r="AQ280" s="125" t="inlineStr">
        <is>
          <t>W30X269</t>
        </is>
      </c>
      <c r="BB280" s="125">
        <f>SQRT(($J$1022-J280)^2)</f>
        <v/>
      </c>
      <c r="BC280" s="125">
        <f>SQRT(($R$1022-R280)^2)</f>
        <v/>
      </c>
      <c r="BD280" s="125" t="inlineStr">
        <is>
          <t>W30X269</t>
        </is>
      </c>
      <c r="BI280">
        <f>SQRT(($J$1023-J280)^2)</f>
        <v/>
      </c>
      <c r="BJ280">
        <f>SQRT(($R$1023-R280)^2)</f>
        <v/>
      </c>
      <c r="BK280" s="125" t="inlineStr">
        <is>
          <t>W30X269</t>
        </is>
      </c>
      <c r="BP280">
        <f>SQRT(($J$1024-J280)^2)</f>
        <v/>
      </c>
      <c r="BQ280">
        <f>SQRT(($R$1024-R280)^2)</f>
        <v/>
      </c>
      <c r="BR280" s="125" t="inlineStr">
        <is>
          <t>W30X269</t>
        </is>
      </c>
      <c r="BW280">
        <f>SQRT(($J$1025-J280)^2)</f>
        <v/>
      </c>
      <c r="BX280">
        <f>SQRT(($R$1025-R280)^2)</f>
        <v/>
      </c>
      <c r="BY280" s="125" t="inlineStr">
        <is>
          <t>W30X269</t>
        </is>
      </c>
      <c r="CD280">
        <f>SQRT(($J$1026-J280)^2)</f>
        <v/>
      </c>
      <c r="CE280">
        <f>SQRT(($R$1026-R280)^2)</f>
        <v/>
      </c>
      <c r="CF280" s="125" t="inlineStr">
        <is>
          <t>W30X269</t>
        </is>
      </c>
    </row>
    <row r="281">
      <c r="A281" s="125" t="inlineStr">
        <is>
          <t>W30X295</t>
        </is>
      </c>
      <c r="B281" s="129" t="inlineStr">
        <is>
          <t>AISC</t>
        </is>
      </c>
      <c r="C281" s="125" t="n">
        <v>439</v>
      </c>
      <c r="D281" s="125" t="n">
        <v>835.2</v>
      </c>
      <c r="E281" s="125" t="n">
        <v>281.7</v>
      </c>
      <c r="F281" s="125" t="n">
        <v>57.9</v>
      </c>
      <c r="G281" s="125" t="n">
        <v>32</v>
      </c>
      <c r="H281" s="125" t="n">
        <v>16.5</v>
      </c>
      <c r="I281" s="125" t="n">
        <v>686.4</v>
      </c>
      <c r="J281" s="125" t="n">
        <v>559</v>
      </c>
      <c r="K281" s="125">
        <f>((E281-G281)/2)/F281</f>
        <v/>
      </c>
      <c r="L281" s="125">
        <f>I281/G281</f>
        <v/>
      </c>
      <c r="M281" s="125" t="n">
        <v>2.7</v>
      </c>
      <c r="N281" s="125" t="n">
        <v>595900</v>
      </c>
      <c r="O281" s="125" t="n">
        <v>21780</v>
      </c>
      <c r="P281" s="125" t="n">
        <v>32.7</v>
      </c>
      <c r="Q281" s="125" t="n">
        <v>6.24</v>
      </c>
      <c r="R281" s="125" t="n">
        <v>14270</v>
      </c>
      <c r="S281" s="125" t="n">
        <v>1546</v>
      </c>
      <c r="T281" s="125" t="n">
        <v>16900</v>
      </c>
      <c r="U281" s="125" t="n">
        <v>2486</v>
      </c>
      <c r="X281" s="129">
        <f t="array" ref="X281">_xlfn.IFS((D281/F281) &lt;= (640/SQRT($AT$32)), "Compact", L281 &lt;= ($AT$32*(0.79-(0.002*((E281-G281/2)/(2*F281))*SQRT($AT$32)))), "Non-Compact", L281 &gt; ($AT$32*(0.79-(0.002*((E281-G281/2)/(2*F281))*SQRT($AT$32)))), "Slender")</f>
        <v/>
      </c>
      <c r="Y281" s="129">
        <f t="array" ref="Y281">_xlfn.IFS(K281 &lt;= (65/SQRT($AT$32)), "Compact", K281 &lt;= (95/SQRT($AT$32)), "Non-Compact", K281 &gt; (95/SQRT($AT$32)), "Slender")</f>
        <v/>
      </c>
      <c r="Z281" s="125">
        <f>E281/F281</f>
        <v/>
      </c>
      <c r="AA281" s="125">
        <f>D281/G281</f>
        <v/>
      </c>
      <c r="AB281" s="125">
        <f t="array" ref="AB281">_xlfn.IFS(Z281 &lt;= 9, "1", Z281 &lt;= 12, "2", Z281 &lt;= 15, "3", Z281 &gt; 15, "4")</f>
        <v/>
      </c>
      <c r="AC281" s="125">
        <f t="array" ref="AC281">_xlfn.IFS(AA281 &lt;= 200, "1", L281 &lt;= 300, "2", L281 &lt;= 400, "3", L281 &gt; 400, "4")</f>
        <v/>
      </c>
      <c r="AD281" s="129">
        <f>SQRT((((VLOOKUP($AT$4,$A$4:$D$1021,4,FALSE))-D281)^2)+(((VLOOKUP($AT$4,$A$4:$E$1021,5,FALSE))-E281)^2)+(((VLOOKUP($AT$4,$A$4:$N$1021,14,FALSE))-N281)^2)+(((VLOOKUP($AT$4,$A$4:$O$1021,15,FALSE))-O281)^2))</f>
        <v/>
      </c>
      <c r="AG281" s="129">
        <f>SQRT((((VLOOKUP($AT$4,$A$4:$D$1021,4,FALSE))-D281)^2)+(((VLOOKUP($AT$4,$A$4:$E$1021,5,FALSE))-E281)^2)+(((VLOOKUP($AT$4,$A$4:$R$1021,18,FALSE))-R281)^2)+(((VLOOKUP($AT$4,$A$4:$S$1021,19,FALSE))-S281)^2))</f>
        <v/>
      </c>
      <c r="AJ281" s="125" t="inlineStr">
        <is>
          <t>W30X295</t>
        </is>
      </c>
      <c r="AK281" s="125">
        <f>SQRT(((VLOOKUP($AT$4,$A$4:$J$1021,10,FALSE))-J281)^2)</f>
        <v/>
      </c>
      <c r="AL281" s="125" t="n"/>
      <c r="AM281" s="125" t="n"/>
      <c r="AN281" s="125">
        <f>SQRT(((VLOOKUP($AT$4,$A$4:$R$1021,18,FALSE))-R281)^2)</f>
        <v/>
      </c>
      <c r="AO281" s="125" t="n"/>
      <c r="AP281" s="125" t="n"/>
      <c r="AQ281" s="125" t="inlineStr">
        <is>
          <t>W30X295</t>
        </is>
      </c>
      <c r="BB281" s="125">
        <f>SQRT(($J$1022-J281)^2)</f>
        <v/>
      </c>
      <c r="BC281" s="125">
        <f>SQRT(($R$1022-R281)^2)</f>
        <v/>
      </c>
      <c r="BD281" s="125" t="inlineStr">
        <is>
          <t>W30X295</t>
        </is>
      </c>
      <c r="BI281">
        <f>SQRT(($J$1023-J281)^2)</f>
        <v/>
      </c>
      <c r="BJ281">
        <f>SQRT(($R$1023-R281)^2)</f>
        <v/>
      </c>
      <c r="BK281" s="125" t="inlineStr">
        <is>
          <t>W30X295</t>
        </is>
      </c>
      <c r="BP281">
        <f>SQRT(($J$1024-J281)^2)</f>
        <v/>
      </c>
      <c r="BQ281">
        <f>SQRT(($R$1024-R281)^2)</f>
        <v/>
      </c>
      <c r="BR281" s="125" t="inlineStr">
        <is>
          <t>W30X295</t>
        </is>
      </c>
      <c r="BW281">
        <f>SQRT(($J$1025-J281)^2)</f>
        <v/>
      </c>
      <c r="BX281">
        <f>SQRT(($R$1025-R281)^2)</f>
        <v/>
      </c>
      <c r="BY281" s="125" t="inlineStr">
        <is>
          <t>W30X295</t>
        </is>
      </c>
      <c r="CD281">
        <f>SQRT(($J$1026-J281)^2)</f>
        <v/>
      </c>
      <c r="CE281">
        <f>SQRT(($R$1026-R281)^2)</f>
        <v/>
      </c>
      <c r="CF281" s="125" t="inlineStr">
        <is>
          <t>W30X295</t>
        </is>
      </c>
    </row>
    <row r="282">
      <c r="A282" s="125" t="inlineStr">
        <is>
          <t>W30X173</t>
        </is>
      </c>
      <c r="B282" s="129" t="inlineStr">
        <is>
          <t>AISC</t>
        </is>
      </c>
      <c r="C282" s="125" t="n">
        <v>257.5</v>
      </c>
      <c r="D282" s="125" t="n">
        <v>773.2</v>
      </c>
      <c r="E282" s="125" t="n">
        <v>380.6</v>
      </c>
      <c r="F282" s="125" t="n">
        <v>27.1</v>
      </c>
      <c r="G282" s="125" t="n">
        <v>16.6</v>
      </c>
      <c r="H282" s="125" t="n">
        <v>16.5</v>
      </c>
      <c r="I282" s="125" t="n">
        <v>686.1</v>
      </c>
      <c r="J282" s="125" t="n">
        <v>328</v>
      </c>
      <c r="K282" s="125">
        <f>((E282-G282)/2)/F282</f>
        <v/>
      </c>
      <c r="L282" s="125">
        <f>I282/G282</f>
        <v/>
      </c>
      <c r="M282" s="125" t="n">
        <v>3.01</v>
      </c>
      <c r="N282" s="125" t="n">
        <v>341200</v>
      </c>
      <c r="O282" s="125" t="n">
        <v>24890</v>
      </c>
      <c r="P282" s="125" t="n">
        <v>32.3</v>
      </c>
      <c r="Q282" s="125" t="n">
        <v>8.710000000000001</v>
      </c>
      <c r="R282" s="125" t="n">
        <v>8827</v>
      </c>
      <c r="S282" s="125" t="n">
        <v>1308</v>
      </c>
      <c r="T282" s="125" t="n">
        <v>9916</v>
      </c>
      <c r="U282" s="125" t="n">
        <v>2012</v>
      </c>
      <c r="X282" s="129">
        <f t="array" ref="X282">_xlfn.IFS((D282/F282) &lt;= (640/SQRT($AT$32)), "Compact", L282 &lt;= ($AT$32*(0.79-(0.002*((E282-G282/2)/(2*F282))*SQRT($AT$32)))), "Non-Compact", L282 &gt; ($AT$32*(0.79-(0.002*((E282-G282/2)/(2*F282))*SQRT($AT$32)))), "Slender")</f>
        <v/>
      </c>
      <c r="Y282" s="129">
        <f t="array" ref="Y282">_xlfn.IFS(K282 &lt;= (65/SQRT($AT$32)), "Compact", K282 &lt;= (95/SQRT($AT$32)), "Non-Compact", K282 &gt; (95/SQRT($AT$32)), "Slender")</f>
        <v/>
      </c>
      <c r="Z282" s="125">
        <f>E282/F282</f>
        <v/>
      </c>
      <c r="AA282" s="125">
        <f>D282/G282</f>
        <v/>
      </c>
      <c r="AB282" s="125">
        <f t="array" ref="AB282">_xlfn.IFS(Z282 &lt;= 9, "1", Z282 &lt;= 12, "2", Z282 &lt;= 15, "3", Z282 &gt; 15, "4")</f>
        <v/>
      </c>
      <c r="AC282" s="125">
        <f t="array" ref="AC282">_xlfn.IFS(AA282 &lt;= 200, "1", L282 &lt;= 300, "2", L282 &lt;= 400, "3", L282 &gt; 400, "4")</f>
        <v/>
      </c>
      <c r="AD282" s="129">
        <f>SQRT((((VLOOKUP($AT$4,$A$4:$D$1021,4,FALSE))-D282)^2)+(((VLOOKUP($AT$4,$A$4:$E$1021,5,FALSE))-E282)^2)+(((VLOOKUP($AT$4,$A$4:$N$1021,14,FALSE))-N282)^2)+(((VLOOKUP($AT$4,$A$4:$O$1021,15,FALSE))-O282)^2))</f>
        <v/>
      </c>
      <c r="AG282" s="129">
        <f>SQRT((((VLOOKUP($AT$4,$A$4:$D$1021,4,FALSE))-D282)^2)+(((VLOOKUP($AT$4,$A$4:$E$1021,5,FALSE))-E282)^2)+(((VLOOKUP($AT$4,$A$4:$R$1021,18,FALSE))-R282)^2)+(((VLOOKUP($AT$4,$A$4:$S$1021,19,FALSE))-S282)^2))</f>
        <v/>
      </c>
      <c r="AJ282" s="125" t="inlineStr">
        <is>
          <t>W30X173</t>
        </is>
      </c>
      <c r="AK282" s="125">
        <f>SQRT(((VLOOKUP($AT$4,$A$4:$J$1021,10,FALSE))-J282)^2)</f>
        <v/>
      </c>
      <c r="AL282" s="125" t="n"/>
      <c r="AM282" s="125" t="n"/>
      <c r="AN282" s="125">
        <f>SQRT(((VLOOKUP($AT$4,$A$4:$R$1021,18,FALSE))-R282)^2)</f>
        <v/>
      </c>
      <c r="AO282" s="125" t="n"/>
      <c r="AP282" s="125" t="n"/>
      <c r="AQ282" s="125" t="inlineStr">
        <is>
          <t>W30X173</t>
        </is>
      </c>
      <c r="BB282" s="125">
        <f>SQRT(($J$1022-J282)^2)</f>
        <v/>
      </c>
      <c r="BC282" s="125">
        <f>SQRT(($R$1022-R282)^2)</f>
        <v/>
      </c>
      <c r="BD282" s="125" t="inlineStr">
        <is>
          <t>W30X173</t>
        </is>
      </c>
      <c r="BI282">
        <f>SQRT(($J$1023-J282)^2)</f>
        <v/>
      </c>
      <c r="BJ282">
        <f>SQRT(($R$1023-R282)^2)</f>
        <v/>
      </c>
      <c r="BK282" s="125" t="inlineStr">
        <is>
          <t>W30X173</t>
        </is>
      </c>
      <c r="BP282">
        <f>SQRT(($J$1024-J282)^2)</f>
        <v/>
      </c>
      <c r="BQ282">
        <f>SQRT(($R$1024-R282)^2)</f>
        <v/>
      </c>
      <c r="BR282" s="125" t="inlineStr">
        <is>
          <t>W30X173</t>
        </is>
      </c>
      <c r="BW282">
        <f>SQRT(($J$1025-J282)^2)</f>
        <v/>
      </c>
      <c r="BX282">
        <f>SQRT(($R$1025-R282)^2)</f>
        <v/>
      </c>
      <c r="BY282" s="125" t="inlineStr">
        <is>
          <t>W30X173</t>
        </is>
      </c>
      <c r="CD282">
        <f>SQRT(($J$1026-J282)^2)</f>
        <v/>
      </c>
      <c r="CE282">
        <f>SQRT(($R$1026-R282)^2)</f>
        <v/>
      </c>
      <c r="CF282" s="125" t="inlineStr">
        <is>
          <t>W30X173</t>
        </is>
      </c>
    </row>
    <row r="283">
      <c r="A283" s="125" t="inlineStr">
        <is>
          <t>W30X191</t>
        </is>
      </c>
      <c r="B283" s="129" t="inlineStr">
        <is>
          <t>AISC</t>
        </is>
      </c>
      <c r="C283" s="125" t="n">
        <v>284.2</v>
      </c>
      <c r="D283" s="125" t="n">
        <v>779.3</v>
      </c>
      <c r="E283" s="125" t="n">
        <v>382</v>
      </c>
      <c r="F283" s="125" t="n">
        <v>30.1</v>
      </c>
      <c r="G283" s="125" t="n">
        <v>18</v>
      </c>
      <c r="H283" s="125" t="n">
        <v>16.5</v>
      </c>
      <c r="I283" s="125" t="n">
        <v>686.1</v>
      </c>
      <c r="J283" s="125" t="n">
        <v>362</v>
      </c>
      <c r="K283" s="125">
        <f>((E283-G283)/2)/F283</f>
        <v/>
      </c>
      <c r="L283" s="125">
        <f>I283/G283</f>
        <v/>
      </c>
      <c r="M283" s="125" t="n">
        <v>3.02</v>
      </c>
      <c r="N283" s="125" t="n">
        <v>381700</v>
      </c>
      <c r="O283" s="125" t="n">
        <v>28000</v>
      </c>
      <c r="P283" s="125" t="n">
        <v>32.5</v>
      </c>
      <c r="Q283" s="125" t="n">
        <v>8.800000000000001</v>
      </c>
      <c r="R283" s="125" t="n">
        <v>9796</v>
      </c>
      <c r="S283" s="125" t="n">
        <v>1466</v>
      </c>
      <c r="T283" s="125" t="n">
        <v>11030</v>
      </c>
      <c r="U283" s="125" t="n">
        <v>2258</v>
      </c>
      <c r="X283" s="129">
        <f t="array" ref="X283">_xlfn.IFS((D283/F283) &lt;= (640/SQRT($AT$32)), "Compact", L283 &lt;= ($AT$32*(0.79-(0.002*((E283-G283/2)/(2*F283))*SQRT($AT$32)))), "Non-Compact", L283 &gt; ($AT$32*(0.79-(0.002*((E283-G283/2)/(2*F283))*SQRT($AT$32)))), "Slender")</f>
        <v/>
      </c>
      <c r="Y283" s="129">
        <f t="array" ref="Y283">_xlfn.IFS(K283 &lt;= (65/SQRT($AT$32)), "Compact", K283 &lt;= (95/SQRT($AT$32)), "Non-Compact", K283 &gt; (95/SQRT($AT$32)), "Slender")</f>
        <v/>
      </c>
      <c r="Z283" s="125">
        <f>E283/F283</f>
        <v/>
      </c>
      <c r="AA283" s="125">
        <f>D283/G283</f>
        <v/>
      </c>
      <c r="AB283" s="125">
        <f t="array" ref="AB283">_xlfn.IFS(Z283 &lt;= 9, "1", Z283 &lt;= 12, "2", Z283 &lt;= 15, "3", Z283 &gt; 15, "4")</f>
        <v/>
      </c>
      <c r="AC283" s="125">
        <f t="array" ref="AC283">_xlfn.IFS(AA283 &lt;= 200, "1", L283 &lt;= 300, "2", L283 &lt;= 400, "3", L283 &gt; 400, "4")</f>
        <v/>
      </c>
      <c r="AD283" s="129">
        <f>SQRT((((VLOOKUP($AT$4,$A$4:$D$1021,4,FALSE))-D283)^2)+(((VLOOKUP($AT$4,$A$4:$E$1021,5,FALSE))-E283)^2)+(((VLOOKUP($AT$4,$A$4:$N$1021,14,FALSE))-N283)^2)+(((VLOOKUP($AT$4,$A$4:$O$1021,15,FALSE))-O283)^2))</f>
        <v/>
      </c>
      <c r="AG283" s="129">
        <f>SQRT((((VLOOKUP($AT$4,$A$4:$D$1021,4,FALSE))-D283)^2)+(((VLOOKUP($AT$4,$A$4:$E$1021,5,FALSE))-E283)^2)+(((VLOOKUP($AT$4,$A$4:$R$1021,18,FALSE))-R283)^2)+(((VLOOKUP($AT$4,$A$4:$S$1021,19,FALSE))-S283)^2))</f>
        <v/>
      </c>
      <c r="AJ283" s="125" t="inlineStr">
        <is>
          <t>W30X191</t>
        </is>
      </c>
      <c r="AK283" s="125">
        <f>SQRT(((VLOOKUP($AT$4,$A$4:$J$1021,10,FALSE))-J283)^2)</f>
        <v/>
      </c>
      <c r="AL283" s="125" t="n"/>
      <c r="AM283" s="125" t="n"/>
      <c r="AN283" s="125">
        <f>SQRT(((VLOOKUP($AT$4,$A$4:$R$1021,18,FALSE))-R283)^2)</f>
        <v/>
      </c>
      <c r="AO283" s="125" t="n"/>
      <c r="AP283" s="125" t="n"/>
      <c r="AQ283" s="125" t="inlineStr">
        <is>
          <t>W30X191</t>
        </is>
      </c>
      <c r="BB283" s="125">
        <f>SQRT(($J$1022-J283)^2)</f>
        <v/>
      </c>
      <c r="BC283" s="125">
        <f>SQRT(($R$1022-R283)^2)</f>
        <v/>
      </c>
      <c r="BD283" s="125" t="inlineStr">
        <is>
          <t>W30X191</t>
        </is>
      </c>
      <c r="BI283">
        <f>SQRT(($J$1023-J283)^2)</f>
        <v/>
      </c>
      <c r="BJ283">
        <f>SQRT(($R$1023-R283)^2)</f>
        <v/>
      </c>
      <c r="BK283" s="125" t="inlineStr">
        <is>
          <t>W30X191</t>
        </is>
      </c>
      <c r="BP283">
        <f>SQRT(($J$1024-J283)^2)</f>
        <v/>
      </c>
      <c r="BQ283">
        <f>SQRT(($R$1024-R283)^2)</f>
        <v/>
      </c>
      <c r="BR283" s="125" t="inlineStr">
        <is>
          <t>W30X191</t>
        </is>
      </c>
      <c r="BW283">
        <f>SQRT(($J$1025-J283)^2)</f>
        <v/>
      </c>
      <c r="BX283">
        <f>SQRT(($R$1025-R283)^2)</f>
        <v/>
      </c>
      <c r="BY283" s="125" t="inlineStr">
        <is>
          <t>W30X191</t>
        </is>
      </c>
      <c r="CD283">
        <f>SQRT(($J$1026-J283)^2)</f>
        <v/>
      </c>
      <c r="CE283">
        <f>SQRT(($R$1026-R283)^2)</f>
        <v/>
      </c>
      <c r="CF283" s="125" t="inlineStr">
        <is>
          <t>W30X191</t>
        </is>
      </c>
    </row>
    <row r="284">
      <c r="A284" s="125" t="inlineStr">
        <is>
          <t>W30X211</t>
        </is>
      </c>
      <c r="B284" s="129" t="inlineStr">
        <is>
          <t>AISC</t>
        </is>
      </c>
      <c r="C284" s="125" t="n">
        <v>314</v>
      </c>
      <c r="D284" s="125" t="n">
        <v>785.9</v>
      </c>
      <c r="E284" s="125" t="n">
        <v>383.7</v>
      </c>
      <c r="F284" s="125" t="n">
        <v>33.4</v>
      </c>
      <c r="G284" s="125" t="n">
        <v>19.7</v>
      </c>
      <c r="H284" s="125" t="n">
        <v>16.5</v>
      </c>
      <c r="I284" s="125" t="n">
        <v>686.1</v>
      </c>
      <c r="J284" s="125" t="n">
        <v>400</v>
      </c>
      <c r="K284" s="125">
        <f>((E284-G284)/2)/F284</f>
        <v/>
      </c>
      <c r="L284" s="125">
        <f>I284/G284</f>
        <v/>
      </c>
      <c r="M284" s="125" t="n">
        <v>3.04</v>
      </c>
      <c r="N284" s="125" t="n">
        <v>427000</v>
      </c>
      <c r="O284" s="125" t="n">
        <v>31500</v>
      </c>
      <c r="P284" s="125" t="n">
        <v>32.7</v>
      </c>
      <c r="Q284" s="125" t="n">
        <v>8.869999999999999</v>
      </c>
      <c r="R284" s="125" t="n">
        <v>10870</v>
      </c>
      <c r="S284" s="125" t="n">
        <v>1642</v>
      </c>
      <c r="T284" s="125" t="n">
        <v>12270</v>
      </c>
      <c r="U284" s="125" t="n">
        <v>2531</v>
      </c>
      <c r="X284" s="129">
        <f t="array" ref="X284">_xlfn.IFS((D284/F284) &lt;= (640/SQRT($AT$32)), "Compact", L284 &lt;= ($AT$32*(0.79-(0.002*((E284-G284/2)/(2*F284))*SQRT($AT$32)))), "Non-Compact", L284 &gt; ($AT$32*(0.79-(0.002*((E284-G284/2)/(2*F284))*SQRT($AT$32)))), "Slender")</f>
        <v/>
      </c>
      <c r="Y284" s="129">
        <f t="array" ref="Y284">_xlfn.IFS(K284 &lt;= (65/SQRT($AT$32)), "Compact", K284 &lt;= (95/SQRT($AT$32)), "Non-Compact", K284 &gt; (95/SQRT($AT$32)), "Slender")</f>
        <v/>
      </c>
      <c r="Z284" s="125">
        <f>E284/F284</f>
        <v/>
      </c>
      <c r="AA284" s="125">
        <f>D284/G284</f>
        <v/>
      </c>
      <c r="AB284" s="125">
        <f t="array" ref="AB284">_xlfn.IFS(Z284 &lt;= 9, "1", Z284 &lt;= 12, "2", Z284 &lt;= 15, "3", Z284 &gt; 15, "4")</f>
        <v/>
      </c>
      <c r="AC284" s="125">
        <f t="array" ref="AC284">_xlfn.IFS(AA284 &lt;= 200, "1", L284 &lt;= 300, "2", L284 &lt;= 400, "3", L284 &gt; 400, "4")</f>
        <v/>
      </c>
      <c r="AD284" s="129">
        <f>SQRT((((VLOOKUP($AT$4,$A$4:$D$1021,4,FALSE))-D284)^2)+(((VLOOKUP($AT$4,$A$4:$E$1021,5,FALSE))-E284)^2)+(((VLOOKUP($AT$4,$A$4:$N$1021,14,FALSE))-N284)^2)+(((VLOOKUP($AT$4,$A$4:$O$1021,15,FALSE))-O284)^2))</f>
        <v/>
      </c>
      <c r="AG284" s="129">
        <f>SQRT((((VLOOKUP($AT$4,$A$4:$D$1021,4,FALSE))-D284)^2)+(((VLOOKUP($AT$4,$A$4:$E$1021,5,FALSE))-E284)^2)+(((VLOOKUP($AT$4,$A$4:$R$1021,18,FALSE))-R284)^2)+(((VLOOKUP($AT$4,$A$4:$S$1021,19,FALSE))-S284)^2))</f>
        <v/>
      </c>
      <c r="AJ284" s="125" t="inlineStr">
        <is>
          <t>W30X211</t>
        </is>
      </c>
      <c r="AK284" s="125">
        <f>SQRT(((VLOOKUP($AT$4,$A$4:$J$1021,10,FALSE))-J284)^2)</f>
        <v/>
      </c>
      <c r="AL284" s="125" t="n"/>
      <c r="AM284" s="125" t="n"/>
      <c r="AN284" s="125">
        <f>SQRT(((VLOOKUP($AT$4,$A$4:$R$1021,18,FALSE))-R284)^2)</f>
        <v/>
      </c>
      <c r="AO284" s="125" t="n"/>
      <c r="AP284" s="125" t="n"/>
      <c r="AQ284" s="125" t="inlineStr">
        <is>
          <t>W30X211</t>
        </is>
      </c>
      <c r="BB284" s="125">
        <f>SQRT(($J$1022-J284)^2)</f>
        <v/>
      </c>
      <c r="BC284" s="125">
        <f>SQRT(($R$1022-R284)^2)</f>
        <v/>
      </c>
      <c r="BD284" s="125" t="inlineStr">
        <is>
          <t>W30X211</t>
        </is>
      </c>
      <c r="BI284">
        <f>SQRT(($J$1023-J284)^2)</f>
        <v/>
      </c>
      <c r="BJ284">
        <f>SQRT(($R$1023-R284)^2)</f>
        <v/>
      </c>
      <c r="BK284" s="125" t="inlineStr">
        <is>
          <t>W30X211</t>
        </is>
      </c>
      <c r="BP284">
        <f>SQRT(($J$1024-J284)^2)</f>
        <v/>
      </c>
      <c r="BQ284">
        <f>SQRT(($R$1024-R284)^2)</f>
        <v/>
      </c>
      <c r="BR284" s="125" t="inlineStr">
        <is>
          <t>W30X211</t>
        </is>
      </c>
      <c r="BW284">
        <f>SQRT(($J$1025-J284)^2)</f>
        <v/>
      </c>
      <c r="BX284">
        <f>SQRT(($R$1025-R284)^2)</f>
        <v/>
      </c>
      <c r="BY284" s="125" t="inlineStr">
        <is>
          <t>W30X211</t>
        </is>
      </c>
      <c r="CD284">
        <f>SQRT(($J$1026-J284)^2)</f>
        <v/>
      </c>
      <c r="CE284">
        <f>SQRT(($R$1026-R284)^2)</f>
        <v/>
      </c>
      <c r="CF284" s="125" t="inlineStr">
        <is>
          <t>W30X211</t>
        </is>
      </c>
    </row>
    <row r="285">
      <c r="A285" s="125" t="inlineStr">
        <is>
          <t>W30X235</t>
        </is>
      </c>
      <c r="B285" s="129" t="inlineStr">
        <is>
          <t>AISC</t>
        </is>
      </c>
      <c r="C285" s="125" t="n">
        <v>349.7</v>
      </c>
      <c r="D285" s="125" t="n">
        <v>795</v>
      </c>
      <c r="E285" s="125" t="n">
        <v>382.4</v>
      </c>
      <c r="F285" s="125" t="n">
        <v>38.1</v>
      </c>
      <c r="G285" s="125" t="n">
        <v>21.1</v>
      </c>
      <c r="H285" s="125" t="n">
        <v>16.5</v>
      </c>
      <c r="I285" s="125" t="n">
        <v>685.8</v>
      </c>
      <c r="J285" s="125" t="n">
        <v>445</v>
      </c>
      <c r="K285" s="125">
        <f>((E285-G285)/2)/F285</f>
        <v/>
      </c>
      <c r="L285" s="125">
        <f>I285/G285</f>
        <v/>
      </c>
      <c r="M285" s="125" t="n">
        <v>3.05</v>
      </c>
      <c r="N285" s="125" t="n">
        <v>485900</v>
      </c>
      <c r="O285" s="125" t="n">
        <v>35570</v>
      </c>
      <c r="P285" s="125" t="n">
        <v>33</v>
      </c>
      <c r="Q285" s="125" t="n">
        <v>8.94</v>
      </c>
      <c r="R285" s="125" t="n">
        <v>12220</v>
      </c>
      <c r="S285" s="125" t="n">
        <v>1860</v>
      </c>
      <c r="T285" s="125" t="n">
        <v>13830</v>
      </c>
      <c r="U285" s="125" t="n">
        <v>2869</v>
      </c>
      <c r="X285" s="129">
        <f t="array" ref="X285">_xlfn.IFS((D285/F285) &lt;= (640/SQRT($AT$32)), "Compact", L285 &lt;= ($AT$32*(0.79-(0.002*((E285-G285/2)/(2*F285))*SQRT($AT$32)))), "Non-Compact", L285 &gt; ($AT$32*(0.79-(0.002*((E285-G285/2)/(2*F285))*SQRT($AT$32)))), "Slender")</f>
        <v/>
      </c>
      <c r="Y285" s="129">
        <f t="array" ref="Y285">_xlfn.IFS(K285 &lt;= (65/SQRT($AT$32)), "Compact", K285 &lt;= (95/SQRT($AT$32)), "Non-Compact", K285 &gt; (95/SQRT($AT$32)), "Slender")</f>
        <v/>
      </c>
      <c r="Z285" s="125">
        <f>E285/F285</f>
        <v/>
      </c>
      <c r="AA285" s="125">
        <f>D285/G285</f>
        <v/>
      </c>
      <c r="AB285" s="125">
        <f t="array" ref="AB285">_xlfn.IFS(Z285 &lt;= 9, "1", Z285 &lt;= 12, "2", Z285 &lt;= 15, "3", Z285 &gt; 15, "4")</f>
        <v/>
      </c>
      <c r="AC285" s="125">
        <f t="array" ref="AC285">_xlfn.IFS(AA285 &lt;= 200, "1", L285 &lt;= 300, "2", L285 &lt;= 400, "3", L285 &gt; 400, "4")</f>
        <v/>
      </c>
      <c r="AD285" s="129">
        <f>SQRT((((VLOOKUP($AT$4,$A$4:$D$1021,4,FALSE))-D285)^2)+(((VLOOKUP($AT$4,$A$4:$E$1021,5,FALSE))-E285)^2)+(((VLOOKUP($AT$4,$A$4:$N$1021,14,FALSE))-N285)^2)+(((VLOOKUP($AT$4,$A$4:$O$1021,15,FALSE))-O285)^2))</f>
        <v/>
      </c>
      <c r="AG285" s="129">
        <f>SQRT((((VLOOKUP($AT$4,$A$4:$D$1021,4,FALSE))-D285)^2)+(((VLOOKUP($AT$4,$A$4:$E$1021,5,FALSE))-E285)^2)+(((VLOOKUP($AT$4,$A$4:$R$1021,18,FALSE))-R285)^2)+(((VLOOKUP($AT$4,$A$4:$S$1021,19,FALSE))-S285)^2))</f>
        <v/>
      </c>
      <c r="AJ285" s="125" t="inlineStr">
        <is>
          <t>W30X235</t>
        </is>
      </c>
      <c r="AK285" s="125">
        <f>SQRT(((VLOOKUP($AT$4,$A$4:$J$1021,10,FALSE))-J285)^2)</f>
        <v/>
      </c>
      <c r="AL285" s="125" t="n"/>
      <c r="AM285" s="125" t="n"/>
      <c r="AN285" s="125">
        <f>SQRT(((VLOOKUP($AT$4,$A$4:$R$1021,18,FALSE))-R285)^2)</f>
        <v/>
      </c>
      <c r="AO285" s="125" t="n"/>
      <c r="AP285" s="125" t="n"/>
      <c r="AQ285" s="125" t="inlineStr">
        <is>
          <t>W30X235</t>
        </is>
      </c>
      <c r="BB285" s="125">
        <f>SQRT(($J$1022-J285)^2)</f>
        <v/>
      </c>
      <c r="BC285" s="125">
        <f>SQRT(($R$1022-R285)^2)</f>
        <v/>
      </c>
      <c r="BD285" s="125" t="inlineStr">
        <is>
          <t>W30X235</t>
        </is>
      </c>
      <c r="BI285">
        <f>SQRT(($J$1023-J285)^2)</f>
        <v/>
      </c>
      <c r="BJ285">
        <f>SQRT(($R$1023-R285)^2)</f>
        <v/>
      </c>
      <c r="BK285" s="125" t="inlineStr">
        <is>
          <t>W30X235</t>
        </is>
      </c>
      <c r="BP285">
        <f>SQRT(($J$1024-J285)^2)</f>
        <v/>
      </c>
      <c r="BQ285">
        <f>SQRT(($R$1024-R285)^2)</f>
        <v/>
      </c>
      <c r="BR285" s="125" t="inlineStr">
        <is>
          <t>W30X235</t>
        </is>
      </c>
      <c r="BW285">
        <f>SQRT(($J$1025-J285)^2)</f>
        <v/>
      </c>
      <c r="BX285">
        <f>SQRT(($R$1025-R285)^2)</f>
        <v/>
      </c>
      <c r="BY285" s="125" t="inlineStr">
        <is>
          <t>W30X235</t>
        </is>
      </c>
      <c r="CD285">
        <f>SQRT(($J$1026-J285)^2)</f>
        <v/>
      </c>
      <c r="CE285">
        <f>SQRT(($R$1026-R285)^2)</f>
        <v/>
      </c>
      <c r="CF285" s="125" t="inlineStr">
        <is>
          <t>W30X235</t>
        </is>
      </c>
    </row>
    <row r="286">
      <c r="A286" s="125" t="inlineStr">
        <is>
          <t>W30X261</t>
        </is>
      </c>
      <c r="B286" s="129" t="inlineStr">
        <is>
          <t>AISC</t>
        </is>
      </c>
      <c r="C286" s="125" t="n">
        <v>388.4</v>
      </c>
      <c r="D286" s="125" t="n">
        <v>802.9</v>
      </c>
      <c r="E286" s="125" t="n">
        <v>384.9</v>
      </c>
      <c r="F286" s="125" t="n">
        <v>41.9</v>
      </c>
      <c r="G286" s="125" t="n">
        <v>23.6</v>
      </c>
      <c r="H286" s="125" t="n">
        <v>16.5</v>
      </c>
      <c r="I286" s="125" t="n">
        <v>686.1</v>
      </c>
      <c r="J286" s="125" t="n">
        <v>495</v>
      </c>
      <c r="K286" s="125">
        <f>((E286-G286)/2)/F286</f>
        <v/>
      </c>
      <c r="L286" s="125">
        <f>I286/G286</f>
        <v/>
      </c>
      <c r="M286" s="125" t="n">
        <v>3.07</v>
      </c>
      <c r="N286" s="125" t="n">
        <v>543700</v>
      </c>
      <c r="O286" s="125" t="n">
        <v>39920</v>
      </c>
      <c r="P286" s="125" t="n">
        <v>33.1</v>
      </c>
      <c r="Q286" s="125" t="n">
        <v>8.98</v>
      </c>
      <c r="R286" s="125" t="n">
        <v>13540</v>
      </c>
      <c r="S286" s="125" t="n">
        <v>2074</v>
      </c>
      <c r="T286" s="125" t="n">
        <v>15410</v>
      </c>
      <c r="U286" s="125" t="n">
        <v>3208</v>
      </c>
      <c r="X286" s="129">
        <f t="array" ref="X286">_xlfn.IFS((D286/F286) &lt;= (640/SQRT($AT$32)), "Compact", L286 &lt;= ($AT$32*(0.79-(0.002*((E286-G286/2)/(2*F286))*SQRT($AT$32)))), "Non-Compact", L286 &gt; ($AT$32*(0.79-(0.002*((E286-G286/2)/(2*F286))*SQRT($AT$32)))), "Slender")</f>
        <v/>
      </c>
      <c r="Y286" s="129">
        <f t="array" ref="Y286">_xlfn.IFS(K286 &lt;= (65/SQRT($AT$32)), "Compact", K286 &lt;= (95/SQRT($AT$32)), "Non-Compact", K286 &gt; (95/SQRT($AT$32)), "Slender")</f>
        <v/>
      </c>
      <c r="Z286" s="125">
        <f>E286/F286</f>
        <v/>
      </c>
      <c r="AA286" s="125">
        <f>D286/G286</f>
        <v/>
      </c>
      <c r="AB286" s="125">
        <f t="array" ref="AB286">_xlfn.IFS(Z286 &lt;= 9, "1", Z286 &lt;= 12, "2", Z286 &lt;= 15, "3", Z286 &gt; 15, "4")</f>
        <v/>
      </c>
      <c r="AC286" s="125">
        <f t="array" ref="AC286">_xlfn.IFS(AA286 &lt;= 200, "1", L286 &lt;= 300, "2", L286 &lt;= 400, "3", L286 &gt; 400, "4")</f>
        <v/>
      </c>
      <c r="AD286" s="129">
        <f>SQRT((((VLOOKUP($AT$4,$A$4:$D$1021,4,FALSE))-D286)^2)+(((VLOOKUP($AT$4,$A$4:$E$1021,5,FALSE))-E286)^2)+(((VLOOKUP($AT$4,$A$4:$N$1021,14,FALSE))-N286)^2)+(((VLOOKUP($AT$4,$A$4:$O$1021,15,FALSE))-O286)^2))</f>
        <v/>
      </c>
      <c r="AG286" s="129">
        <f>SQRT((((VLOOKUP($AT$4,$A$4:$D$1021,4,FALSE))-D286)^2)+(((VLOOKUP($AT$4,$A$4:$E$1021,5,FALSE))-E286)^2)+(((VLOOKUP($AT$4,$A$4:$R$1021,18,FALSE))-R286)^2)+(((VLOOKUP($AT$4,$A$4:$S$1021,19,FALSE))-S286)^2))</f>
        <v/>
      </c>
      <c r="AJ286" s="125" t="inlineStr">
        <is>
          <t>W30X261</t>
        </is>
      </c>
      <c r="AK286" s="125">
        <f>SQRT(((VLOOKUP($AT$4,$A$4:$J$1021,10,FALSE))-J286)^2)</f>
        <v/>
      </c>
      <c r="AL286" s="125" t="n"/>
      <c r="AM286" s="125" t="n"/>
      <c r="AN286" s="125">
        <f>SQRT(((VLOOKUP($AT$4,$A$4:$R$1021,18,FALSE))-R286)^2)</f>
        <v/>
      </c>
      <c r="AO286" s="125" t="n"/>
      <c r="AP286" s="125" t="n"/>
      <c r="AQ286" s="125" t="inlineStr">
        <is>
          <t>W30X261</t>
        </is>
      </c>
      <c r="BB286" s="125">
        <f>SQRT(($J$1022-J286)^2)</f>
        <v/>
      </c>
      <c r="BC286" s="125">
        <f>SQRT(($R$1022-R286)^2)</f>
        <v/>
      </c>
      <c r="BD286" s="125" t="inlineStr">
        <is>
          <t>W30X261</t>
        </is>
      </c>
      <c r="BI286">
        <f>SQRT(($J$1023-J286)^2)</f>
        <v/>
      </c>
      <c r="BJ286">
        <f>SQRT(($R$1023-R286)^2)</f>
        <v/>
      </c>
      <c r="BK286" s="125" t="inlineStr">
        <is>
          <t>W30X261</t>
        </is>
      </c>
      <c r="BP286">
        <f>SQRT(($J$1024-J286)^2)</f>
        <v/>
      </c>
      <c r="BQ286">
        <f>SQRT(($R$1024-R286)^2)</f>
        <v/>
      </c>
      <c r="BR286" s="125" t="inlineStr">
        <is>
          <t>W30X261</t>
        </is>
      </c>
      <c r="BW286">
        <f>SQRT(($J$1025-J286)^2)</f>
        <v/>
      </c>
      <c r="BX286">
        <f>SQRT(($R$1025-R286)^2)</f>
        <v/>
      </c>
      <c r="BY286" s="125" t="inlineStr">
        <is>
          <t>W30X261</t>
        </is>
      </c>
      <c r="CD286">
        <f>SQRT(($J$1026-J286)^2)</f>
        <v/>
      </c>
      <c r="CE286">
        <f>SQRT(($R$1026-R286)^2)</f>
        <v/>
      </c>
      <c r="CF286" s="125" t="inlineStr">
        <is>
          <t>W30X261</t>
        </is>
      </c>
    </row>
    <row r="287">
      <c r="A287" s="125" t="inlineStr">
        <is>
          <t>W30X292</t>
        </is>
      </c>
      <c r="B287" s="129" t="inlineStr">
        <is>
          <t>AISC</t>
        </is>
      </c>
      <c r="C287" s="125" t="n">
        <v>434.5</v>
      </c>
      <c r="D287" s="125" t="n">
        <v>813.1</v>
      </c>
      <c r="E287" s="125" t="n">
        <v>387.5</v>
      </c>
      <c r="F287" s="125" t="n">
        <v>47</v>
      </c>
      <c r="G287" s="125" t="n">
        <v>25.9</v>
      </c>
      <c r="H287" s="125" t="n">
        <v>16.5</v>
      </c>
      <c r="I287" s="125" t="n">
        <v>686.1</v>
      </c>
      <c r="J287" s="125" t="n">
        <v>553</v>
      </c>
      <c r="K287" s="125">
        <f>((E287-G287)/2)/F287</f>
        <v/>
      </c>
      <c r="L287" s="125">
        <f>I287/G287</f>
        <v/>
      </c>
      <c r="M287" s="125" t="n">
        <v>3.1</v>
      </c>
      <c r="N287" s="125" t="n">
        <v>618300</v>
      </c>
      <c r="O287" s="125" t="n">
        <v>45680</v>
      </c>
      <c r="P287" s="125" t="n">
        <v>33.4</v>
      </c>
      <c r="Q287" s="125" t="n">
        <v>9.09</v>
      </c>
      <c r="R287" s="125" t="n">
        <v>15210</v>
      </c>
      <c r="S287" s="125" t="n">
        <v>2358</v>
      </c>
      <c r="T287" s="125" t="n">
        <v>17380</v>
      </c>
      <c r="U287" s="125" t="n">
        <v>3653</v>
      </c>
      <c r="X287" s="129">
        <f t="array" ref="X287">_xlfn.IFS((D287/F287) &lt;= (640/SQRT($AT$32)), "Compact", L287 &lt;= ($AT$32*(0.79-(0.002*((E287-G287/2)/(2*F287))*SQRT($AT$32)))), "Non-Compact", L287 &gt; ($AT$32*(0.79-(0.002*((E287-G287/2)/(2*F287))*SQRT($AT$32)))), "Slender")</f>
        <v/>
      </c>
      <c r="Y287" s="129">
        <f t="array" ref="Y287">_xlfn.IFS(K287 &lt;= (65/SQRT($AT$32)), "Compact", K287 &lt;= (95/SQRT($AT$32)), "Non-Compact", K287 &gt; (95/SQRT($AT$32)), "Slender")</f>
        <v/>
      </c>
      <c r="Z287" s="125">
        <f>E287/F287</f>
        <v/>
      </c>
      <c r="AA287" s="125">
        <f>D287/G287</f>
        <v/>
      </c>
      <c r="AB287" s="125">
        <f t="array" ref="AB287">_xlfn.IFS(Z287 &lt;= 9, "1", Z287 &lt;= 12, "2", Z287 &lt;= 15, "3", Z287 &gt; 15, "4")</f>
        <v/>
      </c>
      <c r="AC287" s="125">
        <f t="array" ref="AC287">_xlfn.IFS(AA287 &lt;= 200, "1", L287 &lt;= 300, "2", L287 &lt;= 400, "3", L287 &gt; 400, "4")</f>
        <v/>
      </c>
      <c r="AD287" s="129">
        <f>SQRT((((VLOOKUP($AT$4,$A$4:$D$1021,4,FALSE))-D287)^2)+(((VLOOKUP($AT$4,$A$4:$E$1021,5,FALSE))-E287)^2)+(((VLOOKUP($AT$4,$A$4:$N$1021,14,FALSE))-N287)^2)+(((VLOOKUP($AT$4,$A$4:$O$1021,15,FALSE))-O287)^2))</f>
        <v/>
      </c>
      <c r="AG287" s="129">
        <f>SQRT((((VLOOKUP($AT$4,$A$4:$D$1021,4,FALSE))-D287)^2)+(((VLOOKUP($AT$4,$A$4:$E$1021,5,FALSE))-E287)^2)+(((VLOOKUP($AT$4,$A$4:$R$1021,18,FALSE))-R287)^2)+(((VLOOKUP($AT$4,$A$4:$S$1021,19,FALSE))-S287)^2))</f>
        <v/>
      </c>
      <c r="AJ287" s="125" t="inlineStr">
        <is>
          <t>W30X292</t>
        </is>
      </c>
      <c r="AK287" s="125">
        <f>SQRT(((VLOOKUP($AT$4,$A$4:$J$1021,10,FALSE))-J287)^2)</f>
        <v/>
      </c>
      <c r="AL287" s="125" t="n"/>
      <c r="AM287" s="125" t="n"/>
      <c r="AN287" s="125">
        <f>SQRT(((VLOOKUP($AT$4,$A$4:$R$1021,18,FALSE))-R287)^2)</f>
        <v/>
      </c>
      <c r="AO287" s="125" t="n"/>
      <c r="AP287" s="125" t="n"/>
      <c r="AQ287" s="125" t="inlineStr">
        <is>
          <t>W30X292</t>
        </is>
      </c>
      <c r="BB287" s="125">
        <f>SQRT(($J$1022-J287)^2)</f>
        <v/>
      </c>
      <c r="BC287" s="125">
        <f>SQRT(($R$1022-R287)^2)</f>
        <v/>
      </c>
      <c r="BD287" s="125" t="inlineStr">
        <is>
          <t>W30X292</t>
        </is>
      </c>
      <c r="BI287">
        <f>SQRT(($J$1023-J287)^2)</f>
        <v/>
      </c>
      <c r="BJ287">
        <f>SQRT(($R$1023-R287)^2)</f>
        <v/>
      </c>
      <c r="BK287" s="125" t="inlineStr">
        <is>
          <t>W30X292</t>
        </is>
      </c>
      <c r="BP287">
        <f>SQRT(($J$1024-J287)^2)</f>
        <v/>
      </c>
      <c r="BQ287">
        <f>SQRT(($R$1024-R287)^2)</f>
        <v/>
      </c>
      <c r="BR287" s="125" t="inlineStr">
        <is>
          <t>W30X292</t>
        </is>
      </c>
      <c r="BW287">
        <f>SQRT(($J$1025-J287)^2)</f>
        <v/>
      </c>
      <c r="BX287">
        <f>SQRT(($R$1025-R287)^2)</f>
        <v/>
      </c>
      <c r="BY287" s="125" t="inlineStr">
        <is>
          <t>W30X292</t>
        </is>
      </c>
      <c r="CD287">
        <f>SQRT(($J$1026-J287)^2)</f>
        <v/>
      </c>
      <c r="CE287">
        <f>SQRT(($R$1026-R287)^2)</f>
        <v/>
      </c>
      <c r="CF287" s="125" t="inlineStr">
        <is>
          <t>W30X292</t>
        </is>
      </c>
    </row>
    <row r="288">
      <c r="A288" s="125" t="inlineStr">
        <is>
          <t>W30X326</t>
        </is>
      </c>
      <c r="B288" s="129" t="inlineStr">
        <is>
          <t>AISC</t>
        </is>
      </c>
      <c r="C288" s="125" t="n">
        <v>485.1</v>
      </c>
      <c r="D288" s="125" t="n">
        <v>823</v>
      </c>
      <c r="E288" s="125" t="n">
        <v>390.4</v>
      </c>
      <c r="F288" s="125" t="n">
        <v>52.1</v>
      </c>
      <c r="G288" s="125" t="n">
        <v>29</v>
      </c>
      <c r="H288" s="125" t="n">
        <v>16.5</v>
      </c>
      <c r="I288" s="125" t="n">
        <v>685.9</v>
      </c>
      <c r="J288" s="125" t="n">
        <v>617</v>
      </c>
      <c r="K288" s="125">
        <f>((E288-G288)/2)/F288</f>
        <v/>
      </c>
      <c r="L288" s="125">
        <f>I288/G288</f>
        <v/>
      </c>
      <c r="M288" s="125" t="n">
        <v>3.12</v>
      </c>
      <c r="N288" s="125" t="n">
        <v>697600</v>
      </c>
      <c r="O288" s="125" t="n">
        <v>51790</v>
      </c>
      <c r="P288" s="125" t="n">
        <v>33.6</v>
      </c>
      <c r="Q288" s="125" t="n">
        <v>9.16</v>
      </c>
      <c r="R288" s="125" t="n">
        <v>16950</v>
      </c>
      <c r="S288" s="125" t="n">
        <v>2653</v>
      </c>
      <c r="T288" s="125" t="n">
        <v>19500</v>
      </c>
      <c r="U288" s="125" t="n">
        <v>4123</v>
      </c>
      <c r="X288" s="129">
        <f t="array" ref="X288">_xlfn.IFS((D288/F288) &lt;= (640/SQRT($AT$32)), "Compact", L288 &lt;= ($AT$32*(0.79-(0.002*((E288-G288/2)/(2*F288))*SQRT($AT$32)))), "Non-Compact", L288 &gt; ($AT$32*(0.79-(0.002*((E288-G288/2)/(2*F288))*SQRT($AT$32)))), "Slender")</f>
        <v/>
      </c>
      <c r="Y288" s="129">
        <f t="array" ref="Y288">_xlfn.IFS(K288 &lt;= (65/SQRT($AT$32)), "Compact", K288 &lt;= (95/SQRT($AT$32)), "Non-Compact", K288 &gt; (95/SQRT($AT$32)), "Slender")</f>
        <v/>
      </c>
      <c r="Z288" s="125">
        <f>E288/F288</f>
        <v/>
      </c>
      <c r="AA288" s="125">
        <f>D288/G288</f>
        <v/>
      </c>
      <c r="AB288" s="125">
        <f t="array" ref="AB288">_xlfn.IFS(Z288 &lt;= 9, "1", Z288 &lt;= 12, "2", Z288 &lt;= 15, "3", Z288 &gt; 15, "4")</f>
        <v/>
      </c>
      <c r="AC288" s="125">
        <f t="array" ref="AC288">_xlfn.IFS(AA288 &lt;= 200, "1", L288 &lt;= 300, "2", L288 &lt;= 400, "3", L288 &gt; 400, "4")</f>
        <v/>
      </c>
      <c r="AD288" s="129">
        <f>SQRT((((VLOOKUP($AT$4,$A$4:$D$1021,4,FALSE))-D288)^2)+(((VLOOKUP($AT$4,$A$4:$E$1021,5,FALSE))-E288)^2)+(((VLOOKUP($AT$4,$A$4:$N$1021,14,FALSE))-N288)^2)+(((VLOOKUP($AT$4,$A$4:$O$1021,15,FALSE))-O288)^2))</f>
        <v/>
      </c>
      <c r="AG288" s="129">
        <f>SQRT((((VLOOKUP($AT$4,$A$4:$D$1021,4,FALSE))-D288)^2)+(((VLOOKUP($AT$4,$A$4:$E$1021,5,FALSE))-E288)^2)+(((VLOOKUP($AT$4,$A$4:$R$1021,18,FALSE))-R288)^2)+(((VLOOKUP($AT$4,$A$4:$S$1021,19,FALSE))-S288)^2))</f>
        <v/>
      </c>
      <c r="AJ288" s="125" t="inlineStr">
        <is>
          <t>W30X326</t>
        </is>
      </c>
      <c r="AK288" s="125">
        <f>SQRT(((VLOOKUP($AT$4,$A$4:$J$1021,10,FALSE))-J288)^2)</f>
        <v/>
      </c>
      <c r="AL288" s="125" t="n"/>
      <c r="AM288" s="125" t="n"/>
      <c r="AN288" s="125">
        <f>SQRT(((VLOOKUP($AT$4,$A$4:$R$1021,18,FALSE))-R288)^2)</f>
        <v/>
      </c>
      <c r="AO288" s="125" t="n"/>
      <c r="AP288" s="125" t="n"/>
      <c r="AQ288" s="125" t="inlineStr">
        <is>
          <t>W30X326</t>
        </is>
      </c>
      <c r="BB288" s="125">
        <f>SQRT(($J$1022-J288)^2)</f>
        <v/>
      </c>
      <c r="BC288" s="125">
        <f>SQRT(($R$1022-R288)^2)</f>
        <v/>
      </c>
      <c r="BD288" s="125" t="inlineStr">
        <is>
          <t>W30X326</t>
        </is>
      </c>
      <c r="BI288">
        <f>SQRT(($J$1023-J288)^2)</f>
        <v/>
      </c>
      <c r="BJ288">
        <f>SQRT(($R$1023-R288)^2)</f>
        <v/>
      </c>
      <c r="BK288" s="125" t="inlineStr">
        <is>
          <t>W30X326</t>
        </is>
      </c>
      <c r="BP288">
        <f>SQRT(($J$1024-J288)^2)</f>
        <v/>
      </c>
      <c r="BQ288">
        <f>SQRT(($R$1024-R288)^2)</f>
        <v/>
      </c>
      <c r="BR288" s="125" t="inlineStr">
        <is>
          <t>W30X326</t>
        </is>
      </c>
      <c r="BW288">
        <f>SQRT(($J$1025-J288)^2)</f>
        <v/>
      </c>
      <c r="BX288">
        <f>SQRT(($R$1025-R288)^2)</f>
        <v/>
      </c>
      <c r="BY288" s="125" t="inlineStr">
        <is>
          <t>W30X326</t>
        </is>
      </c>
      <c r="CD288">
        <f>SQRT(($J$1026-J288)^2)</f>
        <v/>
      </c>
      <c r="CE288">
        <f>SQRT(($R$1026-R288)^2)</f>
        <v/>
      </c>
      <c r="CF288" s="125" t="inlineStr">
        <is>
          <t>W30X326</t>
        </is>
      </c>
    </row>
    <row r="289">
      <c r="A289" s="125" t="inlineStr">
        <is>
          <t>W30X357</t>
        </is>
      </c>
      <c r="B289" s="129" t="inlineStr">
        <is>
          <t>AISC</t>
        </is>
      </c>
      <c r="C289" s="125" t="n">
        <v>531</v>
      </c>
      <c r="D289" s="125" t="n">
        <v>833</v>
      </c>
      <c r="E289" s="125" t="n">
        <v>393</v>
      </c>
      <c r="F289" s="125" t="n">
        <v>56.9</v>
      </c>
      <c r="G289" s="125" t="n">
        <v>31.5</v>
      </c>
      <c r="H289" s="125" t="n">
        <v>20</v>
      </c>
      <c r="I289" s="125" t="n">
        <v>679.2</v>
      </c>
      <c r="J289" s="125" t="n">
        <v>677</v>
      </c>
      <c r="K289" s="125">
        <f>((E289-G289)/2)/F289</f>
        <v/>
      </c>
      <c r="L289" s="125">
        <f>I289/G289</f>
        <v/>
      </c>
      <c r="M289" s="125" t="n">
        <v>3.14</v>
      </c>
      <c r="N289" s="125" t="n">
        <v>776600</v>
      </c>
      <c r="O289" s="125" t="n">
        <v>57770</v>
      </c>
      <c r="P289" s="125" t="n">
        <v>33.9</v>
      </c>
      <c r="Q289" s="125" t="n">
        <v>9.24</v>
      </c>
      <c r="R289" s="125" t="n">
        <v>18650</v>
      </c>
      <c r="S289" s="125" t="n">
        <v>2940</v>
      </c>
      <c r="T289" s="125" t="n">
        <v>21550</v>
      </c>
      <c r="U289" s="125" t="n">
        <v>4579</v>
      </c>
      <c r="X289" s="129">
        <f t="array" ref="X289">_xlfn.IFS((D289/F289) &lt;= (640/SQRT($AT$32)), "Compact", L289 &lt;= ($AT$32*(0.79-(0.002*((E289-G289/2)/(2*F289))*SQRT($AT$32)))), "Non-Compact", L289 &gt; ($AT$32*(0.79-(0.002*((E289-G289/2)/(2*F289))*SQRT($AT$32)))), "Slender")</f>
        <v/>
      </c>
      <c r="Y289" s="129">
        <f t="array" ref="Y289">_xlfn.IFS(K289 &lt;= (65/SQRT($AT$32)), "Compact", K289 &lt;= (95/SQRT($AT$32)), "Non-Compact", K289 &gt; (95/SQRT($AT$32)), "Slender")</f>
        <v/>
      </c>
      <c r="Z289" s="125">
        <f>E289/F289</f>
        <v/>
      </c>
      <c r="AA289" s="125">
        <f>D289/G289</f>
        <v/>
      </c>
      <c r="AB289" s="125">
        <f t="array" ref="AB289">_xlfn.IFS(Z289 &lt;= 9, "1", Z289 &lt;= 12, "2", Z289 &lt;= 15, "3", Z289 &gt; 15, "4")</f>
        <v/>
      </c>
      <c r="AC289" s="125">
        <f t="array" ref="AC289">_xlfn.IFS(AA289 &lt;= 200, "1", L289 &lt;= 300, "2", L289 &lt;= 400, "3", L289 &gt; 400, "4")</f>
        <v/>
      </c>
      <c r="AD289" s="129">
        <f>SQRT((((VLOOKUP($AT$4,$A$4:$D$1021,4,FALSE))-D289)^2)+(((VLOOKUP($AT$4,$A$4:$E$1021,5,FALSE))-E289)^2)+(((VLOOKUP($AT$4,$A$4:$N$1021,14,FALSE))-N289)^2)+(((VLOOKUP($AT$4,$A$4:$O$1021,15,FALSE))-O289)^2))</f>
        <v/>
      </c>
      <c r="AG289" s="129">
        <f>SQRT((((VLOOKUP($AT$4,$A$4:$D$1021,4,FALSE))-D289)^2)+(((VLOOKUP($AT$4,$A$4:$E$1021,5,FALSE))-E289)^2)+(((VLOOKUP($AT$4,$A$4:$R$1021,18,FALSE))-R289)^2)+(((VLOOKUP($AT$4,$A$4:$S$1021,19,FALSE))-S289)^2))</f>
        <v/>
      </c>
      <c r="AJ289" s="125" t="inlineStr">
        <is>
          <t>W30X357</t>
        </is>
      </c>
      <c r="AK289" s="125">
        <f>SQRT(((VLOOKUP($AT$4,$A$4:$J$1021,10,FALSE))-J289)^2)</f>
        <v/>
      </c>
      <c r="AL289" s="125" t="n"/>
      <c r="AM289" s="125" t="n"/>
      <c r="AN289" s="125">
        <f>SQRT(((VLOOKUP($AT$4,$A$4:$R$1021,18,FALSE))-R289)^2)</f>
        <v/>
      </c>
      <c r="AO289" s="125" t="n"/>
      <c r="AP289" s="125" t="n"/>
      <c r="AQ289" s="125" t="inlineStr">
        <is>
          <t>W30X357</t>
        </is>
      </c>
      <c r="BB289" s="125">
        <f>SQRT(($J$1022-J289)^2)</f>
        <v/>
      </c>
      <c r="BC289" s="125">
        <f>SQRT(($R$1022-R289)^2)</f>
        <v/>
      </c>
      <c r="BD289" s="125" t="inlineStr">
        <is>
          <t>W30X357</t>
        </is>
      </c>
      <c r="BI289">
        <f>SQRT(($J$1023-J289)^2)</f>
        <v/>
      </c>
      <c r="BJ289">
        <f>SQRT(($R$1023-R289)^2)</f>
        <v/>
      </c>
      <c r="BK289" s="125" t="inlineStr">
        <is>
          <t>W30X357</t>
        </is>
      </c>
      <c r="BP289">
        <f>SQRT(($J$1024-J289)^2)</f>
        <v/>
      </c>
      <c r="BQ289">
        <f>SQRT(($R$1024-R289)^2)</f>
        <v/>
      </c>
      <c r="BR289" s="125" t="inlineStr">
        <is>
          <t>W30X357</t>
        </is>
      </c>
      <c r="BW289">
        <f>SQRT(($J$1025-J289)^2)</f>
        <v/>
      </c>
      <c r="BX289">
        <f>SQRT(($R$1025-R289)^2)</f>
        <v/>
      </c>
      <c r="BY289" s="125" t="inlineStr">
        <is>
          <t>W30X357</t>
        </is>
      </c>
      <c r="CD289">
        <f>SQRT(($J$1026-J289)^2)</f>
        <v/>
      </c>
      <c r="CE289">
        <f>SQRT(($R$1026-R289)^2)</f>
        <v/>
      </c>
      <c r="CF289" s="125" t="inlineStr">
        <is>
          <t>W30X357</t>
        </is>
      </c>
    </row>
    <row r="290">
      <c r="A290" s="125" t="inlineStr">
        <is>
          <t>W33X118</t>
        </is>
      </c>
      <c r="B290" s="129" t="inlineStr">
        <is>
          <t>AISC</t>
        </is>
      </c>
      <c r="C290" s="125" t="n">
        <v>175.9</v>
      </c>
      <c r="D290" s="125" t="n">
        <v>834.9</v>
      </c>
      <c r="E290" s="125" t="n">
        <v>291.7</v>
      </c>
      <c r="F290" s="125" t="n">
        <v>18.8</v>
      </c>
      <c r="G290" s="125" t="n">
        <v>14</v>
      </c>
      <c r="H290" s="125" t="n">
        <v>17.8</v>
      </c>
      <c r="I290" s="125" t="n">
        <v>761.7</v>
      </c>
      <c r="J290" s="125" t="n">
        <v>224</v>
      </c>
      <c r="K290" s="125">
        <f>((E290-G290)/2)/F290</f>
        <v/>
      </c>
      <c r="L290" s="125">
        <f>I290/G290</f>
        <v/>
      </c>
      <c r="M290" s="125" t="n">
        <v>2.78</v>
      </c>
      <c r="N290" s="125" t="n">
        <v>246000</v>
      </c>
      <c r="O290" s="125" t="n">
        <v>7800</v>
      </c>
      <c r="P290" s="125" t="n">
        <v>33.1</v>
      </c>
      <c r="Q290" s="125" t="n">
        <v>5.9</v>
      </c>
      <c r="R290" s="125" t="n">
        <v>5893</v>
      </c>
      <c r="S290" s="125" t="n">
        <v>535</v>
      </c>
      <c r="T290" s="125" t="n">
        <v>6808</v>
      </c>
      <c r="U290" s="125" t="n">
        <v>842</v>
      </c>
      <c r="X290" s="129">
        <f t="array" ref="X290">_xlfn.IFS((D290/F290) &lt;= (640/SQRT($AT$32)), "Compact", L290 &lt;= ($AT$32*(0.79-(0.002*((E290-G290/2)/(2*F290))*SQRT($AT$32)))), "Non-Compact", L290 &gt; ($AT$32*(0.79-(0.002*((E290-G290/2)/(2*F290))*SQRT($AT$32)))), "Slender")</f>
        <v/>
      </c>
      <c r="Y290" s="129">
        <f t="array" ref="Y290">_xlfn.IFS(K290 &lt;= (65/SQRT($AT$32)), "Compact", K290 &lt;= (95/SQRT($AT$32)), "Non-Compact", K290 &gt; (95/SQRT($AT$32)), "Slender")</f>
        <v/>
      </c>
      <c r="Z290" s="125">
        <f>E290/F290</f>
        <v/>
      </c>
      <c r="AA290" s="125">
        <f>D290/G290</f>
        <v/>
      </c>
      <c r="AB290" s="125">
        <f t="array" ref="AB290">_xlfn.IFS(Z290 &lt;= 9, "1", Z290 &lt;= 12, "2", Z290 &lt;= 15, "3", Z290 &gt; 15, "4")</f>
        <v/>
      </c>
      <c r="AC290" s="125">
        <f t="array" ref="AC290">_xlfn.IFS(AA290 &lt;= 200, "1", L290 &lt;= 300, "2", L290 &lt;= 400, "3", L290 &gt; 400, "4")</f>
        <v/>
      </c>
      <c r="AD290" s="129">
        <f>SQRT((((VLOOKUP($AT$4,$A$4:$D$1021,4,FALSE))-D290)^2)+(((VLOOKUP($AT$4,$A$4:$E$1021,5,FALSE))-E290)^2)+(((VLOOKUP($AT$4,$A$4:$N$1021,14,FALSE))-N290)^2)+(((VLOOKUP($AT$4,$A$4:$O$1021,15,FALSE))-O290)^2))</f>
        <v/>
      </c>
      <c r="AG290" s="129">
        <f>SQRT((((VLOOKUP($AT$4,$A$4:$D$1021,4,FALSE))-D290)^2)+(((VLOOKUP($AT$4,$A$4:$E$1021,5,FALSE))-E290)^2)+(((VLOOKUP($AT$4,$A$4:$R$1021,18,FALSE))-R290)^2)+(((VLOOKUP($AT$4,$A$4:$S$1021,19,FALSE))-S290)^2))</f>
        <v/>
      </c>
      <c r="AJ290" s="125" t="inlineStr">
        <is>
          <t>W33X118</t>
        </is>
      </c>
      <c r="AK290" s="125">
        <f>SQRT(((VLOOKUP($AT$4,$A$4:$J$1021,10,FALSE))-J290)^2)</f>
        <v/>
      </c>
      <c r="AL290" s="125" t="n"/>
      <c r="AM290" s="125" t="n"/>
      <c r="AN290" s="125">
        <f>SQRT(((VLOOKUP($AT$4,$A$4:$R$1021,18,FALSE))-R290)^2)</f>
        <v/>
      </c>
      <c r="AO290" s="125" t="n"/>
      <c r="AP290" s="125" t="n"/>
      <c r="AQ290" s="125" t="inlineStr">
        <is>
          <t>W33X118</t>
        </is>
      </c>
      <c r="BB290" s="125">
        <f>SQRT(($J$1022-J290)^2)</f>
        <v/>
      </c>
      <c r="BC290" s="125">
        <f>SQRT(($R$1022-R290)^2)</f>
        <v/>
      </c>
      <c r="BD290" s="125" t="inlineStr">
        <is>
          <t>W33X118</t>
        </is>
      </c>
      <c r="BI290">
        <f>SQRT(($J$1023-J290)^2)</f>
        <v/>
      </c>
      <c r="BJ290">
        <f>SQRT(($R$1023-R290)^2)</f>
        <v/>
      </c>
      <c r="BK290" s="125" t="inlineStr">
        <is>
          <t>W33X118</t>
        </is>
      </c>
      <c r="BP290">
        <f>SQRT(($J$1024-J290)^2)</f>
        <v/>
      </c>
      <c r="BQ290">
        <f>SQRT(($R$1024-R290)^2)</f>
        <v/>
      </c>
      <c r="BR290" s="125" t="inlineStr">
        <is>
          <t>W33X118</t>
        </is>
      </c>
      <c r="BW290">
        <f>SQRT(($J$1025-J290)^2)</f>
        <v/>
      </c>
      <c r="BX290">
        <f>SQRT(($R$1025-R290)^2)</f>
        <v/>
      </c>
      <c r="BY290" s="125" t="inlineStr">
        <is>
          <t>W33X118</t>
        </is>
      </c>
      <c r="CD290">
        <f>SQRT(($J$1026-J290)^2)</f>
        <v/>
      </c>
      <c r="CE290">
        <f>SQRT(($R$1026-R290)^2)</f>
        <v/>
      </c>
      <c r="CF290" s="125" t="inlineStr">
        <is>
          <t>W33X118</t>
        </is>
      </c>
    </row>
    <row r="291">
      <c r="A291" s="125" t="inlineStr">
        <is>
          <t>W33X130</t>
        </is>
      </c>
      <c r="B291" s="129" t="inlineStr">
        <is>
          <t>AISC</t>
        </is>
      </c>
      <c r="C291" s="125" t="n">
        <v>193.8</v>
      </c>
      <c r="D291" s="125" t="n">
        <v>840.7</v>
      </c>
      <c r="E291" s="125" t="n">
        <v>292.4</v>
      </c>
      <c r="F291" s="125" t="n">
        <v>21.7</v>
      </c>
      <c r="G291" s="125" t="n">
        <v>14.7</v>
      </c>
      <c r="H291" s="125" t="n">
        <v>17.8</v>
      </c>
      <c r="I291" s="125" t="n">
        <v>761.7</v>
      </c>
      <c r="J291" s="125" t="n">
        <v>247</v>
      </c>
      <c r="K291" s="125">
        <f>((E291-G291)/2)/F291</f>
        <v/>
      </c>
      <c r="L291" s="125">
        <f>I291/G291</f>
        <v/>
      </c>
      <c r="M291" s="125" t="n">
        <v>2.79</v>
      </c>
      <c r="N291" s="125" t="n">
        <v>279200</v>
      </c>
      <c r="O291" s="125" t="n">
        <v>9067</v>
      </c>
      <c r="P291" s="125" t="n">
        <v>33.6</v>
      </c>
      <c r="Q291" s="125" t="n">
        <v>6.06</v>
      </c>
      <c r="R291" s="125" t="n">
        <v>6642</v>
      </c>
      <c r="S291" s="125" t="n">
        <v>620</v>
      </c>
      <c r="T291" s="125" t="n">
        <v>7640</v>
      </c>
      <c r="U291" s="125" t="n">
        <v>974</v>
      </c>
      <c r="X291" s="129">
        <f t="array" ref="X291">_xlfn.IFS((D291/F291) &lt;= (640/SQRT($AT$32)), "Compact", L291 &lt;= ($AT$32*(0.79-(0.002*((E291-G291/2)/(2*F291))*SQRT($AT$32)))), "Non-Compact", L291 &gt; ($AT$32*(0.79-(0.002*((E291-G291/2)/(2*F291))*SQRT($AT$32)))), "Slender")</f>
        <v/>
      </c>
      <c r="Y291" s="129">
        <f t="array" ref="Y291">_xlfn.IFS(K291 &lt;= (65/SQRT($AT$32)), "Compact", K291 &lt;= (95/SQRT($AT$32)), "Non-Compact", K291 &gt; (95/SQRT($AT$32)), "Slender")</f>
        <v/>
      </c>
      <c r="Z291" s="125">
        <f>E291/F291</f>
        <v/>
      </c>
      <c r="AA291" s="125">
        <f>D291/G291</f>
        <v/>
      </c>
      <c r="AB291" s="125">
        <f t="array" ref="AB291">_xlfn.IFS(Z291 &lt;= 9, "1", Z291 &lt;= 12, "2", Z291 &lt;= 15, "3", Z291 &gt; 15, "4")</f>
        <v/>
      </c>
      <c r="AC291" s="125">
        <f t="array" ref="AC291">_xlfn.IFS(AA291 &lt;= 200, "1", L291 &lt;= 300, "2", L291 &lt;= 400, "3", L291 &gt; 400, "4")</f>
        <v/>
      </c>
      <c r="AD291" s="129">
        <f>SQRT((((VLOOKUP($AT$4,$A$4:$D$1021,4,FALSE))-D291)^2)+(((VLOOKUP($AT$4,$A$4:$E$1021,5,FALSE))-E291)^2)+(((VLOOKUP($AT$4,$A$4:$N$1021,14,FALSE))-N291)^2)+(((VLOOKUP($AT$4,$A$4:$O$1021,15,FALSE))-O291)^2))</f>
        <v/>
      </c>
      <c r="AG291" s="129">
        <f>SQRT((((VLOOKUP($AT$4,$A$4:$D$1021,4,FALSE))-D291)^2)+(((VLOOKUP($AT$4,$A$4:$E$1021,5,FALSE))-E291)^2)+(((VLOOKUP($AT$4,$A$4:$R$1021,18,FALSE))-R291)^2)+(((VLOOKUP($AT$4,$A$4:$S$1021,19,FALSE))-S291)^2))</f>
        <v/>
      </c>
      <c r="AJ291" s="125" t="inlineStr">
        <is>
          <t>W33X130</t>
        </is>
      </c>
      <c r="AK291" s="125">
        <f>SQRT(((VLOOKUP($AT$4,$A$4:$J$1021,10,FALSE))-J291)^2)</f>
        <v/>
      </c>
      <c r="AL291" s="125" t="n"/>
      <c r="AM291" s="125" t="n"/>
      <c r="AN291" s="125">
        <f>SQRT(((VLOOKUP($AT$4,$A$4:$R$1021,18,FALSE))-R291)^2)</f>
        <v/>
      </c>
      <c r="AO291" s="125" t="n"/>
      <c r="AP291" s="125" t="n"/>
      <c r="AQ291" s="125" t="inlineStr">
        <is>
          <t>W33X130</t>
        </is>
      </c>
      <c r="BB291" s="125">
        <f>SQRT(($J$1022-J291)^2)</f>
        <v/>
      </c>
      <c r="BC291" s="125">
        <f>SQRT(($R$1022-R291)^2)</f>
        <v/>
      </c>
      <c r="BD291" s="125" t="inlineStr">
        <is>
          <t>W33X130</t>
        </is>
      </c>
      <c r="BI291">
        <f>SQRT(($J$1023-J291)^2)</f>
        <v/>
      </c>
      <c r="BJ291">
        <f>SQRT(($R$1023-R291)^2)</f>
        <v/>
      </c>
      <c r="BK291" s="125" t="inlineStr">
        <is>
          <t>W33X130</t>
        </is>
      </c>
      <c r="BP291">
        <f>SQRT(($J$1024-J291)^2)</f>
        <v/>
      </c>
      <c r="BQ291">
        <f>SQRT(($R$1024-R291)^2)</f>
        <v/>
      </c>
      <c r="BR291" s="125" t="inlineStr">
        <is>
          <t>W33X130</t>
        </is>
      </c>
      <c r="BW291">
        <f>SQRT(($J$1025-J291)^2)</f>
        <v/>
      </c>
      <c r="BX291">
        <f>SQRT(($R$1025-R291)^2)</f>
        <v/>
      </c>
      <c r="BY291" s="125" t="inlineStr">
        <is>
          <t>W33X130</t>
        </is>
      </c>
      <c r="CD291">
        <f>SQRT(($J$1026-J291)^2)</f>
        <v/>
      </c>
      <c r="CE291">
        <f>SQRT(($R$1026-R291)^2)</f>
        <v/>
      </c>
      <c r="CF291" s="125" t="inlineStr">
        <is>
          <t>W33X130</t>
        </is>
      </c>
    </row>
    <row r="292">
      <c r="A292" s="125" t="inlineStr">
        <is>
          <t>W33X141</t>
        </is>
      </c>
      <c r="B292" s="129" t="inlineStr">
        <is>
          <t>AISC</t>
        </is>
      </c>
      <c r="C292" s="125" t="n">
        <v>209.8</v>
      </c>
      <c r="D292" s="125" t="n">
        <v>845.8</v>
      </c>
      <c r="E292" s="125" t="n">
        <v>293</v>
      </c>
      <c r="F292" s="125" t="n">
        <v>24.4</v>
      </c>
      <c r="G292" s="125" t="n">
        <v>15.4</v>
      </c>
      <c r="H292" s="125" t="n">
        <v>17.8</v>
      </c>
      <c r="I292" s="125" t="n">
        <v>761.4</v>
      </c>
      <c r="J292" s="125" t="n">
        <v>268</v>
      </c>
      <c r="K292" s="125">
        <f>((E292-G292)/2)/F292</f>
        <v/>
      </c>
      <c r="L292" s="125">
        <f>I292/G292</f>
        <v/>
      </c>
      <c r="M292" s="125" t="n">
        <v>2.8</v>
      </c>
      <c r="N292" s="125" t="n">
        <v>310200</v>
      </c>
      <c r="O292" s="125" t="n">
        <v>10250</v>
      </c>
      <c r="P292" s="125" t="n">
        <v>34</v>
      </c>
      <c r="Q292" s="125" t="n">
        <v>6.18</v>
      </c>
      <c r="R292" s="125" t="n">
        <v>7334</v>
      </c>
      <c r="S292" s="125" t="n">
        <v>700</v>
      </c>
      <c r="T292" s="125" t="n">
        <v>8416</v>
      </c>
      <c r="U292" s="125" t="n">
        <v>1097</v>
      </c>
      <c r="X292" s="129">
        <f t="array" ref="X292">_xlfn.IFS((D292/F292) &lt;= (640/SQRT($AT$32)), "Compact", L292 &lt;= ($AT$32*(0.79-(0.002*((E292-G292/2)/(2*F292))*SQRT($AT$32)))), "Non-Compact", L292 &gt; ($AT$32*(0.79-(0.002*((E292-G292/2)/(2*F292))*SQRT($AT$32)))), "Slender")</f>
        <v/>
      </c>
      <c r="Y292" s="129">
        <f t="array" ref="Y292">_xlfn.IFS(K292 &lt;= (65/SQRT($AT$32)), "Compact", K292 &lt;= (95/SQRT($AT$32)), "Non-Compact", K292 &gt; (95/SQRT($AT$32)), "Slender")</f>
        <v/>
      </c>
      <c r="Z292" s="125">
        <f>E292/F292</f>
        <v/>
      </c>
      <c r="AA292" s="125">
        <f>D292/G292</f>
        <v/>
      </c>
      <c r="AB292" s="125">
        <f t="array" ref="AB292">_xlfn.IFS(Z292 &lt;= 9, "1", Z292 &lt;= 12, "2", Z292 &lt;= 15, "3", Z292 &gt; 15, "4")</f>
        <v/>
      </c>
      <c r="AC292" s="125">
        <f t="array" ref="AC292">_xlfn.IFS(AA292 &lt;= 200, "1", L292 &lt;= 300, "2", L292 &lt;= 400, "3", L292 &gt; 400, "4")</f>
        <v/>
      </c>
      <c r="AD292" s="129">
        <f>SQRT((((VLOOKUP($AT$4,$A$4:$D$1021,4,FALSE))-D292)^2)+(((VLOOKUP($AT$4,$A$4:$E$1021,5,FALSE))-E292)^2)+(((VLOOKUP($AT$4,$A$4:$N$1021,14,FALSE))-N292)^2)+(((VLOOKUP($AT$4,$A$4:$O$1021,15,FALSE))-O292)^2))</f>
        <v/>
      </c>
      <c r="AG292" s="129">
        <f>SQRT((((VLOOKUP($AT$4,$A$4:$D$1021,4,FALSE))-D292)^2)+(((VLOOKUP($AT$4,$A$4:$E$1021,5,FALSE))-E292)^2)+(((VLOOKUP($AT$4,$A$4:$R$1021,18,FALSE))-R292)^2)+(((VLOOKUP($AT$4,$A$4:$S$1021,19,FALSE))-S292)^2))</f>
        <v/>
      </c>
      <c r="AJ292" s="125" t="inlineStr">
        <is>
          <t>W33X141</t>
        </is>
      </c>
      <c r="AK292" s="125">
        <f>SQRT(((VLOOKUP($AT$4,$A$4:$J$1021,10,FALSE))-J292)^2)</f>
        <v/>
      </c>
      <c r="AL292" s="125" t="n"/>
      <c r="AM292" s="125" t="n"/>
      <c r="AN292" s="125">
        <f>SQRT(((VLOOKUP($AT$4,$A$4:$R$1021,18,FALSE))-R292)^2)</f>
        <v/>
      </c>
      <c r="AO292" s="125" t="n"/>
      <c r="AP292" s="125" t="n"/>
      <c r="AQ292" s="125" t="inlineStr">
        <is>
          <t>W33X141</t>
        </is>
      </c>
      <c r="BB292" s="125">
        <f>SQRT(($J$1022-J292)^2)</f>
        <v/>
      </c>
      <c r="BC292" s="125">
        <f>SQRT(($R$1022-R292)^2)</f>
        <v/>
      </c>
      <c r="BD292" s="125" t="inlineStr">
        <is>
          <t>W33X141</t>
        </is>
      </c>
      <c r="BI292">
        <f>SQRT(($J$1023-J292)^2)</f>
        <v/>
      </c>
      <c r="BJ292">
        <f>SQRT(($R$1023-R292)^2)</f>
        <v/>
      </c>
      <c r="BK292" s="125" t="inlineStr">
        <is>
          <t>W33X141</t>
        </is>
      </c>
      <c r="BP292">
        <f>SQRT(($J$1024-J292)^2)</f>
        <v/>
      </c>
      <c r="BQ292">
        <f>SQRT(($R$1024-R292)^2)</f>
        <v/>
      </c>
      <c r="BR292" s="125" t="inlineStr">
        <is>
          <t>W33X141</t>
        </is>
      </c>
      <c r="BW292">
        <f>SQRT(($J$1025-J292)^2)</f>
        <v/>
      </c>
      <c r="BX292">
        <f>SQRT(($R$1025-R292)^2)</f>
        <v/>
      </c>
      <c r="BY292" s="125" t="inlineStr">
        <is>
          <t>W33X141</t>
        </is>
      </c>
      <c r="CD292">
        <f>SQRT(($J$1026-J292)^2)</f>
        <v/>
      </c>
      <c r="CE292">
        <f>SQRT(($R$1026-R292)^2)</f>
        <v/>
      </c>
      <c r="CF292" s="125" t="inlineStr">
        <is>
          <t>W33X141</t>
        </is>
      </c>
    </row>
    <row r="293">
      <c r="A293" s="125" t="inlineStr">
        <is>
          <t>W33X152</t>
        </is>
      </c>
      <c r="B293" s="129" t="inlineStr">
        <is>
          <t>AISC</t>
        </is>
      </c>
      <c r="C293" s="125" t="n">
        <v>226.5</v>
      </c>
      <c r="D293" s="125" t="n">
        <v>850.9</v>
      </c>
      <c r="E293" s="125" t="n">
        <v>293.8</v>
      </c>
      <c r="F293" s="125" t="n">
        <v>26.8</v>
      </c>
      <c r="G293" s="125" t="n">
        <v>16.1</v>
      </c>
      <c r="H293" s="125" t="n">
        <v>17.8</v>
      </c>
      <c r="I293" s="125" t="n">
        <v>761.7</v>
      </c>
      <c r="J293" s="125" t="n">
        <v>289</v>
      </c>
      <c r="K293" s="125">
        <f>((E293-G293)/2)/F293</f>
        <v/>
      </c>
      <c r="L293" s="125">
        <f>I293/G293</f>
        <v/>
      </c>
      <c r="M293" s="125" t="n">
        <v>2.81</v>
      </c>
      <c r="N293" s="125" t="n">
        <v>339700</v>
      </c>
      <c r="O293" s="125" t="n">
        <v>11360</v>
      </c>
      <c r="P293" s="125" t="n">
        <v>34.3</v>
      </c>
      <c r="Q293" s="125" t="n">
        <v>6.27</v>
      </c>
      <c r="R293" s="125" t="n">
        <v>7985</v>
      </c>
      <c r="S293" s="125" t="n">
        <v>773</v>
      </c>
      <c r="T293" s="125" t="n">
        <v>9155</v>
      </c>
      <c r="U293" s="125" t="n">
        <v>1212</v>
      </c>
      <c r="X293" s="129">
        <f t="array" ref="X293">_xlfn.IFS((D293/F293) &lt;= (640/SQRT($AT$32)), "Compact", L293 &lt;= ($AT$32*(0.79-(0.002*((E293-G293/2)/(2*F293))*SQRT($AT$32)))), "Non-Compact", L293 &gt; ($AT$32*(0.79-(0.002*((E293-G293/2)/(2*F293))*SQRT($AT$32)))), "Slender")</f>
        <v/>
      </c>
      <c r="Y293" s="129">
        <f t="array" ref="Y293">_xlfn.IFS(K293 &lt;= (65/SQRT($AT$32)), "Compact", K293 &lt;= (95/SQRT($AT$32)), "Non-Compact", K293 &gt; (95/SQRT($AT$32)), "Slender")</f>
        <v/>
      </c>
      <c r="Z293" s="125">
        <f>E293/F293</f>
        <v/>
      </c>
      <c r="AA293" s="125">
        <f>D293/G293</f>
        <v/>
      </c>
      <c r="AB293" s="125">
        <f t="array" ref="AB293">_xlfn.IFS(Z293 &lt;= 9, "1", Z293 &lt;= 12, "2", Z293 &lt;= 15, "3", Z293 &gt; 15, "4")</f>
        <v/>
      </c>
      <c r="AC293" s="125">
        <f t="array" ref="AC293">_xlfn.IFS(AA293 &lt;= 200, "1", L293 &lt;= 300, "2", L293 &lt;= 400, "3", L293 &gt; 400, "4")</f>
        <v/>
      </c>
      <c r="AD293" s="129">
        <f>SQRT((((VLOOKUP($AT$4,$A$4:$D$1021,4,FALSE))-D293)^2)+(((VLOOKUP($AT$4,$A$4:$E$1021,5,FALSE))-E293)^2)+(((VLOOKUP($AT$4,$A$4:$N$1021,14,FALSE))-N293)^2)+(((VLOOKUP($AT$4,$A$4:$O$1021,15,FALSE))-O293)^2))</f>
        <v/>
      </c>
      <c r="AG293" s="129">
        <f>SQRT((((VLOOKUP($AT$4,$A$4:$D$1021,4,FALSE))-D293)^2)+(((VLOOKUP($AT$4,$A$4:$E$1021,5,FALSE))-E293)^2)+(((VLOOKUP($AT$4,$A$4:$R$1021,18,FALSE))-R293)^2)+(((VLOOKUP($AT$4,$A$4:$S$1021,19,FALSE))-S293)^2))</f>
        <v/>
      </c>
      <c r="AJ293" s="125" t="inlineStr">
        <is>
          <t>W33X152</t>
        </is>
      </c>
      <c r="AK293" s="125">
        <f>SQRT(((VLOOKUP($AT$4,$A$4:$J$1021,10,FALSE))-J293)^2)</f>
        <v/>
      </c>
      <c r="AL293" s="125" t="n"/>
      <c r="AM293" s="125" t="n"/>
      <c r="AN293" s="125">
        <f>SQRT(((VLOOKUP($AT$4,$A$4:$R$1021,18,FALSE))-R293)^2)</f>
        <v/>
      </c>
      <c r="AO293" s="125" t="n"/>
      <c r="AP293" s="125" t="n"/>
      <c r="AQ293" s="125" t="inlineStr">
        <is>
          <t>W33X152</t>
        </is>
      </c>
      <c r="BB293" s="125">
        <f>SQRT(($J$1022-J293)^2)</f>
        <v/>
      </c>
      <c r="BC293" s="125">
        <f>SQRT(($R$1022-R293)^2)</f>
        <v/>
      </c>
      <c r="BD293" s="125" t="inlineStr">
        <is>
          <t>W33X152</t>
        </is>
      </c>
      <c r="BI293">
        <f>SQRT(($J$1023-J293)^2)</f>
        <v/>
      </c>
      <c r="BJ293">
        <f>SQRT(($R$1023-R293)^2)</f>
        <v/>
      </c>
      <c r="BK293" s="125" t="inlineStr">
        <is>
          <t>W33X152</t>
        </is>
      </c>
      <c r="BP293">
        <f>SQRT(($J$1024-J293)^2)</f>
        <v/>
      </c>
      <c r="BQ293">
        <f>SQRT(($R$1024-R293)^2)</f>
        <v/>
      </c>
      <c r="BR293" s="125" t="inlineStr">
        <is>
          <t>W33X152</t>
        </is>
      </c>
      <c r="BW293">
        <f>SQRT(($J$1025-J293)^2)</f>
        <v/>
      </c>
      <c r="BX293">
        <f>SQRT(($R$1025-R293)^2)</f>
        <v/>
      </c>
      <c r="BY293" s="125" t="inlineStr">
        <is>
          <t>W33X152</t>
        </is>
      </c>
      <c r="CD293">
        <f>SQRT(($J$1026-J293)^2)</f>
        <v/>
      </c>
      <c r="CE293">
        <f>SQRT(($R$1026-R293)^2)</f>
        <v/>
      </c>
      <c r="CF293" s="125" t="inlineStr">
        <is>
          <t>W33X152</t>
        </is>
      </c>
    </row>
    <row r="294">
      <c r="A294" s="125" t="inlineStr">
        <is>
          <t>W33X169</t>
        </is>
      </c>
      <c r="B294" s="129" t="inlineStr">
        <is>
          <t>AISC</t>
        </is>
      </c>
      <c r="C294" s="125" t="n">
        <v>252</v>
      </c>
      <c r="D294" s="125" t="n">
        <v>859</v>
      </c>
      <c r="E294" s="125" t="n">
        <v>292.1</v>
      </c>
      <c r="F294" s="125" t="n">
        <v>31</v>
      </c>
      <c r="G294" s="125" t="n">
        <v>17</v>
      </c>
      <c r="H294" s="125" t="n">
        <v>17.8</v>
      </c>
      <c r="I294" s="125" t="n">
        <v>761.4</v>
      </c>
      <c r="J294" s="125" t="n">
        <v>319</v>
      </c>
      <c r="K294" s="125">
        <f>((E294-G294)/2)/F294</f>
        <v/>
      </c>
      <c r="L294" s="125">
        <f>I294/G294</f>
        <v/>
      </c>
      <c r="M294" s="125" t="n">
        <v>2.82</v>
      </c>
      <c r="N294" s="125" t="n">
        <v>386500</v>
      </c>
      <c r="O294" s="125" t="n">
        <v>12920</v>
      </c>
      <c r="P294" s="125" t="n">
        <v>34.8</v>
      </c>
      <c r="Q294" s="125" t="n">
        <v>6.36</v>
      </c>
      <c r="R294" s="125" t="n">
        <v>8999</v>
      </c>
      <c r="S294" s="125" t="n">
        <v>884</v>
      </c>
      <c r="T294" s="125" t="n">
        <v>10310</v>
      </c>
      <c r="U294" s="125" t="n">
        <v>1383</v>
      </c>
      <c r="X294" s="129">
        <f t="array" ref="X294">_xlfn.IFS((D294/F294) &lt;= (640/SQRT($AT$32)), "Compact", L294 &lt;= ($AT$32*(0.79-(0.002*((E294-G294/2)/(2*F294))*SQRT($AT$32)))), "Non-Compact", L294 &gt; ($AT$32*(0.79-(0.002*((E294-G294/2)/(2*F294))*SQRT($AT$32)))), "Slender")</f>
        <v/>
      </c>
      <c r="Y294" s="129">
        <f t="array" ref="Y294">_xlfn.IFS(K294 &lt;= (65/SQRT($AT$32)), "Compact", K294 &lt;= (95/SQRT($AT$32)), "Non-Compact", K294 &gt; (95/SQRT($AT$32)), "Slender")</f>
        <v/>
      </c>
      <c r="Z294" s="125">
        <f>E294/F294</f>
        <v/>
      </c>
      <c r="AA294" s="125">
        <f>D294/G294</f>
        <v/>
      </c>
      <c r="AB294" s="125">
        <f t="array" ref="AB294">_xlfn.IFS(Z294 &lt;= 9, "1", Z294 &lt;= 12, "2", Z294 &lt;= 15, "3", Z294 &gt; 15, "4")</f>
        <v/>
      </c>
      <c r="AC294" s="125">
        <f t="array" ref="AC294">_xlfn.IFS(AA294 &lt;= 200, "1", L294 &lt;= 300, "2", L294 &lt;= 400, "3", L294 &gt; 400, "4")</f>
        <v/>
      </c>
      <c r="AD294" s="129">
        <f>SQRT((((VLOOKUP($AT$4,$A$4:$D$1021,4,FALSE))-D294)^2)+(((VLOOKUP($AT$4,$A$4:$E$1021,5,FALSE))-E294)^2)+(((VLOOKUP($AT$4,$A$4:$N$1021,14,FALSE))-N294)^2)+(((VLOOKUP($AT$4,$A$4:$O$1021,15,FALSE))-O294)^2))</f>
        <v/>
      </c>
      <c r="AG294" s="129">
        <f>SQRT((((VLOOKUP($AT$4,$A$4:$D$1021,4,FALSE))-D294)^2)+(((VLOOKUP($AT$4,$A$4:$E$1021,5,FALSE))-E294)^2)+(((VLOOKUP($AT$4,$A$4:$R$1021,18,FALSE))-R294)^2)+(((VLOOKUP($AT$4,$A$4:$S$1021,19,FALSE))-S294)^2))</f>
        <v/>
      </c>
      <c r="AJ294" s="125" t="inlineStr">
        <is>
          <t>W33X169</t>
        </is>
      </c>
      <c r="AK294" s="125">
        <f>SQRT(((VLOOKUP($AT$4,$A$4:$J$1021,10,FALSE))-J294)^2)</f>
        <v/>
      </c>
      <c r="AL294" s="125" t="n"/>
      <c r="AM294" s="125" t="n"/>
      <c r="AN294" s="125">
        <f>SQRT(((VLOOKUP($AT$4,$A$4:$R$1021,18,FALSE))-R294)^2)</f>
        <v/>
      </c>
      <c r="AO294" s="125" t="n"/>
      <c r="AP294" s="125" t="n"/>
      <c r="AQ294" s="125" t="inlineStr">
        <is>
          <t>W33X169</t>
        </is>
      </c>
      <c r="BB294" s="125">
        <f>SQRT(($J$1022-J294)^2)</f>
        <v/>
      </c>
      <c r="BC294" s="125">
        <f>SQRT(($R$1022-R294)^2)</f>
        <v/>
      </c>
      <c r="BD294" s="125" t="inlineStr">
        <is>
          <t>W33X169</t>
        </is>
      </c>
      <c r="BI294">
        <f>SQRT(($J$1023-J294)^2)</f>
        <v/>
      </c>
      <c r="BJ294">
        <f>SQRT(($R$1023-R294)^2)</f>
        <v/>
      </c>
      <c r="BK294" s="125" t="inlineStr">
        <is>
          <t>W33X169</t>
        </is>
      </c>
      <c r="BP294">
        <f>SQRT(($J$1024-J294)^2)</f>
        <v/>
      </c>
      <c r="BQ294">
        <f>SQRT(($R$1024-R294)^2)</f>
        <v/>
      </c>
      <c r="BR294" s="125" t="inlineStr">
        <is>
          <t>W33X169</t>
        </is>
      </c>
      <c r="BW294">
        <f>SQRT(($J$1025-J294)^2)</f>
        <v/>
      </c>
      <c r="BX294">
        <f>SQRT(($R$1025-R294)^2)</f>
        <v/>
      </c>
      <c r="BY294" s="125" t="inlineStr">
        <is>
          <t>W33X169</t>
        </is>
      </c>
      <c r="CD294">
        <f>SQRT(($J$1026-J294)^2)</f>
        <v/>
      </c>
      <c r="CE294">
        <f>SQRT(($R$1026-R294)^2)</f>
        <v/>
      </c>
      <c r="CF294" s="125" t="inlineStr">
        <is>
          <t>W33X169</t>
        </is>
      </c>
    </row>
    <row r="295">
      <c r="A295" s="125" t="inlineStr">
        <is>
          <t>W33X187</t>
        </is>
      </c>
      <c r="B295" s="129" t="inlineStr">
        <is>
          <t>AISC</t>
        </is>
      </c>
      <c r="C295" s="125" t="n">
        <v>278</v>
      </c>
      <c r="D295" s="125" t="n">
        <v>865.1</v>
      </c>
      <c r="E295" s="125" t="n">
        <v>294.1</v>
      </c>
      <c r="F295" s="125" t="n">
        <v>34</v>
      </c>
      <c r="G295" s="125" t="n">
        <v>19.1</v>
      </c>
      <c r="H295" s="125" t="n">
        <v>17.8</v>
      </c>
      <c r="I295" s="125" t="n">
        <v>761.5</v>
      </c>
      <c r="J295" s="125" t="n">
        <v>355</v>
      </c>
      <c r="K295" s="125">
        <f>((E295-G295)/2)/F295</f>
        <v/>
      </c>
      <c r="L295" s="125">
        <f>I295/G295</f>
        <v/>
      </c>
      <c r="M295" s="125" t="n">
        <v>2.84</v>
      </c>
      <c r="N295" s="125" t="n">
        <v>430400</v>
      </c>
      <c r="O295" s="125" t="n">
        <v>14470</v>
      </c>
      <c r="P295" s="125" t="n">
        <v>34.8</v>
      </c>
      <c r="Q295" s="125" t="n">
        <v>6.38</v>
      </c>
      <c r="R295" s="125" t="n">
        <v>9950</v>
      </c>
      <c r="S295" s="125" t="n">
        <v>984</v>
      </c>
      <c r="T295" s="125" t="n">
        <v>11450</v>
      </c>
      <c r="U295" s="125" t="n">
        <v>1547</v>
      </c>
      <c r="X295" s="129">
        <f t="array" ref="X295">_xlfn.IFS((D295/F295) &lt;= (640/SQRT($AT$32)), "Compact", L295 &lt;= ($AT$32*(0.79-(0.002*((E295-G295/2)/(2*F295))*SQRT($AT$32)))), "Non-Compact", L295 &gt; ($AT$32*(0.79-(0.002*((E295-G295/2)/(2*F295))*SQRT($AT$32)))), "Slender")</f>
        <v/>
      </c>
      <c r="Y295" s="129">
        <f t="array" ref="Y295">_xlfn.IFS(K295 &lt;= (65/SQRT($AT$32)), "Compact", K295 &lt;= (95/SQRT($AT$32)), "Non-Compact", K295 &gt; (95/SQRT($AT$32)), "Slender")</f>
        <v/>
      </c>
      <c r="Z295" s="125">
        <f>E295/F295</f>
        <v/>
      </c>
      <c r="AA295" s="125">
        <f>D295/G295</f>
        <v/>
      </c>
      <c r="AB295" s="125">
        <f t="array" ref="AB295">_xlfn.IFS(Z295 &lt;= 9, "1", Z295 &lt;= 12, "2", Z295 &lt;= 15, "3", Z295 &gt; 15, "4")</f>
        <v/>
      </c>
      <c r="AC295" s="125">
        <f t="array" ref="AC295">_xlfn.IFS(AA295 &lt;= 200, "1", L295 &lt;= 300, "2", L295 &lt;= 400, "3", L295 &gt; 400, "4")</f>
        <v/>
      </c>
      <c r="AD295" s="129">
        <f>SQRT((((VLOOKUP($AT$4,$A$4:$D$1021,4,FALSE))-D295)^2)+(((VLOOKUP($AT$4,$A$4:$E$1021,5,FALSE))-E295)^2)+(((VLOOKUP($AT$4,$A$4:$N$1021,14,FALSE))-N295)^2)+(((VLOOKUP($AT$4,$A$4:$O$1021,15,FALSE))-O295)^2))</f>
        <v/>
      </c>
      <c r="AG295" s="129">
        <f>SQRT((((VLOOKUP($AT$4,$A$4:$D$1021,4,FALSE))-D295)^2)+(((VLOOKUP($AT$4,$A$4:$E$1021,5,FALSE))-E295)^2)+(((VLOOKUP($AT$4,$A$4:$R$1021,18,FALSE))-R295)^2)+(((VLOOKUP($AT$4,$A$4:$S$1021,19,FALSE))-S295)^2))</f>
        <v/>
      </c>
      <c r="AJ295" s="125" t="inlineStr">
        <is>
          <t>W33X187</t>
        </is>
      </c>
      <c r="AK295" s="125">
        <f>SQRT(((VLOOKUP($AT$4,$A$4:$J$1021,10,FALSE))-J295)^2)</f>
        <v/>
      </c>
      <c r="AL295" s="125" t="n"/>
      <c r="AM295" s="125" t="n"/>
      <c r="AN295" s="125">
        <f>SQRT(((VLOOKUP($AT$4,$A$4:$R$1021,18,FALSE))-R295)^2)</f>
        <v/>
      </c>
      <c r="AO295" s="125" t="n"/>
      <c r="AP295" s="125" t="n"/>
      <c r="AQ295" s="125" t="inlineStr">
        <is>
          <t>W33X187</t>
        </is>
      </c>
      <c r="BB295" s="125">
        <f>SQRT(($J$1022-J295)^2)</f>
        <v/>
      </c>
      <c r="BC295" s="125">
        <f>SQRT(($R$1022-R295)^2)</f>
        <v/>
      </c>
      <c r="BD295" s="125" t="inlineStr">
        <is>
          <t>W33X187</t>
        </is>
      </c>
      <c r="BI295">
        <f>SQRT(($J$1023-J295)^2)</f>
        <v/>
      </c>
      <c r="BJ295">
        <f>SQRT(($R$1023-R295)^2)</f>
        <v/>
      </c>
      <c r="BK295" s="125" t="inlineStr">
        <is>
          <t>W33X187</t>
        </is>
      </c>
      <c r="BP295">
        <f>SQRT(($J$1024-J295)^2)</f>
        <v/>
      </c>
      <c r="BQ295">
        <f>SQRT(($R$1024-R295)^2)</f>
        <v/>
      </c>
      <c r="BR295" s="125" t="inlineStr">
        <is>
          <t>W33X187</t>
        </is>
      </c>
      <c r="BW295">
        <f>SQRT(($J$1025-J295)^2)</f>
        <v/>
      </c>
      <c r="BX295">
        <f>SQRT(($R$1025-R295)^2)</f>
        <v/>
      </c>
      <c r="BY295" s="125" t="inlineStr">
        <is>
          <t>W33X187</t>
        </is>
      </c>
      <c r="CD295">
        <f>SQRT(($J$1026-J295)^2)</f>
        <v/>
      </c>
      <c r="CE295">
        <f>SQRT(($R$1026-R295)^2)</f>
        <v/>
      </c>
      <c r="CF295" s="125" t="inlineStr">
        <is>
          <t>W33X187</t>
        </is>
      </c>
    </row>
    <row r="296">
      <c r="A296" s="125" t="inlineStr">
        <is>
          <t>W33X204</t>
        </is>
      </c>
      <c r="B296" s="129" t="inlineStr">
        <is>
          <t>AISC</t>
        </is>
      </c>
      <c r="C296" s="125" t="n">
        <v>304</v>
      </c>
      <c r="D296" s="125" t="n">
        <v>871.2</v>
      </c>
      <c r="E296" s="125" t="n">
        <v>295.7</v>
      </c>
      <c r="F296" s="125" t="n">
        <v>37.1</v>
      </c>
      <c r="G296" s="125" t="n">
        <v>20.6</v>
      </c>
      <c r="H296" s="125" t="n">
        <v>17.8</v>
      </c>
      <c r="I296" s="125" t="n">
        <v>761.4</v>
      </c>
      <c r="J296" s="125" t="n">
        <v>386</v>
      </c>
      <c r="K296" s="125">
        <f>((E296-G296)/2)/F296</f>
        <v/>
      </c>
      <c r="L296" s="125">
        <f>I296/G296</f>
        <v/>
      </c>
      <c r="M296" s="125" t="n">
        <v>2.85</v>
      </c>
      <c r="N296" s="125" t="n">
        <v>473000</v>
      </c>
      <c r="O296" s="125" t="n">
        <v>16050</v>
      </c>
      <c r="P296" s="125" t="n">
        <v>35</v>
      </c>
      <c r="Q296" s="125" t="n">
        <v>6.45</v>
      </c>
      <c r="R296" s="125" t="n">
        <v>10860</v>
      </c>
      <c r="S296" s="125" t="n">
        <v>1086</v>
      </c>
      <c r="T296" s="125" t="n">
        <v>12530</v>
      </c>
      <c r="U296" s="125" t="n">
        <v>1710</v>
      </c>
      <c r="X296" s="129">
        <f t="array" ref="X296">_xlfn.IFS((D296/F296) &lt;= (640/SQRT($AT$32)), "Compact", L296 &lt;= ($AT$32*(0.79-(0.002*((E296-G296/2)/(2*F296))*SQRT($AT$32)))), "Non-Compact", L296 &gt; ($AT$32*(0.79-(0.002*((E296-G296/2)/(2*F296))*SQRT($AT$32)))), "Slender")</f>
        <v/>
      </c>
      <c r="Y296" s="129">
        <f t="array" ref="Y296">_xlfn.IFS(K296 &lt;= (65/SQRT($AT$32)), "Compact", K296 &lt;= (95/SQRT($AT$32)), "Non-Compact", K296 &gt; (95/SQRT($AT$32)), "Slender")</f>
        <v/>
      </c>
      <c r="Z296" s="125">
        <f>E296/F296</f>
        <v/>
      </c>
      <c r="AA296" s="125">
        <f>D296/G296</f>
        <v/>
      </c>
      <c r="AB296" s="125">
        <f t="array" ref="AB296">_xlfn.IFS(Z296 &lt;= 9, "1", Z296 &lt;= 12, "2", Z296 &lt;= 15, "3", Z296 &gt; 15, "4")</f>
        <v/>
      </c>
      <c r="AC296" s="125">
        <f t="array" ref="AC296">_xlfn.IFS(AA296 &lt;= 200, "1", L296 &lt;= 300, "2", L296 &lt;= 400, "3", L296 &gt; 400, "4")</f>
        <v/>
      </c>
      <c r="AD296" s="129">
        <f>SQRT((((VLOOKUP($AT$4,$A$4:$D$1021,4,FALSE))-D296)^2)+(((VLOOKUP($AT$4,$A$4:$E$1021,5,FALSE))-E296)^2)+(((VLOOKUP($AT$4,$A$4:$N$1021,14,FALSE))-N296)^2)+(((VLOOKUP($AT$4,$A$4:$O$1021,15,FALSE))-O296)^2))</f>
        <v/>
      </c>
      <c r="AG296" s="129">
        <f>SQRT((((VLOOKUP($AT$4,$A$4:$D$1021,4,FALSE))-D296)^2)+(((VLOOKUP($AT$4,$A$4:$E$1021,5,FALSE))-E296)^2)+(((VLOOKUP($AT$4,$A$4:$R$1021,18,FALSE))-R296)^2)+(((VLOOKUP($AT$4,$A$4:$S$1021,19,FALSE))-S296)^2))</f>
        <v/>
      </c>
      <c r="AJ296" s="125" t="inlineStr">
        <is>
          <t>W33X204</t>
        </is>
      </c>
      <c r="AK296" s="125">
        <f>SQRT(((VLOOKUP($AT$4,$A$4:$J$1021,10,FALSE))-J296)^2)</f>
        <v/>
      </c>
      <c r="AL296" s="125" t="n"/>
      <c r="AM296" s="125" t="n"/>
      <c r="AN296" s="125">
        <f>SQRT(((VLOOKUP($AT$4,$A$4:$R$1021,18,FALSE))-R296)^2)</f>
        <v/>
      </c>
      <c r="AO296" s="125" t="n"/>
      <c r="AP296" s="125" t="n"/>
      <c r="AQ296" s="125" t="inlineStr">
        <is>
          <t>W33X204</t>
        </is>
      </c>
      <c r="BB296" s="125">
        <f>SQRT(($J$1022-J296)^2)</f>
        <v/>
      </c>
      <c r="BC296" s="125">
        <f>SQRT(($R$1022-R296)^2)</f>
        <v/>
      </c>
      <c r="BD296" s="125" t="inlineStr">
        <is>
          <t>W33X204</t>
        </is>
      </c>
      <c r="BI296">
        <f>SQRT(($J$1023-J296)^2)</f>
        <v/>
      </c>
      <c r="BJ296">
        <f>SQRT(($R$1023-R296)^2)</f>
        <v/>
      </c>
      <c r="BK296" s="125" t="inlineStr">
        <is>
          <t>W33X204</t>
        </is>
      </c>
      <c r="BP296">
        <f>SQRT(($J$1024-J296)^2)</f>
        <v/>
      </c>
      <c r="BQ296">
        <f>SQRT(($R$1024-R296)^2)</f>
        <v/>
      </c>
      <c r="BR296" s="125" t="inlineStr">
        <is>
          <t>W33X204</t>
        </is>
      </c>
      <c r="BW296">
        <f>SQRT(($J$1025-J296)^2)</f>
        <v/>
      </c>
      <c r="BX296">
        <f>SQRT(($R$1025-R296)^2)</f>
        <v/>
      </c>
      <c r="BY296" s="125" t="inlineStr">
        <is>
          <t>W33X204</t>
        </is>
      </c>
      <c r="CD296">
        <f>SQRT(($J$1026-J296)^2)</f>
        <v/>
      </c>
      <c r="CE296">
        <f>SQRT(($R$1026-R296)^2)</f>
        <v/>
      </c>
      <c r="CF296" s="125" t="inlineStr">
        <is>
          <t>W33X204</t>
        </is>
      </c>
    </row>
    <row r="297">
      <c r="A297" s="125" t="inlineStr">
        <is>
          <t>W33X219</t>
        </is>
      </c>
      <c r="B297" s="129" t="inlineStr">
        <is>
          <t>AISC</t>
        </is>
      </c>
      <c r="C297" s="125" t="n">
        <v>326</v>
      </c>
      <c r="D297" s="125" t="n">
        <v>877.1</v>
      </c>
      <c r="E297" s="125" t="n">
        <v>297.2</v>
      </c>
      <c r="F297" s="125" t="n">
        <v>39.9</v>
      </c>
      <c r="G297" s="125" t="n">
        <v>22.1</v>
      </c>
      <c r="H297" s="125" t="n">
        <v>17.8</v>
      </c>
      <c r="I297" s="125" t="n">
        <v>761.7</v>
      </c>
      <c r="J297" s="125" t="n">
        <v>416</v>
      </c>
      <c r="K297" s="125">
        <f>((E297-G297)/2)/F297</f>
        <v/>
      </c>
      <c r="L297" s="125">
        <f>I297/G297</f>
        <v/>
      </c>
      <c r="M297" s="125" t="n">
        <v>2.87</v>
      </c>
      <c r="N297" s="125" t="n">
        <v>513500</v>
      </c>
      <c r="O297" s="125" t="n">
        <v>17540</v>
      </c>
      <c r="P297" s="125" t="n">
        <v>35.1</v>
      </c>
      <c r="Q297" s="125" t="n">
        <v>6.49</v>
      </c>
      <c r="R297" s="125" t="n">
        <v>11710</v>
      </c>
      <c r="S297" s="125" t="n">
        <v>1180</v>
      </c>
      <c r="T297" s="125" t="n">
        <v>13550</v>
      </c>
      <c r="U297" s="125" t="n">
        <v>1864</v>
      </c>
      <c r="X297" s="129">
        <f t="array" ref="X297">_xlfn.IFS((D297/F297) &lt;= (640/SQRT($AT$32)), "Compact", L297 &lt;= ($AT$32*(0.79-(0.002*((E297-G297/2)/(2*F297))*SQRT($AT$32)))), "Non-Compact", L297 &gt; ($AT$32*(0.79-(0.002*((E297-G297/2)/(2*F297))*SQRT($AT$32)))), "Slender")</f>
        <v/>
      </c>
      <c r="Y297" s="129">
        <f t="array" ref="Y297">_xlfn.IFS(K297 &lt;= (65/SQRT($AT$32)), "Compact", K297 &lt;= (95/SQRT($AT$32)), "Non-Compact", K297 &gt; (95/SQRT($AT$32)), "Slender")</f>
        <v/>
      </c>
      <c r="Z297" s="125">
        <f>E297/F297</f>
        <v/>
      </c>
      <c r="AA297" s="125">
        <f>D297/G297</f>
        <v/>
      </c>
      <c r="AB297" s="125">
        <f t="array" ref="AB297">_xlfn.IFS(Z297 &lt;= 9, "1", Z297 &lt;= 12, "2", Z297 &lt;= 15, "3", Z297 &gt; 15, "4")</f>
        <v/>
      </c>
      <c r="AC297" s="125">
        <f t="array" ref="AC297">_xlfn.IFS(AA297 &lt;= 200, "1", L297 &lt;= 300, "2", L297 &lt;= 400, "3", L297 &gt; 400, "4")</f>
        <v/>
      </c>
      <c r="AD297" s="129">
        <f>SQRT((((VLOOKUP($AT$4,$A$4:$D$1021,4,FALSE))-D297)^2)+(((VLOOKUP($AT$4,$A$4:$E$1021,5,FALSE))-E297)^2)+(((VLOOKUP($AT$4,$A$4:$N$1021,14,FALSE))-N297)^2)+(((VLOOKUP($AT$4,$A$4:$O$1021,15,FALSE))-O297)^2))</f>
        <v/>
      </c>
      <c r="AG297" s="129">
        <f>SQRT((((VLOOKUP($AT$4,$A$4:$D$1021,4,FALSE))-D297)^2)+(((VLOOKUP($AT$4,$A$4:$E$1021,5,FALSE))-E297)^2)+(((VLOOKUP($AT$4,$A$4:$R$1021,18,FALSE))-R297)^2)+(((VLOOKUP($AT$4,$A$4:$S$1021,19,FALSE))-S297)^2))</f>
        <v/>
      </c>
      <c r="AJ297" s="125" t="inlineStr">
        <is>
          <t>W33X219</t>
        </is>
      </c>
      <c r="AK297" s="125">
        <f>SQRT(((VLOOKUP($AT$4,$A$4:$J$1021,10,FALSE))-J297)^2)</f>
        <v/>
      </c>
      <c r="AL297" s="125" t="n"/>
      <c r="AM297" s="125" t="n"/>
      <c r="AN297" s="125">
        <f>SQRT(((VLOOKUP($AT$4,$A$4:$R$1021,18,FALSE))-R297)^2)</f>
        <v/>
      </c>
      <c r="AO297" s="125" t="n"/>
      <c r="AP297" s="125" t="n"/>
      <c r="AQ297" s="125" t="inlineStr">
        <is>
          <t>W33X219</t>
        </is>
      </c>
      <c r="BB297" s="125">
        <f>SQRT(($J$1022-J297)^2)</f>
        <v/>
      </c>
      <c r="BC297" s="125">
        <f>SQRT(($R$1022-R297)^2)</f>
        <v/>
      </c>
      <c r="BD297" s="125" t="inlineStr">
        <is>
          <t>W33X219</t>
        </is>
      </c>
      <c r="BI297">
        <f>SQRT(($J$1023-J297)^2)</f>
        <v/>
      </c>
      <c r="BJ297">
        <f>SQRT(($R$1023-R297)^2)</f>
        <v/>
      </c>
      <c r="BK297" s="125" t="inlineStr">
        <is>
          <t>W33X219</t>
        </is>
      </c>
      <c r="BP297">
        <f>SQRT(($J$1024-J297)^2)</f>
        <v/>
      </c>
      <c r="BQ297">
        <f>SQRT(($R$1024-R297)^2)</f>
        <v/>
      </c>
      <c r="BR297" s="125" t="inlineStr">
        <is>
          <t>W33X219</t>
        </is>
      </c>
      <c r="BW297">
        <f>SQRT(($J$1025-J297)^2)</f>
        <v/>
      </c>
      <c r="BX297">
        <f>SQRT(($R$1025-R297)^2)</f>
        <v/>
      </c>
      <c r="BY297" s="125" t="inlineStr">
        <is>
          <t>W33X219</t>
        </is>
      </c>
      <c r="CD297">
        <f>SQRT(($J$1026-J297)^2)</f>
        <v/>
      </c>
      <c r="CE297">
        <f>SQRT(($R$1026-R297)^2)</f>
        <v/>
      </c>
      <c r="CF297" s="125" t="inlineStr">
        <is>
          <t>W33X219</t>
        </is>
      </c>
    </row>
    <row r="298">
      <c r="A298" s="125" t="inlineStr">
        <is>
          <t>W33X243</t>
        </is>
      </c>
      <c r="B298" s="129" t="inlineStr">
        <is>
          <t>AISC</t>
        </is>
      </c>
      <c r="C298" s="125" t="n">
        <v>362</v>
      </c>
      <c r="D298" s="125" t="n">
        <v>885.2</v>
      </c>
      <c r="E298" s="125" t="n">
        <v>299.7</v>
      </c>
      <c r="F298" s="125" t="n">
        <v>43.9</v>
      </c>
      <c r="G298" s="125" t="n">
        <v>24.4</v>
      </c>
      <c r="H298" s="125" t="n">
        <v>17.8</v>
      </c>
      <c r="I298" s="125" t="n">
        <v>761.8</v>
      </c>
      <c r="J298" s="125" t="n">
        <v>460</v>
      </c>
      <c r="K298" s="125">
        <f>((E298-G298)/2)/F298</f>
        <v/>
      </c>
      <c r="L298" s="125">
        <f>I298/G298</f>
        <v/>
      </c>
      <c r="M298" s="125" t="n">
        <v>2.89</v>
      </c>
      <c r="N298" s="125" t="n">
        <v>573400</v>
      </c>
      <c r="O298" s="125" t="n">
        <v>19800</v>
      </c>
      <c r="P298" s="125" t="n">
        <v>35.3</v>
      </c>
      <c r="Q298" s="125" t="n">
        <v>6.56</v>
      </c>
      <c r="R298" s="125" t="n">
        <v>12960</v>
      </c>
      <c r="S298" s="125" t="n">
        <v>1321</v>
      </c>
      <c r="T298" s="125" t="n">
        <v>15060</v>
      </c>
      <c r="U298" s="125" t="n">
        <v>2095</v>
      </c>
      <c r="X298" s="129">
        <f t="array" ref="X298">_xlfn.IFS((D298/F298) &lt;= (640/SQRT($AT$32)), "Compact", L298 &lt;= ($AT$32*(0.79-(0.002*((E298-G298/2)/(2*F298))*SQRT($AT$32)))), "Non-Compact", L298 &gt; ($AT$32*(0.79-(0.002*((E298-G298/2)/(2*F298))*SQRT($AT$32)))), "Slender")</f>
        <v/>
      </c>
      <c r="Y298" s="129">
        <f t="array" ref="Y298">_xlfn.IFS(K298 &lt;= (65/SQRT($AT$32)), "Compact", K298 &lt;= (95/SQRT($AT$32)), "Non-Compact", K298 &gt; (95/SQRT($AT$32)), "Slender")</f>
        <v/>
      </c>
      <c r="Z298" s="125">
        <f>E298/F298</f>
        <v/>
      </c>
      <c r="AA298" s="125">
        <f>D298/G298</f>
        <v/>
      </c>
      <c r="AB298" s="125">
        <f t="array" ref="AB298">_xlfn.IFS(Z298 &lt;= 9, "1", Z298 &lt;= 12, "2", Z298 &lt;= 15, "3", Z298 &gt; 15, "4")</f>
        <v/>
      </c>
      <c r="AC298" s="125">
        <f t="array" ref="AC298">_xlfn.IFS(AA298 &lt;= 200, "1", L298 &lt;= 300, "2", L298 &lt;= 400, "3", L298 &gt; 400, "4")</f>
        <v/>
      </c>
      <c r="AD298" s="129">
        <f>SQRT((((VLOOKUP($AT$4,$A$4:$D$1021,4,FALSE))-D298)^2)+(((VLOOKUP($AT$4,$A$4:$E$1021,5,FALSE))-E298)^2)+(((VLOOKUP($AT$4,$A$4:$N$1021,14,FALSE))-N298)^2)+(((VLOOKUP($AT$4,$A$4:$O$1021,15,FALSE))-O298)^2))</f>
        <v/>
      </c>
      <c r="AG298" s="129">
        <f>SQRT((((VLOOKUP($AT$4,$A$4:$D$1021,4,FALSE))-D298)^2)+(((VLOOKUP($AT$4,$A$4:$E$1021,5,FALSE))-E298)^2)+(((VLOOKUP($AT$4,$A$4:$R$1021,18,FALSE))-R298)^2)+(((VLOOKUP($AT$4,$A$4:$S$1021,19,FALSE))-S298)^2))</f>
        <v/>
      </c>
      <c r="AJ298" s="125" t="inlineStr">
        <is>
          <t>W33X243</t>
        </is>
      </c>
      <c r="AK298" s="125">
        <f>SQRT(((VLOOKUP($AT$4,$A$4:$J$1021,10,FALSE))-J298)^2)</f>
        <v/>
      </c>
      <c r="AL298" s="125" t="n"/>
      <c r="AM298" s="125" t="n"/>
      <c r="AN298" s="125">
        <f>SQRT(((VLOOKUP($AT$4,$A$4:$R$1021,18,FALSE))-R298)^2)</f>
        <v/>
      </c>
      <c r="AO298" s="125" t="n"/>
      <c r="AP298" s="125" t="n"/>
      <c r="AQ298" s="125" t="inlineStr">
        <is>
          <t>W33X243</t>
        </is>
      </c>
      <c r="BB298" s="125">
        <f>SQRT(($J$1022-J298)^2)</f>
        <v/>
      </c>
      <c r="BC298" s="125">
        <f>SQRT(($R$1022-R298)^2)</f>
        <v/>
      </c>
      <c r="BD298" s="125" t="inlineStr">
        <is>
          <t>W33X243</t>
        </is>
      </c>
      <c r="BI298">
        <f>SQRT(($J$1023-J298)^2)</f>
        <v/>
      </c>
      <c r="BJ298">
        <f>SQRT(($R$1023-R298)^2)</f>
        <v/>
      </c>
      <c r="BK298" s="125" t="inlineStr">
        <is>
          <t>W33X243</t>
        </is>
      </c>
      <c r="BP298">
        <f>SQRT(($J$1024-J298)^2)</f>
        <v/>
      </c>
      <c r="BQ298">
        <f>SQRT(($R$1024-R298)^2)</f>
        <v/>
      </c>
      <c r="BR298" s="125" t="inlineStr">
        <is>
          <t>W33X243</t>
        </is>
      </c>
      <c r="BW298">
        <f>SQRT(($J$1025-J298)^2)</f>
        <v/>
      </c>
      <c r="BX298">
        <f>SQRT(($R$1025-R298)^2)</f>
        <v/>
      </c>
      <c r="BY298" s="125" t="inlineStr">
        <is>
          <t>W33X243</t>
        </is>
      </c>
      <c r="CD298">
        <f>SQRT(($J$1026-J298)^2)</f>
        <v/>
      </c>
      <c r="CE298">
        <f>SQRT(($R$1026-R298)^2)</f>
        <v/>
      </c>
      <c r="CF298" s="125" t="inlineStr">
        <is>
          <t>W33X243</t>
        </is>
      </c>
    </row>
    <row r="299">
      <c r="A299" s="125" t="inlineStr">
        <is>
          <t>W33X271</t>
        </is>
      </c>
      <c r="B299" s="129" t="inlineStr">
        <is>
          <t>AISC</t>
        </is>
      </c>
      <c r="C299" s="125" t="n">
        <v>404</v>
      </c>
      <c r="D299" s="125" t="n">
        <v>895.1</v>
      </c>
      <c r="E299" s="125" t="n">
        <v>302.1</v>
      </c>
      <c r="F299" s="125" t="n">
        <v>49</v>
      </c>
      <c r="G299" s="125" t="n">
        <v>26.9</v>
      </c>
      <c r="H299" s="125" t="n">
        <v>17.8</v>
      </c>
      <c r="I299" s="125" t="n">
        <v>761.5</v>
      </c>
      <c r="J299" s="125" t="n">
        <v>513</v>
      </c>
      <c r="K299" s="125">
        <f>((E299-G299)/2)/F299</f>
        <v/>
      </c>
      <c r="L299" s="125">
        <f>I299/G299</f>
        <v/>
      </c>
      <c r="M299" s="125" t="n">
        <v>2.91</v>
      </c>
      <c r="N299" s="125" t="n">
        <v>648200</v>
      </c>
      <c r="O299" s="125" t="n">
        <v>22660</v>
      </c>
      <c r="P299" s="125" t="n">
        <v>35.5</v>
      </c>
      <c r="Q299" s="125" t="n">
        <v>6.64</v>
      </c>
      <c r="R299" s="125" t="n">
        <v>14480</v>
      </c>
      <c r="S299" s="125" t="n">
        <v>1500</v>
      </c>
      <c r="T299" s="125" t="n">
        <v>16910</v>
      </c>
      <c r="U299" s="125" t="n">
        <v>2385</v>
      </c>
      <c r="X299" s="129">
        <f t="array" ref="X299">_xlfn.IFS((D299/F299) &lt;= (640/SQRT($AT$32)), "Compact", L299 &lt;= ($AT$32*(0.79-(0.002*((E299-G299/2)/(2*F299))*SQRT($AT$32)))), "Non-Compact", L299 &gt; ($AT$32*(0.79-(0.002*((E299-G299/2)/(2*F299))*SQRT($AT$32)))), "Slender")</f>
        <v/>
      </c>
      <c r="Y299" s="129">
        <f t="array" ref="Y299">_xlfn.IFS(K299 &lt;= (65/SQRT($AT$32)), "Compact", K299 &lt;= (95/SQRT($AT$32)), "Non-Compact", K299 &gt; (95/SQRT($AT$32)), "Slender")</f>
        <v/>
      </c>
      <c r="Z299" s="125">
        <f>E299/F299</f>
        <v/>
      </c>
      <c r="AA299" s="125">
        <f>D299/G299</f>
        <v/>
      </c>
      <c r="AB299" s="125">
        <f t="array" ref="AB299">_xlfn.IFS(Z299 &lt;= 9, "1", Z299 &lt;= 12, "2", Z299 &lt;= 15, "3", Z299 &gt; 15, "4")</f>
        <v/>
      </c>
      <c r="AC299" s="125">
        <f t="array" ref="AC299">_xlfn.IFS(AA299 &lt;= 200, "1", L299 &lt;= 300, "2", L299 &lt;= 400, "3", L299 &gt; 400, "4")</f>
        <v/>
      </c>
      <c r="AD299" s="129">
        <f>SQRT((((VLOOKUP($AT$4,$A$4:$D$1021,4,FALSE))-D299)^2)+(((VLOOKUP($AT$4,$A$4:$E$1021,5,FALSE))-E299)^2)+(((VLOOKUP($AT$4,$A$4:$N$1021,14,FALSE))-N299)^2)+(((VLOOKUP($AT$4,$A$4:$O$1021,15,FALSE))-O299)^2))</f>
        <v/>
      </c>
      <c r="AG299" s="129">
        <f>SQRT((((VLOOKUP($AT$4,$A$4:$D$1021,4,FALSE))-D299)^2)+(((VLOOKUP($AT$4,$A$4:$E$1021,5,FALSE))-E299)^2)+(((VLOOKUP($AT$4,$A$4:$R$1021,18,FALSE))-R299)^2)+(((VLOOKUP($AT$4,$A$4:$S$1021,19,FALSE))-S299)^2))</f>
        <v/>
      </c>
      <c r="AJ299" s="125" t="inlineStr">
        <is>
          <t>W33X271</t>
        </is>
      </c>
      <c r="AK299" s="125">
        <f>SQRT(((VLOOKUP($AT$4,$A$4:$J$1021,10,FALSE))-J299)^2)</f>
        <v/>
      </c>
      <c r="AL299" s="125" t="n"/>
      <c r="AM299" s="125" t="n"/>
      <c r="AN299" s="125">
        <f>SQRT(((VLOOKUP($AT$4,$A$4:$R$1021,18,FALSE))-R299)^2)</f>
        <v/>
      </c>
      <c r="AO299" s="125" t="n"/>
      <c r="AP299" s="125" t="n"/>
      <c r="AQ299" s="125" t="inlineStr">
        <is>
          <t>W33X271</t>
        </is>
      </c>
      <c r="BB299" s="125">
        <f>SQRT(($J$1022-J299)^2)</f>
        <v/>
      </c>
      <c r="BC299" s="125">
        <f>SQRT(($R$1022-R299)^2)</f>
        <v/>
      </c>
      <c r="BD299" s="125" t="inlineStr">
        <is>
          <t>W33X271</t>
        </is>
      </c>
      <c r="BI299">
        <f>SQRT(($J$1023-J299)^2)</f>
        <v/>
      </c>
      <c r="BJ299">
        <f>SQRT(($R$1023-R299)^2)</f>
        <v/>
      </c>
      <c r="BK299" s="125" t="inlineStr">
        <is>
          <t>W33X271</t>
        </is>
      </c>
      <c r="BP299">
        <f>SQRT(($J$1024-J299)^2)</f>
        <v/>
      </c>
      <c r="BQ299">
        <f>SQRT(($R$1024-R299)^2)</f>
        <v/>
      </c>
      <c r="BR299" s="125" t="inlineStr">
        <is>
          <t>W33X271</t>
        </is>
      </c>
      <c r="BW299">
        <f>SQRT(($J$1025-J299)^2)</f>
        <v/>
      </c>
      <c r="BX299">
        <f>SQRT(($R$1025-R299)^2)</f>
        <v/>
      </c>
      <c r="BY299" s="125" t="inlineStr">
        <is>
          <t>W33X271</t>
        </is>
      </c>
      <c r="CD299">
        <f>SQRT(($J$1026-J299)^2)</f>
        <v/>
      </c>
      <c r="CE299">
        <f>SQRT(($R$1026-R299)^2)</f>
        <v/>
      </c>
      <c r="CF299" s="125" t="inlineStr">
        <is>
          <t>W33X271</t>
        </is>
      </c>
    </row>
    <row r="300">
      <c r="A300" s="125" t="inlineStr">
        <is>
          <t>W33X301</t>
        </is>
      </c>
      <c r="B300" s="129" t="inlineStr">
        <is>
          <t>AISC</t>
        </is>
      </c>
      <c r="C300" s="125" t="n">
        <v>449</v>
      </c>
      <c r="D300" s="125" t="n">
        <v>905</v>
      </c>
      <c r="E300" s="125" t="n">
        <v>305.2</v>
      </c>
      <c r="F300" s="125" t="n">
        <v>54.1</v>
      </c>
      <c r="G300" s="125" t="n">
        <v>30</v>
      </c>
      <c r="H300" s="125" t="n">
        <v>17.8</v>
      </c>
      <c r="I300" s="125" t="n">
        <v>761.2</v>
      </c>
      <c r="J300" s="125" t="n">
        <v>572</v>
      </c>
      <c r="K300" s="125">
        <f>((E300-G300)/2)/F300</f>
        <v/>
      </c>
      <c r="L300" s="125">
        <f>I300/G300</f>
        <v/>
      </c>
      <c r="M300" s="125" t="n">
        <v>2.94</v>
      </c>
      <c r="N300" s="125" t="n">
        <v>729200</v>
      </c>
      <c r="O300" s="125" t="n">
        <v>25820</v>
      </c>
      <c r="P300" s="125" t="n">
        <v>35.7</v>
      </c>
      <c r="Q300" s="125" t="n">
        <v>6.72</v>
      </c>
      <c r="R300" s="125" t="n">
        <v>16120</v>
      </c>
      <c r="S300" s="125" t="n">
        <v>1692</v>
      </c>
      <c r="T300" s="125" t="n">
        <v>18920</v>
      </c>
      <c r="U300" s="125" t="n">
        <v>2704</v>
      </c>
      <c r="X300" s="129">
        <f t="array" ref="X300">_xlfn.IFS((D300/F300) &lt;= (640/SQRT($AT$32)), "Compact", L300 &lt;= ($AT$32*(0.79-(0.002*((E300-G300/2)/(2*F300))*SQRT($AT$32)))), "Non-Compact", L300 &gt; ($AT$32*(0.79-(0.002*((E300-G300/2)/(2*F300))*SQRT($AT$32)))), "Slender")</f>
        <v/>
      </c>
      <c r="Y300" s="129">
        <f t="array" ref="Y300">_xlfn.IFS(K300 &lt;= (65/SQRT($AT$32)), "Compact", K300 &lt;= (95/SQRT($AT$32)), "Non-Compact", K300 &gt; (95/SQRT($AT$32)), "Slender")</f>
        <v/>
      </c>
      <c r="Z300" s="125">
        <f>E300/F300</f>
        <v/>
      </c>
      <c r="AA300" s="125">
        <f>D300/G300</f>
        <v/>
      </c>
      <c r="AB300" s="125">
        <f t="array" ref="AB300">_xlfn.IFS(Z300 &lt;= 9, "1", Z300 &lt;= 12, "2", Z300 &lt;= 15, "3", Z300 &gt; 15, "4")</f>
        <v/>
      </c>
      <c r="AC300" s="125">
        <f t="array" ref="AC300">_xlfn.IFS(AA300 &lt;= 200, "1", L300 &lt;= 300, "2", L300 &lt;= 400, "3", L300 &gt; 400, "4")</f>
        <v/>
      </c>
      <c r="AD300" s="129">
        <f>SQRT((((VLOOKUP($AT$4,$A$4:$D$1021,4,FALSE))-D300)^2)+(((VLOOKUP($AT$4,$A$4:$E$1021,5,FALSE))-E300)^2)+(((VLOOKUP($AT$4,$A$4:$N$1021,14,FALSE))-N300)^2)+(((VLOOKUP($AT$4,$A$4:$O$1021,15,FALSE))-O300)^2))</f>
        <v/>
      </c>
      <c r="AG300" s="129">
        <f>SQRT((((VLOOKUP($AT$4,$A$4:$D$1021,4,FALSE))-D300)^2)+(((VLOOKUP($AT$4,$A$4:$E$1021,5,FALSE))-E300)^2)+(((VLOOKUP($AT$4,$A$4:$R$1021,18,FALSE))-R300)^2)+(((VLOOKUP($AT$4,$A$4:$S$1021,19,FALSE))-S300)^2))</f>
        <v/>
      </c>
      <c r="AJ300" s="125" t="inlineStr">
        <is>
          <t>W33X301</t>
        </is>
      </c>
      <c r="AK300" s="125">
        <f>SQRT(((VLOOKUP($AT$4,$A$4:$J$1021,10,FALSE))-J300)^2)</f>
        <v/>
      </c>
      <c r="AL300" s="125" t="n"/>
      <c r="AM300" s="125" t="n"/>
      <c r="AN300" s="125">
        <f>SQRT(((VLOOKUP($AT$4,$A$4:$R$1021,18,FALSE))-R300)^2)</f>
        <v/>
      </c>
      <c r="AO300" s="125" t="n"/>
      <c r="AP300" s="125" t="n"/>
      <c r="AQ300" s="125" t="inlineStr">
        <is>
          <t>W33X301</t>
        </is>
      </c>
      <c r="BB300" s="125">
        <f>SQRT(($J$1022-J300)^2)</f>
        <v/>
      </c>
      <c r="BC300" s="125">
        <f>SQRT(($R$1022-R300)^2)</f>
        <v/>
      </c>
      <c r="BD300" s="125" t="inlineStr">
        <is>
          <t>W33X301</t>
        </is>
      </c>
      <c r="BI300">
        <f>SQRT(($J$1023-J300)^2)</f>
        <v/>
      </c>
      <c r="BJ300">
        <f>SQRT(($R$1023-R300)^2)</f>
        <v/>
      </c>
      <c r="BK300" s="125" t="inlineStr">
        <is>
          <t>W33X301</t>
        </is>
      </c>
      <c r="BP300">
        <f>SQRT(($J$1024-J300)^2)</f>
        <v/>
      </c>
      <c r="BQ300">
        <f>SQRT(($R$1024-R300)^2)</f>
        <v/>
      </c>
      <c r="BR300" s="125" t="inlineStr">
        <is>
          <t>W33X301</t>
        </is>
      </c>
      <c r="BW300">
        <f>SQRT(($J$1025-J300)^2)</f>
        <v/>
      </c>
      <c r="BX300">
        <f>SQRT(($R$1025-R300)^2)</f>
        <v/>
      </c>
      <c r="BY300" s="125" t="inlineStr">
        <is>
          <t>W33X301</t>
        </is>
      </c>
      <c r="CD300">
        <f>SQRT(($J$1026-J300)^2)</f>
        <v/>
      </c>
      <c r="CE300">
        <f>SQRT(($R$1026-R300)^2)</f>
        <v/>
      </c>
      <c r="CF300" s="125" t="inlineStr">
        <is>
          <t>W33X301</t>
        </is>
      </c>
    </row>
    <row r="301">
      <c r="A301" s="125" t="inlineStr">
        <is>
          <t>W33X332</t>
        </is>
      </c>
      <c r="B301" s="129" t="inlineStr">
        <is>
          <t>AISC</t>
        </is>
      </c>
      <c r="C301" s="125" t="n">
        <v>494</v>
      </c>
      <c r="D301" s="125" t="n">
        <v>915.2</v>
      </c>
      <c r="E301" s="125" t="n">
        <v>308.1</v>
      </c>
      <c r="F301" s="125" t="n">
        <v>58.9</v>
      </c>
      <c r="G301" s="125" t="n">
        <v>33</v>
      </c>
      <c r="H301" s="125" t="n">
        <v>17.8</v>
      </c>
      <c r="I301" s="125" t="n">
        <v>761.8</v>
      </c>
      <c r="J301" s="125" t="n">
        <v>629</v>
      </c>
      <c r="K301" s="125">
        <f>((E301-G301)/2)/F301</f>
        <v/>
      </c>
      <c r="L301" s="125">
        <f>I301/G301</f>
        <v/>
      </c>
      <c r="M301" s="125" t="n">
        <v>2.97</v>
      </c>
      <c r="N301" s="125" t="n">
        <v>810000</v>
      </c>
      <c r="O301" s="125" t="n">
        <v>28960</v>
      </c>
      <c r="P301" s="125" t="n">
        <v>35.9</v>
      </c>
      <c r="Q301" s="125" t="n">
        <v>6.79</v>
      </c>
      <c r="R301" s="125" t="n">
        <v>17700</v>
      </c>
      <c r="S301" s="125" t="n">
        <v>1880</v>
      </c>
      <c r="T301" s="125" t="n">
        <v>20890</v>
      </c>
      <c r="U301" s="125" t="n">
        <v>3018</v>
      </c>
      <c r="X301" s="129">
        <f t="array" ref="X301">_xlfn.IFS((D301/F301) &lt;= (640/SQRT($AT$32)), "Compact", L301 &lt;= ($AT$32*(0.79-(0.002*((E301-G301/2)/(2*F301))*SQRT($AT$32)))), "Non-Compact", L301 &gt; ($AT$32*(0.79-(0.002*((E301-G301/2)/(2*F301))*SQRT($AT$32)))), "Slender")</f>
        <v/>
      </c>
      <c r="Y301" s="129">
        <f t="array" ref="Y301">_xlfn.IFS(K301 &lt;= (65/SQRT($AT$32)), "Compact", K301 &lt;= (95/SQRT($AT$32)), "Non-Compact", K301 &gt; (95/SQRT($AT$32)), "Slender")</f>
        <v/>
      </c>
      <c r="Z301" s="125">
        <f>E301/F301</f>
        <v/>
      </c>
      <c r="AA301" s="125">
        <f>D301/G301</f>
        <v/>
      </c>
      <c r="AB301" s="125">
        <f t="array" ref="AB301">_xlfn.IFS(Z301 &lt;= 9, "1", Z301 &lt;= 12, "2", Z301 &lt;= 15, "3", Z301 &gt; 15, "4")</f>
        <v/>
      </c>
      <c r="AC301" s="125">
        <f t="array" ref="AC301">_xlfn.IFS(AA301 &lt;= 200, "1", L301 &lt;= 300, "2", L301 &lt;= 400, "3", L301 &gt; 400, "4")</f>
        <v/>
      </c>
      <c r="AD301" s="129">
        <f>SQRT((((VLOOKUP($AT$4,$A$4:$D$1021,4,FALSE))-D301)^2)+(((VLOOKUP($AT$4,$A$4:$E$1021,5,FALSE))-E301)^2)+(((VLOOKUP($AT$4,$A$4:$N$1021,14,FALSE))-N301)^2)+(((VLOOKUP($AT$4,$A$4:$O$1021,15,FALSE))-O301)^2))</f>
        <v/>
      </c>
      <c r="AG301" s="129">
        <f>SQRT((((VLOOKUP($AT$4,$A$4:$D$1021,4,FALSE))-D301)^2)+(((VLOOKUP($AT$4,$A$4:$E$1021,5,FALSE))-E301)^2)+(((VLOOKUP($AT$4,$A$4:$R$1021,18,FALSE))-R301)^2)+(((VLOOKUP($AT$4,$A$4:$S$1021,19,FALSE))-S301)^2))</f>
        <v/>
      </c>
      <c r="AJ301" s="125" t="inlineStr">
        <is>
          <t>W33X332</t>
        </is>
      </c>
      <c r="AK301" s="125">
        <f>SQRT(((VLOOKUP($AT$4,$A$4:$J$1021,10,FALSE))-J301)^2)</f>
        <v/>
      </c>
      <c r="AL301" s="125" t="n"/>
      <c r="AM301" s="125" t="n"/>
      <c r="AN301" s="125">
        <f>SQRT(((VLOOKUP($AT$4,$A$4:$R$1021,18,FALSE))-R301)^2)</f>
        <v/>
      </c>
      <c r="AO301" s="125" t="n"/>
      <c r="AP301" s="125" t="n"/>
      <c r="AQ301" s="125" t="inlineStr">
        <is>
          <t>W33X332</t>
        </is>
      </c>
      <c r="BB301" s="125">
        <f>SQRT(($J$1022-J301)^2)</f>
        <v/>
      </c>
      <c r="BC301" s="125">
        <f>SQRT(($R$1022-R301)^2)</f>
        <v/>
      </c>
      <c r="BD301" s="125" t="inlineStr">
        <is>
          <t>W33X332</t>
        </is>
      </c>
      <c r="BI301">
        <f>SQRT(($J$1023-J301)^2)</f>
        <v/>
      </c>
      <c r="BJ301">
        <f>SQRT(($R$1023-R301)^2)</f>
        <v/>
      </c>
      <c r="BK301" s="125" t="inlineStr">
        <is>
          <t>W33X332</t>
        </is>
      </c>
      <c r="BP301">
        <f>SQRT(($J$1024-J301)^2)</f>
        <v/>
      </c>
      <c r="BQ301">
        <f>SQRT(($R$1024-R301)^2)</f>
        <v/>
      </c>
      <c r="BR301" s="125" t="inlineStr">
        <is>
          <t>W33X332</t>
        </is>
      </c>
      <c r="BW301">
        <f>SQRT(($J$1025-J301)^2)</f>
        <v/>
      </c>
      <c r="BX301">
        <f>SQRT(($R$1025-R301)^2)</f>
        <v/>
      </c>
      <c r="BY301" s="125" t="inlineStr">
        <is>
          <t>W33X332</t>
        </is>
      </c>
      <c r="CD301">
        <f>SQRT(($J$1026-J301)^2)</f>
        <v/>
      </c>
      <c r="CE301">
        <f>SQRT(($R$1026-R301)^2)</f>
        <v/>
      </c>
      <c r="CF301" s="125" t="inlineStr">
        <is>
          <t>W33X332</t>
        </is>
      </c>
    </row>
    <row r="302">
      <c r="A302" s="125" t="inlineStr">
        <is>
          <t>W33X361</t>
        </is>
      </c>
      <c r="B302" s="129" t="inlineStr">
        <is>
          <t>AISC</t>
        </is>
      </c>
      <c r="C302" s="125" t="n">
        <v>537</v>
      </c>
      <c r="D302" s="125" t="n">
        <v>925.1</v>
      </c>
      <c r="E302" s="125" t="n">
        <v>310.6</v>
      </c>
      <c r="F302" s="125" t="n">
        <v>64</v>
      </c>
      <c r="G302" s="125" t="n">
        <v>35.6</v>
      </c>
      <c r="H302" s="125" t="n">
        <v>17.8</v>
      </c>
      <c r="I302" s="125" t="n">
        <v>761.5</v>
      </c>
      <c r="J302" s="125" t="n">
        <v>684</v>
      </c>
      <c r="K302" s="125">
        <f>((E302-G302)/2)/F302</f>
        <v/>
      </c>
      <c r="L302" s="125">
        <f>I302/G302</f>
        <v/>
      </c>
      <c r="M302" s="125" t="n">
        <v>2.99</v>
      </c>
      <c r="N302" s="125" t="n">
        <v>892800</v>
      </c>
      <c r="O302" s="125" t="n">
        <v>32280</v>
      </c>
      <c r="P302" s="125" t="n">
        <v>36.1</v>
      </c>
      <c r="Q302" s="125" t="n">
        <v>6.87</v>
      </c>
      <c r="R302" s="125" t="n">
        <v>19300</v>
      </c>
      <c r="S302" s="125" t="n">
        <v>2078</v>
      </c>
      <c r="T302" s="125" t="n">
        <v>22880</v>
      </c>
      <c r="U302" s="125" t="n">
        <v>3346</v>
      </c>
      <c r="X302" s="129">
        <f t="array" ref="X302">_xlfn.IFS((D302/F302) &lt;= (640/SQRT($AT$32)), "Compact", L302 &lt;= ($AT$32*(0.79-(0.002*((E302-G302/2)/(2*F302))*SQRT($AT$32)))), "Non-Compact", L302 &gt; ($AT$32*(0.79-(0.002*((E302-G302/2)/(2*F302))*SQRT($AT$32)))), "Slender")</f>
        <v/>
      </c>
      <c r="Y302" s="129">
        <f t="array" ref="Y302">_xlfn.IFS(K302 &lt;= (65/SQRT($AT$32)), "Compact", K302 &lt;= (95/SQRT($AT$32)), "Non-Compact", K302 &gt; (95/SQRT($AT$32)), "Slender")</f>
        <v/>
      </c>
      <c r="Z302" s="125">
        <f>E302/F302</f>
        <v/>
      </c>
      <c r="AA302" s="125">
        <f>D302/G302</f>
        <v/>
      </c>
      <c r="AB302" s="125">
        <f t="array" ref="AB302">_xlfn.IFS(Z302 &lt;= 9, "1", Z302 &lt;= 12, "2", Z302 &lt;= 15, "3", Z302 &gt; 15, "4")</f>
        <v/>
      </c>
      <c r="AC302" s="125">
        <f t="array" ref="AC302">_xlfn.IFS(AA302 &lt;= 200, "1", L302 &lt;= 300, "2", L302 &lt;= 400, "3", L302 &gt; 400, "4")</f>
        <v/>
      </c>
      <c r="AD302" s="129">
        <f>SQRT((((VLOOKUP($AT$4,$A$4:$D$1021,4,FALSE))-D302)^2)+(((VLOOKUP($AT$4,$A$4:$E$1021,5,FALSE))-E302)^2)+(((VLOOKUP($AT$4,$A$4:$N$1021,14,FALSE))-N302)^2)+(((VLOOKUP($AT$4,$A$4:$O$1021,15,FALSE))-O302)^2))</f>
        <v/>
      </c>
      <c r="AG302" s="129">
        <f>SQRT((((VLOOKUP($AT$4,$A$4:$D$1021,4,FALSE))-D302)^2)+(((VLOOKUP($AT$4,$A$4:$E$1021,5,FALSE))-E302)^2)+(((VLOOKUP($AT$4,$A$4:$R$1021,18,FALSE))-R302)^2)+(((VLOOKUP($AT$4,$A$4:$S$1021,19,FALSE))-S302)^2))</f>
        <v/>
      </c>
      <c r="AJ302" s="125" t="inlineStr">
        <is>
          <t>W33X361</t>
        </is>
      </c>
      <c r="AK302" s="125">
        <f>SQRT(((VLOOKUP($AT$4,$A$4:$J$1021,10,FALSE))-J302)^2)</f>
        <v/>
      </c>
      <c r="AL302" s="125" t="n"/>
      <c r="AM302" s="125" t="n"/>
      <c r="AN302" s="125">
        <f>SQRT(((VLOOKUP($AT$4,$A$4:$R$1021,18,FALSE))-R302)^2)</f>
        <v/>
      </c>
      <c r="AO302" s="125" t="n"/>
      <c r="AP302" s="125" t="n"/>
      <c r="AQ302" s="125" t="inlineStr">
        <is>
          <t>W33X361</t>
        </is>
      </c>
      <c r="BB302" s="125">
        <f>SQRT(($J$1022-J302)^2)</f>
        <v/>
      </c>
      <c r="BC302" s="125">
        <f>SQRT(($R$1022-R302)^2)</f>
        <v/>
      </c>
      <c r="BD302" s="125" t="inlineStr">
        <is>
          <t>W33X361</t>
        </is>
      </c>
      <c r="BI302">
        <f>SQRT(($J$1023-J302)^2)</f>
        <v/>
      </c>
      <c r="BJ302">
        <f>SQRT(($R$1023-R302)^2)</f>
        <v/>
      </c>
      <c r="BK302" s="125" t="inlineStr">
        <is>
          <t>W33X361</t>
        </is>
      </c>
      <c r="BP302">
        <f>SQRT(($J$1024-J302)^2)</f>
        <v/>
      </c>
      <c r="BQ302">
        <f>SQRT(($R$1024-R302)^2)</f>
        <v/>
      </c>
      <c r="BR302" s="125" t="inlineStr">
        <is>
          <t>W33X361</t>
        </is>
      </c>
      <c r="BW302">
        <f>SQRT(($J$1025-J302)^2)</f>
        <v/>
      </c>
      <c r="BX302">
        <f>SQRT(($R$1025-R302)^2)</f>
        <v/>
      </c>
      <c r="BY302" s="125" t="inlineStr">
        <is>
          <t>W33X361</t>
        </is>
      </c>
      <c r="CD302">
        <f>SQRT(($J$1026-J302)^2)</f>
        <v/>
      </c>
      <c r="CE302">
        <f>SQRT(($R$1026-R302)^2)</f>
        <v/>
      </c>
      <c r="CF302" s="125" t="inlineStr">
        <is>
          <t>W33X361</t>
        </is>
      </c>
    </row>
    <row r="303">
      <c r="A303" s="125" t="inlineStr">
        <is>
          <t>W33X201</t>
        </is>
      </c>
      <c r="B303" s="129" t="inlineStr">
        <is>
          <t>AISC</t>
        </is>
      </c>
      <c r="C303" s="125" t="n">
        <v>299.1</v>
      </c>
      <c r="D303" s="125" t="n">
        <v>855.5</v>
      </c>
      <c r="E303" s="125" t="n">
        <v>399.9</v>
      </c>
      <c r="F303" s="125" t="n">
        <v>29.2</v>
      </c>
      <c r="G303" s="125" t="n">
        <v>18.2</v>
      </c>
      <c r="H303" s="125" t="n">
        <v>17.8</v>
      </c>
      <c r="I303" s="125" t="n">
        <v>761.5</v>
      </c>
      <c r="J303" s="125" t="n">
        <v>381</v>
      </c>
      <c r="K303" s="125">
        <f>((E303-G303)/2)/F303</f>
        <v/>
      </c>
      <c r="L303" s="125">
        <f>I303/G303</f>
        <v/>
      </c>
      <c r="M303" s="125" t="n">
        <v>3.24</v>
      </c>
      <c r="N303" s="125" t="n">
        <v>479800</v>
      </c>
      <c r="O303" s="125" t="n">
        <v>31180</v>
      </c>
      <c r="P303" s="125" t="n">
        <v>35.5</v>
      </c>
      <c r="Q303" s="125" t="n">
        <v>9.050000000000001</v>
      </c>
      <c r="R303" s="125" t="n">
        <v>11220</v>
      </c>
      <c r="S303" s="125" t="n">
        <v>1559</v>
      </c>
      <c r="T303" s="125" t="n">
        <v>12640</v>
      </c>
      <c r="U303" s="125" t="n">
        <v>2405</v>
      </c>
      <c r="X303" s="129">
        <f t="array" ref="X303">_xlfn.IFS((D303/F303) &lt;= (640/SQRT($AT$32)), "Compact", L303 &lt;= ($AT$32*(0.79-(0.002*((E303-G303/2)/(2*F303))*SQRT($AT$32)))), "Non-Compact", L303 &gt; ($AT$32*(0.79-(0.002*((E303-G303/2)/(2*F303))*SQRT($AT$32)))), "Slender")</f>
        <v/>
      </c>
      <c r="Y303" s="129">
        <f t="array" ref="Y303">_xlfn.IFS(K303 &lt;= (65/SQRT($AT$32)), "Compact", K303 &lt;= (95/SQRT($AT$32)), "Non-Compact", K303 &gt; (95/SQRT($AT$32)), "Slender")</f>
        <v/>
      </c>
      <c r="Z303" s="125">
        <f>E303/F303</f>
        <v/>
      </c>
      <c r="AA303" s="125">
        <f>D303/G303</f>
        <v/>
      </c>
      <c r="AB303" s="125">
        <f t="array" ref="AB303">_xlfn.IFS(Z303 &lt;= 9, "1", Z303 &lt;= 12, "2", Z303 &lt;= 15, "3", Z303 &gt; 15, "4")</f>
        <v/>
      </c>
      <c r="AC303" s="125">
        <f t="array" ref="AC303">_xlfn.IFS(AA303 &lt;= 200, "1", L303 &lt;= 300, "2", L303 &lt;= 400, "3", L303 &gt; 400, "4")</f>
        <v/>
      </c>
      <c r="AD303" s="129">
        <f>SQRT((((VLOOKUP($AT$4,$A$4:$D$1021,4,FALSE))-D303)^2)+(((VLOOKUP($AT$4,$A$4:$E$1021,5,FALSE))-E303)^2)+(((VLOOKUP($AT$4,$A$4:$N$1021,14,FALSE))-N303)^2)+(((VLOOKUP($AT$4,$A$4:$O$1021,15,FALSE))-O303)^2))</f>
        <v/>
      </c>
      <c r="AG303" s="129">
        <f>SQRT((((VLOOKUP($AT$4,$A$4:$D$1021,4,FALSE))-D303)^2)+(((VLOOKUP($AT$4,$A$4:$E$1021,5,FALSE))-E303)^2)+(((VLOOKUP($AT$4,$A$4:$R$1021,18,FALSE))-R303)^2)+(((VLOOKUP($AT$4,$A$4:$S$1021,19,FALSE))-S303)^2))</f>
        <v/>
      </c>
      <c r="AJ303" s="125" t="inlineStr">
        <is>
          <t>W33X201</t>
        </is>
      </c>
      <c r="AK303" s="125">
        <f>SQRT(((VLOOKUP($AT$4,$A$4:$J$1021,10,FALSE))-J303)^2)</f>
        <v/>
      </c>
      <c r="AL303" s="125" t="n"/>
      <c r="AM303" s="125" t="n"/>
      <c r="AN303" s="125">
        <f>SQRT(((VLOOKUP($AT$4,$A$4:$R$1021,18,FALSE))-R303)^2)</f>
        <v/>
      </c>
      <c r="AO303" s="125" t="n"/>
      <c r="AP303" s="125" t="n"/>
      <c r="AQ303" s="125" t="inlineStr">
        <is>
          <t>W33X201</t>
        </is>
      </c>
      <c r="BB303" s="125">
        <f>SQRT(($J$1022-J303)^2)</f>
        <v/>
      </c>
      <c r="BC303" s="125">
        <f>SQRT(($R$1022-R303)^2)</f>
        <v/>
      </c>
      <c r="BD303" s="125" t="inlineStr">
        <is>
          <t>W33X201</t>
        </is>
      </c>
      <c r="BI303">
        <f>SQRT(($J$1023-J303)^2)</f>
        <v/>
      </c>
      <c r="BJ303">
        <f>SQRT(($R$1023-R303)^2)</f>
        <v/>
      </c>
      <c r="BK303" s="125" t="inlineStr">
        <is>
          <t>W33X201</t>
        </is>
      </c>
      <c r="BP303">
        <f>SQRT(($J$1024-J303)^2)</f>
        <v/>
      </c>
      <c r="BQ303">
        <f>SQRT(($R$1024-R303)^2)</f>
        <v/>
      </c>
      <c r="BR303" s="125" t="inlineStr">
        <is>
          <t>W33X201</t>
        </is>
      </c>
      <c r="BW303">
        <f>SQRT(($J$1025-J303)^2)</f>
        <v/>
      </c>
      <c r="BX303">
        <f>SQRT(($R$1025-R303)^2)</f>
        <v/>
      </c>
      <c r="BY303" s="125" t="inlineStr">
        <is>
          <t>W33X201</t>
        </is>
      </c>
      <c r="CD303">
        <f>SQRT(($J$1026-J303)^2)</f>
        <v/>
      </c>
      <c r="CE303">
        <f>SQRT(($R$1026-R303)^2)</f>
        <v/>
      </c>
      <c r="CF303" s="125" t="inlineStr">
        <is>
          <t>W33X201</t>
        </is>
      </c>
    </row>
    <row r="304">
      <c r="A304" s="125" t="inlineStr">
        <is>
          <t>W33X221</t>
        </is>
      </c>
      <c r="B304" s="129" t="inlineStr">
        <is>
          <t>AISC</t>
        </is>
      </c>
      <c r="C304" s="125" t="n">
        <v>328.9</v>
      </c>
      <c r="D304" s="125" t="n">
        <v>861.8</v>
      </c>
      <c r="E304" s="125" t="n">
        <v>401.4</v>
      </c>
      <c r="F304" s="125" t="n">
        <v>32.4</v>
      </c>
      <c r="G304" s="125" t="n">
        <v>19.7</v>
      </c>
      <c r="H304" s="125" t="n">
        <v>17.8</v>
      </c>
      <c r="I304" s="125" t="n">
        <v>761.4</v>
      </c>
      <c r="J304" s="125" t="n">
        <v>420</v>
      </c>
      <c r="K304" s="125">
        <f>((E304-G304)/2)/F304</f>
        <v/>
      </c>
      <c r="L304" s="125">
        <f>I304/G304</f>
        <v/>
      </c>
      <c r="M304" s="125" t="n">
        <v>3.26</v>
      </c>
      <c r="N304" s="125" t="n">
        <v>534700</v>
      </c>
      <c r="O304" s="125" t="n">
        <v>34970</v>
      </c>
      <c r="P304" s="125" t="n">
        <v>35.7</v>
      </c>
      <c r="Q304" s="125" t="n">
        <v>9.130000000000001</v>
      </c>
      <c r="R304" s="125" t="n">
        <v>12410</v>
      </c>
      <c r="S304" s="125" t="n">
        <v>1742</v>
      </c>
      <c r="T304" s="125" t="n">
        <v>14020</v>
      </c>
      <c r="U304" s="125" t="n">
        <v>2690</v>
      </c>
      <c r="X304" s="129">
        <f t="array" ref="X304">_xlfn.IFS((D304/F304) &lt;= (640/SQRT($AT$32)), "Compact", L304 &lt;= ($AT$32*(0.79-(0.002*((E304-G304/2)/(2*F304))*SQRT($AT$32)))), "Non-Compact", L304 &gt; ($AT$32*(0.79-(0.002*((E304-G304/2)/(2*F304))*SQRT($AT$32)))), "Slender")</f>
        <v/>
      </c>
      <c r="Y304" s="129">
        <f t="array" ref="Y304">_xlfn.IFS(K304 &lt;= (65/SQRT($AT$32)), "Compact", K304 &lt;= (95/SQRT($AT$32)), "Non-Compact", K304 &gt; (95/SQRT($AT$32)), "Slender")</f>
        <v/>
      </c>
      <c r="Z304" s="125">
        <f>E304/F304</f>
        <v/>
      </c>
      <c r="AA304" s="125">
        <f>D304/G304</f>
        <v/>
      </c>
      <c r="AB304" s="125">
        <f t="array" ref="AB304">_xlfn.IFS(Z304 &lt;= 9, "1", Z304 &lt;= 12, "2", Z304 &lt;= 15, "3", Z304 &gt; 15, "4")</f>
        <v/>
      </c>
      <c r="AC304" s="125">
        <f t="array" ref="AC304">_xlfn.IFS(AA304 &lt;= 200, "1", L304 &lt;= 300, "2", L304 &lt;= 400, "3", L304 &gt; 400, "4")</f>
        <v/>
      </c>
      <c r="AD304" s="129">
        <f>SQRT((((VLOOKUP($AT$4,$A$4:$D$1021,4,FALSE))-D304)^2)+(((VLOOKUP($AT$4,$A$4:$E$1021,5,FALSE))-E304)^2)+(((VLOOKUP($AT$4,$A$4:$N$1021,14,FALSE))-N304)^2)+(((VLOOKUP($AT$4,$A$4:$O$1021,15,FALSE))-O304)^2))</f>
        <v/>
      </c>
      <c r="AG304" s="129">
        <f>SQRT((((VLOOKUP($AT$4,$A$4:$D$1021,4,FALSE))-D304)^2)+(((VLOOKUP($AT$4,$A$4:$E$1021,5,FALSE))-E304)^2)+(((VLOOKUP($AT$4,$A$4:$R$1021,18,FALSE))-R304)^2)+(((VLOOKUP($AT$4,$A$4:$S$1021,19,FALSE))-S304)^2))</f>
        <v/>
      </c>
      <c r="AJ304" s="125" t="inlineStr">
        <is>
          <t>W33X221</t>
        </is>
      </c>
      <c r="AK304" s="125">
        <f>SQRT(((VLOOKUP($AT$4,$A$4:$J$1021,10,FALSE))-J304)^2)</f>
        <v/>
      </c>
      <c r="AL304" s="125" t="n"/>
      <c r="AM304" s="125" t="n"/>
      <c r="AN304" s="125">
        <f>SQRT(((VLOOKUP($AT$4,$A$4:$R$1021,18,FALSE))-R304)^2)</f>
        <v/>
      </c>
      <c r="AO304" s="125" t="n"/>
      <c r="AP304" s="125" t="n"/>
      <c r="AQ304" s="125" t="inlineStr">
        <is>
          <t>W33X221</t>
        </is>
      </c>
      <c r="BB304" s="125">
        <f>SQRT(($J$1022-J304)^2)</f>
        <v/>
      </c>
      <c r="BC304" s="125">
        <f>SQRT(($R$1022-R304)^2)</f>
        <v/>
      </c>
      <c r="BD304" s="125" t="inlineStr">
        <is>
          <t>W33X221</t>
        </is>
      </c>
      <c r="BI304">
        <f>SQRT(($J$1023-J304)^2)</f>
        <v/>
      </c>
      <c r="BJ304">
        <f>SQRT(($R$1023-R304)^2)</f>
        <v/>
      </c>
      <c r="BK304" s="125" t="inlineStr">
        <is>
          <t>W33X221</t>
        </is>
      </c>
      <c r="BP304">
        <f>SQRT(($J$1024-J304)^2)</f>
        <v/>
      </c>
      <c r="BQ304">
        <f>SQRT(($R$1024-R304)^2)</f>
        <v/>
      </c>
      <c r="BR304" s="125" t="inlineStr">
        <is>
          <t>W33X221</t>
        </is>
      </c>
      <c r="BW304">
        <f>SQRT(($J$1025-J304)^2)</f>
        <v/>
      </c>
      <c r="BX304">
        <f>SQRT(($R$1025-R304)^2)</f>
        <v/>
      </c>
      <c r="BY304" s="125" t="inlineStr">
        <is>
          <t>W33X221</t>
        </is>
      </c>
      <c r="CD304">
        <f>SQRT(($J$1026-J304)^2)</f>
        <v/>
      </c>
      <c r="CE304">
        <f>SQRT(($R$1026-R304)^2)</f>
        <v/>
      </c>
      <c r="CF304" s="125" t="inlineStr">
        <is>
          <t>W33X221</t>
        </is>
      </c>
    </row>
    <row r="305">
      <c r="A305" s="125" t="inlineStr">
        <is>
          <t>W33X241</t>
        </is>
      </c>
      <c r="B305" s="129" t="inlineStr">
        <is>
          <t>AISC</t>
        </is>
      </c>
      <c r="C305" s="125" t="n">
        <v>358.6</v>
      </c>
      <c r="D305" s="125" t="n">
        <v>868.2</v>
      </c>
      <c r="E305" s="125" t="n">
        <v>402.8</v>
      </c>
      <c r="F305" s="125" t="n">
        <v>35.6</v>
      </c>
      <c r="G305" s="125" t="n">
        <v>21.1</v>
      </c>
      <c r="H305" s="125" t="n">
        <v>17.8</v>
      </c>
      <c r="I305" s="125" t="n">
        <v>761.5</v>
      </c>
      <c r="J305" s="125" t="n">
        <v>457</v>
      </c>
      <c r="K305" s="125">
        <f>((E305-G305)/2)/F305</f>
        <v/>
      </c>
      <c r="L305" s="125">
        <f>I305/G305</f>
        <v/>
      </c>
      <c r="M305" s="125" t="n">
        <v>3.27</v>
      </c>
      <c r="N305" s="125" t="n">
        <v>590000</v>
      </c>
      <c r="O305" s="125" t="n">
        <v>38800</v>
      </c>
      <c r="P305" s="125" t="n">
        <v>35.9</v>
      </c>
      <c r="Q305" s="125" t="n">
        <v>9.210000000000001</v>
      </c>
      <c r="R305" s="125" t="n">
        <v>13590</v>
      </c>
      <c r="S305" s="125" t="n">
        <v>1927</v>
      </c>
      <c r="T305" s="125" t="n">
        <v>15380</v>
      </c>
      <c r="U305" s="125" t="n">
        <v>2977</v>
      </c>
      <c r="X305" s="129">
        <f t="array" ref="X305">_xlfn.IFS((D305/F305) &lt;= (640/SQRT($AT$32)), "Compact", L305 &lt;= ($AT$32*(0.79-(0.002*((E305-G305/2)/(2*F305))*SQRT($AT$32)))), "Non-Compact", L305 &gt; ($AT$32*(0.79-(0.002*((E305-G305/2)/(2*F305))*SQRT($AT$32)))), "Slender")</f>
        <v/>
      </c>
      <c r="Y305" s="129">
        <f t="array" ref="Y305">_xlfn.IFS(K305 &lt;= (65/SQRT($AT$32)), "Compact", K305 &lt;= (95/SQRT($AT$32)), "Non-Compact", K305 &gt; (95/SQRT($AT$32)), "Slender")</f>
        <v/>
      </c>
      <c r="Z305" s="125">
        <f>E305/F305</f>
        <v/>
      </c>
      <c r="AA305" s="125">
        <f>D305/G305</f>
        <v/>
      </c>
      <c r="AB305" s="125">
        <f t="array" ref="AB305">_xlfn.IFS(Z305 &lt;= 9, "1", Z305 &lt;= 12, "2", Z305 &lt;= 15, "3", Z305 &gt; 15, "4")</f>
        <v/>
      </c>
      <c r="AC305" s="125">
        <f t="array" ref="AC305">_xlfn.IFS(AA305 &lt;= 200, "1", L305 &lt;= 300, "2", L305 &lt;= 400, "3", L305 &gt; 400, "4")</f>
        <v/>
      </c>
      <c r="AD305" s="129">
        <f>SQRT((((VLOOKUP($AT$4,$A$4:$D$1021,4,FALSE))-D305)^2)+(((VLOOKUP($AT$4,$A$4:$E$1021,5,FALSE))-E305)^2)+(((VLOOKUP($AT$4,$A$4:$N$1021,14,FALSE))-N305)^2)+(((VLOOKUP($AT$4,$A$4:$O$1021,15,FALSE))-O305)^2))</f>
        <v/>
      </c>
      <c r="AG305" s="129">
        <f>SQRT((((VLOOKUP($AT$4,$A$4:$D$1021,4,FALSE))-D305)^2)+(((VLOOKUP($AT$4,$A$4:$E$1021,5,FALSE))-E305)^2)+(((VLOOKUP($AT$4,$A$4:$R$1021,18,FALSE))-R305)^2)+(((VLOOKUP($AT$4,$A$4:$S$1021,19,FALSE))-S305)^2))</f>
        <v/>
      </c>
      <c r="AJ305" s="125" t="inlineStr">
        <is>
          <t>W33X241</t>
        </is>
      </c>
      <c r="AK305" s="125">
        <f>SQRT(((VLOOKUP($AT$4,$A$4:$J$1021,10,FALSE))-J305)^2)</f>
        <v/>
      </c>
      <c r="AL305" s="125" t="n"/>
      <c r="AM305" s="125" t="n"/>
      <c r="AN305" s="125">
        <f>SQRT(((VLOOKUP($AT$4,$A$4:$R$1021,18,FALSE))-R305)^2)</f>
        <v/>
      </c>
      <c r="AO305" s="125" t="n"/>
      <c r="AP305" s="125" t="n"/>
      <c r="AQ305" s="125" t="inlineStr">
        <is>
          <t>W33X241</t>
        </is>
      </c>
      <c r="BB305" s="125">
        <f>SQRT(($J$1022-J305)^2)</f>
        <v/>
      </c>
      <c r="BC305" s="125">
        <f>SQRT(($R$1022-R305)^2)</f>
        <v/>
      </c>
      <c r="BD305" s="125" t="inlineStr">
        <is>
          <t>W33X241</t>
        </is>
      </c>
      <c r="BI305">
        <f>SQRT(($J$1023-J305)^2)</f>
        <v/>
      </c>
      <c r="BJ305">
        <f>SQRT(($R$1023-R305)^2)</f>
        <v/>
      </c>
      <c r="BK305" s="125" t="inlineStr">
        <is>
          <t>W33X241</t>
        </is>
      </c>
      <c r="BP305">
        <f>SQRT(($J$1024-J305)^2)</f>
        <v/>
      </c>
      <c r="BQ305">
        <f>SQRT(($R$1024-R305)^2)</f>
        <v/>
      </c>
      <c r="BR305" s="125" t="inlineStr">
        <is>
          <t>W33X241</t>
        </is>
      </c>
      <c r="BW305">
        <f>SQRT(($J$1025-J305)^2)</f>
        <v/>
      </c>
      <c r="BX305">
        <f>SQRT(($R$1025-R305)^2)</f>
        <v/>
      </c>
      <c r="BY305" s="125" t="inlineStr">
        <is>
          <t>W33X241</t>
        </is>
      </c>
      <c r="CD305">
        <f>SQRT(($J$1026-J305)^2)</f>
        <v/>
      </c>
      <c r="CE305">
        <f>SQRT(($R$1026-R305)^2)</f>
        <v/>
      </c>
      <c r="CF305" s="125" t="inlineStr">
        <is>
          <t>W33X241</t>
        </is>
      </c>
    </row>
    <row r="306">
      <c r="A306" s="125" t="inlineStr">
        <is>
          <t>W33X263</t>
        </is>
      </c>
      <c r="B306" s="129" t="inlineStr">
        <is>
          <t>AISC</t>
        </is>
      </c>
      <c r="C306" s="125" t="n">
        <v>391.4</v>
      </c>
      <c r="D306" s="125" t="n">
        <v>877.1</v>
      </c>
      <c r="E306" s="125" t="n">
        <v>401.4</v>
      </c>
      <c r="F306" s="125" t="n">
        <v>39.9</v>
      </c>
      <c r="G306" s="125" t="n">
        <v>22.1</v>
      </c>
      <c r="H306" s="125" t="n">
        <v>17.8</v>
      </c>
      <c r="I306" s="125" t="n">
        <v>761.7</v>
      </c>
      <c r="J306" s="125" t="n">
        <v>499</v>
      </c>
      <c r="K306" s="125">
        <f>((E306-G306)/2)/F306</f>
        <v/>
      </c>
      <c r="L306" s="125">
        <f>I306/G306</f>
        <v/>
      </c>
      <c r="M306" s="125" t="n">
        <v>3.29</v>
      </c>
      <c r="N306" s="125" t="n">
        <v>659000</v>
      </c>
      <c r="O306" s="125" t="n">
        <v>43070</v>
      </c>
      <c r="P306" s="125" t="n">
        <v>36.3</v>
      </c>
      <c r="Q306" s="125" t="n">
        <v>9.289999999999999</v>
      </c>
      <c r="R306" s="125" t="n">
        <v>15030</v>
      </c>
      <c r="S306" s="125" t="n">
        <v>2146</v>
      </c>
      <c r="T306" s="125" t="n">
        <v>17020</v>
      </c>
      <c r="U306" s="125" t="n">
        <v>3314</v>
      </c>
      <c r="X306" s="129">
        <f t="array" ref="X306">_xlfn.IFS((D306/F306) &lt;= (640/SQRT($AT$32)), "Compact", L306 &lt;= ($AT$32*(0.79-(0.002*((E306-G306/2)/(2*F306))*SQRT($AT$32)))), "Non-Compact", L306 &gt; ($AT$32*(0.79-(0.002*((E306-G306/2)/(2*F306))*SQRT($AT$32)))), "Slender")</f>
        <v/>
      </c>
      <c r="Y306" s="129">
        <f t="array" ref="Y306">_xlfn.IFS(K306 &lt;= (65/SQRT($AT$32)), "Compact", K306 &lt;= (95/SQRT($AT$32)), "Non-Compact", K306 &gt; (95/SQRT($AT$32)), "Slender")</f>
        <v/>
      </c>
      <c r="Z306" s="125">
        <f>E306/F306</f>
        <v/>
      </c>
      <c r="AA306" s="125">
        <f>D306/G306</f>
        <v/>
      </c>
      <c r="AB306" s="125">
        <f t="array" ref="AB306">_xlfn.IFS(Z306 &lt;= 9, "1", Z306 &lt;= 12, "2", Z306 &lt;= 15, "3", Z306 &gt; 15, "4")</f>
        <v/>
      </c>
      <c r="AC306" s="125">
        <f t="array" ref="AC306">_xlfn.IFS(AA306 &lt;= 200, "1", L306 &lt;= 300, "2", L306 &lt;= 400, "3", L306 &gt; 400, "4")</f>
        <v/>
      </c>
      <c r="AD306" s="129">
        <f>SQRT((((VLOOKUP($AT$4,$A$4:$D$1021,4,FALSE))-D306)^2)+(((VLOOKUP($AT$4,$A$4:$E$1021,5,FALSE))-E306)^2)+(((VLOOKUP($AT$4,$A$4:$N$1021,14,FALSE))-N306)^2)+(((VLOOKUP($AT$4,$A$4:$O$1021,15,FALSE))-O306)^2))</f>
        <v/>
      </c>
      <c r="AG306" s="129">
        <f>SQRT((((VLOOKUP($AT$4,$A$4:$D$1021,4,FALSE))-D306)^2)+(((VLOOKUP($AT$4,$A$4:$E$1021,5,FALSE))-E306)^2)+(((VLOOKUP($AT$4,$A$4:$R$1021,18,FALSE))-R306)^2)+(((VLOOKUP($AT$4,$A$4:$S$1021,19,FALSE))-S306)^2))</f>
        <v/>
      </c>
      <c r="AJ306" s="125" t="inlineStr">
        <is>
          <t>W33X263</t>
        </is>
      </c>
      <c r="AK306" s="125">
        <f>SQRT(((VLOOKUP($AT$4,$A$4:$J$1021,10,FALSE))-J306)^2)</f>
        <v/>
      </c>
      <c r="AL306" s="125" t="n"/>
      <c r="AM306" s="125" t="n"/>
      <c r="AN306" s="125">
        <f>SQRT(((VLOOKUP($AT$4,$A$4:$R$1021,18,FALSE))-R306)^2)</f>
        <v/>
      </c>
      <c r="AO306" s="125" t="n"/>
      <c r="AP306" s="125" t="n"/>
      <c r="AQ306" s="125" t="inlineStr">
        <is>
          <t>W33X263</t>
        </is>
      </c>
      <c r="BB306" s="125">
        <f>SQRT(($J$1022-J306)^2)</f>
        <v/>
      </c>
      <c r="BC306" s="125">
        <f>SQRT(($R$1022-R306)^2)</f>
        <v/>
      </c>
      <c r="BD306" s="125" t="inlineStr">
        <is>
          <t>W33X263</t>
        </is>
      </c>
      <c r="BI306">
        <f>SQRT(($J$1023-J306)^2)</f>
        <v/>
      </c>
      <c r="BJ306">
        <f>SQRT(($R$1023-R306)^2)</f>
        <v/>
      </c>
      <c r="BK306" s="125" t="inlineStr">
        <is>
          <t>W33X263</t>
        </is>
      </c>
      <c r="BP306">
        <f>SQRT(($J$1024-J306)^2)</f>
        <v/>
      </c>
      <c r="BQ306">
        <f>SQRT(($R$1024-R306)^2)</f>
        <v/>
      </c>
      <c r="BR306" s="125" t="inlineStr">
        <is>
          <t>W33X263</t>
        </is>
      </c>
      <c r="BW306">
        <f>SQRT(($J$1025-J306)^2)</f>
        <v/>
      </c>
      <c r="BX306">
        <f>SQRT(($R$1025-R306)^2)</f>
        <v/>
      </c>
      <c r="BY306" s="125" t="inlineStr">
        <is>
          <t>W33X263</t>
        </is>
      </c>
      <c r="CD306">
        <f>SQRT(($J$1026-J306)^2)</f>
        <v/>
      </c>
      <c r="CE306">
        <f>SQRT(($R$1026-R306)^2)</f>
        <v/>
      </c>
      <c r="CF306" s="125" t="inlineStr">
        <is>
          <t>W33X263</t>
        </is>
      </c>
    </row>
    <row r="307">
      <c r="A307" s="125" t="inlineStr">
        <is>
          <t>W33X291</t>
        </is>
      </c>
      <c r="B307" s="129" t="inlineStr">
        <is>
          <t>AISC</t>
        </is>
      </c>
      <c r="C307" s="125" t="n">
        <v>433.1</v>
      </c>
      <c r="D307" s="125" t="n">
        <v>884.9</v>
      </c>
      <c r="E307" s="125" t="n">
        <v>404</v>
      </c>
      <c r="F307" s="125" t="n">
        <v>43.9</v>
      </c>
      <c r="G307" s="125" t="n">
        <v>24.4</v>
      </c>
      <c r="H307" s="125" t="n">
        <v>17.8</v>
      </c>
      <c r="I307" s="125" t="n">
        <v>761.4</v>
      </c>
      <c r="J307" s="125" t="n">
        <v>552</v>
      </c>
      <c r="K307" s="125">
        <f>((E307-G307)/2)/F307</f>
        <v/>
      </c>
      <c r="L307" s="125">
        <f>I307/G307</f>
        <v/>
      </c>
      <c r="M307" s="125" t="n">
        <v>3.31</v>
      </c>
      <c r="N307" s="125" t="n">
        <v>735400</v>
      </c>
      <c r="O307" s="125" t="n">
        <v>48390</v>
      </c>
      <c r="P307" s="125" t="n">
        <v>36.5</v>
      </c>
      <c r="Q307" s="125" t="n">
        <v>9.359999999999999</v>
      </c>
      <c r="R307" s="125" t="n">
        <v>16620</v>
      </c>
      <c r="S307" s="125" t="n">
        <v>2396</v>
      </c>
      <c r="T307" s="125" t="n">
        <v>18910</v>
      </c>
      <c r="U307" s="125" t="n">
        <v>3709</v>
      </c>
      <c r="X307" s="129">
        <f t="array" ref="X307">_xlfn.IFS((D307/F307) &lt;= (640/SQRT($AT$32)), "Compact", L307 &lt;= ($AT$32*(0.79-(0.002*((E307-G307/2)/(2*F307))*SQRT($AT$32)))), "Non-Compact", L307 &gt; ($AT$32*(0.79-(0.002*((E307-G307/2)/(2*F307))*SQRT($AT$32)))), "Slender")</f>
        <v/>
      </c>
      <c r="Y307" s="129">
        <f t="array" ref="Y307">_xlfn.IFS(K307 &lt;= (65/SQRT($AT$32)), "Compact", K307 &lt;= (95/SQRT($AT$32)), "Non-Compact", K307 &gt; (95/SQRT($AT$32)), "Slender")</f>
        <v/>
      </c>
      <c r="Z307" s="125">
        <f>E307/F307</f>
        <v/>
      </c>
      <c r="AA307" s="125">
        <f>D307/G307</f>
        <v/>
      </c>
      <c r="AB307" s="125">
        <f t="array" ref="AB307">_xlfn.IFS(Z307 &lt;= 9, "1", Z307 &lt;= 12, "2", Z307 &lt;= 15, "3", Z307 &gt; 15, "4")</f>
        <v/>
      </c>
      <c r="AC307" s="125">
        <f t="array" ref="AC307">_xlfn.IFS(AA307 &lt;= 200, "1", L307 &lt;= 300, "2", L307 &lt;= 400, "3", L307 &gt; 400, "4")</f>
        <v/>
      </c>
      <c r="AD307" s="129">
        <f>SQRT((((VLOOKUP($AT$4,$A$4:$D$1021,4,FALSE))-D307)^2)+(((VLOOKUP($AT$4,$A$4:$E$1021,5,FALSE))-E307)^2)+(((VLOOKUP($AT$4,$A$4:$N$1021,14,FALSE))-N307)^2)+(((VLOOKUP($AT$4,$A$4:$O$1021,15,FALSE))-O307)^2))</f>
        <v/>
      </c>
      <c r="AG307" s="129">
        <f>SQRT((((VLOOKUP($AT$4,$A$4:$D$1021,4,FALSE))-D307)^2)+(((VLOOKUP($AT$4,$A$4:$E$1021,5,FALSE))-E307)^2)+(((VLOOKUP($AT$4,$A$4:$R$1021,18,FALSE))-R307)^2)+(((VLOOKUP($AT$4,$A$4:$S$1021,19,FALSE))-S307)^2))</f>
        <v/>
      </c>
      <c r="AJ307" s="125" t="inlineStr">
        <is>
          <t>W33X291</t>
        </is>
      </c>
      <c r="AK307" s="125">
        <f>SQRT(((VLOOKUP($AT$4,$A$4:$J$1021,10,FALSE))-J307)^2)</f>
        <v/>
      </c>
      <c r="AL307" s="125" t="n"/>
      <c r="AM307" s="125" t="n"/>
      <c r="AN307" s="125">
        <f>SQRT(((VLOOKUP($AT$4,$A$4:$R$1021,18,FALSE))-R307)^2)</f>
        <v/>
      </c>
      <c r="AO307" s="125" t="n"/>
      <c r="AP307" s="125" t="n"/>
      <c r="AQ307" s="125" t="inlineStr">
        <is>
          <t>W33X291</t>
        </is>
      </c>
      <c r="BB307" s="125">
        <f>SQRT(($J$1022-J307)^2)</f>
        <v/>
      </c>
      <c r="BC307" s="125">
        <f>SQRT(($R$1022-R307)^2)</f>
        <v/>
      </c>
      <c r="BD307" s="125" t="inlineStr">
        <is>
          <t>W33X291</t>
        </is>
      </c>
      <c r="BI307">
        <f>SQRT(($J$1023-J307)^2)</f>
        <v/>
      </c>
      <c r="BJ307">
        <f>SQRT(($R$1023-R307)^2)</f>
        <v/>
      </c>
      <c r="BK307" s="125" t="inlineStr">
        <is>
          <t>W33X291</t>
        </is>
      </c>
      <c r="BP307">
        <f>SQRT(($J$1024-J307)^2)</f>
        <v/>
      </c>
      <c r="BQ307">
        <f>SQRT(($R$1024-R307)^2)</f>
        <v/>
      </c>
      <c r="BR307" s="125" t="inlineStr">
        <is>
          <t>W33X291</t>
        </is>
      </c>
      <c r="BW307">
        <f>SQRT(($J$1025-J307)^2)</f>
        <v/>
      </c>
      <c r="BX307">
        <f>SQRT(($R$1025-R307)^2)</f>
        <v/>
      </c>
      <c r="BY307" s="125" t="inlineStr">
        <is>
          <t>W33X291</t>
        </is>
      </c>
      <c r="CD307">
        <f>SQRT(($J$1026-J307)^2)</f>
        <v/>
      </c>
      <c r="CE307">
        <f>SQRT(($R$1026-R307)^2)</f>
        <v/>
      </c>
      <c r="CF307" s="125" t="inlineStr">
        <is>
          <t>W33X291</t>
        </is>
      </c>
    </row>
    <row r="308">
      <c r="A308" s="125" t="inlineStr">
        <is>
          <t>W33X318</t>
        </is>
      </c>
      <c r="B308" s="129" t="inlineStr">
        <is>
          <t>AISC</t>
        </is>
      </c>
      <c r="C308" s="125" t="n">
        <v>473.2</v>
      </c>
      <c r="D308" s="125" t="n">
        <v>893.1</v>
      </c>
      <c r="E308" s="125" t="n">
        <v>406</v>
      </c>
      <c r="F308" s="125" t="n">
        <v>48</v>
      </c>
      <c r="G308" s="125" t="n">
        <v>26.4</v>
      </c>
      <c r="H308" s="125" t="n">
        <v>17.8</v>
      </c>
      <c r="I308" s="125" t="n">
        <v>761.5</v>
      </c>
      <c r="J308" s="125" t="n">
        <v>603</v>
      </c>
      <c r="K308" s="125">
        <f>((E308-G308)/2)/F308</f>
        <v/>
      </c>
      <c r="L308" s="125">
        <f>I308/G308</f>
        <v/>
      </c>
      <c r="M308" s="125" t="n">
        <v>3.33</v>
      </c>
      <c r="N308" s="125" t="n">
        <v>812500</v>
      </c>
      <c r="O308" s="125" t="n">
        <v>53680</v>
      </c>
      <c r="P308" s="125" t="n">
        <v>36.7</v>
      </c>
      <c r="Q308" s="125" t="n">
        <v>9.43</v>
      </c>
      <c r="R308" s="125" t="n">
        <v>18200</v>
      </c>
      <c r="S308" s="125" t="n">
        <v>2644</v>
      </c>
      <c r="T308" s="125" t="n">
        <v>20780</v>
      </c>
      <c r="U308" s="125" t="n">
        <v>4101</v>
      </c>
      <c r="X308" s="129">
        <f t="array" ref="X308">_xlfn.IFS((D308/F308) &lt;= (640/SQRT($AT$32)), "Compact", L308 &lt;= ($AT$32*(0.79-(0.002*((E308-G308/2)/(2*F308))*SQRT($AT$32)))), "Non-Compact", L308 &gt; ($AT$32*(0.79-(0.002*((E308-G308/2)/(2*F308))*SQRT($AT$32)))), "Slender")</f>
        <v/>
      </c>
      <c r="Y308" s="129">
        <f t="array" ref="Y308">_xlfn.IFS(K308 &lt;= (65/SQRT($AT$32)), "Compact", K308 &lt;= (95/SQRT($AT$32)), "Non-Compact", K308 &gt; (95/SQRT($AT$32)), "Slender")</f>
        <v/>
      </c>
      <c r="Z308" s="125">
        <f>E308/F308</f>
        <v/>
      </c>
      <c r="AA308" s="125">
        <f>D308/G308</f>
        <v/>
      </c>
      <c r="AB308" s="125">
        <f t="array" ref="AB308">_xlfn.IFS(Z308 &lt;= 9, "1", Z308 &lt;= 12, "2", Z308 &lt;= 15, "3", Z308 &gt; 15, "4")</f>
        <v/>
      </c>
      <c r="AC308" s="125">
        <f t="array" ref="AC308">_xlfn.IFS(AA308 &lt;= 200, "1", L308 &lt;= 300, "2", L308 &lt;= 400, "3", L308 &gt; 400, "4")</f>
        <v/>
      </c>
      <c r="AD308" s="129">
        <f>SQRT((((VLOOKUP($AT$4,$A$4:$D$1021,4,FALSE))-D308)^2)+(((VLOOKUP($AT$4,$A$4:$E$1021,5,FALSE))-E308)^2)+(((VLOOKUP($AT$4,$A$4:$N$1021,14,FALSE))-N308)^2)+(((VLOOKUP($AT$4,$A$4:$O$1021,15,FALSE))-O308)^2))</f>
        <v/>
      </c>
      <c r="AG308" s="129">
        <f>SQRT((((VLOOKUP($AT$4,$A$4:$D$1021,4,FALSE))-D308)^2)+(((VLOOKUP($AT$4,$A$4:$E$1021,5,FALSE))-E308)^2)+(((VLOOKUP($AT$4,$A$4:$R$1021,18,FALSE))-R308)^2)+(((VLOOKUP($AT$4,$A$4:$S$1021,19,FALSE))-S308)^2))</f>
        <v/>
      </c>
      <c r="AJ308" s="125" t="inlineStr">
        <is>
          <t>W33X318</t>
        </is>
      </c>
      <c r="AK308" s="125">
        <f>SQRT(((VLOOKUP($AT$4,$A$4:$J$1021,10,FALSE))-J308)^2)</f>
        <v/>
      </c>
      <c r="AL308" s="125" t="n"/>
      <c r="AM308" s="125" t="n"/>
      <c r="AN308" s="125">
        <f>SQRT(((VLOOKUP($AT$4,$A$4:$R$1021,18,FALSE))-R308)^2)</f>
        <v/>
      </c>
      <c r="AO308" s="125" t="n"/>
      <c r="AP308" s="125" t="n"/>
      <c r="AQ308" s="125" t="inlineStr">
        <is>
          <t>W33X318</t>
        </is>
      </c>
      <c r="BB308" s="125">
        <f>SQRT(($J$1022-J308)^2)</f>
        <v/>
      </c>
      <c r="BC308" s="125">
        <f>SQRT(($R$1022-R308)^2)</f>
        <v/>
      </c>
      <c r="BD308" s="125" t="inlineStr">
        <is>
          <t>W33X318</t>
        </is>
      </c>
      <c r="BI308">
        <f>SQRT(($J$1023-J308)^2)</f>
        <v/>
      </c>
      <c r="BJ308">
        <f>SQRT(($R$1023-R308)^2)</f>
        <v/>
      </c>
      <c r="BK308" s="125" t="inlineStr">
        <is>
          <t>W33X318</t>
        </is>
      </c>
      <c r="BP308">
        <f>SQRT(($J$1024-J308)^2)</f>
        <v/>
      </c>
      <c r="BQ308">
        <f>SQRT(($R$1024-R308)^2)</f>
        <v/>
      </c>
      <c r="BR308" s="125" t="inlineStr">
        <is>
          <t>W33X318</t>
        </is>
      </c>
      <c r="BW308">
        <f>SQRT(($J$1025-J308)^2)</f>
        <v/>
      </c>
      <c r="BX308">
        <f>SQRT(($R$1025-R308)^2)</f>
        <v/>
      </c>
      <c r="BY308" s="125" t="inlineStr">
        <is>
          <t>W33X318</t>
        </is>
      </c>
      <c r="CD308">
        <f>SQRT(($J$1026-J308)^2)</f>
        <v/>
      </c>
      <c r="CE308">
        <f>SQRT(($R$1026-R308)^2)</f>
        <v/>
      </c>
      <c r="CF308" s="125" t="inlineStr">
        <is>
          <t>W33X318</t>
        </is>
      </c>
    </row>
    <row r="309">
      <c r="A309" s="125" t="inlineStr">
        <is>
          <t>W33X354</t>
        </is>
      </c>
      <c r="B309" s="129" t="inlineStr">
        <is>
          <t>AISC</t>
        </is>
      </c>
      <c r="C309" s="125" t="n">
        <v>526.8</v>
      </c>
      <c r="D309" s="125" t="n">
        <v>903</v>
      </c>
      <c r="E309" s="125" t="n">
        <v>408.9</v>
      </c>
      <c r="F309" s="125" t="n">
        <v>53.1</v>
      </c>
      <c r="G309" s="125" t="n">
        <v>29.5</v>
      </c>
      <c r="H309" s="125" t="n">
        <v>17.8</v>
      </c>
      <c r="I309" s="125" t="n">
        <v>761.2</v>
      </c>
      <c r="J309" s="125" t="n">
        <v>672</v>
      </c>
      <c r="K309" s="125">
        <f>((E309-G309)/2)/F309</f>
        <v/>
      </c>
      <c r="L309" s="125">
        <f>I309/G309</f>
        <v/>
      </c>
      <c r="M309" s="125" t="n">
        <v>3.35</v>
      </c>
      <c r="N309" s="125" t="n">
        <v>913500</v>
      </c>
      <c r="O309" s="125" t="n">
        <v>60680</v>
      </c>
      <c r="P309" s="125" t="n">
        <v>36.9</v>
      </c>
      <c r="Q309" s="125" t="n">
        <v>9.5</v>
      </c>
      <c r="R309" s="125" t="n">
        <v>20330</v>
      </c>
      <c r="S309" s="125" t="n">
        <v>2968</v>
      </c>
      <c r="T309" s="125" t="n">
        <v>23230</v>
      </c>
      <c r="U309" s="125" t="n">
        <v>4616</v>
      </c>
      <c r="X309" s="129">
        <f t="array" ref="X309">_xlfn.IFS((D309/F309) &lt;= (640/SQRT($AT$32)), "Compact", L309 &lt;= ($AT$32*(0.79-(0.002*((E309-G309/2)/(2*F309))*SQRT($AT$32)))), "Non-Compact", L309 &gt; ($AT$32*(0.79-(0.002*((E309-G309/2)/(2*F309))*SQRT($AT$32)))), "Slender")</f>
        <v/>
      </c>
      <c r="Y309" s="129">
        <f t="array" ref="Y309">_xlfn.IFS(K309 &lt;= (65/SQRT($AT$32)), "Compact", K309 &lt;= (95/SQRT($AT$32)), "Non-Compact", K309 &gt; (95/SQRT($AT$32)), "Slender")</f>
        <v/>
      </c>
      <c r="Z309" s="125">
        <f>E309/F309</f>
        <v/>
      </c>
      <c r="AA309" s="125">
        <f>D309/G309</f>
        <v/>
      </c>
      <c r="AB309" s="125">
        <f t="array" ref="AB309">_xlfn.IFS(Z309 &lt;= 9, "1", Z309 &lt;= 12, "2", Z309 &lt;= 15, "3", Z309 &gt; 15, "4")</f>
        <v/>
      </c>
      <c r="AC309" s="125">
        <f t="array" ref="AC309">_xlfn.IFS(AA309 &lt;= 200, "1", L309 &lt;= 300, "2", L309 &lt;= 400, "3", L309 &gt; 400, "4")</f>
        <v/>
      </c>
      <c r="AD309" s="129">
        <f>SQRT((((VLOOKUP($AT$4,$A$4:$D$1021,4,FALSE))-D309)^2)+(((VLOOKUP($AT$4,$A$4:$E$1021,5,FALSE))-E309)^2)+(((VLOOKUP($AT$4,$A$4:$N$1021,14,FALSE))-N309)^2)+(((VLOOKUP($AT$4,$A$4:$O$1021,15,FALSE))-O309)^2))</f>
        <v/>
      </c>
      <c r="AG309" s="129">
        <f>SQRT((((VLOOKUP($AT$4,$A$4:$D$1021,4,FALSE))-D309)^2)+(((VLOOKUP($AT$4,$A$4:$E$1021,5,FALSE))-E309)^2)+(((VLOOKUP($AT$4,$A$4:$R$1021,18,FALSE))-R309)^2)+(((VLOOKUP($AT$4,$A$4:$S$1021,19,FALSE))-S309)^2))</f>
        <v/>
      </c>
      <c r="AJ309" s="125" t="inlineStr">
        <is>
          <t>W33X354</t>
        </is>
      </c>
      <c r="AK309" s="125">
        <f>SQRT(((VLOOKUP($AT$4,$A$4:$J$1021,10,FALSE))-J309)^2)</f>
        <v/>
      </c>
      <c r="AL309" s="125" t="n"/>
      <c r="AM309" s="125" t="n"/>
      <c r="AN309" s="125">
        <f>SQRT(((VLOOKUP($AT$4,$A$4:$R$1021,18,FALSE))-R309)^2)</f>
        <v/>
      </c>
      <c r="AO309" s="125" t="n"/>
      <c r="AP309" s="125" t="n"/>
      <c r="AQ309" s="125" t="inlineStr">
        <is>
          <t>W33X354</t>
        </is>
      </c>
      <c r="BB309" s="125">
        <f>SQRT(($J$1022-J309)^2)</f>
        <v/>
      </c>
      <c r="BC309" s="125">
        <f>SQRT(($R$1022-R309)^2)</f>
        <v/>
      </c>
      <c r="BD309" s="125" t="inlineStr">
        <is>
          <t>W33X354</t>
        </is>
      </c>
      <c r="BI309">
        <f>SQRT(($J$1023-J309)^2)</f>
        <v/>
      </c>
      <c r="BJ309">
        <f>SQRT(($R$1023-R309)^2)</f>
        <v/>
      </c>
      <c r="BK309" s="125" t="inlineStr">
        <is>
          <t>W33X354</t>
        </is>
      </c>
      <c r="BP309">
        <f>SQRT(($J$1024-J309)^2)</f>
        <v/>
      </c>
      <c r="BQ309">
        <f>SQRT(($R$1024-R309)^2)</f>
        <v/>
      </c>
      <c r="BR309" s="125" t="inlineStr">
        <is>
          <t>W33X354</t>
        </is>
      </c>
      <c r="BW309">
        <f>SQRT(($J$1025-J309)^2)</f>
        <v/>
      </c>
      <c r="BX309">
        <f>SQRT(($R$1025-R309)^2)</f>
        <v/>
      </c>
      <c r="BY309" s="125" t="inlineStr">
        <is>
          <t>W33X354</t>
        </is>
      </c>
      <c r="CD309">
        <f>SQRT(($J$1026-J309)^2)</f>
        <v/>
      </c>
      <c r="CE309">
        <f>SQRT(($R$1026-R309)^2)</f>
        <v/>
      </c>
      <c r="CF309" s="125" t="inlineStr">
        <is>
          <t>W33X354</t>
        </is>
      </c>
    </row>
    <row r="310">
      <c r="A310" s="125" t="inlineStr">
        <is>
          <t>W33X387</t>
        </is>
      </c>
      <c r="B310" s="129" t="inlineStr">
        <is>
          <t>AISC</t>
        </is>
      </c>
      <c r="C310" s="125" t="n">
        <v>575.9</v>
      </c>
      <c r="D310" s="125" t="n">
        <v>913.1</v>
      </c>
      <c r="E310" s="125" t="n">
        <v>411.5</v>
      </c>
      <c r="F310" s="125" t="n">
        <v>57.9</v>
      </c>
      <c r="G310" s="125" t="n">
        <v>32</v>
      </c>
      <c r="H310" s="125" t="n">
        <v>17.8</v>
      </c>
      <c r="I310" s="125" t="n">
        <v>761.7</v>
      </c>
      <c r="J310" s="125" t="n">
        <v>734</v>
      </c>
      <c r="K310" s="125">
        <f>((E310-G310)/2)/F310</f>
        <v/>
      </c>
      <c r="L310" s="125">
        <f>I310/G310</f>
        <v/>
      </c>
      <c r="M310" s="125" t="n">
        <v>3.38</v>
      </c>
      <c r="N310" s="125" t="n">
        <v>1012000</v>
      </c>
      <c r="O310" s="125" t="n">
        <v>67480</v>
      </c>
      <c r="P310" s="125" t="n">
        <v>37.1</v>
      </c>
      <c r="Q310" s="125" t="n">
        <v>9.59</v>
      </c>
      <c r="R310" s="125" t="n">
        <v>22170</v>
      </c>
      <c r="S310" s="125" t="n">
        <v>3280</v>
      </c>
      <c r="T310" s="125" t="n">
        <v>25570</v>
      </c>
      <c r="U310" s="125" t="n">
        <v>5113</v>
      </c>
      <c r="X310" s="129">
        <f t="array" ref="X310">_xlfn.IFS((D310/F310) &lt;= (640/SQRT($AT$32)), "Compact", L310 &lt;= ($AT$32*(0.79-(0.002*((E310-G310/2)/(2*F310))*SQRT($AT$32)))), "Non-Compact", L310 &gt; ($AT$32*(0.79-(0.002*((E310-G310/2)/(2*F310))*SQRT($AT$32)))), "Slender")</f>
        <v/>
      </c>
      <c r="Y310" s="129">
        <f t="array" ref="Y310">_xlfn.IFS(K310 &lt;= (65/SQRT($AT$32)), "Compact", K310 &lt;= (95/SQRT($AT$32)), "Non-Compact", K310 &gt; (95/SQRT($AT$32)), "Slender")</f>
        <v/>
      </c>
      <c r="Z310" s="125">
        <f>E310/F310</f>
        <v/>
      </c>
      <c r="AA310" s="125">
        <f>D310/G310</f>
        <v/>
      </c>
      <c r="AB310" s="125">
        <f t="array" ref="AB310">_xlfn.IFS(Z310 &lt;= 9, "1", Z310 &lt;= 12, "2", Z310 &lt;= 15, "3", Z310 &gt; 15, "4")</f>
        <v/>
      </c>
      <c r="AC310" s="125">
        <f t="array" ref="AC310">_xlfn.IFS(AA310 &lt;= 200, "1", L310 &lt;= 300, "2", L310 &lt;= 400, "3", L310 &gt; 400, "4")</f>
        <v/>
      </c>
      <c r="AD310" s="129">
        <f>SQRT((((VLOOKUP($AT$4,$A$4:$D$1021,4,FALSE))-D310)^2)+(((VLOOKUP($AT$4,$A$4:$E$1021,5,FALSE))-E310)^2)+(((VLOOKUP($AT$4,$A$4:$N$1021,14,FALSE))-N310)^2)+(((VLOOKUP($AT$4,$A$4:$O$1021,15,FALSE))-O310)^2))</f>
        <v/>
      </c>
      <c r="AG310" s="129">
        <f>SQRT((((VLOOKUP($AT$4,$A$4:$D$1021,4,FALSE))-D310)^2)+(((VLOOKUP($AT$4,$A$4:$E$1021,5,FALSE))-E310)^2)+(((VLOOKUP($AT$4,$A$4:$R$1021,18,FALSE))-R310)^2)+(((VLOOKUP($AT$4,$A$4:$S$1021,19,FALSE))-S310)^2))</f>
        <v/>
      </c>
      <c r="AJ310" s="125" t="inlineStr">
        <is>
          <t>W33X387</t>
        </is>
      </c>
      <c r="AK310" s="125">
        <f>SQRT(((VLOOKUP($AT$4,$A$4:$J$1021,10,FALSE))-J310)^2)</f>
        <v/>
      </c>
      <c r="AL310" s="125" t="n"/>
      <c r="AM310" s="125" t="n"/>
      <c r="AN310" s="125">
        <f>SQRT(((VLOOKUP($AT$4,$A$4:$R$1021,18,FALSE))-R310)^2)</f>
        <v/>
      </c>
      <c r="AO310" s="125" t="n"/>
      <c r="AP310" s="125" t="n"/>
      <c r="AQ310" s="125" t="inlineStr">
        <is>
          <t>W33X387</t>
        </is>
      </c>
      <c r="BB310" s="125">
        <f>SQRT(($J$1022-J310)^2)</f>
        <v/>
      </c>
      <c r="BC310" s="125">
        <f>SQRT(($R$1022-R310)^2)</f>
        <v/>
      </c>
      <c r="BD310" s="125" t="inlineStr">
        <is>
          <t>W33X387</t>
        </is>
      </c>
      <c r="BI310">
        <f>SQRT(($J$1023-J310)^2)</f>
        <v/>
      </c>
      <c r="BJ310">
        <f>SQRT(($R$1023-R310)^2)</f>
        <v/>
      </c>
      <c r="BK310" s="125" t="inlineStr">
        <is>
          <t>W33X387</t>
        </is>
      </c>
      <c r="BP310">
        <f>SQRT(($J$1024-J310)^2)</f>
        <v/>
      </c>
      <c r="BQ310">
        <f>SQRT(($R$1024-R310)^2)</f>
        <v/>
      </c>
      <c r="BR310" s="125" t="inlineStr">
        <is>
          <t>W33X387</t>
        </is>
      </c>
      <c r="BW310">
        <f>SQRT(($J$1025-J310)^2)</f>
        <v/>
      </c>
      <c r="BX310">
        <f>SQRT(($R$1025-R310)^2)</f>
        <v/>
      </c>
      <c r="BY310" s="125" t="inlineStr">
        <is>
          <t>W33X387</t>
        </is>
      </c>
      <c r="CD310">
        <f>SQRT(($J$1026-J310)^2)</f>
        <v/>
      </c>
      <c r="CE310">
        <f>SQRT(($R$1026-R310)^2)</f>
        <v/>
      </c>
      <c r="CF310" s="125" t="inlineStr">
        <is>
          <t>W33X387</t>
        </is>
      </c>
    </row>
    <row r="311">
      <c r="A311" s="125" t="inlineStr">
        <is>
          <t>W33X424</t>
        </is>
      </c>
      <c r="B311" s="129" t="inlineStr">
        <is>
          <t>AISC</t>
        </is>
      </c>
      <c r="C311" s="125" t="n">
        <v>631</v>
      </c>
      <c r="D311" s="125" t="n">
        <v>923</v>
      </c>
      <c r="E311" s="125" t="n">
        <v>414</v>
      </c>
      <c r="F311" s="125" t="n">
        <v>63</v>
      </c>
      <c r="G311" s="125" t="n">
        <v>35.1</v>
      </c>
      <c r="H311" s="125" t="n">
        <v>20</v>
      </c>
      <c r="I311" s="125" t="n">
        <v>757</v>
      </c>
      <c r="J311" s="125" t="n">
        <v>805</v>
      </c>
      <c r="K311" s="125">
        <f>((E311-G311)/2)/F311</f>
        <v/>
      </c>
      <c r="L311" s="125">
        <f>I311/G311</f>
        <v/>
      </c>
      <c r="M311" s="125" t="n">
        <v>3.4</v>
      </c>
      <c r="N311" s="125" t="n">
        <v>1120000</v>
      </c>
      <c r="O311" s="125" t="n">
        <v>74810</v>
      </c>
      <c r="P311" s="125" t="n">
        <v>37.3</v>
      </c>
      <c r="Q311" s="125" t="n">
        <v>9.640000000000001</v>
      </c>
      <c r="R311" s="125" t="n">
        <v>24260</v>
      </c>
      <c r="S311" s="125" t="n">
        <v>3614</v>
      </c>
      <c r="T311" s="125" t="n">
        <v>28140</v>
      </c>
      <c r="U311" s="125" t="n">
        <v>5652</v>
      </c>
      <c r="X311" s="129">
        <f t="array" ref="X311">_xlfn.IFS((D311/F311) &lt;= (640/SQRT($AT$32)), "Compact", L311 &lt;= ($AT$32*(0.79-(0.002*((E311-G311/2)/(2*F311))*SQRT($AT$32)))), "Non-Compact", L311 &gt; ($AT$32*(0.79-(0.002*((E311-G311/2)/(2*F311))*SQRT($AT$32)))), "Slender")</f>
        <v/>
      </c>
      <c r="Y311" s="129">
        <f t="array" ref="Y311">_xlfn.IFS(K311 &lt;= (65/SQRT($AT$32)), "Compact", K311 &lt;= (95/SQRT($AT$32)), "Non-Compact", K311 &gt; (95/SQRT($AT$32)), "Slender")</f>
        <v/>
      </c>
      <c r="Z311" s="125">
        <f>E311/F311</f>
        <v/>
      </c>
      <c r="AA311" s="125">
        <f>D311/G311</f>
        <v/>
      </c>
      <c r="AB311" s="125">
        <f t="array" ref="AB311">_xlfn.IFS(Z311 &lt;= 9, "1", Z311 &lt;= 12, "2", Z311 &lt;= 15, "3", Z311 &gt; 15, "4")</f>
        <v/>
      </c>
      <c r="AC311" s="125">
        <f t="array" ref="AC311">_xlfn.IFS(AA311 &lt;= 200, "1", L311 &lt;= 300, "2", L311 &lt;= 400, "3", L311 &gt; 400, "4")</f>
        <v/>
      </c>
      <c r="AD311" s="129">
        <f>SQRT((((VLOOKUP($AT$4,$A$4:$D$1021,4,FALSE))-D311)^2)+(((VLOOKUP($AT$4,$A$4:$E$1021,5,FALSE))-E311)^2)+(((VLOOKUP($AT$4,$A$4:$N$1021,14,FALSE))-N311)^2)+(((VLOOKUP($AT$4,$A$4:$O$1021,15,FALSE))-O311)^2))</f>
        <v/>
      </c>
      <c r="AG311" s="129">
        <f>SQRT((((VLOOKUP($AT$4,$A$4:$D$1021,4,FALSE))-D311)^2)+(((VLOOKUP($AT$4,$A$4:$E$1021,5,FALSE))-E311)^2)+(((VLOOKUP($AT$4,$A$4:$R$1021,18,FALSE))-R311)^2)+(((VLOOKUP($AT$4,$A$4:$S$1021,19,FALSE))-S311)^2))</f>
        <v/>
      </c>
      <c r="AJ311" s="125" t="inlineStr">
        <is>
          <t>W33X424</t>
        </is>
      </c>
      <c r="AK311" s="125">
        <f>SQRT(((VLOOKUP($AT$4,$A$4:$J$1021,10,FALSE))-J311)^2)</f>
        <v/>
      </c>
      <c r="AL311" s="125" t="n"/>
      <c r="AM311" s="125" t="n"/>
      <c r="AN311" s="125">
        <f>SQRT(((VLOOKUP($AT$4,$A$4:$R$1021,18,FALSE))-R311)^2)</f>
        <v/>
      </c>
      <c r="AO311" s="125" t="n"/>
      <c r="AP311" s="125" t="n"/>
      <c r="AQ311" s="125" t="inlineStr">
        <is>
          <t>W33X424</t>
        </is>
      </c>
      <c r="BB311" s="125">
        <f>SQRT(($J$1022-J311)^2)</f>
        <v/>
      </c>
      <c r="BC311" s="125">
        <f>SQRT(($R$1022-R311)^2)</f>
        <v/>
      </c>
      <c r="BD311" s="125" t="inlineStr">
        <is>
          <t>W33X424</t>
        </is>
      </c>
      <c r="BI311">
        <f>SQRT(($J$1023-J311)^2)</f>
        <v/>
      </c>
      <c r="BJ311">
        <f>SQRT(($R$1023-R311)^2)</f>
        <v/>
      </c>
      <c r="BK311" s="125" t="inlineStr">
        <is>
          <t>W33X424</t>
        </is>
      </c>
      <c r="BP311">
        <f>SQRT(($J$1024-J311)^2)</f>
        <v/>
      </c>
      <c r="BQ311">
        <f>SQRT(($R$1024-R311)^2)</f>
        <v/>
      </c>
      <c r="BR311" s="125" t="inlineStr">
        <is>
          <t>W33X424</t>
        </is>
      </c>
      <c r="BW311">
        <f>SQRT(($J$1025-J311)^2)</f>
        <v/>
      </c>
      <c r="BX311">
        <f>SQRT(($R$1025-R311)^2)</f>
        <v/>
      </c>
      <c r="BY311" s="125" t="inlineStr">
        <is>
          <t>W33X424</t>
        </is>
      </c>
      <c r="CD311">
        <f>SQRT(($J$1026-J311)^2)</f>
        <v/>
      </c>
      <c r="CE311">
        <f>SQRT(($R$1026-R311)^2)</f>
        <v/>
      </c>
      <c r="CF311" s="125" t="inlineStr">
        <is>
          <t>W33X424</t>
        </is>
      </c>
    </row>
    <row r="312">
      <c r="A312" s="125" t="inlineStr">
        <is>
          <t>W33X468</t>
        </is>
      </c>
      <c r="B312" s="129" t="inlineStr">
        <is>
          <t>AISC</t>
        </is>
      </c>
      <c r="C312" s="125" t="n">
        <v>697</v>
      </c>
      <c r="D312" s="125" t="n">
        <v>935</v>
      </c>
      <c r="E312" s="125" t="n">
        <v>418</v>
      </c>
      <c r="F312" s="125" t="n">
        <v>69.09999999999999</v>
      </c>
      <c r="G312" s="125" t="n">
        <v>38.6</v>
      </c>
      <c r="H312" s="125" t="n">
        <v>20</v>
      </c>
      <c r="I312" s="125" t="n">
        <v>756.8</v>
      </c>
      <c r="J312" s="125" t="n">
        <v>889</v>
      </c>
      <c r="K312" s="125">
        <f>((E312-G312)/2)/F312</f>
        <v/>
      </c>
      <c r="L312" s="125">
        <f>I312/G312</f>
        <v/>
      </c>
      <c r="M312" s="125" t="n">
        <v>3.43</v>
      </c>
      <c r="N312" s="125" t="n">
        <v>1253000</v>
      </c>
      <c r="O312" s="125" t="n">
        <v>84520</v>
      </c>
      <c r="P312" s="125" t="n">
        <v>37.6</v>
      </c>
      <c r="Q312" s="125" t="n">
        <v>9.75</v>
      </c>
      <c r="R312" s="125" t="n">
        <v>26810</v>
      </c>
      <c r="S312" s="125" t="n">
        <v>4044</v>
      </c>
      <c r="T312" s="125" t="n">
        <v>31270</v>
      </c>
      <c r="U312" s="125" t="n">
        <v>6342</v>
      </c>
      <c r="X312" s="129">
        <f t="array" ref="X312">_xlfn.IFS((D312/F312) &lt;= (640/SQRT($AT$32)), "Compact", L312 &lt;= ($AT$32*(0.79-(0.002*((E312-G312/2)/(2*F312))*SQRT($AT$32)))), "Non-Compact", L312 &gt; ($AT$32*(0.79-(0.002*((E312-G312/2)/(2*F312))*SQRT($AT$32)))), "Slender")</f>
        <v/>
      </c>
      <c r="Y312" s="129">
        <f t="array" ref="Y312">_xlfn.IFS(K312 &lt;= (65/SQRT($AT$32)), "Compact", K312 &lt;= (95/SQRT($AT$32)), "Non-Compact", K312 &gt; (95/SQRT($AT$32)), "Slender")</f>
        <v/>
      </c>
      <c r="Z312" s="125">
        <f>E312/F312</f>
        <v/>
      </c>
      <c r="AA312" s="125">
        <f>D312/G312</f>
        <v/>
      </c>
      <c r="AB312" s="125">
        <f t="array" ref="AB312">_xlfn.IFS(Z312 &lt;= 9, "1", Z312 &lt;= 12, "2", Z312 &lt;= 15, "3", Z312 &gt; 15, "4")</f>
        <v/>
      </c>
      <c r="AC312" s="125">
        <f t="array" ref="AC312">_xlfn.IFS(AA312 &lt;= 200, "1", L312 &lt;= 300, "2", L312 &lt;= 400, "3", L312 &gt; 400, "4")</f>
        <v/>
      </c>
      <c r="AD312" s="129">
        <f>SQRT((((VLOOKUP($AT$4,$A$4:$D$1021,4,FALSE))-D312)^2)+(((VLOOKUP($AT$4,$A$4:$E$1021,5,FALSE))-E312)^2)+(((VLOOKUP($AT$4,$A$4:$N$1021,14,FALSE))-N312)^2)+(((VLOOKUP($AT$4,$A$4:$O$1021,15,FALSE))-O312)^2))</f>
        <v/>
      </c>
      <c r="AG312" s="129">
        <f>SQRT((((VLOOKUP($AT$4,$A$4:$D$1021,4,FALSE))-D312)^2)+(((VLOOKUP($AT$4,$A$4:$E$1021,5,FALSE))-E312)^2)+(((VLOOKUP($AT$4,$A$4:$R$1021,18,FALSE))-R312)^2)+(((VLOOKUP($AT$4,$A$4:$S$1021,19,FALSE))-S312)^2))</f>
        <v/>
      </c>
      <c r="AJ312" s="125" t="inlineStr">
        <is>
          <t>W33X468</t>
        </is>
      </c>
      <c r="AK312" s="125">
        <f>SQRT(((VLOOKUP($AT$4,$A$4:$J$1021,10,FALSE))-J312)^2)</f>
        <v/>
      </c>
      <c r="AL312" s="125" t="n"/>
      <c r="AM312" s="125" t="n"/>
      <c r="AN312" s="125">
        <f>SQRT(((VLOOKUP($AT$4,$A$4:$R$1021,18,FALSE))-R312)^2)</f>
        <v/>
      </c>
      <c r="AO312" s="125" t="n"/>
      <c r="AP312" s="125" t="n"/>
      <c r="AQ312" s="125" t="inlineStr">
        <is>
          <t>W33X468</t>
        </is>
      </c>
      <c r="BB312" s="125">
        <f>SQRT(($J$1022-J312)^2)</f>
        <v/>
      </c>
      <c r="BC312" s="125">
        <f>SQRT(($R$1022-R312)^2)</f>
        <v/>
      </c>
      <c r="BD312" s="125" t="inlineStr">
        <is>
          <t>W33X468</t>
        </is>
      </c>
      <c r="BI312">
        <f>SQRT(($J$1023-J312)^2)</f>
        <v/>
      </c>
      <c r="BJ312">
        <f>SQRT(($R$1023-R312)^2)</f>
        <v/>
      </c>
      <c r="BK312" s="125" t="inlineStr">
        <is>
          <t>W33X468</t>
        </is>
      </c>
      <c r="BP312">
        <f>SQRT(($J$1024-J312)^2)</f>
        <v/>
      </c>
      <c r="BQ312">
        <f>SQRT(($R$1024-R312)^2)</f>
        <v/>
      </c>
      <c r="BR312" s="125" t="inlineStr">
        <is>
          <t>W33X468</t>
        </is>
      </c>
      <c r="BW312">
        <f>SQRT(($J$1025-J312)^2)</f>
        <v/>
      </c>
      <c r="BX312">
        <f>SQRT(($R$1025-R312)^2)</f>
        <v/>
      </c>
      <c r="BY312" s="125" t="inlineStr">
        <is>
          <t>W33X468</t>
        </is>
      </c>
      <c r="CD312">
        <f>SQRT(($J$1026-J312)^2)</f>
        <v/>
      </c>
      <c r="CE312">
        <f>SQRT(($R$1026-R312)^2)</f>
        <v/>
      </c>
      <c r="CF312" s="125" t="inlineStr">
        <is>
          <t>W33X468</t>
        </is>
      </c>
    </row>
    <row r="313">
      <c r="A313" s="125" t="inlineStr">
        <is>
          <t>W36X135</t>
        </is>
      </c>
      <c r="B313" s="129" t="inlineStr">
        <is>
          <t>AISC</t>
        </is>
      </c>
      <c r="C313" s="125" t="n">
        <v>200.9</v>
      </c>
      <c r="D313" s="125" t="n">
        <v>903</v>
      </c>
      <c r="E313" s="125" t="n">
        <v>303.3</v>
      </c>
      <c r="F313" s="125" t="n">
        <v>20.2</v>
      </c>
      <c r="G313" s="125" t="n">
        <v>15.1</v>
      </c>
      <c r="H313" s="125" t="n">
        <v>19.1</v>
      </c>
      <c r="I313" s="125" t="n">
        <v>824.4</v>
      </c>
      <c r="J313" s="125" t="n">
        <v>256</v>
      </c>
      <c r="K313" s="125">
        <f>((E313-G313)/2)/F313</f>
        <v/>
      </c>
      <c r="L313" s="125">
        <f>I313/G313</f>
        <v/>
      </c>
      <c r="M313" s="125" t="n">
        <v>2.96</v>
      </c>
      <c r="N313" s="125" t="n">
        <v>325300</v>
      </c>
      <c r="O313" s="125" t="n">
        <v>9424</v>
      </c>
      <c r="P313" s="125" t="n">
        <v>35.7</v>
      </c>
      <c r="Q313" s="125" t="n">
        <v>6.07</v>
      </c>
      <c r="R313" s="125" t="n">
        <v>7204</v>
      </c>
      <c r="S313" s="125" t="n">
        <v>621</v>
      </c>
      <c r="T313" s="125" t="n">
        <v>8351</v>
      </c>
      <c r="U313" s="125" t="n">
        <v>982</v>
      </c>
      <c r="X313" s="129">
        <f t="array" ref="X313">_xlfn.IFS((D313/F313) &lt;= (640/SQRT($AT$32)), "Compact", L313 &lt;= ($AT$32*(0.79-(0.002*((E313-G313/2)/(2*F313))*SQRT($AT$32)))), "Non-Compact", L313 &gt; ($AT$32*(0.79-(0.002*((E313-G313/2)/(2*F313))*SQRT($AT$32)))), "Slender")</f>
        <v/>
      </c>
      <c r="Y313" s="129">
        <f t="array" ref="Y313">_xlfn.IFS(K313 &lt;= (65/SQRT($AT$32)), "Compact", K313 &lt;= (95/SQRT($AT$32)), "Non-Compact", K313 &gt; (95/SQRT($AT$32)), "Slender")</f>
        <v/>
      </c>
      <c r="Z313" s="125">
        <f>E313/F313</f>
        <v/>
      </c>
      <c r="AA313" s="125">
        <f>D313/G313</f>
        <v/>
      </c>
      <c r="AB313" s="125">
        <f t="array" ref="AB313">_xlfn.IFS(Z313 &lt;= 9, "1", Z313 &lt;= 12, "2", Z313 &lt;= 15, "3", Z313 &gt; 15, "4")</f>
        <v/>
      </c>
      <c r="AC313" s="125">
        <f t="array" ref="AC313">_xlfn.IFS(AA313 &lt;= 200, "1", L313 &lt;= 300, "2", L313 &lt;= 400, "3", L313 &gt; 400, "4")</f>
        <v/>
      </c>
      <c r="AD313" s="129">
        <f>SQRT((((VLOOKUP($AT$4,$A$4:$D$1021,4,FALSE))-D313)^2)+(((VLOOKUP($AT$4,$A$4:$E$1021,5,FALSE))-E313)^2)+(((VLOOKUP($AT$4,$A$4:$N$1021,14,FALSE))-N313)^2)+(((VLOOKUP($AT$4,$A$4:$O$1021,15,FALSE))-O313)^2))</f>
        <v/>
      </c>
      <c r="AG313" s="129">
        <f>SQRT((((VLOOKUP($AT$4,$A$4:$D$1021,4,FALSE))-D313)^2)+(((VLOOKUP($AT$4,$A$4:$E$1021,5,FALSE))-E313)^2)+(((VLOOKUP($AT$4,$A$4:$R$1021,18,FALSE))-R313)^2)+(((VLOOKUP($AT$4,$A$4:$S$1021,19,FALSE))-S313)^2))</f>
        <v/>
      </c>
      <c r="AJ313" s="125" t="inlineStr">
        <is>
          <t>W36X135</t>
        </is>
      </c>
      <c r="AK313" s="125">
        <f>SQRT(((VLOOKUP($AT$4,$A$4:$J$1021,10,FALSE))-J313)^2)</f>
        <v/>
      </c>
      <c r="AL313" s="125" t="n"/>
      <c r="AM313" s="125" t="n"/>
      <c r="AN313" s="125">
        <f>SQRT(((VLOOKUP($AT$4,$A$4:$R$1021,18,FALSE))-R313)^2)</f>
        <v/>
      </c>
      <c r="AO313" s="125" t="n"/>
      <c r="AP313" s="125" t="n"/>
      <c r="AQ313" s="125" t="inlineStr">
        <is>
          <t>W36X135</t>
        </is>
      </c>
      <c r="BB313" s="125">
        <f>SQRT(($J$1022-J313)^2)</f>
        <v/>
      </c>
      <c r="BC313" s="125">
        <f>SQRT(($R$1022-R313)^2)</f>
        <v/>
      </c>
      <c r="BD313" s="125" t="inlineStr">
        <is>
          <t>W36X135</t>
        </is>
      </c>
      <c r="BI313">
        <f>SQRT(($J$1023-J313)^2)</f>
        <v/>
      </c>
      <c r="BJ313">
        <f>SQRT(($R$1023-R313)^2)</f>
        <v/>
      </c>
      <c r="BK313" s="125" t="inlineStr">
        <is>
          <t>W36X135</t>
        </is>
      </c>
      <c r="BP313">
        <f>SQRT(($J$1024-J313)^2)</f>
        <v/>
      </c>
      <c r="BQ313">
        <f>SQRT(($R$1024-R313)^2)</f>
        <v/>
      </c>
      <c r="BR313" s="125" t="inlineStr">
        <is>
          <t>W36X135</t>
        </is>
      </c>
      <c r="BW313">
        <f>SQRT(($J$1025-J313)^2)</f>
        <v/>
      </c>
      <c r="BX313">
        <f>SQRT(($R$1025-R313)^2)</f>
        <v/>
      </c>
      <c r="BY313" s="125" t="inlineStr">
        <is>
          <t>W36X135</t>
        </is>
      </c>
      <c r="CD313">
        <f>SQRT(($J$1026-J313)^2)</f>
        <v/>
      </c>
      <c r="CE313">
        <f>SQRT(($R$1026-R313)^2)</f>
        <v/>
      </c>
      <c r="CF313" s="125" t="inlineStr">
        <is>
          <t>W36X135</t>
        </is>
      </c>
    </row>
    <row r="314">
      <c r="A314" s="125" t="inlineStr">
        <is>
          <t>W36X150</t>
        </is>
      </c>
      <c r="B314" s="129" t="inlineStr">
        <is>
          <t>AISC</t>
        </is>
      </c>
      <c r="C314" s="125" t="n">
        <v>224.2</v>
      </c>
      <c r="D314" s="125" t="n">
        <v>910.4</v>
      </c>
      <c r="E314" s="125" t="n">
        <v>304.1</v>
      </c>
      <c r="F314" s="125" t="n">
        <v>23.9</v>
      </c>
      <c r="G314" s="125" t="n">
        <v>15.9</v>
      </c>
      <c r="H314" s="125" t="n">
        <v>19.1</v>
      </c>
      <c r="I314" s="125" t="n">
        <v>824.4</v>
      </c>
      <c r="J314" s="125" t="n">
        <v>286</v>
      </c>
      <c r="K314" s="125">
        <f>((E314-G314)/2)/F314</f>
        <v/>
      </c>
      <c r="L314" s="125">
        <f>I314/G314</f>
        <v/>
      </c>
      <c r="M314" s="125" t="n">
        <v>2.97</v>
      </c>
      <c r="N314" s="125" t="n">
        <v>376400</v>
      </c>
      <c r="O314" s="125" t="n">
        <v>11240</v>
      </c>
      <c r="P314" s="125" t="n">
        <v>36.3</v>
      </c>
      <c r="Q314" s="125" t="n">
        <v>6.27</v>
      </c>
      <c r="R314" s="125" t="n">
        <v>8269</v>
      </c>
      <c r="S314" s="125" t="n">
        <v>739</v>
      </c>
      <c r="T314" s="125" t="n">
        <v>9535</v>
      </c>
      <c r="U314" s="125" t="n">
        <v>1163</v>
      </c>
      <c r="X314" s="129">
        <f t="array" ref="X314">_xlfn.IFS((D314/F314) &lt;= (640/SQRT($AT$32)), "Compact", L314 &lt;= ($AT$32*(0.79-(0.002*((E314-G314/2)/(2*F314))*SQRT($AT$32)))), "Non-Compact", L314 &gt; ($AT$32*(0.79-(0.002*((E314-G314/2)/(2*F314))*SQRT($AT$32)))), "Slender")</f>
        <v/>
      </c>
      <c r="Y314" s="129">
        <f t="array" ref="Y314">_xlfn.IFS(K314 &lt;= (65/SQRT($AT$32)), "Compact", K314 &lt;= (95/SQRT($AT$32)), "Non-Compact", K314 &gt; (95/SQRT($AT$32)), "Slender")</f>
        <v/>
      </c>
      <c r="Z314" s="125">
        <f>E314/F314</f>
        <v/>
      </c>
      <c r="AA314" s="125">
        <f>D314/G314</f>
        <v/>
      </c>
      <c r="AB314" s="125">
        <f t="array" ref="AB314">_xlfn.IFS(Z314 &lt;= 9, "1", Z314 &lt;= 12, "2", Z314 &lt;= 15, "3", Z314 &gt; 15, "4")</f>
        <v/>
      </c>
      <c r="AC314" s="125">
        <f t="array" ref="AC314">_xlfn.IFS(AA314 &lt;= 200, "1", L314 &lt;= 300, "2", L314 &lt;= 400, "3", L314 &gt; 400, "4")</f>
        <v/>
      </c>
      <c r="AD314" s="129">
        <f>SQRT((((VLOOKUP($AT$4,$A$4:$D$1021,4,FALSE))-D314)^2)+(((VLOOKUP($AT$4,$A$4:$E$1021,5,FALSE))-E314)^2)+(((VLOOKUP($AT$4,$A$4:$N$1021,14,FALSE))-N314)^2)+(((VLOOKUP($AT$4,$A$4:$O$1021,15,FALSE))-O314)^2))</f>
        <v/>
      </c>
      <c r="AG314" s="129">
        <f>SQRT((((VLOOKUP($AT$4,$A$4:$D$1021,4,FALSE))-D314)^2)+(((VLOOKUP($AT$4,$A$4:$E$1021,5,FALSE))-E314)^2)+(((VLOOKUP($AT$4,$A$4:$R$1021,18,FALSE))-R314)^2)+(((VLOOKUP($AT$4,$A$4:$S$1021,19,FALSE))-S314)^2))</f>
        <v/>
      </c>
      <c r="AJ314" s="125" t="inlineStr">
        <is>
          <t>W36X150</t>
        </is>
      </c>
      <c r="AK314" s="125">
        <f>SQRT(((VLOOKUP($AT$4,$A$4:$J$1021,10,FALSE))-J314)^2)</f>
        <v/>
      </c>
      <c r="AL314" s="125" t="n"/>
      <c r="AM314" s="125" t="n"/>
      <c r="AN314" s="125">
        <f>SQRT(((VLOOKUP($AT$4,$A$4:$R$1021,18,FALSE))-R314)^2)</f>
        <v/>
      </c>
      <c r="AO314" s="125" t="n"/>
      <c r="AP314" s="125" t="n"/>
      <c r="AQ314" s="125" t="inlineStr">
        <is>
          <t>W36X150</t>
        </is>
      </c>
      <c r="BB314" s="125">
        <f>SQRT(($J$1022-J314)^2)</f>
        <v/>
      </c>
      <c r="BC314" s="125">
        <f>SQRT(($R$1022-R314)^2)</f>
        <v/>
      </c>
      <c r="BD314" s="125" t="inlineStr">
        <is>
          <t>W36X150</t>
        </is>
      </c>
      <c r="BI314">
        <f>SQRT(($J$1023-J314)^2)</f>
        <v/>
      </c>
      <c r="BJ314">
        <f>SQRT(($R$1023-R314)^2)</f>
        <v/>
      </c>
      <c r="BK314" s="125" t="inlineStr">
        <is>
          <t>W36X150</t>
        </is>
      </c>
      <c r="BP314">
        <f>SQRT(($J$1024-J314)^2)</f>
        <v/>
      </c>
      <c r="BQ314">
        <f>SQRT(($R$1024-R314)^2)</f>
        <v/>
      </c>
      <c r="BR314" s="125" t="inlineStr">
        <is>
          <t>W36X150</t>
        </is>
      </c>
      <c r="BW314">
        <f>SQRT(($J$1025-J314)^2)</f>
        <v/>
      </c>
      <c r="BX314">
        <f>SQRT(($R$1025-R314)^2)</f>
        <v/>
      </c>
      <c r="BY314" s="125" t="inlineStr">
        <is>
          <t>W36X150</t>
        </is>
      </c>
      <c r="CD314">
        <f>SQRT(($J$1026-J314)^2)</f>
        <v/>
      </c>
      <c r="CE314">
        <f>SQRT(($R$1026-R314)^2)</f>
        <v/>
      </c>
      <c r="CF314" s="125" t="inlineStr">
        <is>
          <t>W36X150</t>
        </is>
      </c>
    </row>
    <row r="315">
      <c r="A315" s="125" t="inlineStr">
        <is>
          <t>W36X160</t>
        </is>
      </c>
      <c r="B315" s="129" t="inlineStr">
        <is>
          <t>AISC</t>
        </is>
      </c>
      <c r="C315" s="125" t="n">
        <v>238.1</v>
      </c>
      <c r="D315" s="125" t="n">
        <v>914.7</v>
      </c>
      <c r="E315" s="125" t="n">
        <v>304.8</v>
      </c>
      <c r="F315" s="125" t="n">
        <v>25.9</v>
      </c>
      <c r="G315" s="125" t="n">
        <v>16.5</v>
      </c>
      <c r="H315" s="125" t="n">
        <v>19</v>
      </c>
      <c r="I315" s="125" t="n">
        <v>824.9</v>
      </c>
      <c r="J315" s="125" t="n">
        <v>304</v>
      </c>
      <c r="K315" s="125">
        <f>((E315-G315)/2)/F315</f>
        <v/>
      </c>
      <c r="L315" s="125">
        <f>I315/G315</f>
        <v/>
      </c>
      <c r="M315" s="125" t="n">
        <v>2.98</v>
      </c>
      <c r="N315" s="125" t="n">
        <v>406100</v>
      </c>
      <c r="O315" s="125" t="n">
        <v>12270</v>
      </c>
      <c r="P315" s="125" t="n">
        <v>36.6</v>
      </c>
      <c r="Q315" s="125" t="n">
        <v>6.36</v>
      </c>
      <c r="R315" s="125" t="n">
        <v>8879</v>
      </c>
      <c r="S315" s="125" t="n">
        <v>805</v>
      </c>
      <c r="T315" s="125" t="n">
        <v>10230</v>
      </c>
      <c r="U315" s="125" t="n">
        <v>1266</v>
      </c>
      <c r="X315" s="129">
        <f t="array" ref="X315">_xlfn.IFS((D315/F315) &lt;= (640/SQRT($AT$32)), "Compact", L315 &lt;= ($AT$32*(0.79-(0.002*((E315-G315/2)/(2*F315))*SQRT($AT$32)))), "Non-Compact", L315 &gt; ($AT$32*(0.79-(0.002*((E315-G315/2)/(2*F315))*SQRT($AT$32)))), "Slender")</f>
        <v/>
      </c>
      <c r="Y315" s="129">
        <f t="array" ref="Y315">_xlfn.IFS(K315 &lt;= (65/SQRT($AT$32)), "Compact", K315 &lt;= (95/SQRT($AT$32)), "Non-Compact", K315 &gt; (95/SQRT($AT$32)), "Slender")</f>
        <v/>
      </c>
      <c r="Z315" s="125">
        <f>E315/F315</f>
        <v/>
      </c>
      <c r="AA315" s="125">
        <f>D315/G315</f>
        <v/>
      </c>
      <c r="AB315" s="125">
        <f t="array" ref="AB315">_xlfn.IFS(Z315 &lt;= 9, "1", Z315 &lt;= 12, "2", Z315 &lt;= 15, "3", Z315 &gt; 15, "4")</f>
        <v/>
      </c>
      <c r="AC315" s="125">
        <f t="array" ref="AC315">_xlfn.IFS(AA315 &lt;= 200, "1", L315 &lt;= 300, "2", L315 &lt;= 400, "3", L315 &gt; 400, "4")</f>
        <v/>
      </c>
      <c r="AD315" s="129">
        <f>SQRT((((VLOOKUP($AT$4,$A$4:$D$1021,4,FALSE))-D315)^2)+(((VLOOKUP($AT$4,$A$4:$E$1021,5,FALSE))-E315)^2)+(((VLOOKUP($AT$4,$A$4:$N$1021,14,FALSE))-N315)^2)+(((VLOOKUP($AT$4,$A$4:$O$1021,15,FALSE))-O315)^2))</f>
        <v/>
      </c>
      <c r="AG315" s="129">
        <f>SQRT((((VLOOKUP($AT$4,$A$4:$D$1021,4,FALSE))-D315)^2)+(((VLOOKUP($AT$4,$A$4:$E$1021,5,FALSE))-E315)^2)+(((VLOOKUP($AT$4,$A$4:$R$1021,18,FALSE))-R315)^2)+(((VLOOKUP($AT$4,$A$4:$S$1021,19,FALSE))-S315)^2))</f>
        <v/>
      </c>
      <c r="AJ315" s="125" t="inlineStr">
        <is>
          <t>W36X160</t>
        </is>
      </c>
      <c r="AK315" s="125">
        <f>SQRT(((VLOOKUP($AT$4,$A$4:$J$1021,10,FALSE))-J315)^2)</f>
        <v/>
      </c>
      <c r="AL315" s="125" t="n"/>
      <c r="AM315" s="125" t="n"/>
      <c r="AN315" s="125">
        <f>SQRT(((VLOOKUP($AT$4,$A$4:$R$1021,18,FALSE))-R315)^2)</f>
        <v/>
      </c>
      <c r="AO315" s="125" t="n"/>
      <c r="AP315" s="125" t="n"/>
      <c r="AQ315" s="125" t="inlineStr">
        <is>
          <t>W36X160</t>
        </is>
      </c>
      <c r="BB315" s="125">
        <f>SQRT(($J$1022-J315)^2)</f>
        <v/>
      </c>
      <c r="BC315" s="125">
        <f>SQRT(($R$1022-R315)^2)</f>
        <v/>
      </c>
      <c r="BD315" s="125" t="inlineStr">
        <is>
          <t>W36X160</t>
        </is>
      </c>
      <c r="BI315">
        <f>SQRT(($J$1023-J315)^2)</f>
        <v/>
      </c>
      <c r="BJ315">
        <f>SQRT(($R$1023-R315)^2)</f>
        <v/>
      </c>
      <c r="BK315" s="125" t="inlineStr">
        <is>
          <t>W36X160</t>
        </is>
      </c>
      <c r="BP315">
        <f>SQRT(($J$1024-J315)^2)</f>
        <v/>
      </c>
      <c r="BQ315">
        <f>SQRT(($R$1024-R315)^2)</f>
        <v/>
      </c>
      <c r="BR315" s="125" t="inlineStr">
        <is>
          <t>W36X160</t>
        </is>
      </c>
      <c r="BW315">
        <f>SQRT(($J$1025-J315)^2)</f>
        <v/>
      </c>
      <c r="BX315">
        <f>SQRT(($R$1025-R315)^2)</f>
        <v/>
      </c>
      <c r="BY315" s="125" t="inlineStr">
        <is>
          <t>W36X160</t>
        </is>
      </c>
      <c r="CD315">
        <f>SQRT(($J$1026-J315)^2)</f>
        <v/>
      </c>
      <c r="CE315">
        <f>SQRT(($R$1026-R315)^2)</f>
        <v/>
      </c>
      <c r="CF315" s="125" t="inlineStr">
        <is>
          <t>W36X160</t>
        </is>
      </c>
    </row>
    <row r="316">
      <c r="A316" s="125" t="inlineStr">
        <is>
          <t>W36X170</t>
        </is>
      </c>
      <c r="B316" s="129" t="inlineStr">
        <is>
          <t>AISC</t>
        </is>
      </c>
      <c r="C316" s="125" t="n">
        <v>253.4</v>
      </c>
      <c r="D316" s="125" t="n">
        <v>918.4</v>
      </c>
      <c r="E316" s="125" t="n">
        <v>305.5</v>
      </c>
      <c r="F316" s="125" t="n">
        <v>27.9</v>
      </c>
      <c r="G316" s="125" t="n">
        <v>17.3</v>
      </c>
      <c r="H316" s="125" t="n">
        <v>19.1</v>
      </c>
      <c r="I316" s="125" t="n">
        <v>824.4</v>
      </c>
      <c r="J316" s="125" t="n">
        <v>323</v>
      </c>
      <c r="K316" s="125">
        <f>((E316-G316)/2)/F316</f>
        <v/>
      </c>
      <c r="L316" s="125">
        <f>I316/G316</f>
        <v/>
      </c>
      <c r="M316" s="125" t="n">
        <v>2.99</v>
      </c>
      <c r="N316" s="125" t="n">
        <v>436300</v>
      </c>
      <c r="O316" s="125" t="n">
        <v>13300</v>
      </c>
      <c r="P316" s="125" t="n">
        <v>36.8</v>
      </c>
      <c r="Q316" s="125" t="n">
        <v>6.42</v>
      </c>
      <c r="R316" s="125" t="n">
        <v>9501</v>
      </c>
      <c r="S316" s="125" t="n">
        <v>871</v>
      </c>
      <c r="T316" s="125" t="n">
        <v>10940</v>
      </c>
      <c r="U316" s="125" t="n">
        <v>1371</v>
      </c>
      <c r="X316" s="129">
        <f t="array" ref="X316">_xlfn.IFS((D316/F316) &lt;= (640/SQRT($AT$32)), "Compact", L316 &lt;= ($AT$32*(0.79-(0.002*((E316-G316/2)/(2*F316))*SQRT($AT$32)))), "Non-Compact", L316 &gt; ($AT$32*(0.79-(0.002*((E316-G316/2)/(2*F316))*SQRT($AT$32)))), "Slender")</f>
        <v/>
      </c>
      <c r="Y316" s="129">
        <f t="array" ref="Y316">_xlfn.IFS(K316 &lt;= (65/SQRT($AT$32)), "Compact", K316 &lt;= (95/SQRT($AT$32)), "Non-Compact", K316 &gt; (95/SQRT($AT$32)), "Slender")</f>
        <v/>
      </c>
      <c r="Z316" s="125">
        <f>E316/F316</f>
        <v/>
      </c>
      <c r="AA316" s="125">
        <f>D316/G316</f>
        <v/>
      </c>
      <c r="AB316" s="125">
        <f t="array" ref="AB316">_xlfn.IFS(Z316 &lt;= 9, "1", Z316 &lt;= 12, "2", Z316 &lt;= 15, "3", Z316 &gt; 15, "4")</f>
        <v/>
      </c>
      <c r="AC316" s="125">
        <f t="array" ref="AC316">_xlfn.IFS(AA316 &lt;= 200, "1", L316 &lt;= 300, "2", L316 &lt;= 400, "3", L316 &gt; 400, "4")</f>
        <v/>
      </c>
      <c r="AD316" s="129">
        <f>SQRT((((VLOOKUP($AT$4,$A$4:$D$1021,4,FALSE))-D316)^2)+(((VLOOKUP($AT$4,$A$4:$E$1021,5,FALSE))-E316)^2)+(((VLOOKUP($AT$4,$A$4:$N$1021,14,FALSE))-N316)^2)+(((VLOOKUP($AT$4,$A$4:$O$1021,15,FALSE))-O316)^2))</f>
        <v/>
      </c>
      <c r="AG316" s="129">
        <f>SQRT((((VLOOKUP($AT$4,$A$4:$D$1021,4,FALSE))-D316)^2)+(((VLOOKUP($AT$4,$A$4:$E$1021,5,FALSE))-E316)^2)+(((VLOOKUP($AT$4,$A$4:$R$1021,18,FALSE))-R316)^2)+(((VLOOKUP($AT$4,$A$4:$S$1021,19,FALSE))-S316)^2))</f>
        <v/>
      </c>
      <c r="AJ316" s="125" t="inlineStr">
        <is>
          <t>W36X170</t>
        </is>
      </c>
      <c r="AK316" s="125">
        <f>SQRT(((VLOOKUP($AT$4,$A$4:$J$1021,10,FALSE))-J316)^2)</f>
        <v/>
      </c>
      <c r="AL316" s="125" t="n"/>
      <c r="AM316" s="125" t="n"/>
      <c r="AN316" s="125">
        <f>SQRT(((VLOOKUP($AT$4,$A$4:$R$1021,18,FALSE))-R316)^2)</f>
        <v/>
      </c>
      <c r="AO316" s="125" t="n"/>
      <c r="AP316" s="125" t="n"/>
      <c r="AQ316" s="125" t="inlineStr">
        <is>
          <t>W36X170</t>
        </is>
      </c>
      <c r="BB316" s="125">
        <f>SQRT(($J$1022-J316)^2)</f>
        <v/>
      </c>
      <c r="BC316" s="125">
        <f>SQRT(($R$1022-R316)^2)</f>
        <v/>
      </c>
      <c r="BD316" s="125" t="inlineStr">
        <is>
          <t>W36X170</t>
        </is>
      </c>
      <c r="BI316">
        <f>SQRT(($J$1023-J316)^2)</f>
        <v/>
      </c>
      <c r="BJ316">
        <f>SQRT(($R$1023-R316)^2)</f>
        <v/>
      </c>
      <c r="BK316" s="125" t="inlineStr">
        <is>
          <t>W36X170</t>
        </is>
      </c>
      <c r="BP316">
        <f>SQRT(($J$1024-J316)^2)</f>
        <v/>
      </c>
      <c r="BQ316">
        <f>SQRT(($R$1024-R316)^2)</f>
        <v/>
      </c>
      <c r="BR316" s="125" t="inlineStr">
        <is>
          <t>W36X170</t>
        </is>
      </c>
      <c r="BW316">
        <f>SQRT(($J$1025-J316)^2)</f>
        <v/>
      </c>
      <c r="BX316">
        <f>SQRT(($R$1025-R316)^2)</f>
        <v/>
      </c>
      <c r="BY316" s="125" t="inlineStr">
        <is>
          <t>W36X170</t>
        </is>
      </c>
      <c r="CD316">
        <f>SQRT(($J$1026-J316)^2)</f>
        <v/>
      </c>
      <c r="CE316">
        <f>SQRT(($R$1026-R316)^2)</f>
        <v/>
      </c>
      <c r="CF316" s="125" t="inlineStr">
        <is>
          <t>W36X170</t>
        </is>
      </c>
    </row>
    <row r="317">
      <c r="A317" s="125" t="inlineStr">
        <is>
          <t>W36X182</t>
        </is>
      </c>
      <c r="B317" s="129" t="inlineStr">
        <is>
          <t>AISC</t>
        </is>
      </c>
      <c r="C317" s="125" t="n">
        <v>270.8</v>
      </c>
      <c r="D317" s="125" t="n">
        <v>922.8</v>
      </c>
      <c r="E317" s="125" t="n">
        <v>306.7</v>
      </c>
      <c r="F317" s="125" t="n">
        <v>30</v>
      </c>
      <c r="G317" s="125" t="n">
        <v>18.4</v>
      </c>
      <c r="H317" s="125" t="n">
        <v>19</v>
      </c>
      <c r="I317" s="125" t="n">
        <v>824.9</v>
      </c>
      <c r="J317" s="125" t="n">
        <v>346</v>
      </c>
      <c r="K317" s="125">
        <f>((E317-G317)/2)/F317</f>
        <v/>
      </c>
      <c r="L317" s="125">
        <f>I317/G317</f>
        <v/>
      </c>
      <c r="M317" s="125" t="n">
        <v>3</v>
      </c>
      <c r="N317" s="125" t="n">
        <v>470700</v>
      </c>
      <c r="O317" s="125" t="n">
        <v>14460</v>
      </c>
      <c r="P317" s="125" t="n">
        <v>36.9</v>
      </c>
      <c r="Q317" s="125" t="n">
        <v>6.47</v>
      </c>
      <c r="R317" s="125" t="n">
        <v>10200</v>
      </c>
      <c r="S317" s="125" t="n">
        <v>943</v>
      </c>
      <c r="T317" s="125" t="n">
        <v>11770</v>
      </c>
      <c r="U317" s="125" t="n">
        <v>1487</v>
      </c>
      <c r="X317" s="129">
        <f t="array" ref="X317">_xlfn.IFS((D317/F317) &lt;= (640/SQRT($AT$32)), "Compact", L317 &lt;= ($AT$32*(0.79-(0.002*((E317-G317/2)/(2*F317))*SQRT($AT$32)))), "Non-Compact", L317 &gt; ($AT$32*(0.79-(0.002*((E317-G317/2)/(2*F317))*SQRT($AT$32)))), "Slender")</f>
        <v/>
      </c>
      <c r="Y317" s="129">
        <f t="array" ref="Y317">_xlfn.IFS(K317 &lt;= (65/SQRT($AT$32)), "Compact", K317 &lt;= (95/SQRT($AT$32)), "Non-Compact", K317 &gt; (95/SQRT($AT$32)), "Slender")</f>
        <v/>
      </c>
      <c r="Z317" s="125">
        <f>E317/F317</f>
        <v/>
      </c>
      <c r="AA317" s="125">
        <f>D317/G317</f>
        <v/>
      </c>
      <c r="AB317" s="125">
        <f t="array" ref="AB317">_xlfn.IFS(Z317 &lt;= 9, "1", Z317 &lt;= 12, "2", Z317 &lt;= 15, "3", Z317 &gt; 15, "4")</f>
        <v/>
      </c>
      <c r="AC317" s="125">
        <f t="array" ref="AC317">_xlfn.IFS(AA317 &lt;= 200, "1", L317 &lt;= 300, "2", L317 &lt;= 400, "3", L317 &gt; 400, "4")</f>
        <v/>
      </c>
      <c r="AD317" s="129">
        <f>SQRT((((VLOOKUP($AT$4,$A$4:$D$1021,4,FALSE))-D317)^2)+(((VLOOKUP($AT$4,$A$4:$E$1021,5,FALSE))-E317)^2)+(((VLOOKUP($AT$4,$A$4:$N$1021,14,FALSE))-N317)^2)+(((VLOOKUP($AT$4,$A$4:$O$1021,15,FALSE))-O317)^2))</f>
        <v/>
      </c>
      <c r="AG317" s="129">
        <f>SQRT((((VLOOKUP($AT$4,$A$4:$D$1021,4,FALSE))-D317)^2)+(((VLOOKUP($AT$4,$A$4:$E$1021,5,FALSE))-E317)^2)+(((VLOOKUP($AT$4,$A$4:$R$1021,18,FALSE))-R317)^2)+(((VLOOKUP($AT$4,$A$4:$S$1021,19,FALSE))-S317)^2))</f>
        <v/>
      </c>
      <c r="AJ317" s="125" t="inlineStr">
        <is>
          <t>W36X182</t>
        </is>
      </c>
      <c r="AK317" s="125">
        <f>SQRT(((VLOOKUP($AT$4,$A$4:$J$1021,10,FALSE))-J317)^2)</f>
        <v/>
      </c>
      <c r="AL317" s="125" t="n"/>
      <c r="AM317" s="125" t="n"/>
      <c r="AN317" s="125">
        <f>SQRT(((VLOOKUP($AT$4,$A$4:$R$1021,18,FALSE))-R317)^2)</f>
        <v/>
      </c>
      <c r="AO317" s="125" t="n"/>
      <c r="AP317" s="125" t="n"/>
      <c r="AQ317" s="125" t="inlineStr">
        <is>
          <t>W36X182</t>
        </is>
      </c>
      <c r="BB317" s="125">
        <f>SQRT(($J$1022-J317)^2)</f>
        <v/>
      </c>
      <c r="BC317" s="125">
        <f>SQRT(($R$1022-R317)^2)</f>
        <v/>
      </c>
      <c r="BD317" s="125" t="inlineStr">
        <is>
          <t>W36X182</t>
        </is>
      </c>
      <c r="BI317">
        <f>SQRT(($J$1023-J317)^2)</f>
        <v/>
      </c>
      <c r="BJ317">
        <f>SQRT(($R$1023-R317)^2)</f>
        <v/>
      </c>
      <c r="BK317" s="125" t="inlineStr">
        <is>
          <t>W36X182</t>
        </is>
      </c>
      <c r="BP317">
        <f>SQRT(($J$1024-J317)^2)</f>
        <v/>
      </c>
      <c r="BQ317">
        <f>SQRT(($R$1024-R317)^2)</f>
        <v/>
      </c>
      <c r="BR317" s="125" t="inlineStr">
        <is>
          <t>W36X182</t>
        </is>
      </c>
      <c r="BW317">
        <f>SQRT(($J$1025-J317)^2)</f>
        <v/>
      </c>
      <c r="BX317">
        <f>SQRT(($R$1025-R317)^2)</f>
        <v/>
      </c>
      <c r="BY317" s="125" t="inlineStr">
        <is>
          <t>W36X182</t>
        </is>
      </c>
      <c r="CD317">
        <f>SQRT(($J$1026-J317)^2)</f>
        <v/>
      </c>
      <c r="CE317">
        <f>SQRT(($R$1026-R317)^2)</f>
        <v/>
      </c>
      <c r="CF317" s="125" t="inlineStr">
        <is>
          <t>W36X182</t>
        </is>
      </c>
    </row>
    <row r="318">
      <c r="A318" s="125" t="inlineStr">
        <is>
          <t>W36X194</t>
        </is>
      </c>
      <c r="B318" s="129" t="inlineStr">
        <is>
          <t>AISC</t>
        </is>
      </c>
      <c r="C318" s="125" t="n">
        <v>289.1</v>
      </c>
      <c r="D318" s="125" t="n">
        <v>926.6</v>
      </c>
      <c r="E318" s="125" t="n">
        <v>307.7</v>
      </c>
      <c r="F318" s="125" t="n">
        <v>32</v>
      </c>
      <c r="G318" s="125" t="n">
        <v>19.5</v>
      </c>
      <c r="H318" s="125" t="n">
        <v>19.1</v>
      </c>
      <c r="I318" s="125" t="n">
        <v>824.4</v>
      </c>
      <c r="J318" s="125" t="n">
        <v>368</v>
      </c>
      <c r="K318" s="125">
        <f>((E318-G318)/2)/F318</f>
        <v/>
      </c>
      <c r="L318" s="125">
        <f>I318/G318</f>
        <v/>
      </c>
      <c r="M318" s="125" t="n">
        <v>3.01</v>
      </c>
      <c r="N318" s="125" t="n">
        <v>504200</v>
      </c>
      <c r="O318" s="125" t="n">
        <v>15600</v>
      </c>
      <c r="P318" s="125" t="n">
        <v>37</v>
      </c>
      <c r="Q318" s="125" t="n">
        <v>6.51</v>
      </c>
      <c r="R318" s="125" t="n">
        <v>10880</v>
      </c>
      <c r="S318" s="125" t="n">
        <v>1014</v>
      </c>
      <c r="T318" s="125" t="n">
        <v>12570</v>
      </c>
      <c r="U318" s="125" t="n">
        <v>1601</v>
      </c>
      <c r="X318" s="129">
        <f t="array" ref="X318">_xlfn.IFS((D318/F318) &lt;= (640/SQRT($AT$32)), "Compact", L318 &lt;= ($AT$32*(0.79-(0.002*((E318-G318/2)/(2*F318))*SQRT($AT$32)))), "Non-Compact", L318 &gt; ($AT$32*(0.79-(0.002*((E318-G318/2)/(2*F318))*SQRT($AT$32)))), "Slender")</f>
        <v/>
      </c>
      <c r="Y318" s="129">
        <f t="array" ref="Y318">_xlfn.IFS(K318 &lt;= (65/SQRT($AT$32)), "Compact", K318 &lt;= (95/SQRT($AT$32)), "Non-Compact", K318 &gt; (95/SQRT($AT$32)), "Slender")</f>
        <v/>
      </c>
      <c r="Z318" s="125">
        <f>E318/F318</f>
        <v/>
      </c>
      <c r="AA318" s="125">
        <f>D318/G318</f>
        <v/>
      </c>
      <c r="AB318" s="125">
        <f t="array" ref="AB318">_xlfn.IFS(Z318 &lt;= 9, "1", Z318 &lt;= 12, "2", Z318 &lt;= 15, "3", Z318 &gt; 15, "4")</f>
        <v/>
      </c>
      <c r="AC318" s="125">
        <f t="array" ref="AC318">_xlfn.IFS(AA318 &lt;= 200, "1", L318 &lt;= 300, "2", L318 &lt;= 400, "3", L318 &gt; 400, "4")</f>
        <v/>
      </c>
      <c r="AD318" s="129">
        <f>SQRT((((VLOOKUP($AT$4,$A$4:$D$1021,4,FALSE))-D318)^2)+(((VLOOKUP($AT$4,$A$4:$E$1021,5,FALSE))-E318)^2)+(((VLOOKUP($AT$4,$A$4:$N$1021,14,FALSE))-N318)^2)+(((VLOOKUP($AT$4,$A$4:$O$1021,15,FALSE))-O318)^2))</f>
        <v/>
      </c>
      <c r="AG318" s="129">
        <f>SQRT((((VLOOKUP($AT$4,$A$4:$D$1021,4,FALSE))-D318)^2)+(((VLOOKUP($AT$4,$A$4:$E$1021,5,FALSE))-E318)^2)+(((VLOOKUP($AT$4,$A$4:$R$1021,18,FALSE))-R318)^2)+(((VLOOKUP($AT$4,$A$4:$S$1021,19,FALSE))-S318)^2))</f>
        <v/>
      </c>
      <c r="AJ318" s="125" t="inlineStr">
        <is>
          <t>W36X194</t>
        </is>
      </c>
      <c r="AK318" s="125">
        <f>SQRT(((VLOOKUP($AT$4,$A$4:$J$1021,10,FALSE))-J318)^2)</f>
        <v/>
      </c>
      <c r="AL318" s="125" t="n"/>
      <c r="AM318" s="125" t="n"/>
      <c r="AN318" s="125">
        <f>SQRT(((VLOOKUP($AT$4,$A$4:$R$1021,18,FALSE))-R318)^2)</f>
        <v/>
      </c>
      <c r="AO318" s="125" t="n"/>
      <c r="AP318" s="125" t="n"/>
      <c r="AQ318" s="125" t="inlineStr">
        <is>
          <t>W36X194</t>
        </is>
      </c>
      <c r="BB318" s="125">
        <f>SQRT(($J$1022-J318)^2)</f>
        <v/>
      </c>
      <c r="BC318" s="125">
        <f>SQRT(($R$1022-R318)^2)</f>
        <v/>
      </c>
      <c r="BD318" s="125" t="inlineStr">
        <is>
          <t>W36X194</t>
        </is>
      </c>
      <c r="BI318">
        <f>SQRT(($J$1023-J318)^2)</f>
        <v/>
      </c>
      <c r="BJ318">
        <f>SQRT(($R$1023-R318)^2)</f>
        <v/>
      </c>
      <c r="BK318" s="125" t="inlineStr">
        <is>
          <t>W36X194</t>
        </is>
      </c>
      <c r="BP318">
        <f>SQRT(($J$1024-J318)^2)</f>
        <v/>
      </c>
      <c r="BQ318">
        <f>SQRT(($R$1024-R318)^2)</f>
        <v/>
      </c>
      <c r="BR318" s="125" t="inlineStr">
        <is>
          <t>W36X194</t>
        </is>
      </c>
      <c r="BW318">
        <f>SQRT(($J$1025-J318)^2)</f>
        <v/>
      </c>
      <c r="BX318">
        <f>SQRT(($R$1025-R318)^2)</f>
        <v/>
      </c>
      <c r="BY318" s="125" t="inlineStr">
        <is>
          <t>W36X194</t>
        </is>
      </c>
      <c r="CD318">
        <f>SQRT(($J$1026-J318)^2)</f>
        <v/>
      </c>
      <c r="CE318">
        <f>SQRT(($R$1026-R318)^2)</f>
        <v/>
      </c>
      <c r="CF318" s="125" t="inlineStr">
        <is>
          <t>W36X194</t>
        </is>
      </c>
    </row>
    <row r="319">
      <c r="A319" s="125" t="inlineStr">
        <is>
          <t>W36X210</t>
        </is>
      </c>
      <c r="B319" s="129" t="inlineStr">
        <is>
          <t>AISC</t>
        </is>
      </c>
      <c r="C319" s="125" t="n">
        <v>312.5</v>
      </c>
      <c r="D319" s="125" t="n">
        <v>931.9</v>
      </c>
      <c r="E319" s="125" t="n">
        <v>309.4</v>
      </c>
      <c r="F319" s="125" t="n">
        <v>34.5</v>
      </c>
      <c r="G319" s="125" t="n">
        <v>21.1</v>
      </c>
      <c r="H319" s="125" t="n">
        <v>19</v>
      </c>
      <c r="I319" s="125" t="n">
        <v>824.8</v>
      </c>
      <c r="J319" s="125" t="n">
        <v>399</v>
      </c>
      <c r="K319" s="125">
        <f>((E319-G319)/2)/F319</f>
        <v/>
      </c>
      <c r="L319" s="125">
        <f>I319/G319</f>
        <v/>
      </c>
      <c r="M319" s="125" t="n">
        <v>3.03</v>
      </c>
      <c r="N319" s="125" t="n">
        <v>549000</v>
      </c>
      <c r="O319" s="125" t="n">
        <v>17130</v>
      </c>
      <c r="P319" s="125" t="n">
        <v>37.1</v>
      </c>
      <c r="Q319" s="125" t="n">
        <v>6.55</v>
      </c>
      <c r="R319" s="125" t="n">
        <v>11780</v>
      </c>
      <c r="S319" s="125" t="n">
        <v>1107</v>
      </c>
      <c r="T319" s="125" t="n">
        <v>13650</v>
      </c>
      <c r="U319" s="125" t="n">
        <v>1754</v>
      </c>
      <c r="X319" s="129">
        <f t="array" ref="X319">_xlfn.IFS((D319/F319) &lt;= (640/SQRT($AT$32)), "Compact", L319 &lt;= ($AT$32*(0.79-(0.002*((E319-G319/2)/(2*F319))*SQRT($AT$32)))), "Non-Compact", L319 &gt; ($AT$32*(0.79-(0.002*((E319-G319/2)/(2*F319))*SQRT($AT$32)))), "Slender")</f>
        <v/>
      </c>
      <c r="Y319" s="129">
        <f t="array" ref="Y319">_xlfn.IFS(K319 &lt;= (65/SQRT($AT$32)), "Compact", K319 &lt;= (95/SQRT($AT$32)), "Non-Compact", K319 &gt; (95/SQRT($AT$32)), "Slender")</f>
        <v/>
      </c>
      <c r="Z319" s="125">
        <f>E319/F319</f>
        <v/>
      </c>
      <c r="AA319" s="125">
        <f>D319/G319</f>
        <v/>
      </c>
      <c r="AB319" s="125">
        <f t="array" ref="AB319">_xlfn.IFS(Z319 &lt;= 9, "1", Z319 &lt;= 12, "2", Z319 &lt;= 15, "3", Z319 &gt; 15, "4")</f>
        <v/>
      </c>
      <c r="AC319" s="125">
        <f t="array" ref="AC319">_xlfn.IFS(AA319 &lt;= 200, "1", L319 &lt;= 300, "2", L319 &lt;= 400, "3", L319 &gt; 400, "4")</f>
        <v/>
      </c>
      <c r="AD319" s="129">
        <f>SQRT((((VLOOKUP($AT$4,$A$4:$D$1021,4,FALSE))-D319)^2)+(((VLOOKUP($AT$4,$A$4:$E$1021,5,FALSE))-E319)^2)+(((VLOOKUP($AT$4,$A$4:$N$1021,14,FALSE))-N319)^2)+(((VLOOKUP($AT$4,$A$4:$O$1021,15,FALSE))-O319)^2))</f>
        <v/>
      </c>
      <c r="AG319" s="129">
        <f>SQRT((((VLOOKUP($AT$4,$A$4:$D$1021,4,FALSE))-D319)^2)+(((VLOOKUP($AT$4,$A$4:$E$1021,5,FALSE))-E319)^2)+(((VLOOKUP($AT$4,$A$4:$R$1021,18,FALSE))-R319)^2)+(((VLOOKUP($AT$4,$A$4:$S$1021,19,FALSE))-S319)^2))</f>
        <v/>
      </c>
      <c r="AJ319" s="125" t="inlineStr">
        <is>
          <t>W36X210</t>
        </is>
      </c>
      <c r="AK319" s="125">
        <f>SQRT(((VLOOKUP($AT$4,$A$4:$J$1021,10,FALSE))-J319)^2)</f>
        <v/>
      </c>
      <c r="AL319" s="125" t="n"/>
      <c r="AM319" s="125" t="n"/>
      <c r="AN319" s="125">
        <f>SQRT(((VLOOKUP($AT$4,$A$4:$R$1021,18,FALSE))-R319)^2)</f>
        <v/>
      </c>
      <c r="AO319" s="125" t="n"/>
      <c r="AP319" s="125" t="n"/>
      <c r="AQ319" s="125" t="inlineStr">
        <is>
          <t>W36X210</t>
        </is>
      </c>
      <c r="BB319" s="125">
        <f>SQRT(($J$1022-J319)^2)</f>
        <v/>
      </c>
      <c r="BC319" s="125">
        <f>SQRT(($R$1022-R319)^2)</f>
        <v/>
      </c>
      <c r="BD319" s="125" t="inlineStr">
        <is>
          <t>W36X210</t>
        </is>
      </c>
      <c r="BI319">
        <f>SQRT(($J$1023-J319)^2)</f>
        <v/>
      </c>
      <c r="BJ319">
        <f>SQRT(($R$1023-R319)^2)</f>
        <v/>
      </c>
      <c r="BK319" s="125" t="inlineStr">
        <is>
          <t>W36X210</t>
        </is>
      </c>
      <c r="BP319">
        <f>SQRT(($J$1024-J319)^2)</f>
        <v/>
      </c>
      <c r="BQ319">
        <f>SQRT(($R$1024-R319)^2)</f>
        <v/>
      </c>
      <c r="BR319" s="125" t="inlineStr">
        <is>
          <t>W36X210</t>
        </is>
      </c>
      <c r="BW319">
        <f>SQRT(($J$1025-J319)^2)</f>
        <v/>
      </c>
      <c r="BX319">
        <f>SQRT(($R$1025-R319)^2)</f>
        <v/>
      </c>
      <c r="BY319" s="125" t="inlineStr">
        <is>
          <t>W36X210</t>
        </is>
      </c>
      <c r="CD319">
        <f>SQRT(($J$1026-J319)^2)</f>
        <v/>
      </c>
      <c r="CE319">
        <f>SQRT(($R$1026-R319)^2)</f>
        <v/>
      </c>
      <c r="CF319" s="125" t="inlineStr">
        <is>
          <t>W36X210</t>
        </is>
      </c>
    </row>
    <row r="320">
      <c r="A320" s="125" t="inlineStr">
        <is>
          <t>W36X232</t>
        </is>
      </c>
      <c r="B320" s="129" t="inlineStr">
        <is>
          <t>AISC</t>
        </is>
      </c>
      <c r="C320" s="125" t="n">
        <v>345</v>
      </c>
      <c r="D320" s="125" t="n">
        <v>942.9</v>
      </c>
      <c r="E320" s="125" t="n">
        <v>307.8</v>
      </c>
      <c r="F320" s="125" t="n">
        <v>39.9</v>
      </c>
      <c r="G320" s="125" t="n">
        <v>22.1</v>
      </c>
      <c r="H320" s="125" t="n">
        <v>19.1</v>
      </c>
      <c r="I320" s="125" t="n">
        <v>824.9</v>
      </c>
      <c r="J320" s="125" t="n">
        <v>440</v>
      </c>
      <c r="K320" s="125">
        <f>((E320-G320)/2)/F320</f>
        <v/>
      </c>
      <c r="L320" s="125">
        <f>I320/G320</f>
        <v/>
      </c>
      <c r="M320" s="125" t="n">
        <v>3.04</v>
      </c>
      <c r="N320" s="125" t="n">
        <v>625200</v>
      </c>
      <c r="O320" s="125" t="n">
        <v>19480</v>
      </c>
      <c r="P320" s="125" t="n">
        <v>37.7</v>
      </c>
      <c r="Q320" s="125" t="n">
        <v>6.66</v>
      </c>
      <c r="R320" s="125" t="n">
        <v>13260</v>
      </c>
      <c r="S320" s="125" t="n">
        <v>1266</v>
      </c>
      <c r="T320" s="125" t="n">
        <v>15340</v>
      </c>
      <c r="U320" s="125" t="n">
        <v>2000</v>
      </c>
      <c r="X320" s="129">
        <f t="array" ref="X320">_xlfn.IFS((D320/F320) &lt;= (640/SQRT($AT$32)), "Compact", L320 &lt;= ($AT$32*(0.79-(0.002*((E320-G320/2)/(2*F320))*SQRT($AT$32)))), "Non-Compact", L320 &gt; ($AT$32*(0.79-(0.002*((E320-G320/2)/(2*F320))*SQRT($AT$32)))), "Slender")</f>
        <v/>
      </c>
      <c r="Y320" s="129">
        <f t="array" ref="Y320">_xlfn.IFS(K320 &lt;= (65/SQRT($AT$32)), "Compact", K320 &lt;= (95/SQRT($AT$32)), "Non-Compact", K320 &gt; (95/SQRT($AT$32)), "Slender")</f>
        <v/>
      </c>
      <c r="Z320" s="125">
        <f>E320/F320</f>
        <v/>
      </c>
      <c r="AA320" s="125">
        <f>D320/G320</f>
        <v/>
      </c>
      <c r="AB320" s="125">
        <f t="array" ref="AB320">_xlfn.IFS(Z320 &lt;= 9, "1", Z320 &lt;= 12, "2", Z320 &lt;= 15, "3", Z320 &gt; 15, "4")</f>
        <v/>
      </c>
      <c r="AC320" s="125">
        <f t="array" ref="AC320">_xlfn.IFS(AA320 &lt;= 200, "1", L320 &lt;= 300, "2", L320 &lt;= 400, "3", L320 &gt; 400, "4")</f>
        <v/>
      </c>
      <c r="AD320" s="129">
        <f>SQRT((((VLOOKUP($AT$4,$A$4:$D$1021,4,FALSE))-D320)^2)+(((VLOOKUP($AT$4,$A$4:$E$1021,5,FALSE))-E320)^2)+(((VLOOKUP($AT$4,$A$4:$N$1021,14,FALSE))-N320)^2)+(((VLOOKUP($AT$4,$A$4:$O$1021,15,FALSE))-O320)^2))</f>
        <v/>
      </c>
      <c r="AG320" s="129">
        <f>SQRT((((VLOOKUP($AT$4,$A$4:$D$1021,4,FALSE))-D320)^2)+(((VLOOKUP($AT$4,$A$4:$E$1021,5,FALSE))-E320)^2)+(((VLOOKUP($AT$4,$A$4:$R$1021,18,FALSE))-R320)^2)+(((VLOOKUP($AT$4,$A$4:$S$1021,19,FALSE))-S320)^2))</f>
        <v/>
      </c>
      <c r="AJ320" s="125" t="inlineStr">
        <is>
          <t>W36X232</t>
        </is>
      </c>
      <c r="AK320" s="125">
        <f>SQRT(((VLOOKUP($AT$4,$A$4:$J$1021,10,FALSE))-J320)^2)</f>
        <v/>
      </c>
      <c r="AL320" s="125" t="n"/>
      <c r="AM320" s="125" t="n"/>
      <c r="AN320" s="125">
        <f>SQRT(((VLOOKUP($AT$4,$A$4:$R$1021,18,FALSE))-R320)^2)</f>
        <v/>
      </c>
      <c r="AO320" s="125" t="n"/>
      <c r="AP320" s="125" t="n"/>
      <c r="AQ320" s="125" t="inlineStr">
        <is>
          <t>W36X232</t>
        </is>
      </c>
      <c r="BB320" s="125">
        <f>SQRT(($J$1022-J320)^2)</f>
        <v/>
      </c>
      <c r="BC320" s="125">
        <f>SQRT(($R$1022-R320)^2)</f>
        <v/>
      </c>
      <c r="BD320" s="125" t="inlineStr">
        <is>
          <t>W36X232</t>
        </is>
      </c>
      <c r="BI320">
        <f>SQRT(($J$1023-J320)^2)</f>
        <v/>
      </c>
      <c r="BJ320">
        <f>SQRT(($R$1023-R320)^2)</f>
        <v/>
      </c>
      <c r="BK320" s="125" t="inlineStr">
        <is>
          <t>W36X232</t>
        </is>
      </c>
      <c r="BP320">
        <f>SQRT(($J$1024-J320)^2)</f>
        <v/>
      </c>
      <c r="BQ320">
        <f>SQRT(($R$1024-R320)^2)</f>
        <v/>
      </c>
      <c r="BR320" s="125" t="inlineStr">
        <is>
          <t>W36X232</t>
        </is>
      </c>
      <c r="BW320">
        <f>SQRT(($J$1025-J320)^2)</f>
        <v/>
      </c>
      <c r="BX320">
        <f>SQRT(($R$1025-R320)^2)</f>
        <v/>
      </c>
      <c r="BY320" s="125" t="inlineStr">
        <is>
          <t>W36X232</t>
        </is>
      </c>
      <c r="CD320">
        <f>SQRT(($J$1026-J320)^2)</f>
        <v/>
      </c>
      <c r="CE320">
        <f>SQRT(($R$1026-R320)^2)</f>
        <v/>
      </c>
      <c r="CF320" s="125" t="inlineStr">
        <is>
          <t>W36X232</t>
        </is>
      </c>
    </row>
    <row r="321">
      <c r="A321" s="125" t="inlineStr">
        <is>
          <t>W36X256</t>
        </is>
      </c>
      <c r="B321" s="129" t="inlineStr">
        <is>
          <t>AISC</t>
        </is>
      </c>
      <c r="C321" s="125" t="n">
        <v>381</v>
      </c>
      <c r="D321" s="125" t="n">
        <v>950.7</v>
      </c>
      <c r="E321" s="125" t="n">
        <v>310.3</v>
      </c>
      <c r="F321" s="125" t="n">
        <v>43.9</v>
      </c>
      <c r="G321" s="125" t="n">
        <v>24.4</v>
      </c>
      <c r="H321" s="125" t="n">
        <v>19.1</v>
      </c>
      <c r="I321" s="125" t="n">
        <v>824.7</v>
      </c>
      <c r="J321" s="125" t="n">
        <v>486</v>
      </c>
      <c r="K321" s="125">
        <f>((E321-G321)/2)/F321</f>
        <v/>
      </c>
      <c r="L321" s="125">
        <f>I321/G321</f>
        <v/>
      </c>
      <c r="M321" s="125" t="n">
        <v>3.06</v>
      </c>
      <c r="N321" s="125" t="n">
        <v>696900</v>
      </c>
      <c r="O321" s="125" t="n">
        <v>21980</v>
      </c>
      <c r="P321" s="125" t="n">
        <v>37.9</v>
      </c>
      <c r="Q321" s="125" t="n">
        <v>6.72</v>
      </c>
      <c r="R321" s="125" t="n">
        <v>14660</v>
      </c>
      <c r="S321" s="125" t="n">
        <v>1416</v>
      </c>
      <c r="T321" s="125" t="n">
        <v>17030</v>
      </c>
      <c r="U321" s="125" t="n">
        <v>2247</v>
      </c>
      <c r="X321" s="129">
        <f t="array" ref="X321">_xlfn.IFS((D321/F321) &lt;= (640/SQRT($AT$32)), "Compact", L321 &lt;= ($AT$32*(0.79-(0.002*((E321-G321/2)/(2*F321))*SQRT($AT$32)))), "Non-Compact", L321 &gt; ($AT$32*(0.79-(0.002*((E321-G321/2)/(2*F321))*SQRT($AT$32)))), "Slender")</f>
        <v/>
      </c>
      <c r="Y321" s="129">
        <f t="array" ref="Y321">_xlfn.IFS(K321 &lt;= (65/SQRT($AT$32)), "Compact", K321 &lt;= (95/SQRT($AT$32)), "Non-Compact", K321 &gt; (95/SQRT($AT$32)), "Slender")</f>
        <v/>
      </c>
      <c r="Z321" s="125">
        <f>E321/F321</f>
        <v/>
      </c>
      <c r="AA321" s="125">
        <f>D321/G321</f>
        <v/>
      </c>
      <c r="AB321" s="125">
        <f t="array" ref="AB321">_xlfn.IFS(Z321 &lt;= 9, "1", Z321 &lt;= 12, "2", Z321 &lt;= 15, "3", Z321 &gt; 15, "4")</f>
        <v/>
      </c>
      <c r="AC321" s="125">
        <f t="array" ref="AC321">_xlfn.IFS(AA321 &lt;= 200, "1", L321 &lt;= 300, "2", L321 &lt;= 400, "3", L321 &gt; 400, "4")</f>
        <v/>
      </c>
      <c r="AD321" s="129">
        <f>SQRT((((VLOOKUP($AT$4,$A$4:$D$1021,4,FALSE))-D321)^2)+(((VLOOKUP($AT$4,$A$4:$E$1021,5,FALSE))-E321)^2)+(((VLOOKUP($AT$4,$A$4:$N$1021,14,FALSE))-N321)^2)+(((VLOOKUP($AT$4,$A$4:$O$1021,15,FALSE))-O321)^2))</f>
        <v/>
      </c>
      <c r="AG321" s="129">
        <f>SQRT((((VLOOKUP($AT$4,$A$4:$D$1021,4,FALSE))-D321)^2)+(((VLOOKUP($AT$4,$A$4:$E$1021,5,FALSE))-E321)^2)+(((VLOOKUP($AT$4,$A$4:$R$1021,18,FALSE))-R321)^2)+(((VLOOKUP($AT$4,$A$4:$S$1021,19,FALSE))-S321)^2))</f>
        <v/>
      </c>
      <c r="AJ321" s="125" t="inlineStr">
        <is>
          <t>W36X256</t>
        </is>
      </c>
      <c r="AK321" s="125">
        <f>SQRT(((VLOOKUP($AT$4,$A$4:$J$1021,10,FALSE))-J321)^2)</f>
        <v/>
      </c>
      <c r="AL321" s="125" t="n"/>
      <c r="AM321" s="125" t="n"/>
      <c r="AN321" s="125">
        <f>SQRT(((VLOOKUP($AT$4,$A$4:$R$1021,18,FALSE))-R321)^2)</f>
        <v/>
      </c>
      <c r="AO321" s="125" t="n"/>
      <c r="AP321" s="125" t="n"/>
      <c r="AQ321" s="125" t="inlineStr">
        <is>
          <t>W36X256</t>
        </is>
      </c>
      <c r="BB321" s="125">
        <f>SQRT(($J$1022-J321)^2)</f>
        <v/>
      </c>
      <c r="BC321" s="125">
        <f>SQRT(($R$1022-R321)^2)</f>
        <v/>
      </c>
      <c r="BD321" s="125" t="inlineStr">
        <is>
          <t>W36X256</t>
        </is>
      </c>
      <c r="BI321">
        <f>SQRT(($J$1023-J321)^2)</f>
        <v/>
      </c>
      <c r="BJ321">
        <f>SQRT(($R$1023-R321)^2)</f>
        <v/>
      </c>
      <c r="BK321" s="125" t="inlineStr">
        <is>
          <t>W36X256</t>
        </is>
      </c>
      <c r="BP321">
        <f>SQRT(($J$1024-J321)^2)</f>
        <v/>
      </c>
      <c r="BQ321">
        <f>SQRT(($R$1024-R321)^2)</f>
        <v/>
      </c>
      <c r="BR321" s="125" t="inlineStr">
        <is>
          <t>W36X256</t>
        </is>
      </c>
      <c r="BW321">
        <f>SQRT(($J$1025-J321)^2)</f>
        <v/>
      </c>
      <c r="BX321">
        <f>SQRT(($R$1025-R321)^2)</f>
        <v/>
      </c>
      <c r="BY321" s="125" t="inlineStr">
        <is>
          <t>W36X256</t>
        </is>
      </c>
      <c r="CD321">
        <f>SQRT(($J$1026-J321)^2)</f>
        <v/>
      </c>
      <c r="CE321">
        <f>SQRT(($R$1026-R321)^2)</f>
        <v/>
      </c>
      <c r="CF321" s="125" t="inlineStr">
        <is>
          <t>W36X256</t>
        </is>
      </c>
    </row>
    <row r="322">
      <c r="A322" s="125" t="inlineStr">
        <is>
          <t>W36X286</t>
        </is>
      </c>
      <c r="B322" s="129" t="inlineStr">
        <is>
          <t>AISC</t>
        </is>
      </c>
      <c r="C322" s="125" t="n">
        <v>426</v>
      </c>
      <c r="D322" s="125" t="n">
        <v>960.9</v>
      </c>
      <c r="E322" s="125" t="n">
        <v>312.8</v>
      </c>
      <c r="F322" s="125" t="n">
        <v>48</v>
      </c>
      <c r="G322" s="125" t="n">
        <v>26.9</v>
      </c>
      <c r="H322" s="125" t="n">
        <v>19.1</v>
      </c>
      <c r="I322" s="125" t="n">
        <v>826.7</v>
      </c>
      <c r="J322" s="125" t="n">
        <v>536</v>
      </c>
      <c r="K322" s="125">
        <f>((E322-G322)/2)/F322</f>
        <v/>
      </c>
      <c r="L322" s="125">
        <f>I322/G322</f>
        <v/>
      </c>
      <c r="M322" s="125" t="n">
        <v>3.09</v>
      </c>
      <c r="N322" s="125" t="n">
        <v>777000</v>
      </c>
      <c r="O322" s="125" t="n">
        <v>24640</v>
      </c>
      <c r="P322" s="125" t="n">
        <v>38.1</v>
      </c>
      <c r="Q322" s="125" t="n">
        <v>6.78</v>
      </c>
      <c r="R322" s="125" t="n">
        <v>16170</v>
      </c>
      <c r="S322" s="125" t="n">
        <v>1575</v>
      </c>
      <c r="T322" s="125" t="n">
        <v>18870</v>
      </c>
      <c r="U322" s="125" t="n">
        <v>2510</v>
      </c>
      <c r="X322" s="129">
        <f t="array" ref="X322">_xlfn.IFS((D322/F322) &lt;= (640/SQRT($AT$32)), "Compact", L322 &lt;= ($AT$32*(0.79-(0.002*((E322-G322/2)/(2*F322))*SQRT($AT$32)))), "Non-Compact", L322 &gt; ($AT$32*(0.79-(0.002*((E322-G322/2)/(2*F322))*SQRT($AT$32)))), "Slender")</f>
        <v/>
      </c>
      <c r="Y322" s="129">
        <f t="array" ref="Y322">_xlfn.IFS(K322 &lt;= (65/SQRT($AT$32)), "Compact", K322 &lt;= (95/SQRT($AT$32)), "Non-Compact", K322 &gt; (95/SQRT($AT$32)), "Slender")</f>
        <v/>
      </c>
      <c r="Z322" s="125">
        <f>E322/F322</f>
        <v/>
      </c>
      <c r="AA322" s="125">
        <f>D322/G322</f>
        <v/>
      </c>
      <c r="AB322" s="125">
        <f t="array" ref="AB322">_xlfn.IFS(Z322 &lt;= 9, "1", Z322 &lt;= 12, "2", Z322 &lt;= 15, "3", Z322 &gt; 15, "4")</f>
        <v/>
      </c>
      <c r="AC322" s="125">
        <f t="array" ref="AC322">_xlfn.IFS(AA322 &lt;= 200, "1", L322 &lt;= 300, "2", L322 &lt;= 400, "3", L322 &gt; 400, "4")</f>
        <v/>
      </c>
      <c r="AD322" s="129">
        <f>SQRT((((VLOOKUP($AT$4,$A$4:$D$1021,4,FALSE))-D322)^2)+(((VLOOKUP($AT$4,$A$4:$E$1021,5,FALSE))-E322)^2)+(((VLOOKUP($AT$4,$A$4:$N$1021,14,FALSE))-N322)^2)+(((VLOOKUP($AT$4,$A$4:$O$1021,15,FALSE))-O322)^2))</f>
        <v/>
      </c>
      <c r="AG322" s="129">
        <f>SQRT((((VLOOKUP($AT$4,$A$4:$D$1021,4,FALSE))-D322)^2)+(((VLOOKUP($AT$4,$A$4:$E$1021,5,FALSE))-E322)^2)+(((VLOOKUP($AT$4,$A$4:$R$1021,18,FALSE))-R322)^2)+(((VLOOKUP($AT$4,$A$4:$S$1021,19,FALSE))-S322)^2))</f>
        <v/>
      </c>
      <c r="AJ322" s="125" t="inlineStr">
        <is>
          <t>W36X286</t>
        </is>
      </c>
      <c r="AK322" s="125">
        <f>SQRT(((VLOOKUP($AT$4,$A$4:$J$1021,10,FALSE))-J322)^2)</f>
        <v/>
      </c>
      <c r="AL322" s="125" t="n"/>
      <c r="AM322" s="125" t="n"/>
      <c r="AN322" s="125">
        <f>SQRT(((VLOOKUP($AT$4,$A$4:$R$1021,18,FALSE))-R322)^2)</f>
        <v/>
      </c>
      <c r="AO322" s="125" t="n"/>
      <c r="AP322" s="125" t="n"/>
      <c r="AQ322" s="125" t="inlineStr">
        <is>
          <t>W36X286</t>
        </is>
      </c>
      <c r="BB322" s="125">
        <f>SQRT(($J$1022-J322)^2)</f>
        <v/>
      </c>
      <c r="BC322" s="125">
        <f>SQRT(($R$1022-R322)^2)</f>
        <v/>
      </c>
      <c r="BD322" s="125" t="inlineStr">
        <is>
          <t>W36X286</t>
        </is>
      </c>
      <c r="BI322">
        <f>SQRT(($J$1023-J322)^2)</f>
        <v/>
      </c>
      <c r="BJ322">
        <f>SQRT(($R$1023-R322)^2)</f>
        <v/>
      </c>
      <c r="BK322" s="125" t="inlineStr">
        <is>
          <t>W36X286</t>
        </is>
      </c>
      <c r="BP322">
        <f>SQRT(($J$1024-J322)^2)</f>
        <v/>
      </c>
      <c r="BQ322">
        <f>SQRT(($R$1024-R322)^2)</f>
        <v/>
      </c>
      <c r="BR322" s="125" t="inlineStr">
        <is>
          <t>W36X286</t>
        </is>
      </c>
      <c r="BW322">
        <f>SQRT(($J$1025-J322)^2)</f>
        <v/>
      </c>
      <c r="BX322">
        <f>SQRT(($R$1025-R322)^2)</f>
        <v/>
      </c>
      <c r="BY322" s="125" t="inlineStr">
        <is>
          <t>W36X286</t>
        </is>
      </c>
      <c r="CD322">
        <f>SQRT(($J$1026-J322)^2)</f>
        <v/>
      </c>
      <c r="CE322">
        <f>SQRT(($R$1026-R322)^2)</f>
        <v/>
      </c>
      <c r="CF322" s="125" t="inlineStr">
        <is>
          <t>W36X286</t>
        </is>
      </c>
    </row>
    <row r="323">
      <c r="A323" s="125" t="inlineStr">
        <is>
          <t>W36X318</t>
        </is>
      </c>
      <c r="B323" s="129" t="inlineStr">
        <is>
          <t>AISC</t>
        </is>
      </c>
      <c r="C323" s="125" t="n">
        <v>474</v>
      </c>
      <c r="D323" s="125" t="n">
        <v>970.8</v>
      </c>
      <c r="E323" s="125" t="n">
        <v>315.7</v>
      </c>
      <c r="F323" s="125" t="n">
        <v>54.1</v>
      </c>
      <c r="G323" s="125" t="n">
        <v>29.9</v>
      </c>
      <c r="H323" s="125" t="n">
        <v>19.1</v>
      </c>
      <c r="I323" s="125" t="n">
        <v>824.4</v>
      </c>
      <c r="J323" s="125" t="n">
        <v>603</v>
      </c>
      <c r="K323" s="125">
        <f>((E323-G323)/2)/F323</f>
        <v/>
      </c>
      <c r="L323" s="125">
        <f>I323/G323</f>
        <v/>
      </c>
      <c r="M323" s="125" t="n">
        <v>3.11</v>
      </c>
      <c r="N323" s="125" t="n">
        <v>884100</v>
      </c>
      <c r="O323" s="125" t="n">
        <v>28580</v>
      </c>
      <c r="P323" s="125" t="n">
        <v>38.3</v>
      </c>
      <c r="Q323" s="125" t="n">
        <v>6.89</v>
      </c>
      <c r="R323" s="125" t="n">
        <v>18210</v>
      </c>
      <c r="S323" s="125" t="n">
        <v>1810</v>
      </c>
      <c r="T323" s="125" t="n">
        <v>21350</v>
      </c>
      <c r="U323" s="125" t="n">
        <v>2895</v>
      </c>
      <c r="X323" s="129">
        <f t="array" ref="X323">_xlfn.IFS((D323/F323) &lt;= (640/SQRT($AT$32)), "Compact", L323 &lt;= ($AT$32*(0.79-(0.002*((E323-G323/2)/(2*F323))*SQRT($AT$32)))), "Non-Compact", L323 &gt; ($AT$32*(0.79-(0.002*((E323-G323/2)/(2*F323))*SQRT($AT$32)))), "Slender")</f>
        <v/>
      </c>
      <c r="Y323" s="129">
        <f t="array" ref="Y323">_xlfn.IFS(K323 &lt;= (65/SQRT($AT$32)), "Compact", K323 &lt;= (95/SQRT($AT$32)), "Non-Compact", K323 &gt; (95/SQRT($AT$32)), "Slender")</f>
        <v/>
      </c>
      <c r="Z323" s="125">
        <f>E323/F323</f>
        <v/>
      </c>
      <c r="AA323" s="125">
        <f>D323/G323</f>
        <v/>
      </c>
      <c r="AB323" s="125">
        <f t="array" ref="AB323">_xlfn.IFS(Z323 &lt;= 9, "1", Z323 &lt;= 12, "2", Z323 &lt;= 15, "3", Z323 &gt; 15, "4")</f>
        <v/>
      </c>
      <c r="AC323" s="125">
        <f t="array" ref="AC323">_xlfn.IFS(AA323 &lt;= 200, "1", L323 &lt;= 300, "2", L323 &lt;= 400, "3", L323 &gt; 400, "4")</f>
        <v/>
      </c>
      <c r="AD323" s="129">
        <f>SQRT((((VLOOKUP($AT$4,$A$4:$D$1021,4,FALSE))-D323)^2)+(((VLOOKUP($AT$4,$A$4:$E$1021,5,FALSE))-E323)^2)+(((VLOOKUP($AT$4,$A$4:$N$1021,14,FALSE))-N323)^2)+(((VLOOKUP($AT$4,$A$4:$O$1021,15,FALSE))-O323)^2))</f>
        <v/>
      </c>
      <c r="AG323" s="129">
        <f>SQRT((((VLOOKUP($AT$4,$A$4:$D$1021,4,FALSE))-D323)^2)+(((VLOOKUP($AT$4,$A$4:$E$1021,5,FALSE))-E323)^2)+(((VLOOKUP($AT$4,$A$4:$R$1021,18,FALSE))-R323)^2)+(((VLOOKUP($AT$4,$A$4:$S$1021,19,FALSE))-S323)^2))</f>
        <v/>
      </c>
      <c r="AJ323" s="125" t="inlineStr">
        <is>
          <t>W36X318</t>
        </is>
      </c>
      <c r="AK323" s="125">
        <f>SQRT(((VLOOKUP($AT$4,$A$4:$J$1021,10,FALSE))-J323)^2)</f>
        <v/>
      </c>
      <c r="AL323" s="125" t="n"/>
      <c r="AM323" s="125" t="n"/>
      <c r="AN323" s="125">
        <f>SQRT(((VLOOKUP($AT$4,$A$4:$R$1021,18,FALSE))-R323)^2)</f>
        <v/>
      </c>
      <c r="AO323" s="125" t="n"/>
      <c r="AP323" s="125" t="n"/>
      <c r="AQ323" s="125" t="inlineStr">
        <is>
          <t>W36X318</t>
        </is>
      </c>
      <c r="BB323" s="125">
        <f>SQRT(($J$1022-J323)^2)</f>
        <v/>
      </c>
      <c r="BC323" s="125">
        <f>SQRT(($R$1022-R323)^2)</f>
        <v/>
      </c>
      <c r="BD323" s="125" t="inlineStr">
        <is>
          <t>W36X318</t>
        </is>
      </c>
      <c r="BI323">
        <f>SQRT(($J$1023-J323)^2)</f>
        <v/>
      </c>
      <c r="BJ323">
        <f>SQRT(($R$1023-R323)^2)</f>
        <v/>
      </c>
      <c r="BK323" s="125" t="inlineStr">
        <is>
          <t>W36X318</t>
        </is>
      </c>
      <c r="BP323">
        <f>SQRT(($J$1024-J323)^2)</f>
        <v/>
      </c>
      <c r="BQ323">
        <f>SQRT(($R$1024-R323)^2)</f>
        <v/>
      </c>
      <c r="BR323" s="125" t="inlineStr">
        <is>
          <t>W36X318</t>
        </is>
      </c>
      <c r="BW323">
        <f>SQRT(($J$1025-J323)^2)</f>
        <v/>
      </c>
      <c r="BX323">
        <f>SQRT(($R$1025-R323)^2)</f>
        <v/>
      </c>
      <c r="BY323" s="125" t="inlineStr">
        <is>
          <t>W36X318</t>
        </is>
      </c>
      <c r="CD323">
        <f>SQRT(($J$1026-J323)^2)</f>
        <v/>
      </c>
      <c r="CE323">
        <f>SQRT(($R$1026-R323)^2)</f>
        <v/>
      </c>
      <c r="CF323" s="125" t="inlineStr">
        <is>
          <t>W36X318</t>
        </is>
      </c>
    </row>
    <row r="324">
      <c r="A324" s="125" t="inlineStr">
        <is>
          <t>W36X350</t>
        </is>
      </c>
      <c r="B324" s="129" t="inlineStr">
        <is>
          <t>AISC</t>
        </is>
      </c>
      <c r="C324" s="125" t="n">
        <v>521</v>
      </c>
      <c r="D324" s="125" t="n">
        <v>980.7</v>
      </c>
      <c r="E324" s="125" t="n">
        <v>318.8</v>
      </c>
      <c r="F324" s="125" t="n">
        <v>58.9</v>
      </c>
      <c r="G324" s="125" t="n">
        <v>33</v>
      </c>
      <c r="H324" s="125" t="n">
        <v>19.1</v>
      </c>
      <c r="I324" s="125" t="n">
        <v>824.7</v>
      </c>
      <c r="J324" s="125" t="n">
        <v>663</v>
      </c>
      <c r="K324" s="125">
        <f>((E324-G324)/2)/F324</f>
        <v/>
      </c>
      <c r="L324" s="125">
        <f>I324/G324</f>
        <v/>
      </c>
      <c r="M324" s="125" t="n">
        <v>3.14</v>
      </c>
      <c r="N324" s="125" t="n">
        <v>981300</v>
      </c>
      <c r="O324" s="125" t="n">
        <v>32080</v>
      </c>
      <c r="P324" s="125" t="n">
        <v>38.5</v>
      </c>
      <c r="Q324" s="125" t="n">
        <v>6.95</v>
      </c>
      <c r="R324" s="125" t="n">
        <v>20010</v>
      </c>
      <c r="S324" s="125" t="n">
        <v>2013</v>
      </c>
      <c r="T324" s="125" t="n">
        <v>23590</v>
      </c>
      <c r="U324" s="125" t="n">
        <v>3235</v>
      </c>
      <c r="X324" s="129">
        <f t="array" ref="X324">_xlfn.IFS((D324/F324) &lt;= (640/SQRT($AT$32)), "Compact", L324 &lt;= ($AT$32*(0.79-(0.002*((E324-G324/2)/(2*F324))*SQRT($AT$32)))), "Non-Compact", L324 &gt; ($AT$32*(0.79-(0.002*((E324-G324/2)/(2*F324))*SQRT($AT$32)))), "Slender")</f>
        <v/>
      </c>
      <c r="Y324" s="129">
        <f t="array" ref="Y324">_xlfn.IFS(K324 &lt;= (65/SQRT($AT$32)), "Compact", K324 &lt;= (95/SQRT($AT$32)), "Non-Compact", K324 &gt; (95/SQRT($AT$32)), "Slender")</f>
        <v/>
      </c>
      <c r="Z324" s="125">
        <f>E324/F324</f>
        <v/>
      </c>
      <c r="AA324" s="125">
        <f>D324/G324</f>
        <v/>
      </c>
      <c r="AB324" s="125">
        <f t="array" ref="AB324">_xlfn.IFS(Z324 &lt;= 9, "1", Z324 &lt;= 12, "2", Z324 &lt;= 15, "3", Z324 &gt; 15, "4")</f>
        <v/>
      </c>
      <c r="AC324" s="125">
        <f t="array" ref="AC324">_xlfn.IFS(AA324 &lt;= 200, "1", L324 &lt;= 300, "2", L324 &lt;= 400, "3", L324 &gt; 400, "4")</f>
        <v/>
      </c>
      <c r="AD324" s="129">
        <f>SQRT((((VLOOKUP($AT$4,$A$4:$D$1021,4,FALSE))-D324)^2)+(((VLOOKUP($AT$4,$A$4:$E$1021,5,FALSE))-E324)^2)+(((VLOOKUP($AT$4,$A$4:$N$1021,14,FALSE))-N324)^2)+(((VLOOKUP($AT$4,$A$4:$O$1021,15,FALSE))-O324)^2))</f>
        <v/>
      </c>
      <c r="AG324" s="129">
        <f>SQRT((((VLOOKUP($AT$4,$A$4:$D$1021,4,FALSE))-D324)^2)+(((VLOOKUP($AT$4,$A$4:$E$1021,5,FALSE))-E324)^2)+(((VLOOKUP($AT$4,$A$4:$R$1021,18,FALSE))-R324)^2)+(((VLOOKUP($AT$4,$A$4:$S$1021,19,FALSE))-S324)^2))</f>
        <v/>
      </c>
      <c r="AJ324" s="125" t="inlineStr">
        <is>
          <t>W36X350</t>
        </is>
      </c>
      <c r="AK324" s="125">
        <f>SQRT(((VLOOKUP($AT$4,$A$4:$J$1021,10,FALSE))-J324)^2)</f>
        <v/>
      </c>
      <c r="AL324" s="125" t="n"/>
      <c r="AM324" s="125" t="n"/>
      <c r="AN324" s="125">
        <f>SQRT(((VLOOKUP($AT$4,$A$4:$R$1021,18,FALSE))-R324)^2)</f>
        <v/>
      </c>
      <c r="AO324" s="125" t="n"/>
      <c r="AP324" s="125" t="n"/>
      <c r="AQ324" s="125" t="inlineStr">
        <is>
          <t>W36X350</t>
        </is>
      </c>
      <c r="BB324" s="125">
        <f>SQRT(($J$1022-J324)^2)</f>
        <v/>
      </c>
      <c r="BC324" s="125">
        <f>SQRT(($R$1022-R324)^2)</f>
        <v/>
      </c>
      <c r="BD324" s="125" t="inlineStr">
        <is>
          <t>W36X350</t>
        </is>
      </c>
      <c r="BI324">
        <f>SQRT(($J$1023-J324)^2)</f>
        <v/>
      </c>
      <c r="BJ324">
        <f>SQRT(($R$1023-R324)^2)</f>
        <v/>
      </c>
      <c r="BK324" s="125" t="inlineStr">
        <is>
          <t>W36X350</t>
        </is>
      </c>
      <c r="BP324">
        <f>SQRT(($J$1024-J324)^2)</f>
        <v/>
      </c>
      <c r="BQ324">
        <f>SQRT(($R$1024-R324)^2)</f>
        <v/>
      </c>
      <c r="BR324" s="125" t="inlineStr">
        <is>
          <t>W36X350</t>
        </is>
      </c>
      <c r="BW324">
        <f>SQRT(($J$1025-J324)^2)</f>
        <v/>
      </c>
      <c r="BX324">
        <f>SQRT(($R$1025-R324)^2)</f>
        <v/>
      </c>
      <c r="BY324" s="125" t="inlineStr">
        <is>
          <t>W36X350</t>
        </is>
      </c>
      <c r="CD324">
        <f>SQRT(($J$1026-J324)^2)</f>
        <v/>
      </c>
      <c r="CE324">
        <f>SQRT(($R$1026-R324)^2)</f>
        <v/>
      </c>
      <c r="CF324" s="125" t="inlineStr">
        <is>
          <t>W36X350</t>
        </is>
      </c>
    </row>
    <row r="325">
      <c r="A325" s="125" t="inlineStr">
        <is>
          <t>W36X387</t>
        </is>
      </c>
      <c r="B325" s="129" t="inlineStr">
        <is>
          <t>AISC</t>
        </is>
      </c>
      <c r="C325" s="125" t="n">
        <v>576</v>
      </c>
      <c r="D325" s="125" t="n">
        <v>992.9</v>
      </c>
      <c r="E325" s="125" t="n">
        <v>321.8</v>
      </c>
      <c r="F325" s="125" t="n">
        <v>65</v>
      </c>
      <c r="G325" s="125" t="n">
        <v>36.1</v>
      </c>
      <c r="H325" s="125" t="n">
        <v>19.1</v>
      </c>
      <c r="I325" s="125" t="n">
        <v>824.7</v>
      </c>
      <c r="J325" s="125" t="n">
        <v>733</v>
      </c>
      <c r="K325" s="125">
        <f>((E325-G325)/2)/F325</f>
        <v/>
      </c>
      <c r="L325" s="125">
        <f>I325/G325</f>
        <v/>
      </c>
      <c r="M325" s="125" t="n">
        <v>3.17</v>
      </c>
      <c r="N325" s="125" t="n">
        <v>110100</v>
      </c>
      <c r="O325" s="125" t="n">
        <v>36460</v>
      </c>
      <c r="P325" s="125" t="n">
        <v>38.8</v>
      </c>
      <c r="Q325" s="125" t="n">
        <v>7.05</v>
      </c>
      <c r="R325" s="125" t="n">
        <v>22180</v>
      </c>
      <c r="S325" s="125" t="n">
        <v>2266</v>
      </c>
      <c r="T325" s="125" t="n">
        <v>26260</v>
      </c>
      <c r="U325" s="125" t="n">
        <v>3654</v>
      </c>
      <c r="X325" s="129">
        <f t="array" ref="X325">_xlfn.IFS((D325/F325) &lt;= (640/SQRT($AT$32)), "Compact", L325 &lt;= ($AT$32*(0.79-(0.002*((E325-G325/2)/(2*F325))*SQRT($AT$32)))), "Non-Compact", L325 &gt; ($AT$32*(0.79-(0.002*((E325-G325/2)/(2*F325))*SQRT($AT$32)))), "Slender")</f>
        <v/>
      </c>
      <c r="Y325" s="129">
        <f t="array" ref="Y325">_xlfn.IFS(K325 &lt;= (65/SQRT($AT$32)), "Compact", K325 &lt;= (95/SQRT($AT$32)), "Non-Compact", K325 &gt; (95/SQRT($AT$32)), "Slender")</f>
        <v/>
      </c>
      <c r="Z325" s="125">
        <f>E325/F325</f>
        <v/>
      </c>
      <c r="AA325" s="125">
        <f>D325/G325</f>
        <v/>
      </c>
      <c r="AB325" s="125">
        <f t="array" ref="AB325">_xlfn.IFS(Z325 &lt;= 9, "1", Z325 &lt;= 12, "2", Z325 &lt;= 15, "3", Z325 &gt; 15, "4")</f>
        <v/>
      </c>
      <c r="AC325" s="125">
        <f t="array" ref="AC325">_xlfn.IFS(AA325 &lt;= 200, "1", L325 &lt;= 300, "2", L325 &lt;= 400, "3", L325 &gt; 400, "4")</f>
        <v/>
      </c>
      <c r="AD325" s="129">
        <f>SQRT((((VLOOKUP($AT$4,$A$4:$D$1021,4,FALSE))-D325)^2)+(((VLOOKUP($AT$4,$A$4:$E$1021,5,FALSE))-E325)^2)+(((VLOOKUP($AT$4,$A$4:$N$1021,14,FALSE))-N325)^2)+(((VLOOKUP($AT$4,$A$4:$O$1021,15,FALSE))-O325)^2))</f>
        <v/>
      </c>
      <c r="AG325" s="129">
        <f>SQRT((((VLOOKUP($AT$4,$A$4:$D$1021,4,FALSE))-D325)^2)+(((VLOOKUP($AT$4,$A$4:$E$1021,5,FALSE))-E325)^2)+(((VLOOKUP($AT$4,$A$4:$R$1021,18,FALSE))-R325)^2)+(((VLOOKUP($AT$4,$A$4:$S$1021,19,FALSE))-S325)^2))</f>
        <v/>
      </c>
      <c r="AJ325" s="125" t="inlineStr">
        <is>
          <t>W36X387</t>
        </is>
      </c>
      <c r="AK325" s="125">
        <f>SQRT(((VLOOKUP($AT$4,$A$4:$J$1021,10,FALSE))-J325)^2)</f>
        <v/>
      </c>
      <c r="AL325" s="125" t="n"/>
      <c r="AM325" s="125" t="n"/>
      <c r="AN325" s="125">
        <f>SQRT(((VLOOKUP($AT$4,$A$4:$R$1021,18,FALSE))-R325)^2)</f>
        <v/>
      </c>
      <c r="AO325" s="125" t="n"/>
      <c r="AP325" s="125" t="n"/>
      <c r="AQ325" s="125" t="inlineStr">
        <is>
          <t>W36X387</t>
        </is>
      </c>
      <c r="BB325" s="125">
        <f>SQRT(($J$1022-J325)^2)</f>
        <v/>
      </c>
      <c r="BC325" s="125">
        <f>SQRT(($R$1022-R325)^2)</f>
        <v/>
      </c>
      <c r="BD325" s="125" t="inlineStr">
        <is>
          <t>W36X387</t>
        </is>
      </c>
      <c r="BI325">
        <f>SQRT(($J$1023-J325)^2)</f>
        <v/>
      </c>
      <c r="BJ325">
        <f>SQRT(($R$1023-R325)^2)</f>
        <v/>
      </c>
      <c r="BK325" s="125" t="inlineStr">
        <is>
          <t>W36X387</t>
        </is>
      </c>
      <c r="BP325">
        <f>SQRT(($J$1024-J325)^2)</f>
        <v/>
      </c>
      <c r="BQ325">
        <f>SQRT(($R$1024-R325)^2)</f>
        <v/>
      </c>
      <c r="BR325" s="125" t="inlineStr">
        <is>
          <t>W36X387</t>
        </is>
      </c>
      <c r="BW325">
        <f>SQRT(($J$1025-J325)^2)</f>
        <v/>
      </c>
      <c r="BX325">
        <f>SQRT(($R$1025-R325)^2)</f>
        <v/>
      </c>
      <c r="BY325" s="125" t="inlineStr">
        <is>
          <t>W36X387</t>
        </is>
      </c>
      <c r="CD325">
        <f>SQRT(($J$1026-J325)^2)</f>
        <v/>
      </c>
      <c r="CE325">
        <f>SQRT(($R$1026-R325)^2)</f>
        <v/>
      </c>
      <c r="CF325" s="125" t="inlineStr">
        <is>
          <t>W36X387</t>
        </is>
      </c>
    </row>
    <row r="326">
      <c r="A326" s="125" t="inlineStr">
        <is>
          <t>W36X230</t>
        </is>
      </c>
      <c r="B326" s="129" t="inlineStr">
        <is>
          <t>AISC</t>
        </is>
      </c>
      <c r="C326" s="125" t="n">
        <v>343.3</v>
      </c>
      <c r="D326" s="125" t="n">
        <v>911.8</v>
      </c>
      <c r="E326" s="125" t="n">
        <v>418.5</v>
      </c>
      <c r="F326" s="125" t="n">
        <v>32</v>
      </c>
      <c r="G326" s="125" t="n">
        <v>19.4</v>
      </c>
      <c r="H326" s="125" t="n">
        <v>24.1</v>
      </c>
      <c r="I326" s="125" t="n">
        <v>799.6</v>
      </c>
      <c r="J326" s="125" t="n">
        <v>437</v>
      </c>
      <c r="K326" s="125">
        <f>((E326-G326)/2)/F326</f>
        <v/>
      </c>
      <c r="L326" s="125">
        <f>I326/G326</f>
        <v/>
      </c>
      <c r="M326" s="125" t="n">
        <v>3.42</v>
      </c>
      <c r="N326" s="125" t="n">
        <v>625800</v>
      </c>
      <c r="O326" s="125" t="n">
        <v>39160</v>
      </c>
      <c r="P326" s="125" t="n">
        <v>37.8</v>
      </c>
      <c r="Q326" s="125" t="n">
        <v>9.460000000000001</v>
      </c>
      <c r="R326" s="125" t="n">
        <v>13730</v>
      </c>
      <c r="S326" s="125" t="n">
        <v>1871</v>
      </c>
      <c r="T326" s="125" t="n">
        <v>15480</v>
      </c>
      <c r="U326" s="125" t="n">
        <v>2890</v>
      </c>
      <c r="X326" s="129">
        <f t="array" ref="X326">_xlfn.IFS((D326/F326) &lt;= (640/SQRT($AT$32)), "Compact", L326 &lt;= ($AT$32*(0.79-(0.002*((E326-G326/2)/(2*F326))*SQRT($AT$32)))), "Non-Compact", L326 &gt; ($AT$32*(0.79-(0.002*((E326-G326/2)/(2*F326))*SQRT($AT$32)))), "Slender")</f>
        <v/>
      </c>
      <c r="Y326" s="129">
        <f t="array" ref="Y326">_xlfn.IFS(K326 &lt;= (65/SQRT($AT$32)), "Compact", K326 &lt;= (95/SQRT($AT$32)), "Non-Compact", K326 &gt; (95/SQRT($AT$32)), "Slender")</f>
        <v/>
      </c>
      <c r="Z326" s="125">
        <f>E326/F326</f>
        <v/>
      </c>
      <c r="AA326" s="125">
        <f>D326/G326</f>
        <v/>
      </c>
      <c r="AB326" s="125">
        <f t="array" ref="AB326">_xlfn.IFS(Z326 &lt;= 9, "1", Z326 &lt;= 12, "2", Z326 &lt;= 15, "3", Z326 &gt; 15, "4")</f>
        <v/>
      </c>
      <c r="AC326" s="125">
        <f t="array" ref="AC326">_xlfn.IFS(AA326 &lt;= 200, "1", L326 &lt;= 300, "2", L326 &lt;= 400, "3", L326 &gt; 400, "4")</f>
        <v/>
      </c>
      <c r="AD326" s="129">
        <f>SQRT((((VLOOKUP($AT$4,$A$4:$D$1021,4,FALSE))-D326)^2)+(((VLOOKUP($AT$4,$A$4:$E$1021,5,FALSE))-E326)^2)+(((VLOOKUP($AT$4,$A$4:$N$1021,14,FALSE))-N326)^2)+(((VLOOKUP($AT$4,$A$4:$O$1021,15,FALSE))-O326)^2))</f>
        <v/>
      </c>
      <c r="AG326" s="129">
        <f>SQRT((((VLOOKUP($AT$4,$A$4:$D$1021,4,FALSE))-D326)^2)+(((VLOOKUP($AT$4,$A$4:$E$1021,5,FALSE))-E326)^2)+(((VLOOKUP($AT$4,$A$4:$R$1021,18,FALSE))-R326)^2)+(((VLOOKUP($AT$4,$A$4:$S$1021,19,FALSE))-S326)^2))</f>
        <v/>
      </c>
      <c r="AJ326" s="125" t="inlineStr">
        <is>
          <t>W36X230</t>
        </is>
      </c>
      <c r="AK326" s="125">
        <f>SQRT(((VLOOKUP($AT$4,$A$4:$J$1021,10,FALSE))-J326)^2)</f>
        <v/>
      </c>
      <c r="AL326" s="125" t="n"/>
      <c r="AM326" s="125" t="n"/>
      <c r="AN326" s="125">
        <f>SQRT(((VLOOKUP($AT$4,$A$4:$R$1021,18,FALSE))-R326)^2)</f>
        <v/>
      </c>
      <c r="AO326" s="125" t="n"/>
      <c r="AP326" s="125" t="n"/>
      <c r="AQ326" s="125" t="inlineStr">
        <is>
          <t>W36X230</t>
        </is>
      </c>
      <c r="BB326" s="125">
        <f>SQRT(($J$1022-J326)^2)</f>
        <v/>
      </c>
      <c r="BC326" s="125">
        <f>SQRT(($R$1022-R326)^2)</f>
        <v/>
      </c>
      <c r="BD326" s="125" t="inlineStr">
        <is>
          <t>W36X230</t>
        </is>
      </c>
      <c r="BI326">
        <f>SQRT(($J$1023-J326)^2)</f>
        <v/>
      </c>
      <c r="BJ326">
        <f>SQRT(($R$1023-R326)^2)</f>
        <v/>
      </c>
      <c r="BK326" s="125" t="inlineStr">
        <is>
          <t>W36X230</t>
        </is>
      </c>
      <c r="BP326">
        <f>SQRT(($J$1024-J326)^2)</f>
        <v/>
      </c>
      <c r="BQ326">
        <f>SQRT(($R$1024-R326)^2)</f>
        <v/>
      </c>
      <c r="BR326" s="125" t="inlineStr">
        <is>
          <t>W36X230</t>
        </is>
      </c>
      <c r="BW326">
        <f>SQRT(($J$1025-J326)^2)</f>
        <v/>
      </c>
      <c r="BX326">
        <f>SQRT(($R$1025-R326)^2)</f>
        <v/>
      </c>
      <c r="BY326" s="125" t="inlineStr">
        <is>
          <t>W36X230</t>
        </is>
      </c>
      <c r="CD326">
        <f>SQRT(($J$1026-J326)^2)</f>
        <v/>
      </c>
      <c r="CE326">
        <f>SQRT(($R$1026-R326)^2)</f>
        <v/>
      </c>
      <c r="CF326" s="125" t="inlineStr">
        <is>
          <t>W36X230</t>
        </is>
      </c>
    </row>
    <row r="327">
      <c r="A327" s="125" t="inlineStr">
        <is>
          <t>W36X245</t>
        </is>
      </c>
      <c r="B327" s="129" t="inlineStr">
        <is>
          <t>AISC</t>
        </is>
      </c>
      <c r="C327" s="125" t="n">
        <v>364.6</v>
      </c>
      <c r="D327" s="125" t="n">
        <v>916.4</v>
      </c>
      <c r="E327" s="125" t="n">
        <v>419.4</v>
      </c>
      <c r="F327" s="125" t="n">
        <v>34.3</v>
      </c>
      <c r="G327" s="125" t="n">
        <v>20.3</v>
      </c>
      <c r="H327" s="125" t="n">
        <v>24.1</v>
      </c>
      <c r="I327" s="125" t="n">
        <v>799.6</v>
      </c>
      <c r="J327" s="125" t="n">
        <v>465</v>
      </c>
      <c r="K327" s="125">
        <f>((E327-G327)/2)/F327</f>
        <v/>
      </c>
      <c r="L327" s="125">
        <f>I327/G327</f>
        <v/>
      </c>
      <c r="M327" s="125" t="n">
        <v>3.43</v>
      </c>
      <c r="N327" s="125" t="n">
        <v>671700</v>
      </c>
      <c r="O327" s="125" t="n">
        <v>42240</v>
      </c>
      <c r="P327" s="125" t="n">
        <v>38</v>
      </c>
      <c r="Q327" s="125" t="n">
        <v>9.529999999999999</v>
      </c>
      <c r="R327" s="125" t="n">
        <v>14660</v>
      </c>
      <c r="S327" s="125" t="n">
        <v>2014</v>
      </c>
      <c r="T327" s="125" t="n">
        <v>16550</v>
      </c>
      <c r="U327" s="125" t="n">
        <v>3111</v>
      </c>
      <c r="X327" s="129">
        <f t="array" ref="X327">_xlfn.IFS((D327/F327) &lt;= (640/SQRT($AT$32)), "Compact", L327 &lt;= ($AT$32*(0.79-(0.002*((E327-G327/2)/(2*F327))*SQRT($AT$32)))), "Non-Compact", L327 &gt; ($AT$32*(0.79-(0.002*((E327-G327/2)/(2*F327))*SQRT($AT$32)))), "Slender")</f>
        <v/>
      </c>
      <c r="Y327" s="129">
        <f t="array" ref="Y327">_xlfn.IFS(K327 &lt;= (65/SQRT($AT$32)), "Compact", K327 &lt;= (95/SQRT($AT$32)), "Non-Compact", K327 &gt; (95/SQRT($AT$32)), "Slender")</f>
        <v/>
      </c>
      <c r="Z327" s="125">
        <f>E327/F327</f>
        <v/>
      </c>
      <c r="AA327" s="125">
        <f>D327/G327</f>
        <v/>
      </c>
      <c r="AB327" s="125">
        <f t="array" ref="AB327">_xlfn.IFS(Z327 &lt;= 9, "1", Z327 &lt;= 12, "2", Z327 &lt;= 15, "3", Z327 &gt; 15, "4")</f>
        <v/>
      </c>
      <c r="AC327" s="125">
        <f t="array" ref="AC327">_xlfn.IFS(AA327 &lt;= 200, "1", L327 &lt;= 300, "2", L327 &lt;= 400, "3", L327 &gt; 400, "4")</f>
        <v/>
      </c>
      <c r="AD327" s="129">
        <f>SQRT((((VLOOKUP($AT$4,$A$4:$D$1021,4,FALSE))-D327)^2)+(((VLOOKUP($AT$4,$A$4:$E$1021,5,FALSE))-E327)^2)+(((VLOOKUP($AT$4,$A$4:$N$1021,14,FALSE))-N327)^2)+(((VLOOKUP($AT$4,$A$4:$O$1021,15,FALSE))-O327)^2))</f>
        <v/>
      </c>
      <c r="AG327" s="129">
        <f>SQRT((((VLOOKUP($AT$4,$A$4:$D$1021,4,FALSE))-D327)^2)+(((VLOOKUP($AT$4,$A$4:$E$1021,5,FALSE))-E327)^2)+(((VLOOKUP($AT$4,$A$4:$R$1021,18,FALSE))-R327)^2)+(((VLOOKUP($AT$4,$A$4:$S$1021,19,FALSE))-S327)^2))</f>
        <v/>
      </c>
      <c r="AJ327" s="125" t="inlineStr">
        <is>
          <t>W36X245</t>
        </is>
      </c>
      <c r="AK327" s="125">
        <f>SQRT(((VLOOKUP($AT$4,$A$4:$J$1021,10,FALSE))-J327)^2)</f>
        <v/>
      </c>
      <c r="AL327" s="125" t="n"/>
      <c r="AM327" s="125" t="n"/>
      <c r="AN327" s="125">
        <f>SQRT(((VLOOKUP($AT$4,$A$4:$R$1021,18,FALSE))-R327)^2)</f>
        <v/>
      </c>
      <c r="AO327" s="125" t="n"/>
      <c r="AP327" s="125" t="n"/>
      <c r="AQ327" s="125" t="inlineStr">
        <is>
          <t>W36X245</t>
        </is>
      </c>
      <c r="BB327" s="125">
        <f>SQRT(($J$1022-J327)^2)</f>
        <v/>
      </c>
      <c r="BC327" s="125">
        <f>SQRT(($R$1022-R327)^2)</f>
        <v/>
      </c>
      <c r="BD327" s="125" t="inlineStr">
        <is>
          <t>W36X245</t>
        </is>
      </c>
      <c r="BI327">
        <f>SQRT(($J$1023-J327)^2)</f>
        <v/>
      </c>
      <c r="BJ327">
        <f>SQRT(($R$1023-R327)^2)</f>
        <v/>
      </c>
      <c r="BK327" s="125" t="inlineStr">
        <is>
          <t>W36X245</t>
        </is>
      </c>
      <c r="BP327">
        <f>SQRT(($J$1024-J327)^2)</f>
        <v/>
      </c>
      <c r="BQ327">
        <f>SQRT(($R$1024-R327)^2)</f>
        <v/>
      </c>
      <c r="BR327" s="125" t="inlineStr">
        <is>
          <t>W36X245</t>
        </is>
      </c>
      <c r="BW327">
        <f>SQRT(($J$1025-J327)^2)</f>
        <v/>
      </c>
      <c r="BX327">
        <f>SQRT(($R$1025-R327)^2)</f>
        <v/>
      </c>
      <c r="BY327" s="125" t="inlineStr">
        <is>
          <t>W36X245</t>
        </is>
      </c>
      <c r="CD327">
        <f>SQRT(($J$1026-J327)^2)</f>
        <v/>
      </c>
      <c r="CE327">
        <f>SQRT(($R$1026-R327)^2)</f>
        <v/>
      </c>
      <c r="CF327" s="125" t="inlineStr">
        <is>
          <t>W36X245</t>
        </is>
      </c>
    </row>
    <row r="328">
      <c r="A328" s="125" t="inlineStr">
        <is>
          <t>W36X260</t>
        </is>
      </c>
      <c r="B328" s="129" t="inlineStr">
        <is>
          <t>AISC</t>
        </is>
      </c>
      <c r="C328" s="125" t="n">
        <v>388</v>
      </c>
      <c r="D328" s="125" t="n">
        <v>921</v>
      </c>
      <c r="E328" s="125" t="n">
        <v>420.5</v>
      </c>
      <c r="F328" s="125" t="n">
        <v>36.6</v>
      </c>
      <c r="G328" s="125" t="n">
        <v>21.4</v>
      </c>
      <c r="H328" s="125" t="n">
        <v>24.1</v>
      </c>
      <c r="I328" s="125" t="n">
        <v>799.6</v>
      </c>
      <c r="J328" s="125" t="n">
        <v>494</v>
      </c>
      <c r="K328" s="125">
        <f>((E328-G328)/2)/F328</f>
        <v/>
      </c>
      <c r="L328" s="125">
        <f>I328/G328</f>
        <v/>
      </c>
      <c r="M328" s="125" t="n">
        <v>3.44</v>
      </c>
      <c r="N328" s="125" t="n">
        <v>719600</v>
      </c>
      <c r="O328" s="125" t="n">
        <v>45440</v>
      </c>
      <c r="P328" s="125" t="n">
        <v>38.2</v>
      </c>
      <c r="Q328" s="125" t="n">
        <v>9.59</v>
      </c>
      <c r="R328" s="125" t="n">
        <v>15630</v>
      </c>
      <c r="S328" s="125" t="n">
        <v>2161</v>
      </c>
      <c r="T328" s="125" t="n">
        <v>17670</v>
      </c>
      <c r="U328" s="125" t="n">
        <v>3341</v>
      </c>
      <c r="X328" s="129">
        <f t="array" ref="X328">_xlfn.IFS((D328/F328) &lt;= (640/SQRT($AT$32)), "Compact", L328 &lt;= ($AT$32*(0.79-(0.002*((E328-G328/2)/(2*F328))*SQRT($AT$32)))), "Non-Compact", L328 &gt; ($AT$32*(0.79-(0.002*((E328-G328/2)/(2*F328))*SQRT($AT$32)))), "Slender")</f>
        <v/>
      </c>
      <c r="Y328" s="129">
        <f t="array" ref="Y328">_xlfn.IFS(K328 &lt;= (65/SQRT($AT$32)), "Compact", K328 &lt;= (95/SQRT($AT$32)), "Non-Compact", K328 &gt; (95/SQRT($AT$32)), "Slender")</f>
        <v/>
      </c>
      <c r="Z328" s="125">
        <f>E328/F328</f>
        <v/>
      </c>
      <c r="AA328" s="125">
        <f>D328/G328</f>
        <v/>
      </c>
      <c r="AB328" s="125">
        <f t="array" ref="AB328">_xlfn.IFS(Z328 &lt;= 9, "1", Z328 &lt;= 12, "2", Z328 &lt;= 15, "3", Z328 &gt; 15, "4")</f>
        <v/>
      </c>
      <c r="AC328" s="125">
        <f t="array" ref="AC328">_xlfn.IFS(AA328 &lt;= 200, "1", L328 &lt;= 300, "2", L328 &lt;= 400, "3", L328 &gt; 400, "4")</f>
        <v/>
      </c>
      <c r="AD328" s="129">
        <f>SQRT((((VLOOKUP($AT$4,$A$4:$D$1021,4,FALSE))-D328)^2)+(((VLOOKUP($AT$4,$A$4:$E$1021,5,FALSE))-E328)^2)+(((VLOOKUP($AT$4,$A$4:$N$1021,14,FALSE))-N328)^2)+(((VLOOKUP($AT$4,$A$4:$O$1021,15,FALSE))-O328)^2))</f>
        <v/>
      </c>
      <c r="AG328" s="129">
        <f>SQRT((((VLOOKUP($AT$4,$A$4:$D$1021,4,FALSE))-D328)^2)+(((VLOOKUP($AT$4,$A$4:$E$1021,5,FALSE))-E328)^2)+(((VLOOKUP($AT$4,$A$4:$R$1021,18,FALSE))-R328)^2)+(((VLOOKUP($AT$4,$A$4:$S$1021,19,FALSE))-S328)^2))</f>
        <v/>
      </c>
      <c r="AJ328" s="125" t="inlineStr">
        <is>
          <t>W36X260</t>
        </is>
      </c>
      <c r="AK328" s="125">
        <f>SQRT(((VLOOKUP($AT$4,$A$4:$J$1021,10,FALSE))-J328)^2)</f>
        <v/>
      </c>
      <c r="AL328" s="125" t="n"/>
      <c r="AM328" s="125" t="n"/>
      <c r="AN328" s="125">
        <f>SQRT(((VLOOKUP($AT$4,$A$4:$R$1021,18,FALSE))-R328)^2)</f>
        <v/>
      </c>
      <c r="AO328" s="125" t="n"/>
      <c r="AP328" s="125" t="n"/>
      <c r="AQ328" s="125" t="inlineStr">
        <is>
          <t>W36X260</t>
        </is>
      </c>
      <c r="BB328" s="125">
        <f>SQRT(($J$1022-J328)^2)</f>
        <v/>
      </c>
      <c r="BC328" s="125">
        <f>SQRT(($R$1022-R328)^2)</f>
        <v/>
      </c>
      <c r="BD328" s="125" t="inlineStr">
        <is>
          <t>W36X260</t>
        </is>
      </c>
      <c r="BI328">
        <f>SQRT(($J$1023-J328)^2)</f>
        <v/>
      </c>
      <c r="BJ328">
        <f>SQRT(($R$1023-R328)^2)</f>
        <v/>
      </c>
      <c r="BK328" s="125" t="inlineStr">
        <is>
          <t>W36X260</t>
        </is>
      </c>
      <c r="BP328">
        <f>SQRT(($J$1024-J328)^2)</f>
        <v/>
      </c>
      <c r="BQ328">
        <f>SQRT(($R$1024-R328)^2)</f>
        <v/>
      </c>
      <c r="BR328" s="125" t="inlineStr">
        <is>
          <t>W36X260</t>
        </is>
      </c>
      <c r="BW328">
        <f>SQRT(($J$1025-J328)^2)</f>
        <v/>
      </c>
      <c r="BX328">
        <f>SQRT(($R$1025-R328)^2)</f>
        <v/>
      </c>
      <c r="BY328" s="125" t="inlineStr">
        <is>
          <t>W36X260</t>
        </is>
      </c>
      <c r="CD328">
        <f>SQRT(($J$1026-J328)^2)</f>
        <v/>
      </c>
      <c r="CE328">
        <f>SQRT(($R$1026-R328)^2)</f>
        <v/>
      </c>
      <c r="CF328" s="125" t="inlineStr">
        <is>
          <t>W36X260</t>
        </is>
      </c>
    </row>
    <row r="329">
      <c r="A329" s="125" t="inlineStr">
        <is>
          <t>W36X280</t>
        </is>
      </c>
      <c r="B329" s="129" t="inlineStr">
        <is>
          <t>AISC</t>
        </is>
      </c>
      <c r="C329" s="125" t="n">
        <v>416.7</v>
      </c>
      <c r="D329" s="125" t="n">
        <v>927.6</v>
      </c>
      <c r="E329" s="125" t="n">
        <v>421.5</v>
      </c>
      <c r="F329" s="125" t="n">
        <v>39.9</v>
      </c>
      <c r="G329" s="125" t="n">
        <v>22.5</v>
      </c>
      <c r="H329" s="125" t="n">
        <v>24.1</v>
      </c>
      <c r="I329" s="125" t="n">
        <v>799.6</v>
      </c>
      <c r="J329" s="125" t="n">
        <v>532</v>
      </c>
      <c r="K329" s="125">
        <f>((E329-G329)/2)/F329</f>
        <v/>
      </c>
      <c r="L329" s="125">
        <f>I329/G329</f>
        <v/>
      </c>
      <c r="M329" s="125" t="n">
        <v>3.45</v>
      </c>
      <c r="N329" s="125" t="n">
        <v>785700</v>
      </c>
      <c r="O329" s="125" t="n">
        <v>49870</v>
      </c>
      <c r="P329" s="125" t="n">
        <v>38.4</v>
      </c>
      <c r="Q329" s="125" t="n">
        <v>9.68</v>
      </c>
      <c r="R329" s="125" t="n">
        <v>16940</v>
      </c>
      <c r="S329" s="125" t="n">
        <v>2366</v>
      </c>
      <c r="T329" s="125" t="n">
        <v>19170</v>
      </c>
      <c r="U329" s="125" t="n">
        <v>3658</v>
      </c>
      <c r="X329" s="129">
        <f t="array" ref="X329">_xlfn.IFS((D329/F329) &lt;= (640/SQRT($AT$32)), "Compact", L329 &lt;= ($AT$32*(0.79-(0.002*((E329-G329/2)/(2*F329))*SQRT($AT$32)))), "Non-Compact", L329 &gt; ($AT$32*(0.79-(0.002*((E329-G329/2)/(2*F329))*SQRT($AT$32)))), "Slender")</f>
        <v/>
      </c>
      <c r="Y329" s="129">
        <f t="array" ref="Y329">_xlfn.IFS(K329 &lt;= (65/SQRT($AT$32)), "Compact", K329 &lt;= (95/SQRT($AT$32)), "Non-Compact", K329 &gt; (95/SQRT($AT$32)), "Slender")</f>
        <v/>
      </c>
      <c r="Z329" s="125">
        <f>E329/F329</f>
        <v/>
      </c>
      <c r="AA329" s="125">
        <f>D329/G329</f>
        <v/>
      </c>
      <c r="AB329" s="125">
        <f t="array" ref="AB329">_xlfn.IFS(Z329 &lt;= 9, "1", Z329 &lt;= 12, "2", Z329 &lt;= 15, "3", Z329 &gt; 15, "4")</f>
        <v/>
      </c>
      <c r="AC329" s="125">
        <f t="array" ref="AC329">_xlfn.IFS(AA329 &lt;= 200, "1", L329 &lt;= 300, "2", L329 &lt;= 400, "3", L329 &gt; 400, "4")</f>
        <v/>
      </c>
      <c r="AD329" s="129">
        <f>SQRT((((VLOOKUP($AT$4,$A$4:$D$1021,4,FALSE))-D329)^2)+(((VLOOKUP($AT$4,$A$4:$E$1021,5,FALSE))-E329)^2)+(((VLOOKUP($AT$4,$A$4:$N$1021,14,FALSE))-N329)^2)+(((VLOOKUP($AT$4,$A$4:$O$1021,15,FALSE))-O329)^2))</f>
        <v/>
      </c>
      <c r="AG329" s="129">
        <f>SQRT((((VLOOKUP($AT$4,$A$4:$D$1021,4,FALSE))-D329)^2)+(((VLOOKUP($AT$4,$A$4:$E$1021,5,FALSE))-E329)^2)+(((VLOOKUP($AT$4,$A$4:$R$1021,18,FALSE))-R329)^2)+(((VLOOKUP($AT$4,$A$4:$S$1021,19,FALSE))-S329)^2))</f>
        <v/>
      </c>
      <c r="AJ329" s="125" t="inlineStr">
        <is>
          <t>W36X280</t>
        </is>
      </c>
      <c r="AK329" s="125">
        <f>SQRT(((VLOOKUP($AT$4,$A$4:$J$1021,10,FALSE))-J329)^2)</f>
        <v/>
      </c>
      <c r="AL329" s="125" t="n"/>
      <c r="AM329" s="125" t="n"/>
      <c r="AN329" s="125">
        <f>SQRT(((VLOOKUP($AT$4,$A$4:$R$1021,18,FALSE))-R329)^2)</f>
        <v/>
      </c>
      <c r="AO329" s="125" t="n"/>
      <c r="AP329" s="125" t="n"/>
      <c r="AQ329" s="125" t="inlineStr">
        <is>
          <t>W36X280</t>
        </is>
      </c>
      <c r="BB329" s="125">
        <f>SQRT(($J$1022-J329)^2)</f>
        <v/>
      </c>
      <c r="BC329" s="125">
        <f>SQRT(($R$1022-R329)^2)</f>
        <v/>
      </c>
      <c r="BD329" s="125" t="inlineStr">
        <is>
          <t>W36X280</t>
        </is>
      </c>
      <c r="BI329">
        <f>SQRT(($J$1023-J329)^2)</f>
        <v/>
      </c>
      <c r="BJ329">
        <f>SQRT(($R$1023-R329)^2)</f>
        <v/>
      </c>
      <c r="BK329" s="125" t="inlineStr">
        <is>
          <t>W36X280</t>
        </is>
      </c>
      <c r="BP329">
        <f>SQRT(($J$1024-J329)^2)</f>
        <v/>
      </c>
      <c r="BQ329">
        <f>SQRT(($R$1024-R329)^2)</f>
        <v/>
      </c>
      <c r="BR329" s="125" t="inlineStr">
        <is>
          <t>W36X280</t>
        </is>
      </c>
      <c r="BW329">
        <f>SQRT(($J$1025-J329)^2)</f>
        <v/>
      </c>
      <c r="BX329">
        <f>SQRT(($R$1025-R329)^2)</f>
        <v/>
      </c>
      <c r="BY329" s="125" t="inlineStr">
        <is>
          <t>W36X280</t>
        </is>
      </c>
      <c r="CD329">
        <f>SQRT(($J$1026-J329)^2)</f>
        <v/>
      </c>
      <c r="CE329">
        <f>SQRT(($R$1026-R329)^2)</f>
        <v/>
      </c>
      <c r="CF329" s="125" t="inlineStr">
        <is>
          <t>W36X280</t>
        </is>
      </c>
    </row>
    <row r="330">
      <c r="A330" s="125" t="inlineStr">
        <is>
          <t>W36X300</t>
        </is>
      </c>
      <c r="B330" s="129" t="inlineStr">
        <is>
          <t>AISC</t>
        </is>
      </c>
      <c r="C330" s="125" t="n">
        <v>446.4</v>
      </c>
      <c r="D330" s="125" t="n">
        <v>933.2</v>
      </c>
      <c r="E330" s="125" t="n">
        <v>423</v>
      </c>
      <c r="F330" s="125" t="n">
        <v>42.7</v>
      </c>
      <c r="G330" s="125" t="n">
        <v>24</v>
      </c>
      <c r="H330" s="125" t="n">
        <v>24.1</v>
      </c>
      <c r="I330" s="125" t="n">
        <v>799.7</v>
      </c>
      <c r="J330" s="125" t="n">
        <v>569</v>
      </c>
      <c r="K330" s="125">
        <f>((E330-G330)/2)/F330</f>
        <v/>
      </c>
      <c r="L330" s="125">
        <f>I330/G330</f>
        <v/>
      </c>
      <c r="M330" s="125" t="n">
        <v>3.47</v>
      </c>
      <c r="N330" s="125" t="n">
        <v>846900</v>
      </c>
      <c r="O330" s="125" t="n">
        <v>53940</v>
      </c>
      <c r="P330" s="125" t="n">
        <v>38.6</v>
      </c>
      <c r="Q330" s="125" t="n">
        <v>9.73</v>
      </c>
      <c r="R330" s="125" t="n">
        <v>18150</v>
      </c>
      <c r="S330" s="125" t="n">
        <v>2550</v>
      </c>
      <c r="T330" s="125" t="n">
        <v>20600</v>
      </c>
      <c r="U330" s="125" t="n">
        <v>3948</v>
      </c>
      <c r="X330" s="129">
        <f t="array" ref="X330">_xlfn.IFS((D330/F330) &lt;= (640/SQRT($AT$32)), "Compact", L330 &lt;= ($AT$32*(0.79-(0.002*((E330-G330/2)/(2*F330))*SQRT($AT$32)))), "Non-Compact", L330 &gt; ($AT$32*(0.79-(0.002*((E330-G330/2)/(2*F330))*SQRT($AT$32)))), "Slender")</f>
        <v/>
      </c>
      <c r="Y330" s="129">
        <f t="array" ref="Y330">_xlfn.IFS(K330 &lt;= (65/SQRT($AT$32)), "Compact", K330 &lt;= (95/SQRT($AT$32)), "Non-Compact", K330 &gt; (95/SQRT($AT$32)), "Slender")</f>
        <v/>
      </c>
      <c r="Z330" s="125">
        <f>E330/F330</f>
        <v/>
      </c>
      <c r="AA330" s="125">
        <f>D330/G330</f>
        <v/>
      </c>
      <c r="AB330" s="125">
        <f t="array" ref="AB330">_xlfn.IFS(Z330 &lt;= 9, "1", Z330 &lt;= 12, "2", Z330 &lt;= 15, "3", Z330 &gt; 15, "4")</f>
        <v/>
      </c>
      <c r="AC330" s="125">
        <f t="array" ref="AC330">_xlfn.IFS(AA330 &lt;= 200, "1", L330 &lt;= 300, "2", L330 &lt;= 400, "3", L330 &gt; 400, "4")</f>
        <v/>
      </c>
      <c r="AD330" s="129">
        <f>SQRT((((VLOOKUP($AT$4,$A$4:$D$1021,4,FALSE))-D330)^2)+(((VLOOKUP($AT$4,$A$4:$E$1021,5,FALSE))-E330)^2)+(((VLOOKUP($AT$4,$A$4:$N$1021,14,FALSE))-N330)^2)+(((VLOOKUP($AT$4,$A$4:$O$1021,15,FALSE))-O330)^2))</f>
        <v/>
      </c>
      <c r="AG330" s="129">
        <f>SQRT((((VLOOKUP($AT$4,$A$4:$D$1021,4,FALSE))-D330)^2)+(((VLOOKUP($AT$4,$A$4:$E$1021,5,FALSE))-E330)^2)+(((VLOOKUP($AT$4,$A$4:$R$1021,18,FALSE))-R330)^2)+(((VLOOKUP($AT$4,$A$4:$S$1021,19,FALSE))-S330)^2))</f>
        <v/>
      </c>
      <c r="AJ330" s="125" t="inlineStr">
        <is>
          <t>W36X300</t>
        </is>
      </c>
      <c r="AK330" s="125">
        <f>SQRT(((VLOOKUP($AT$4,$A$4:$J$1021,10,FALSE))-J330)^2)</f>
        <v/>
      </c>
      <c r="AL330" s="125" t="n"/>
      <c r="AM330" s="125" t="n"/>
      <c r="AN330" s="125">
        <f>SQRT(((VLOOKUP($AT$4,$A$4:$R$1021,18,FALSE))-R330)^2)</f>
        <v/>
      </c>
      <c r="AO330" s="125" t="n"/>
      <c r="AP330" s="125" t="n"/>
      <c r="AQ330" s="125" t="inlineStr">
        <is>
          <t>W36X300</t>
        </is>
      </c>
      <c r="BB330" s="125">
        <f>SQRT(($J$1022-J330)^2)</f>
        <v/>
      </c>
      <c r="BC330" s="125">
        <f>SQRT(($R$1022-R330)^2)</f>
        <v/>
      </c>
      <c r="BD330" s="125" t="inlineStr">
        <is>
          <t>W36X300</t>
        </is>
      </c>
      <c r="BI330">
        <f>SQRT(($J$1023-J330)^2)</f>
        <v/>
      </c>
      <c r="BJ330">
        <f>SQRT(($R$1023-R330)^2)</f>
        <v/>
      </c>
      <c r="BK330" s="125" t="inlineStr">
        <is>
          <t>W36X300</t>
        </is>
      </c>
      <c r="BP330">
        <f>SQRT(($J$1024-J330)^2)</f>
        <v/>
      </c>
      <c r="BQ330">
        <f>SQRT(($R$1024-R330)^2)</f>
        <v/>
      </c>
      <c r="BR330" s="125" t="inlineStr">
        <is>
          <t>W36X300</t>
        </is>
      </c>
      <c r="BW330">
        <f>SQRT(($J$1025-J330)^2)</f>
        <v/>
      </c>
      <c r="BX330">
        <f>SQRT(($R$1025-R330)^2)</f>
        <v/>
      </c>
      <c r="BY330" s="125" t="inlineStr">
        <is>
          <t>W36X300</t>
        </is>
      </c>
      <c r="CD330">
        <f>SQRT(($J$1026-J330)^2)</f>
        <v/>
      </c>
      <c r="CE330">
        <f>SQRT(($R$1026-R330)^2)</f>
        <v/>
      </c>
      <c r="CF330" s="125" t="inlineStr">
        <is>
          <t>W36X300</t>
        </is>
      </c>
    </row>
    <row r="331">
      <c r="A331" s="125" t="inlineStr">
        <is>
          <t>W36X328</t>
        </is>
      </c>
      <c r="B331" s="129" t="inlineStr">
        <is>
          <t>AISC</t>
        </is>
      </c>
      <c r="C331" s="125" t="n">
        <v>488.1</v>
      </c>
      <c r="D331" s="125" t="n">
        <v>942.1</v>
      </c>
      <c r="E331" s="125" t="n">
        <v>422.4</v>
      </c>
      <c r="F331" s="125" t="n">
        <v>47</v>
      </c>
      <c r="G331" s="125" t="n">
        <v>25.9</v>
      </c>
      <c r="H331" s="125" t="n">
        <v>24.1</v>
      </c>
      <c r="I331" s="125" t="n">
        <v>799.9</v>
      </c>
      <c r="J331" s="125" t="n">
        <v>622</v>
      </c>
      <c r="K331" s="125">
        <f>((E331-G331)/2)/F331</f>
        <v/>
      </c>
      <c r="L331" s="125">
        <f>I331/G331</f>
        <v/>
      </c>
      <c r="M331" s="125" t="n">
        <v>3.48</v>
      </c>
      <c r="N331" s="125" t="n">
        <v>936400</v>
      </c>
      <c r="O331" s="125" t="n">
        <v>59170</v>
      </c>
      <c r="P331" s="125" t="n">
        <v>38.8</v>
      </c>
      <c r="Q331" s="125" t="n">
        <v>9.76</v>
      </c>
      <c r="R331" s="125" t="n">
        <v>19880</v>
      </c>
      <c r="S331" s="125" t="n">
        <v>2801</v>
      </c>
      <c r="T331" s="125" t="n">
        <v>22640</v>
      </c>
      <c r="U331" s="125" t="n">
        <v>4344</v>
      </c>
      <c r="X331" s="129">
        <f t="array" ref="X331">_xlfn.IFS((D331/F331) &lt;= (640/SQRT($AT$32)), "Compact", L331 &lt;= ($AT$32*(0.79-(0.002*((E331-G331/2)/(2*F331))*SQRT($AT$32)))), "Non-Compact", L331 &gt; ($AT$32*(0.79-(0.002*((E331-G331/2)/(2*F331))*SQRT($AT$32)))), "Slender")</f>
        <v/>
      </c>
      <c r="Y331" s="129">
        <f t="array" ref="Y331">_xlfn.IFS(K331 &lt;= (65/SQRT($AT$32)), "Compact", K331 &lt;= (95/SQRT($AT$32)), "Non-Compact", K331 &gt; (95/SQRT($AT$32)), "Slender")</f>
        <v/>
      </c>
      <c r="Z331" s="125">
        <f>E331/F331</f>
        <v/>
      </c>
      <c r="AA331" s="125">
        <f>D331/G331</f>
        <v/>
      </c>
      <c r="AB331" s="125">
        <f t="array" ref="AB331">_xlfn.IFS(Z331 &lt;= 9, "1", Z331 &lt;= 12, "2", Z331 &lt;= 15, "3", Z331 &gt; 15, "4")</f>
        <v/>
      </c>
      <c r="AC331" s="125">
        <f t="array" ref="AC331">_xlfn.IFS(AA331 &lt;= 200, "1", L331 &lt;= 300, "2", L331 &lt;= 400, "3", L331 &gt; 400, "4")</f>
        <v/>
      </c>
      <c r="AD331" s="129">
        <f>SQRT((((VLOOKUP($AT$4,$A$4:$D$1021,4,FALSE))-D331)^2)+(((VLOOKUP($AT$4,$A$4:$E$1021,5,FALSE))-E331)^2)+(((VLOOKUP($AT$4,$A$4:$N$1021,14,FALSE))-N331)^2)+(((VLOOKUP($AT$4,$A$4:$O$1021,15,FALSE))-O331)^2))</f>
        <v/>
      </c>
      <c r="AG331" s="129">
        <f>SQRT((((VLOOKUP($AT$4,$A$4:$D$1021,4,FALSE))-D331)^2)+(((VLOOKUP($AT$4,$A$4:$E$1021,5,FALSE))-E331)^2)+(((VLOOKUP($AT$4,$A$4:$R$1021,18,FALSE))-R331)^2)+(((VLOOKUP($AT$4,$A$4:$S$1021,19,FALSE))-S331)^2))</f>
        <v/>
      </c>
      <c r="AJ331" s="125" t="inlineStr">
        <is>
          <t>W36X328</t>
        </is>
      </c>
      <c r="AK331" s="125">
        <f>SQRT(((VLOOKUP($AT$4,$A$4:$J$1021,10,FALSE))-J331)^2)</f>
        <v/>
      </c>
      <c r="AL331" s="125" t="n"/>
      <c r="AM331" s="125" t="n"/>
      <c r="AN331" s="125">
        <f>SQRT(((VLOOKUP($AT$4,$A$4:$R$1021,18,FALSE))-R331)^2)</f>
        <v/>
      </c>
      <c r="AO331" s="125" t="n"/>
      <c r="AP331" s="125" t="n"/>
      <c r="AQ331" s="125" t="inlineStr">
        <is>
          <t>W36X328</t>
        </is>
      </c>
      <c r="BB331" s="125">
        <f>SQRT(($J$1022-J331)^2)</f>
        <v/>
      </c>
      <c r="BC331" s="125">
        <f>SQRT(($R$1022-R331)^2)</f>
        <v/>
      </c>
      <c r="BD331" s="125" t="inlineStr">
        <is>
          <t>W36X328</t>
        </is>
      </c>
      <c r="BI331">
        <f>SQRT(($J$1023-J331)^2)</f>
        <v/>
      </c>
      <c r="BJ331">
        <f>SQRT(($R$1023-R331)^2)</f>
        <v/>
      </c>
      <c r="BK331" s="125" t="inlineStr">
        <is>
          <t>W36X328</t>
        </is>
      </c>
      <c r="BP331">
        <f>SQRT(($J$1024-J331)^2)</f>
        <v/>
      </c>
      <c r="BQ331">
        <f>SQRT(($R$1024-R331)^2)</f>
        <v/>
      </c>
      <c r="BR331" s="125" t="inlineStr">
        <is>
          <t>W36X328</t>
        </is>
      </c>
      <c r="BW331">
        <f>SQRT(($J$1025-J331)^2)</f>
        <v/>
      </c>
      <c r="BX331">
        <f>SQRT(($R$1025-R331)^2)</f>
        <v/>
      </c>
      <c r="BY331" s="125" t="inlineStr">
        <is>
          <t>W36X328</t>
        </is>
      </c>
      <c r="CD331">
        <f>SQRT(($J$1026-J331)^2)</f>
        <v/>
      </c>
      <c r="CE331">
        <f>SQRT(($R$1026-R331)^2)</f>
        <v/>
      </c>
      <c r="CF331" s="125" t="inlineStr">
        <is>
          <t>W36X328</t>
        </is>
      </c>
    </row>
    <row r="332">
      <c r="A332" s="125" t="inlineStr">
        <is>
          <t>W36X359</t>
        </is>
      </c>
      <c r="B332" s="129" t="inlineStr">
        <is>
          <t>AISC</t>
        </is>
      </c>
      <c r="C332" s="125" t="n">
        <v>534.2</v>
      </c>
      <c r="D332" s="125" t="n">
        <v>950</v>
      </c>
      <c r="E332" s="125" t="n">
        <v>424.9</v>
      </c>
      <c r="F332" s="125" t="n">
        <v>51.1</v>
      </c>
      <c r="G332" s="125" t="n">
        <v>28.5</v>
      </c>
      <c r="H332" s="125" t="n">
        <v>24.1</v>
      </c>
      <c r="I332" s="125" t="n">
        <v>799.7</v>
      </c>
      <c r="J332" s="125" t="n">
        <v>680</v>
      </c>
      <c r="K332" s="125">
        <f>((E332-G332)/2)/F332</f>
        <v/>
      </c>
      <c r="L332" s="125">
        <f>I332/G332</f>
        <v/>
      </c>
      <c r="M332" s="125" t="n">
        <v>3.5</v>
      </c>
      <c r="N332" s="125" t="n">
        <v>1031000</v>
      </c>
      <c r="O332" s="125" t="n">
        <v>65450</v>
      </c>
      <c r="P332" s="125" t="n">
        <v>38.9</v>
      </c>
      <c r="Q332" s="125" t="n">
        <v>9.81</v>
      </c>
      <c r="R332" s="125" t="n">
        <v>21700</v>
      </c>
      <c r="S332" s="125" t="n">
        <v>3081</v>
      </c>
      <c r="T332" s="125" t="n">
        <v>24820</v>
      </c>
      <c r="U332" s="125" t="n">
        <v>4790</v>
      </c>
      <c r="X332" s="129">
        <f t="array" ref="X332">_xlfn.IFS((D332/F332) &lt;= (640/SQRT($AT$32)), "Compact", L332 &lt;= ($AT$32*(0.79-(0.002*((E332-G332/2)/(2*F332))*SQRT($AT$32)))), "Non-Compact", L332 &gt; ($AT$32*(0.79-(0.002*((E332-G332/2)/(2*F332))*SQRT($AT$32)))), "Slender")</f>
        <v/>
      </c>
      <c r="Y332" s="129">
        <f t="array" ref="Y332">_xlfn.IFS(K332 &lt;= (65/SQRT($AT$32)), "Compact", K332 &lt;= (95/SQRT($AT$32)), "Non-Compact", K332 &gt; (95/SQRT($AT$32)), "Slender")</f>
        <v/>
      </c>
      <c r="Z332" s="125">
        <f>E332/F332</f>
        <v/>
      </c>
      <c r="AA332" s="125">
        <f>D332/G332</f>
        <v/>
      </c>
      <c r="AB332" s="125">
        <f t="array" ref="AB332">_xlfn.IFS(Z332 &lt;= 9, "1", Z332 &lt;= 12, "2", Z332 &lt;= 15, "3", Z332 &gt; 15, "4")</f>
        <v/>
      </c>
      <c r="AC332" s="125">
        <f t="array" ref="AC332">_xlfn.IFS(AA332 &lt;= 200, "1", L332 &lt;= 300, "2", L332 &lt;= 400, "3", L332 &gt; 400, "4")</f>
        <v/>
      </c>
      <c r="AD332" s="129">
        <f>SQRT((((VLOOKUP($AT$4,$A$4:$D$1021,4,FALSE))-D332)^2)+(((VLOOKUP($AT$4,$A$4:$E$1021,5,FALSE))-E332)^2)+(((VLOOKUP($AT$4,$A$4:$N$1021,14,FALSE))-N332)^2)+(((VLOOKUP($AT$4,$A$4:$O$1021,15,FALSE))-O332)^2))</f>
        <v/>
      </c>
      <c r="AG332" s="129">
        <f>SQRT((((VLOOKUP($AT$4,$A$4:$D$1021,4,FALSE))-D332)^2)+(((VLOOKUP($AT$4,$A$4:$E$1021,5,FALSE))-E332)^2)+(((VLOOKUP($AT$4,$A$4:$R$1021,18,FALSE))-R332)^2)+(((VLOOKUP($AT$4,$A$4:$S$1021,19,FALSE))-S332)^2))</f>
        <v/>
      </c>
      <c r="AJ332" s="125" t="inlineStr">
        <is>
          <t>W36X359</t>
        </is>
      </c>
      <c r="AK332" s="125">
        <f>SQRT(((VLOOKUP($AT$4,$A$4:$J$1021,10,FALSE))-J332)^2)</f>
        <v/>
      </c>
      <c r="AL332" s="125" t="n"/>
      <c r="AM332" s="125" t="n"/>
      <c r="AN332" s="125">
        <f>SQRT(((VLOOKUP($AT$4,$A$4:$R$1021,18,FALSE))-R332)^2)</f>
        <v/>
      </c>
      <c r="AO332" s="125" t="n"/>
      <c r="AP332" s="125" t="n"/>
      <c r="AQ332" s="125" t="inlineStr">
        <is>
          <t>W36X359</t>
        </is>
      </c>
      <c r="BB332" s="125">
        <f>SQRT(($J$1022-J332)^2)</f>
        <v/>
      </c>
      <c r="BC332" s="125">
        <f>SQRT(($R$1022-R332)^2)</f>
        <v/>
      </c>
      <c r="BD332" s="125" t="inlineStr">
        <is>
          <t>W36X359</t>
        </is>
      </c>
      <c r="BI332">
        <f>SQRT(($J$1023-J332)^2)</f>
        <v/>
      </c>
      <c r="BJ332">
        <f>SQRT(($R$1023-R332)^2)</f>
        <v/>
      </c>
      <c r="BK332" s="125" t="inlineStr">
        <is>
          <t>W36X359</t>
        </is>
      </c>
      <c r="BP332">
        <f>SQRT(($J$1024-J332)^2)</f>
        <v/>
      </c>
      <c r="BQ332">
        <f>SQRT(($R$1024-R332)^2)</f>
        <v/>
      </c>
      <c r="BR332" s="125" t="inlineStr">
        <is>
          <t>W36X359</t>
        </is>
      </c>
      <c r="BW332">
        <f>SQRT(($J$1025-J332)^2)</f>
        <v/>
      </c>
      <c r="BX332">
        <f>SQRT(($R$1025-R332)^2)</f>
        <v/>
      </c>
      <c r="BY332" s="125" t="inlineStr">
        <is>
          <t>W36X359</t>
        </is>
      </c>
      <c r="CD332">
        <f>SQRT(($J$1026-J332)^2)</f>
        <v/>
      </c>
      <c r="CE332">
        <f>SQRT(($R$1026-R332)^2)</f>
        <v/>
      </c>
      <c r="CF332" s="125" t="inlineStr">
        <is>
          <t>W36X359</t>
        </is>
      </c>
    </row>
    <row r="333">
      <c r="A333" s="125" t="inlineStr">
        <is>
          <t>W36X393</t>
        </is>
      </c>
      <c r="B333" s="129" t="inlineStr">
        <is>
          <t>AISC</t>
        </is>
      </c>
      <c r="C333" s="125" t="n">
        <v>584.8</v>
      </c>
      <c r="D333" s="125" t="n">
        <v>960.1</v>
      </c>
      <c r="E333" s="125" t="n">
        <v>427.5</v>
      </c>
      <c r="F333" s="125" t="n">
        <v>55.9</v>
      </c>
      <c r="G333" s="125" t="n">
        <v>31</v>
      </c>
      <c r="H333" s="125" t="n">
        <v>24.1</v>
      </c>
      <c r="I333" s="125" t="n">
        <v>800.1</v>
      </c>
      <c r="J333" s="125" t="n">
        <v>746</v>
      </c>
      <c r="K333" s="125">
        <f>((E333-G333)/2)/F333</f>
        <v/>
      </c>
      <c r="L333" s="125">
        <f>I333/G333</f>
        <v/>
      </c>
      <c r="M333" s="125" t="n">
        <v>3.53</v>
      </c>
      <c r="N333" s="125" t="n">
        <v>1144000</v>
      </c>
      <c r="O333" s="125" t="n">
        <v>73000</v>
      </c>
      <c r="P333" s="125" t="n">
        <v>39.2</v>
      </c>
      <c r="Q333" s="125" t="n">
        <v>9.890000000000001</v>
      </c>
      <c r="R333" s="125" t="n">
        <v>23840</v>
      </c>
      <c r="S333" s="125" t="n">
        <v>3415</v>
      </c>
      <c r="T333" s="125" t="n">
        <v>27390</v>
      </c>
      <c r="U333" s="125" t="n">
        <v>5320</v>
      </c>
      <c r="X333" s="129">
        <f t="array" ref="X333">_xlfn.IFS((D333/F333) &lt;= (640/SQRT($AT$32)), "Compact", L333 &lt;= ($AT$32*(0.79-(0.002*((E333-G333/2)/(2*F333))*SQRT($AT$32)))), "Non-Compact", L333 &gt; ($AT$32*(0.79-(0.002*((E333-G333/2)/(2*F333))*SQRT($AT$32)))), "Slender")</f>
        <v/>
      </c>
      <c r="Y333" s="129">
        <f t="array" ref="Y333">_xlfn.IFS(K333 &lt;= (65/SQRT($AT$32)), "Compact", K333 &lt;= (95/SQRT($AT$32)), "Non-Compact", K333 &gt; (95/SQRT($AT$32)), "Slender")</f>
        <v/>
      </c>
      <c r="Z333" s="125">
        <f>E333/F333</f>
        <v/>
      </c>
      <c r="AA333" s="125">
        <f>D333/G333</f>
        <v/>
      </c>
      <c r="AB333" s="125">
        <f t="array" ref="AB333">_xlfn.IFS(Z333 &lt;= 9, "1", Z333 &lt;= 12, "2", Z333 &lt;= 15, "3", Z333 &gt; 15, "4")</f>
        <v/>
      </c>
      <c r="AC333" s="125">
        <f t="array" ref="AC333">_xlfn.IFS(AA333 &lt;= 200, "1", L333 &lt;= 300, "2", L333 &lt;= 400, "3", L333 &gt; 400, "4")</f>
        <v/>
      </c>
      <c r="AD333" s="129">
        <f>SQRT((((VLOOKUP($AT$4,$A$4:$D$1021,4,FALSE))-D333)^2)+(((VLOOKUP($AT$4,$A$4:$E$1021,5,FALSE))-E333)^2)+(((VLOOKUP($AT$4,$A$4:$N$1021,14,FALSE))-N333)^2)+(((VLOOKUP($AT$4,$A$4:$O$1021,15,FALSE))-O333)^2))</f>
        <v/>
      </c>
      <c r="AG333" s="129">
        <f>SQRT((((VLOOKUP($AT$4,$A$4:$D$1021,4,FALSE))-D333)^2)+(((VLOOKUP($AT$4,$A$4:$E$1021,5,FALSE))-E333)^2)+(((VLOOKUP($AT$4,$A$4:$R$1021,18,FALSE))-R333)^2)+(((VLOOKUP($AT$4,$A$4:$S$1021,19,FALSE))-S333)^2))</f>
        <v/>
      </c>
      <c r="AJ333" s="125" t="inlineStr">
        <is>
          <t>W36X393</t>
        </is>
      </c>
      <c r="AK333" s="125">
        <f>SQRT(((VLOOKUP($AT$4,$A$4:$J$1021,10,FALSE))-J333)^2)</f>
        <v/>
      </c>
      <c r="AL333" s="125" t="n"/>
      <c r="AM333" s="125" t="n"/>
      <c r="AN333" s="125">
        <f>SQRT(((VLOOKUP($AT$4,$A$4:$R$1021,18,FALSE))-R333)^2)</f>
        <v/>
      </c>
      <c r="AO333" s="125" t="n"/>
      <c r="AP333" s="125" t="n"/>
      <c r="AQ333" s="125" t="inlineStr">
        <is>
          <t>W36X393</t>
        </is>
      </c>
      <c r="BB333" s="125">
        <f>SQRT(($J$1022-J333)^2)</f>
        <v/>
      </c>
      <c r="BC333" s="125">
        <f>SQRT(($R$1022-R333)^2)</f>
        <v/>
      </c>
      <c r="BD333" s="125" t="inlineStr">
        <is>
          <t>W36X393</t>
        </is>
      </c>
      <c r="BI333">
        <f>SQRT(($J$1023-J333)^2)</f>
        <v/>
      </c>
      <c r="BJ333">
        <f>SQRT(($R$1023-R333)^2)</f>
        <v/>
      </c>
      <c r="BK333" s="125" t="inlineStr">
        <is>
          <t>W36X393</t>
        </is>
      </c>
      <c r="BP333">
        <f>SQRT(($J$1024-J333)^2)</f>
        <v/>
      </c>
      <c r="BQ333">
        <f>SQRT(($R$1024-R333)^2)</f>
        <v/>
      </c>
      <c r="BR333" s="125" t="inlineStr">
        <is>
          <t>W36X393</t>
        </is>
      </c>
      <c r="BW333">
        <f>SQRT(($J$1025-J333)^2)</f>
        <v/>
      </c>
      <c r="BX333">
        <f>SQRT(($R$1025-R333)^2)</f>
        <v/>
      </c>
      <c r="BY333" s="125" t="inlineStr">
        <is>
          <t>W36X393</t>
        </is>
      </c>
      <c r="CD333">
        <f>SQRT(($J$1026-J333)^2)</f>
        <v/>
      </c>
      <c r="CE333">
        <f>SQRT(($R$1026-R333)^2)</f>
        <v/>
      </c>
      <c r="CF333" s="125" t="inlineStr">
        <is>
          <t>W36X393</t>
        </is>
      </c>
    </row>
    <row r="334">
      <c r="A334" s="125" t="inlineStr">
        <is>
          <t>W36X439</t>
        </is>
      </c>
      <c r="B334" s="129" t="inlineStr">
        <is>
          <t>AISC</t>
        </is>
      </c>
      <c r="C334" s="125" t="n">
        <v>653</v>
      </c>
      <c r="D334" s="125" t="n">
        <v>972</v>
      </c>
      <c r="E334" s="125" t="n">
        <v>431</v>
      </c>
      <c r="F334" s="125" t="n">
        <v>62</v>
      </c>
      <c r="G334" s="125" t="n">
        <v>34.5</v>
      </c>
      <c r="H334" s="125" t="n">
        <v>24</v>
      </c>
      <c r="I334" s="125" t="n">
        <v>800</v>
      </c>
      <c r="J334" s="125" t="n">
        <v>832</v>
      </c>
      <c r="K334" s="125">
        <f>((E334-G334)/2)/F334</f>
        <v/>
      </c>
      <c r="L334" s="125">
        <f>I334/G334</f>
        <v/>
      </c>
      <c r="M334" s="125" t="n">
        <v>3.56</v>
      </c>
      <c r="N334" s="125" t="n">
        <v>1292000</v>
      </c>
      <c r="O334" s="125" t="n">
        <v>83050</v>
      </c>
      <c r="P334" s="125" t="n">
        <v>39.4</v>
      </c>
      <c r="Q334" s="125" t="n">
        <v>9.99</v>
      </c>
      <c r="R334" s="125" t="n">
        <v>26950</v>
      </c>
      <c r="S334" s="125" t="n">
        <v>3854</v>
      </c>
      <c r="T334" s="125" t="n">
        <v>30730</v>
      </c>
      <c r="U334" s="125" t="n">
        <v>6014</v>
      </c>
      <c r="X334" s="129">
        <f t="array" ref="X334">_xlfn.IFS((D334/F334) &lt;= (640/SQRT($AT$32)), "Compact", L334 &lt;= ($AT$32*(0.79-(0.002*((E334-G334/2)/(2*F334))*SQRT($AT$32)))), "Non-Compact", L334 &gt; ($AT$32*(0.79-(0.002*((E334-G334/2)/(2*F334))*SQRT($AT$32)))), "Slender")</f>
        <v/>
      </c>
      <c r="Y334" s="129">
        <f t="array" ref="Y334">_xlfn.IFS(K334 &lt;= (65/SQRT($AT$32)), "Compact", K334 &lt;= (95/SQRT($AT$32)), "Non-Compact", K334 &gt; (95/SQRT($AT$32)), "Slender")</f>
        <v/>
      </c>
      <c r="Z334" s="125">
        <f>E334/F334</f>
        <v/>
      </c>
      <c r="AA334" s="125">
        <f>D334/G334</f>
        <v/>
      </c>
      <c r="AB334" s="125">
        <f t="array" ref="AB334">_xlfn.IFS(Z334 &lt;= 9, "1", Z334 &lt;= 12, "2", Z334 &lt;= 15, "3", Z334 &gt; 15, "4")</f>
        <v/>
      </c>
      <c r="AC334" s="125">
        <f t="array" ref="AC334">_xlfn.IFS(AA334 &lt;= 200, "1", L334 &lt;= 300, "2", L334 &lt;= 400, "3", L334 &gt; 400, "4")</f>
        <v/>
      </c>
      <c r="AD334" s="129">
        <f>SQRT((((VLOOKUP($AT$4,$A$4:$D$1021,4,FALSE))-D334)^2)+(((VLOOKUP($AT$4,$A$4:$E$1021,5,FALSE))-E334)^2)+(((VLOOKUP($AT$4,$A$4:$N$1021,14,FALSE))-N334)^2)+(((VLOOKUP($AT$4,$A$4:$O$1021,15,FALSE))-O334)^2))</f>
        <v/>
      </c>
      <c r="AG334" s="129">
        <f>SQRT((((VLOOKUP($AT$4,$A$4:$D$1021,4,FALSE))-D334)^2)+(((VLOOKUP($AT$4,$A$4:$E$1021,5,FALSE))-E334)^2)+(((VLOOKUP($AT$4,$A$4:$R$1021,18,FALSE))-R334)^2)+(((VLOOKUP($AT$4,$A$4:$S$1021,19,FALSE))-S334)^2))</f>
        <v/>
      </c>
      <c r="AJ334" s="125" t="inlineStr">
        <is>
          <t>W36X439</t>
        </is>
      </c>
      <c r="AK334" s="125">
        <f>SQRT(((VLOOKUP($AT$4,$A$4:$J$1021,10,FALSE))-J334)^2)</f>
        <v/>
      </c>
      <c r="AL334" s="125" t="n"/>
      <c r="AM334" s="125" t="n"/>
      <c r="AN334" s="125">
        <f>SQRT(((VLOOKUP($AT$4,$A$4:$R$1021,18,FALSE))-R334)^2)</f>
        <v/>
      </c>
      <c r="AO334" s="125" t="n"/>
      <c r="AP334" s="125" t="n"/>
      <c r="AQ334" s="125" t="inlineStr">
        <is>
          <t>W36X439</t>
        </is>
      </c>
      <c r="BB334" s="125">
        <f>SQRT(($J$1022-J334)^2)</f>
        <v/>
      </c>
      <c r="BC334" s="125">
        <f>SQRT(($R$1022-R334)^2)</f>
        <v/>
      </c>
      <c r="BD334" s="125" t="inlineStr">
        <is>
          <t>W36X439</t>
        </is>
      </c>
      <c r="BI334">
        <f>SQRT(($J$1023-J334)^2)</f>
        <v/>
      </c>
      <c r="BJ334">
        <f>SQRT(($R$1023-R334)^2)</f>
        <v/>
      </c>
      <c r="BK334" s="125" t="inlineStr">
        <is>
          <t>W36X439</t>
        </is>
      </c>
      <c r="BP334">
        <f>SQRT(($J$1024-J334)^2)</f>
        <v/>
      </c>
      <c r="BQ334">
        <f>SQRT(($R$1024-R334)^2)</f>
        <v/>
      </c>
      <c r="BR334" s="125" t="inlineStr">
        <is>
          <t>W36X439</t>
        </is>
      </c>
      <c r="BW334">
        <f>SQRT(($J$1025-J334)^2)</f>
        <v/>
      </c>
      <c r="BX334">
        <f>SQRT(($R$1025-R334)^2)</f>
        <v/>
      </c>
      <c r="BY334" s="125" t="inlineStr">
        <is>
          <t>W36X439</t>
        </is>
      </c>
      <c r="CD334">
        <f>SQRT(($J$1026-J334)^2)</f>
        <v/>
      </c>
      <c r="CE334">
        <f>SQRT(($R$1026-R334)^2)</f>
        <v/>
      </c>
      <c r="CF334" s="125" t="inlineStr">
        <is>
          <t>W36X439</t>
        </is>
      </c>
    </row>
    <row r="335">
      <c r="A335" s="125" t="inlineStr">
        <is>
          <t>W36X527</t>
        </is>
      </c>
      <c r="B335" s="129" t="inlineStr">
        <is>
          <t>AISC</t>
        </is>
      </c>
      <c r="C335" s="125" t="n">
        <v>784</v>
      </c>
      <c r="D335" s="125" t="n">
        <v>996</v>
      </c>
      <c r="E335" s="125" t="n">
        <v>437</v>
      </c>
      <c r="F335" s="125" t="n">
        <v>73.90000000000001</v>
      </c>
      <c r="G335" s="125" t="n">
        <v>40.9</v>
      </c>
      <c r="H335" s="125" t="n">
        <v>24</v>
      </c>
      <c r="I335" s="125" t="n">
        <v>800.2</v>
      </c>
      <c r="J335" s="125" t="n">
        <v>998</v>
      </c>
      <c r="K335" s="125">
        <f>((E335-G335)/2)/F335</f>
        <v/>
      </c>
      <c r="L335" s="125">
        <f>I335/G335</f>
        <v/>
      </c>
      <c r="M335" s="125" t="n">
        <v>3.62</v>
      </c>
      <c r="N335" s="125" t="n">
        <v>1593000</v>
      </c>
      <c r="O335" s="125" t="n">
        <v>103300</v>
      </c>
      <c r="P335" s="125" t="n">
        <v>40</v>
      </c>
      <c r="Q335" s="125" t="n">
        <v>10.2</v>
      </c>
      <c r="R335" s="125" t="n">
        <v>31980</v>
      </c>
      <c r="S335" s="125" t="n">
        <v>4728</v>
      </c>
      <c r="T335" s="125" t="n">
        <v>37340</v>
      </c>
      <c r="U335" s="125" t="n">
        <v>7439</v>
      </c>
      <c r="X335" s="129">
        <f t="array" ref="X335">_xlfn.IFS((D335/F335) &lt;= (640/SQRT($AT$32)), "Compact", L335 &lt;= ($AT$32*(0.79-(0.002*((E335-G335/2)/(2*F335))*SQRT($AT$32)))), "Non-Compact", L335 &gt; ($AT$32*(0.79-(0.002*((E335-G335/2)/(2*F335))*SQRT($AT$32)))), "Slender")</f>
        <v/>
      </c>
      <c r="Y335" s="129">
        <f t="array" ref="Y335">_xlfn.IFS(K335 &lt;= (65/SQRT($AT$32)), "Compact", K335 &lt;= (95/SQRT($AT$32)), "Non-Compact", K335 &gt; (95/SQRT($AT$32)), "Slender")</f>
        <v/>
      </c>
      <c r="Z335" s="125">
        <f>E335/F335</f>
        <v/>
      </c>
      <c r="AA335" s="125">
        <f>D335/G335</f>
        <v/>
      </c>
      <c r="AB335" s="125">
        <f t="array" ref="AB335">_xlfn.IFS(Z335 &lt;= 9, "1", Z335 &lt;= 12, "2", Z335 &lt;= 15, "3", Z335 &gt; 15, "4")</f>
        <v/>
      </c>
      <c r="AC335" s="125">
        <f t="array" ref="AC335">_xlfn.IFS(AA335 &lt;= 200, "1", L335 &lt;= 300, "2", L335 &lt;= 400, "3", L335 &gt; 400, "4")</f>
        <v/>
      </c>
      <c r="AD335" s="129">
        <f>SQRT((((VLOOKUP($AT$4,$A$4:$D$1021,4,FALSE))-D335)^2)+(((VLOOKUP($AT$4,$A$4:$E$1021,5,FALSE))-E335)^2)+(((VLOOKUP($AT$4,$A$4:$N$1021,14,FALSE))-N335)^2)+(((VLOOKUP($AT$4,$A$4:$O$1021,15,FALSE))-O335)^2))</f>
        <v/>
      </c>
      <c r="AG335" s="129">
        <f>SQRT((((VLOOKUP($AT$4,$A$4:$D$1021,4,FALSE))-D335)^2)+(((VLOOKUP($AT$4,$A$4:$E$1021,5,FALSE))-E335)^2)+(((VLOOKUP($AT$4,$A$4:$R$1021,18,FALSE))-R335)^2)+(((VLOOKUP($AT$4,$A$4:$S$1021,19,FALSE))-S335)^2))</f>
        <v/>
      </c>
      <c r="AJ335" s="125" t="inlineStr">
        <is>
          <t>W36X527</t>
        </is>
      </c>
      <c r="AK335" s="125">
        <f>SQRT(((VLOOKUP($AT$4,$A$4:$J$1021,10,FALSE))-J335)^2)</f>
        <v/>
      </c>
      <c r="AL335" s="125" t="n"/>
      <c r="AM335" s="125" t="n"/>
      <c r="AN335" s="125">
        <f>SQRT(((VLOOKUP($AT$4,$A$4:$R$1021,18,FALSE))-R335)^2)</f>
        <v/>
      </c>
      <c r="AO335" s="125" t="n"/>
      <c r="AP335" s="125" t="n"/>
      <c r="AQ335" s="125" t="inlineStr">
        <is>
          <t>W36X527</t>
        </is>
      </c>
      <c r="BB335" s="125">
        <f>SQRT(($J$1022-J335)^2)</f>
        <v/>
      </c>
      <c r="BC335" s="125">
        <f>SQRT(($R$1022-R335)^2)</f>
        <v/>
      </c>
      <c r="BD335" s="125" t="inlineStr">
        <is>
          <t>W36X527</t>
        </is>
      </c>
      <c r="BI335">
        <f>SQRT(($J$1023-J335)^2)</f>
        <v/>
      </c>
      <c r="BJ335">
        <f>SQRT(($R$1023-R335)^2)</f>
        <v/>
      </c>
      <c r="BK335" s="125" t="inlineStr">
        <is>
          <t>W36X527</t>
        </is>
      </c>
      <c r="BP335">
        <f>SQRT(($J$1024-J335)^2)</f>
        <v/>
      </c>
      <c r="BQ335">
        <f>SQRT(($R$1024-R335)^2)</f>
        <v/>
      </c>
      <c r="BR335" s="125" t="inlineStr">
        <is>
          <t>W36X527</t>
        </is>
      </c>
      <c r="BW335">
        <f>SQRT(($J$1025-J335)^2)</f>
        <v/>
      </c>
      <c r="BX335">
        <f>SQRT(($R$1025-R335)^2)</f>
        <v/>
      </c>
      <c r="BY335" s="125" t="inlineStr">
        <is>
          <t>W36X527</t>
        </is>
      </c>
      <c r="CD335">
        <f>SQRT(($J$1026-J335)^2)</f>
        <v/>
      </c>
      <c r="CE335">
        <f>SQRT(($R$1026-R335)^2)</f>
        <v/>
      </c>
      <c r="CF335" s="125" t="inlineStr">
        <is>
          <t>W36X527</t>
        </is>
      </c>
    </row>
    <row r="336">
      <c r="A336" s="125" t="inlineStr">
        <is>
          <t>W36X650</t>
        </is>
      </c>
      <c r="B336" s="129" t="inlineStr">
        <is>
          <t>AISC</t>
        </is>
      </c>
      <c r="C336" s="125" t="n">
        <v>967</v>
      </c>
      <c r="D336" s="125" t="n">
        <v>1028</v>
      </c>
      <c r="E336" s="125" t="n">
        <v>446</v>
      </c>
      <c r="F336" s="125" t="n">
        <v>89.90000000000001</v>
      </c>
      <c r="G336" s="125" t="n">
        <v>50</v>
      </c>
      <c r="H336" s="125" t="n">
        <v>24</v>
      </c>
      <c r="I336" s="125" t="n">
        <v>800.2</v>
      </c>
      <c r="J336" s="125" t="n">
        <v>1232</v>
      </c>
      <c r="K336" s="125">
        <f>((E336-G336)/2)/F336</f>
        <v/>
      </c>
      <c r="L336" s="125">
        <f>I336/G336</f>
        <v/>
      </c>
      <c r="M336" s="125" t="n">
        <v>3.7</v>
      </c>
      <c r="N336" s="125" t="n">
        <v>2033000</v>
      </c>
      <c r="O336" s="125" t="n">
        <v>133900</v>
      </c>
      <c r="P336" s="125" t="n">
        <v>40.6</v>
      </c>
      <c r="Q336" s="125" t="n">
        <v>10.4</v>
      </c>
      <c r="R336" s="125" t="n">
        <v>39540</v>
      </c>
      <c r="S336" s="125" t="n">
        <v>6003</v>
      </c>
      <c r="T336" s="125" t="n">
        <v>46810</v>
      </c>
      <c r="U336" s="125" t="n">
        <v>9504</v>
      </c>
      <c r="X336" s="129">
        <f t="array" ref="X336">_xlfn.IFS((D336/F336) &lt;= (640/SQRT($AT$32)), "Compact", L336 &lt;= ($AT$32*(0.79-(0.002*((E336-G336/2)/(2*F336))*SQRT($AT$32)))), "Non-Compact", L336 &gt; ($AT$32*(0.79-(0.002*((E336-G336/2)/(2*F336))*SQRT($AT$32)))), "Slender")</f>
        <v/>
      </c>
      <c r="Y336" s="129">
        <f t="array" ref="Y336">_xlfn.IFS(K336 &lt;= (65/SQRT($AT$32)), "Compact", K336 &lt;= (95/SQRT($AT$32)), "Non-Compact", K336 &gt; (95/SQRT($AT$32)), "Slender")</f>
        <v/>
      </c>
      <c r="Z336" s="125">
        <f>E336/F336</f>
        <v/>
      </c>
      <c r="AA336" s="125">
        <f>D336/G336</f>
        <v/>
      </c>
      <c r="AB336" s="125">
        <f t="array" ref="AB336">_xlfn.IFS(Z336 &lt;= 9, "1", Z336 &lt;= 12, "2", Z336 &lt;= 15, "3", Z336 &gt; 15, "4")</f>
        <v/>
      </c>
      <c r="AC336" s="125">
        <f t="array" ref="AC336">_xlfn.IFS(AA336 &lt;= 200, "1", L336 &lt;= 300, "2", L336 &lt;= 400, "3", L336 &gt; 400, "4")</f>
        <v/>
      </c>
      <c r="AD336" s="129">
        <f>SQRT((((VLOOKUP($AT$4,$A$4:$D$1021,4,FALSE))-D336)^2)+(((VLOOKUP($AT$4,$A$4:$E$1021,5,FALSE))-E336)^2)+(((VLOOKUP($AT$4,$A$4:$N$1021,14,FALSE))-N336)^2)+(((VLOOKUP($AT$4,$A$4:$O$1021,15,FALSE))-O336)^2))</f>
        <v/>
      </c>
      <c r="AG336" s="129">
        <f>SQRT((((VLOOKUP($AT$4,$A$4:$D$1021,4,FALSE))-D336)^2)+(((VLOOKUP($AT$4,$A$4:$E$1021,5,FALSE))-E336)^2)+(((VLOOKUP($AT$4,$A$4:$R$1021,18,FALSE))-R336)^2)+(((VLOOKUP($AT$4,$A$4:$S$1021,19,FALSE))-S336)^2))</f>
        <v/>
      </c>
      <c r="AJ336" s="125" t="inlineStr">
        <is>
          <t>W36X650</t>
        </is>
      </c>
      <c r="AK336" s="125">
        <f>SQRT(((VLOOKUP($AT$4,$A$4:$J$1021,10,FALSE))-J336)^2)</f>
        <v/>
      </c>
      <c r="AL336" s="125" t="n"/>
      <c r="AM336" s="125" t="n"/>
      <c r="AN336" s="125">
        <f>SQRT(((VLOOKUP($AT$4,$A$4:$R$1021,18,FALSE))-R336)^2)</f>
        <v/>
      </c>
      <c r="AO336" s="125" t="n"/>
      <c r="AP336" s="125" t="n"/>
      <c r="AQ336" s="125" t="inlineStr">
        <is>
          <t>W36X650</t>
        </is>
      </c>
      <c r="BB336" s="125">
        <f>SQRT(($J$1022-J336)^2)</f>
        <v/>
      </c>
      <c r="BC336" s="125">
        <f>SQRT(($R$1022-R336)^2)</f>
        <v/>
      </c>
      <c r="BD336" s="125" t="inlineStr">
        <is>
          <t>W36X650</t>
        </is>
      </c>
      <c r="BI336">
        <f>SQRT(($J$1023-J336)^2)</f>
        <v/>
      </c>
      <c r="BJ336">
        <f>SQRT(($R$1023-R336)^2)</f>
        <v/>
      </c>
      <c r="BK336" s="125" t="inlineStr">
        <is>
          <t>W36X650</t>
        </is>
      </c>
      <c r="BP336">
        <f>SQRT(($J$1024-J336)^2)</f>
        <v/>
      </c>
      <c r="BQ336">
        <f>SQRT(($R$1024-R336)^2)</f>
        <v/>
      </c>
      <c r="BR336" s="125" t="inlineStr">
        <is>
          <t>W36X650</t>
        </is>
      </c>
      <c r="BW336">
        <f>SQRT(($J$1025-J336)^2)</f>
        <v/>
      </c>
      <c r="BX336">
        <f>SQRT(($R$1025-R336)^2)</f>
        <v/>
      </c>
      <c r="BY336" s="125" t="inlineStr">
        <is>
          <t>W36X650</t>
        </is>
      </c>
      <c r="CD336">
        <f>SQRT(($J$1026-J336)^2)</f>
        <v/>
      </c>
      <c r="CE336">
        <f>SQRT(($R$1026-R336)^2)</f>
        <v/>
      </c>
      <c r="CF336" s="125" t="inlineStr">
        <is>
          <t>W36X650</t>
        </is>
      </c>
    </row>
    <row r="337">
      <c r="A337" s="125" t="inlineStr">
        <is>
          <t>W40X149</t>
        </is>
      </c>
      <c r="B337" s="129" t="inlineStr">
        <is>
          <t>AISC</t>
        </is>
      </c>
      <c r="C337" s="125" t="n">
        <v>222</v>
      </c>
      <c r="D337" s="125" t="n">
        <v>970.3</v>
      </c>
      <c r="E337" s="125" t="n">
        <v>300</v>
      </c>
      <c r="F337" s="125" t="n">
        <v>21.1</v>
      </c>
      <c r="G337" s="125" t="n">
        <v>16</v>
      </c>
      <c r="H337" s="125" t="n">
        <v>30</v>
      </c>
      <c r="I337" s="125" t="n">
        <v>868.1</v>
      </c>
      <c r="J337" s="125" t="n">
        <v>283</v>
      </c>
      <c r="K337" s="125">
        <f>((E337-G337)/2)/F337</f>
        <v/>
      </c>
      <c r="L337" s="125">
        <f>I337/G337</f>
        <v/>
      </c>
      <c r="M337" s="125" t="n">
        <v>3.06</v>
      </c>
      <c r="N337" s="125" t="n">
        <v>408000</v>
      </c>
      <c r="O337" s="125" t="n">
        <v>9553</v>
      </c>
      <c r="P337" s="125" t="n">
        <v>38</v>
      </c>
      <c r="Q337" s="125" t="n">
        <v>5.81</v>
      </c>
      <c r="R337" s="125" t="n">
        <v>8409</v>
      </c>
      <c r="S337" s="125" t="n">
        <v>637</v>
      </c>
      <c r="T337" s="125" t="n">
        <v>9807</v>
      </c>
      <c r="U337" s="125" t="n">
        <v>1020</v>
      </c>
      <c r="X337" s="129">
        <f t="array" ref="X337">_xlfn.IFS((D337/F337) &lt;= (640/SQRT($AT$32)), "Compact", L337 &lt;= ($AT$32*(0.79-(0.002*((E337-G337/2)/(2*F337))*SQRT($AT$32)))), "Non-Compact", L337 &gt; ($AT$32*(0.79-(0.002*((E337-G337/2)/(2*F337))*SQRT($AT$32)))), "Slender")</f>
        <v/>
      </c>
      <c r="Y337" s="129">
        <f t="array" ref="Y337">_xlfn.IFS(K337 &lt;= (65/SQRT($AT$32)), "Compact", K337 &lt;= (95/SQRT($AT$32)), "Non-Compact", K337 &gt; (95/SQRT($AT$32)), "Slender")</f>
        <v/>
      </c>
      <c r="Z337" s="125">
        <f>E337/F337</f>
        <v/>
      </c>
      <c r="AA337" s="125">
        <f>D337/G337</f>
        <v/>
      </c>
      <c r="AB337" s="125">
        <f t="array" ref="AB337">_xlfn.IFS(Z337 &lt;= 9, "1", Z337 &lt;= 12, "2", Z337 &lt;= 15, "3", Z337 &gt; 15, "4")</f>
        <v/>
      </c>
      <c r="AC337" s="125">
        <f t="array" ref="AC337">_xlfn.IFS(AA337 &lt;= 200, "1", L337 &lt;= 300, "2", L337 &lt;= 400, "3", L337 &gt; 400, "4")</f>
        <v/>
      </c>
      <c r="AD337" s="129">
        <f>SQRT((((VLOOKUP($AT$4,$A$4:$D$1021,4,FALSE))-D337)^2)+(((VLOOKUP($AT$4,$A$4:$E$1021,5,FALSE))-E337)^2)+(((VLOOKUP($AT$4,$A$4:$N$1021,14,FALSE))-N337)^2)+(((VLOOKUP($AT$4,$A$4:$O$1021,15,FALSE))-O337)^2))</f>
        <v/>
      </c>
      <c r="AG337" s="129">
        <f>SQRT((((VLOOKUP($AT$4,$A$4:$D$1021,4,FALSE))-D337)^2)+(((VLOOKUP($AT$4,$A$4:$E$1021,5,FALSE))-E337)^2)+(((VLOOKUP($AT$4,$A$4:$R$1021,18,FALSE))-R337)^2)+(((VLOOKUP($AT$4,$A$4:$S$1021,19,FALSE))-S337)^2))</f>
        <v/>
      </c>
      <c r="AJ337" s="125" t="inlineStr">
        <is>
          <t>W40X149</t>
        </is>
      </c>
      <c r="AK337" s="125">
        <f>SQRT(((VLOOKUP($AT$4,$A$4:$J$1021,10,FALSE))-J337)^2)</f>
        <v/>
      </c>
      <c r="AL337" s="125" t="n"/>
      <c r="AM337" s="125" t="n"/>
      <c r="AN337" s="125">
        <f>SQRT(((VLOOKUP($AT$4,$A$4:$R$1021,18,FALSE))-R337)^2)</f>
        <v/>
      </c>
      <c r="AO337" s="125" t="n"/>
      <c r="AP337" s="125" t="n"/>
      <c r="AQ337" s="125" t="inlineStr">
        <is>
          <t>W40X149</t>
        </is>
      </c>
      <c r="BB337" s="125">
        <f>SQRT(($J$1022-J337)^2)</f>
        <v/>
      </c>
      <c r="BC337" s="125">
        <f>SQRT(($R$1022-R337)^2)</f>
        <v/>
      </c>
      <c r="BD337" s="125" t="inlineStr">
        <is>
          <t>W40X149</t>
        </is>
      </c>
      <c r="BI337">
        <f>SQRT(($J$1023-J337)^2)</f>
        <v/>
      </c>
      <c r="BJ337">
        <f>SQRT(($R$1023-R337)^2)</f>
        <v/>
      </c>
      <c r="BK337" s="125" t="inlineStr">
        <is>
          <t>W40X149</t>
        </is>
      </c>
      <c r="BP337">
        <f>SQRT(($J$1024-J337)^2)</f>
        <v/>
      </c>
      <c r="BQ337">
        <f>SQRT(($R$1024-R337)^2)</f>
        <v/>
      </c>
      <c r="BR337" s="125" t="inlineStr">
        <is>
          <t>W40X149</t>
        </is>
      </c>
      <c r="BW337">
        <f>SQRT(($J$1025-J337)^2)</f>
        <v/>
      </c>
      <c r="BX337">
        <f>SQRT(($R$1025-R337)^2)</f>
        <v/>
      </c>
      <c r="BY337" s="125" t="inlineStr">
        <is>
          <t>W40X149</t>
        </is>
      </c>
      <c r="CD337">
        <f>SQRT(($J$1026-J337)^2)</f>
        <v/>
      </c>
      <c r="CE337">
        <f>SQRT(($R$1026-R337)^2)</f>
        <v/>
      </c>
      <c r="CF337" s="125" t="inlineStr">
        <is>
          <t>W40X149</t>
        </is>
      </c>
    </row>
    <row r="338">
      <c r="A338" s="125" t="inlineStr">
        <is>
          <t>W40X167</t>
        </is>
      </c>
      <c r="B338" s="129" t="inlineStr">
        <is>
          <t>AISC</t>
        </is>
      </c>
      <c r="C338" s="125" t="n">
        <v>249</v>
      </c>
      <c r="D338" s="125" t="n">
        <v>980.2</v>
      </c>
      <c r="E338" s="125" t="n">
        <v>300</v>
      </c>
      <c r="F338" s="125" t="n">
        <v>26</v>
      </c>
      <c r="G338" s="125" t="n">
        <v>16.5</v>
      </c>
      <c r="H338" s="125" t="n">
        <v>30</v>
      </c>
      <c r="I338" s="125" t="n">
        <v>868.2</v>
      </c>
      <c r="J338" s="125" t="n">
        <v>317</v>
      </c>
      <c r="K338" s="125">
        <f>((E338-G338)/2)/F338</f>
        <v/>
      </c>
      <c r="L338" s="125">
        <f>I338/G338</f>
        <v/>
      </c>
      <c r="M338" s="125" t="n">
        <v>3.08</v>
      </c>
      <c r="N338" s="125" t="n">
        <v>481300</v>
      </c>
      <c r="O338" s="125" t="n">
        <v>11760</v>
      </c>
      <c r="P338" s="125" t="n">
        <v>39</v>
      </c>
      <c r="Q338" s="125" t="n">
        <v>6.09</v>
      </c>
      <c r="R338" s="125" t="n">
        <v>9821</v>
      </c>
      <c r="S338" s="125" t="n">
        <v>784</v>
      </c>
      <c r="T338" s="125" t="n">
        <v>11350</v>
      </c>
      <c r="U338" s="125" t="n">
        <v>1245</v>
      </c>
      <c r="X338" s="129">
        <f t="array" ref="X338">_xlfn.IFS((D338/F338) &lt;= (640/SQRT($AT$32)), "Compact", L338 &lt;= ($AT$32*(0.79-(0.002*((E338-G338/2)/(2*F338))*SQRT($AT$32)))), "Non-Compact", L338 &gt; ($AT$32*(0.79-(0.002*((E338-G338/2)/(2*F338))*SQRT($AT$32)))), "Slender")</f>
        <v/>
      </c>
      <c r="Y338" s="129">
        <f t="array" ref="Y338">_xlfn.IFS(K338 &lt;= (65/SQRT($AT$32)), "Compact", K338 &lt;= (95/SQRT($AT$32)), "Non-Compact", K338 &gt; (95/SQRT($AT$32)), "Slender")</f>
        <v/>
      </c>
      <c r="Z338" s="125">
        <f>E338/F338</f>
        <v/>
      </c>
      <c r="AA338" s="125">
        <f>D338/G338</f>
        <v/>
      </c>
      <c r="AB338" s="125">
        <f t="array" ref="AB338">_xlfn.IFS(Z338 &lt;= 9, "1", Z338 &lt;= 12, "2", Z338 &lt;= 15, "3", Z338 &gt; 15, "4")</f>
        <v/>
      </c>
      <c r="AC338" s="125">
        <f t="array" ref="AC338">_xlfn.IFS(AA338 &lt;= 200, "1", L338 &lt;= 300, "2", L338 &lt;= 400, "3", L338 &gt; 400, "4")</f>
        <v/>
      </c>
      <c r="AD338" s="129">
        <f>SQRT((((VLOOKUP($AT$4,$A$4:$D$1021,4,FALSE))-D338)^2)+(((VLOOKUP($AT$4,$A$4:$E$1021,5,FALSE))-E338)^2)+(((VLOOKUP($AT$4,$A$4:$N$1021,14,FALSE))-N338)^2)+(((VLOOKUP($AT$4,$A$4:$O$1021,15,FALSE))-O338)^2))</f>
        <v/>
      </c>
      <c r="AG338" s="129">
        <f>SQRT((((VLOOKUP($AT$4,$A$4:$D$1021,4,FALSE))-D338)^2)+(((VLOOKUP($AT$4,$A$4:$E$1021,5,FALSE))-E338)^2)+(((VLOOKUP($AT$4,$A$4:$R$1021,18,FALSE))-R338)^2)+(((VLOOKUP($AT$4,$A$4:$S$1021,19,FALSE))-S338)^2))</f>
        <v/>
      </c>
      <c r="AJ338" s="125" t="inlineStr">
        <is>
          <t>W40X167</t>
        </is>
      </c>
      <c r="AK338" s="125">
        <f>SQRT(((VLOOKUP($AT$4,$A$4:$J$1021,10,FALSE))-J338)^2)</f>
        <v/>
      </c>
      <c r="AL338" s="125" t="n"/>
      <c r="AM338" s="125" t="n"/>
      <c r="AN338" s="125">
        <f>SQRT(((VLOOKUP($AT$4,$A$4:$R$1021,18,FALSE))-R338)^2)</f>
        <v/>
      </c>
      <c r="AO338" s="125" t="n"/>
      <c r="AP338" s="125" t="n"/>
      <c r="AQ338" s="125" t="inlineStr">
        <is>
          <t>W40X167</t>
        </is>
      </c>
      <c r="BB338" s="125">
        <f>SQRT(($J$1022-J338)^2)</f>
        <v/>
      </c>
      <c r="BC338" s="125">
        <f>SQRT(($R$1022-R338)^2)</f>
        <v/>
      </c>
      <c r="BD338" s="125" t="inlineStr">
        <is>
          <t>W40X167</t>
        </is>
      </c>
      <c r="BI338">
        <f>SQRT(($J$1023-J338)^2)</f>
        <v/>
      </c>
      <c r="BJ338">
        <f>SQRT(($R$1023-R338)^2)</f>
        <v/>
      </c>
      <c r="BK338" s="125" t="inlineStr">
        <is>
          <t>W40X167</t>
        </is>
      </c>
      <c r="BP338">
        <f>SQRT(($J$1024-J338)^2)</f>
        <v/>
      </c>
      <c r="BQ338">
        <f>SQRT(($R$1024-R338)^2)</f>
        <v/>
      </c>
      <c r="BR338" s="125" t="inlineStr">
        <is>
          <t>W40X167</t>
        </is>
      </c>
      <c r="BW338">
        <f>SQRT(($J$1025-J338)^2)</f>
        <v/>
      </c>
      <c r="BX338">
        <f>SQRT(($R$1025-R338)^2)</f>
        <v/>
      </c>
      <c r="BY338" s="125" t="inlineStr">
        <is>
          <t>W40X167</t>
        </is>
      </c>
      <c r="CD338">
        <f>SQRT(($J$1026-J338)^2)</f>
        <v/>
      </c>
      <c r="CE338">
        <f>SQRT(($R$1026-R338)^2)</f>
        <v/>
      </c>
      <c r="CF338" s="125" t="inlineStr">
        <is>
          <t>W40X167</t>
        </is>
      </c>
    </row>
    <row r="339">
      <c r="A339" s="125" t="inlineStr">
        <is>
          <t>W40X183</t>
        </is>
      </c>
      <c r="B339" s="129" t="inlineStr">
        <is>
          <t>AISC</t>
        </is>
      </c>
      <c r="C339" s="125" t="n">
        <v>272</v>
      </c>
      <c r="D339" s="125" t="n">
        <v>990.1</v>
      </c>
      <c r="E339" s="125" t="n">
        <v>300</v>
      </c>
      <c r="F339" s="125" t="n">
        <v>31</v>
      </c>
      <c r="G339" s="125" t="n">
        <v>16.5</v>
      </c>
      <c r="H339" s="125" t="n">
        <v>30</v>
      </c>
      <c r="I339" s="125" t="n">
        <v>868.1</v>
      </c>
      <c r="J339" s="125" t="n">
        <v>347</v>
      </c>
      <c r="K339" s="125">
        <f>((E339-G339)/2)/F339</f>
        <v/>
      </c>
      <c r="L339" s="125">
        <f>I339/G339</f>
        <v/>
      </c>
      <c r="M339" s="125" t="n">
        <v>3.1</v>
      </c>
      <c r="N339" s="125" t="n">
        <v>554000</v>
      </c>
      <c r="O339" s="125" t="n">
        <v>14010</v>
      </c>
      <c r="P339" s="125" t="n">
        <v>40</v>
      </c>
      <c r="Q339" s="125" t="n">
        <v>6.36</v>
      </c>
      <c r="R339" s="125" t="n">
        <v>11190</v>
      </c>
      <c r="S339" s="125" t="n">
        <v>934</v>
      </c>
      <c r="T339" s="125" t="n">
        <v>12830</v>
      </c>
      <c r="U339" s="125" t="n">
        <v>1470</v>
      </c>
      <c r="X339" s="129">
        <f t="array" ref="X339">_xlfn.IFS((D339/F339) &lt;= (640/SQRT($AT$32)), "Compact", L339 &lt;= ($AT$32*(0.79-(0.002*((E339-G339/2)/(2*F339))*SQRT($AT$32)))), "Non-Compact", L339 &gt; ($AT$32*(0.79-(0.002*((E339-G339/2)/(2*F339))*SQRT($AT$32)))), "Slender")</f>
        <v/>
      </c>
      <c r="Y339" s="129">
        <f t="array" ref="Y339">_xlfn.IFS(K339 &lt;= (65/SQRT($AT$32)), "Compact", K339 &lt;= (95/SQRT($AT$32)), "Non-Compact", K339 &gt; (95/SQRT($AT$32)), "Slender")</f>
        <v/>
      </c>
      <c r="Z339" s="125">
        <f>E339/F339</f>
        <v/>
      </c>
      <c r="AA339" s="125">
        <f>D339/G339</f>
        <v/>
      </c>
      <c r="AB339" s="125">
        <f t="array" ref="AB339">_xlfn.IFS(Z339 &lt;= 9, "1", Z339 &lt;= 12, "2", Z339 &lt;= 15, "3", Z339 &gt; 15, "4")</f>
        <v/>
      </c>
      <c r="AC339" s="125">
        <f t="array" ref="AC339">_xlfn.IFS(AA339 &lt;= 200, "1", L339 &lt;= 300, "2", L339 &lt;= 400, "3", L339 &gt; 400, "4")</f>
        <v/>
      </c>
      <c r="AD339" s="129">
        <f>SQRT((((VLOOKUP($AT$4,$A$4:$D$1021,4,FALSE))-D339)^2)+(((VLOOKUP($AT$4,$A$4:$E$1021,5,FALSE))-E339)^2)+(((VLOOKUP($AT$4,$A$4:$N$1021,14,FALSE))-N339)^2)+(((VLOOKUP($AT$4,$A$4:$O$1021,15,FALSE))-O339)^2))</f>
        <v/>
      </c>
      <c r="AG339" s="129">
        <f>SQRT((((VLOOKUP($AT$4,$A$4:$D$1021,4,FALSE))-D339)^2)+(((VLOOKUP($AT$4,$A$4:$E$1021,5,FALSE))-E339)^2)+(((VLOOKUP($AT$4,$A$4:$R$1021,18,FALSE))-R339)^2)+(((VLOOKUP($AT$4,$A$4:$S$1021,19,FALSE))-S339)^2))</f>
        <v/>
      </c>
      <c r="AJ339" s="125" t="inlineStr">
        <is>
          <t>W40X183</t>
        </is>
      </c>
      <c r="AK339" s="125">
        <f>SQRT(((VLOOKUP($AT$4,$A$4:$J$1021,10,FALSE))-J339)^2)</f>
        <v/>
      </c>
      <c r="AL339" s="125" t="n"/>
      <c r="AM339" s="125" t="n"/>
      <c r="AN339" s="125">
        <f>SQRT(((VLOOKUP($AT$4,$A$4:$R$1021,18,FALSE))-R339)^2)</f>
        <v/>
      </c>
      <c r="AO339" s="125" t="n"/>
      <c r="AP339" s="125" t="n"/>
      <c r="AQ339" s="125" t="inlineStr">
        <is>
          <t>W40X183</t>
        </is>
      </c>
      <c r="BB339" s="125">
        <f>SQRT(($J$1022-J339)^2)</f>
        <v/>
      </c>
      <c r="BC339" s="125">
        <f>SQRT(($R$1022-R339)^2)</f>
        <v/>
      </c>
      <c r="BD339" s="125" t="inlineStr">
        <is>
          <t>W40X183</t>
        </is>
      </c>
      <c r="BI339">
        <f>SQRT(($J$1023-J339)^2)</f>
        <v/>
      </c>
      <c r="BJ339">
        <f>SQRT(($R$1023-R339)^2)</f>
        <v/>
      </c>
      <c r="BK339" s="125" t="inlineStr">
        <is>
          <t>W40X183</t>
        </is>
      </c>
      <c r="BP339">
        <f>SQRT(($J$1024-J339)^2)</f>
        <v/>
      </c>
      <c r="BQ339">
        <f>SQRT(($R$1024-R339)^2)</f>
        <v/>
      </c>
      <c r="BR339" s="125" t="inlineStr">
        <is>
          <t>W40X183</t>
        </is>
      </c>
      <c r="BW339">
        <f>SQRT(($J$1025-J339)^2)</f>
        <v/>
      </c>
      <c r="BX339">
        <f>SQRT(($R$1025-R339)^2)</f>
        <v/>
      </c>
      <c r="BY339" s="125" t="inlineStr">
        <is>
          <t>W40X183</t>
        </is>
      </c>
      <c r="CD339">
        <f>SQRT(($J$1026-J339)^2)</f>
        <v/>
      </c>
      <c r="CE339">
        <f>SQRT(($R$1026-R339)^2)</f>
        <v/>
      </c>
      <c r="CF339" s="125" t="inlineStr">
        <is>
          <t>W40X183</t>
        </is>
      </c>
    </row>
    <row r="340">
      <c r="A340" s="125" t="inlineStr">
        <is>
          <t>W40X211</t>
        </is>
      </c>
      <c r="B340" s="129" t="inlineStr">
        <is>
          <t>AISC</t>
        </is>
      </c>
      <c r="C340" s="125" t="n">
        <v>314</v>
      </c>
      <c r="D340" s="125" t="n">
        <v>1000</v>
      </c>
      <c r="E340" s="125" t="n">
        <v>300</v>
      </c>
      <c r="F340" s="125" t="n">
        <v>35.9</v>
      </c>
      <c r="G340" s="125" t="n">
        <v>19.1</v>
      </c>
      <c r="H340" s="125" t="n">
        <v>30</v>
      </c>
      <c r="I340" s="125" t="n">
        <v>868.2</v>
      </c>
      <c r="J340" s="125" t="n">
        <v>400</v>
      </c>
      <c r="K340" s="125">
        <f>((E340-G340)/2)/F340</f>
        <v/>
      </c>
      <c r="L340" s="125">
        <f>I340/G340</f>
        <v/>
      </c>
      <c r="M340" s="125" t="n">
        <v>3.11</v>
      </c>
      <c r="N340" s="125" t="n">
        <v>644200</v>
      </c>
      <c r="O340" s="125" t="n">
        <v>16240</v>
      </c>
      <c r="P340" s="125" t="n">
        <v>40.1</v>
      </c>
      <c r="Q340" s="125" t="n">
        <v>6.37</v>
      </c>
      <c r="R340" s="125" t="n">
        <v>12880</v>
      </c>
      <c r="S340" s="125" t="n">
        <v>1083</v>
      </c>
      <c r="T340" s="125" t="n">
        <v>14850</v>
      </c>
      <c r="U340" s="125" t="n">
        <v>1713</v>
      </c>
      <c r="X340" s="129">
        <f t="array" ref="X340">_xlfn.IFS((D340/F340) &lt;= (640/SQRT($AT$32)), "Compact", L340 &lt;= ($AT$32*(0.79-(0.002*((E340-G340/2)/(2*F340))*SQRT($AT$32)))), "Non-Compact", L340 &gt; ($AT$32*(0.79-(0.002*((E340-G340/2)/(2*F340))*SQRT($AT$32)))), "Slender")</f>
        <v/>
      </c>
      <c r="Y340" s="129">
        <f t="array" ref="Y340">_xlfn.IFS(K340 &lt;= (65/SQRT($AT$32)), "Compact", K340 &lt;= (95/SQRT($AT$32)), "Non-Compact", K340 &gt; (95/SQRT($AT$32)), "Slender")</f>
        <v/>
      </c>
      <c r="Z340" s="125">
        <f>E340/F340</f>
        <v/>
      </c>
      <c r="AA340" s="125">
        <f>D340/G340</f>
        <v/>
      </c>
      <c r="AB340" s="125">
        <f t="array" ref="AB340">_xlfn.IFS(Z340 &lt;= 9, "1", Z340 &lt;= 12, "2", Z340 &lt;= 15, "3", Z340 &gt; 15, "4")</f>
        <v/>
      </c>
      <c r="AC340" s="125">
        <f t="array" ref="AC340">_xlfn.IFS(AA340 &lt;= 200, "1", L340 &lt;= 300, "2", L340 &lt;= 400, "3", L340 &gt; 400, "4")</f>
        <v/>
      </c>
      <c r="AD340" s="129">
        <f>SQRT((((VLOOKUP($AT$4,$A$4:$D$1021,4,FALSE))-D340)^2)+(((VLOOKUP($AT$4,$A$4:$E$1021,5,FALSE))-E340)^2)+(((VLOOKUP($AT$4,$A$4:$N$1021,14,FALSE))-N340)^2)+(((VLOOKUP($AT$4,$A$4:$O$1021,15,FALSE))-O340)^2))</f>
        <v/>
      </c>
      <c r="AG340" s="129">
        <f>SQRT((((VLOOKUP($AT$4,$A$4:$D$1021,4,FALSE))-D340)^2)+(((VLOOKUP($AT$4,$A$4:$E$1021,5,FALSE))-E340)^2)+(((VLOOKUP($AT$4,$A$4:$R$1021,18,FALSE))-R340)^2)+(((VLOOKUP($AT$4,$A$4:$S$1021,19,FALSE))-S340)^2))</f>
        <v/>
      </c>
      <c r="AJ340" s="125" t="inlineStr">
        <is>
          <t>W40X211</t>
        </is>
      </c>
      <c r="AK340" s="125">
        <f>SQRT(((VLOOKUP($AT$4,$A$4:$J$1021,10,FALSE))-J340)^2)</f>
        <v/>
      </c>
      <c r="AL340" s="125" t="n"/>
      <c r="AM340" s="125" t="n"/>
      <c r="AN340" s="125">
        <f>SQRT(((VLOOKUP($AT$4,$A$4:$R$1021,18,FALSE))-R340)^2)</f>
        <v/>
      </c>
      <c r="AO340" s="125" t="n"/>
      <c r="AP340" s="125" t="n"/>
      <c r="AQ340" s="125" t="inlineStr">
        <is>
          <t>W40X211</t>
        </is>
      </c>
      <c r="BB340" s="125">
        <f>SQRT(($J$1022-J340)^2)</f>
        <v/>
      </c>
      <c r="BC340" s="125">
        <f>SQRT(($R$1022-R340)^2)</f>
        <v/>
      </c>
      <c r="BD340" s="125" t="inlineStr">
        <is>
          <t>W40X211</t>
        </is>
      </c>
      <c r="BI340">
        <f>SQRT(($J$1023-J340)^2)</f>
        <v/>
      </c>
      <c r="BJ340">
        <f>SQRT(($R$1023-R340)^2)</f>
        <v/>
      </c>
      <c r="BK340" s="125" t="inlineStr">
        <is>
          <t>W40X211</t>
        </is>
      </c>
      <c r="BP340">
        <f>SQRT(($J$1024-J340)^2)</f>
        <v/>
      </c>
      <c r="BQ340">
        <f>SQRT(($R$1024-R340)^2)</f>
        <v/>
      </c>
      <c r="BR340" s="125" t="inlineStr">
        <is>
          <t>W40X211</t>
        </is>
      </c>
      <c r="BW340">
        <f>SQRT(($J$1025-J340)^2)</f>
        <v/>
      </c>
      <c r="BX340">
        <f>SQRT(($R$1025-R340)^2)</f>
        <v/>
      </c>
      <c r="BY340" s="125" t="inlineStr">
        <is>
          <t>W40X211</t>
        </is>
      </c>
      <c r="CD340">
        <f>SQRT(($J$1026-J340)^2)</f>
        <v/>
      </c>
      <c r="CE340">
        <f>SQRT(($R$1026-R340)^2)</f>
        <v/>
      </c>
      <c r="CF340" s="125" t="inlineStr">
        <is>
          <t>W40X211</t>
        </is>
      </c>
    </row>
    <row r="341">
      <c r="A341" s="125" t="inlineStr">
        <is>
          <t>W40X235</t>
        </is>
      </c>
      <c r="B341" s="129" t="inlineStr">
        <is>
          <t>AISC</t>
        </is>
      </c>
      <c r="C341" s="125" t="n">
        <v>349</v>
      </c>
      <c r="D341" s="125" t="n">
        <v>1008.1</v>
      </c>
      <c r="E341" s="125" t="n">
        <v>302</v>
      </c>
      <c r="F341" s="125" t="n">
        <v>40</v>
      </c>
      <c r="G341" s="125" t="n">
        <v>21.1</v>
      </c>
      <c r="H341" s="125" t="n">
        <v>30</v>
      </c>
      <c r="I341" s="125" t="n">
        <v>868.1</v>
      </c>
      <c r="J341" s="125" t="n">
        <v>445</v>
      </c>
      <c r="K341" s="125">
        <f>((E341-G341)/2)/F341</f>
        <v/>
      </c>
      <c r="L341" s="125">
        <f>I341/G341</f>
        <v/>
      </c>
      <c r="M341" s="125" t="n">
        <v>3.13</v>
      </c>
      <c r="N341" s="125" t="n">
        <v>723100</v>
      </c>
      <c r="O341" s="125" t="n">
        <v>18470</v>
      </c>
      <c r="P341" s="125" t="n">
        <v>40.3</v>
      </c>
      <c r="Q341" s="125" t="n">
        <v>6.44</v>
      </c>
      <c r="R341" s="125" t="n">
        <v>14350</v>
      </c>
      <c r="S341" s="125" t="n">
        <v>1223</v>
      </c>
      <c r="T341" s="125" t="n">
        <v>16590</v>
      </c>
      <c r="U341" s="125" t="n">
        <v>1941</v>
      </c>
      <c r="X341" s="129">
        <f t="array" ref="X341">_xlfn.IFS((D341/F341) &lt;= (640/SQRT($AT$32)), "Compact", L341 &lt;= ($AT$32*(0.79-(0.002*((E341-G341/2)/(2*F341))*SQRT($AT$32)))), "Non-Compact", L341 &gt; ($AT$32*(0.79-(0.002*((E341-G341/2)/(2*F341))*SQRT($AT$32)))), "Slender")</f>
        <v/>
      </c>
      <c r="Y341" s="129">
        <f t="array" ref="Y341">_xlfn.IFS(K341 &lt;= (65/SQRT($AT$32)), "Compact", K341 &lt;= (95/SQRT($AT$32)), "Non-Compact", K341 &gt; (95/SQRT($AT$32)), "Slender")</f>
        <v/>
      </c>
      <c r="Z341" s="125">
        <f>E341/F341</f>
        <v/>
      </c>
      <c r="AA341" s="125">
        <f>D341/G341</f>
        <v/>
      </c>
      <c r="AB341" s="125">
        <f t="array" ref="AB341">_xlfn.IFS(Z341 &lt;= 9, "1", Z341 &lt;= 12, "2", Z341 &lt;= 15, "3", Z341 &gt; 15, "4")</f>
        <v/>
      </c>
      <c r="AC341" s="125">
        <f t="array" ref="AC341">_xlfn.IFS(AA341 &lt;= 200, "1", L341 &lt;= 300, "2", L341 &lt;= 400, "3", L341 &gt; 400, "4")</f>
        <v/>
      </c>
      <c r="AD341" s="129">
        <f>SQRT((((VLOOKUP($AT$4,$A$4:$D$1021,4,FALSE))-D341)^2)+(((VLOOKUP($AT$4,$A$4:$E$1021,5,FALSE))-E341)^2)+(((VLOOKUP($AT$4,$A$4:$N$1021,14,FALSE))-N341)^2)+(((VLOOKUP($AT$4,$A$4:$O$1021,15,FALSE))-O341)^2))</f>
        <v/>
      </c>
      <c r="AG341" s="129">
        <f>SQRT((((VLOOKUP($AT$4,$A$4:$D$1021,4,FALSE))-D341)^2)+(((VLOOKUP($AT$4,$A$4:$E$1021,5,FALSE))-E341)^2)+(((VLOOKUP($AT$4,$A$4:$R$1021,18,FALSE))-R341)^2)+(((VLOOKUP($AT$4,$A$4:$S$1021,19,FALSE))-S341)^2))</f>
        <v/>
      </c>
      <c r="AJ341" s="125" t="inlineStr">
        <is>
          <t>W40X235</t>
        </is>
      </c>
      <c r="AK341" s="125">
        <f>SQRT(((VLOOKUP($AT$4,$A$4:$J$1021,10,FALSE))-J341)^2)</f>
        <v/>
      </c>
      <c r="AL341" s="125" t="n"/>
      <c r="AM341" s="125" t="n"/>
      <c r="AN341" s="125">
        <f>SQRT(((VLOOKUP($AT$4,$A$4:$R$1021,18,FALSE))-R341)^2)</f>
        <v/>
      </c>
      <c r="AO341" s="125" t="n"/>
      <c r="AP341" s="125" t="n"/>
      <c r="AQ341" s="125" t="inlineStr">
        <is>
          <t>W40X235</t>
        </is>
      </c>
      <c r="BB341" s="125">
        <f>SQRT(($J$1022-J341)^2)</f>
        <v/>
      </c>
      <c r="BC341" s="125">
        <f>SQRT(($R$1022-R341)^2)</f>
        <v/>
      </c>
      <c r="BD341" s="125" t="inlineStr">
        <is>
          <t>W40X235</t>
        </is>
      </c>
      <c r="BI341">
        <f>SQRT(($J$1023-J341)^2)</f>
        <v/>
      </c>
      <c r="BJ341">
        <f>SQRT(($R$1023-R341)^2)</f>
        <v/>
      </c>
      <c r="BK341" s="125" t="inlineStr">
        <is>
          <t>W40X235</t>
        </is>
      </c>
      <c r="BP341">
        <f>SQRT(($J$1024-J341)^2)</f>
        <v/>
      </c>
      <c r="BQ341">
        <f>SQRT(($R$1024-R341)^2)</f>
        <v/>
      </c>
      <c r="BR341" s="125" t="inlineStr">
        <is>
          <t>W40X235</t>
        </is>
      </c>
      <c r="BW341">
        <f>SQRT(($J$1025-J341)^2)</f>
        <v/>
      </c>
      <c r="BX341">
        <f>SQRT(($R$1025-R341)^2)</f>
        <v/>
      </c>
      <c r="BY341" s="125" t="inlineStr">
        <is>
          <t>W40X235</t>
        </is>
      </c>
      <c r="CD341">
        <f>SQRT(($J$1026-J341)^2)</f>
        <v/>
      </c>
      <c r="CE341">
        <f>SQRT(($R$1026-R341)^2)</f>
        <v/>
      </c>
      <c r="CF341" s="125" t="inlineStr">
        <is>
          <t>W40X235</t>
        </is>
      </c>
    </row>
    <row r="342">
      <c r="A342" s="125" t="inlineStr">
        <is>
          <t>W40X264</t>
        </is>
      </c>
      <c r="B342" s="129" t="inlineStr">
        <is>
          <t>AISC</t>
        </is>
      </c>
      <c r="C342" s="125" t="n">
        <v>393</v>
      </c>
      <c r="D342" s="125" t="n">
        <v>1016</v>
      </c>
      <c r="E342" s="125" t="n">
        <v>303</v>
      </c>
      <c r="F342" s="125" t="n">
        <v>43.9</v>
      </c>
      <c r="G342" s="125" t="n">
        <v>24.4</v>
      </c>
      <c r="H342" s="125" t="n">
        <v>30</v>
      </c>
      <c r="I342" s="125" t="n">
        <v>868.2</v>
      </c>
      <c r="J342" s="125" t="n">
        <v>500</v>
      </c>
      <c r="K342" s="125">
        <f>((E342-G342)/2)/F342</f>
        <v/>
      </c>
      <c r="L342" s="125">
        <f>I342/G342</f>
        <v/>
      </c>
      <c r="M342" s="125" t="n">
        <v>3.14</v>
      </c>
      <c r="N342" s="125" t="n">
        <v>807700</v>
      </c>
      <c r="O342" s="125" t="n">
        <v>20500</v>
      </c>
      <c r="P342" s="125" t="n">
        <v>40.2</v>
      </c>
      <c r="Q342" s="125" t="n">
        <v>6.4</v>
      </c>
      <c r="R342" s="125" t="n">
        <v>15900</v>
      </c>
      <c r="S342" s="125" t="n">
        <v>1353</v>
      </c>
      <c r="T342" s="125" t="n">
        <v>18540</v>
      </c>
      <c r="U342" s="125" t="n">
        <v>2168</v>
      </c>
      <c r="X342" s="129">
        <f t="array" ref="X342">_xlfn.IFS((D342/F342) &lt;= (640/SQRT($AT$32)), "Compact", L342 &lt;= ($AT$32*(0.79-(0.002*((E342-G342/2)/(2*F342))*SQRT($AT$32)))), "Non-Compact", L342 &gt; ($AT$32*(0.79-(0.002*((E342-G342/2)/(2*F342))*SQRT($AT$32)))), "Slender")</f>
        <v/>
      </c>
      <c r="Y342" s="129">
        <f t="array" ref="Y342">_xlfn.IFS(K342 &lt;= (65/SQRT($AT$32)), "Compact", K342 &lt;= (95/SQRT($AT$32)), "Non-Compact", K342 &gt; (95/SQRT($AT$32)), "Slender")</f>
        <v/>
      </c>
      <c r="Z342" s="125">
        <f>E342/F342</f>
        <v/>
      </c>
      <c r="AA342" s="125">
        <f>D342/G342</f>
        <v/>
      </c>
      <c r="AB342" s="125">
        <f t="array" ref="AB342">_xlfn.IFS(Z342 &lt;= 9, "1", Z342 &lt;= 12, "2", Z342 &lt;= 15, "3", Z342 &gt; 15, "4")</f>
        <v/>
      </c>
      <c r="AC342" s="125">
        <f t="array" ref="AC342">_xlfn.IFS(AA342 &lt;= 200, "1", L342 &lt;= 300, "2", L342 &lt;= 400, "3", L342 &gt; 400, "4")</f>
        <v/>
      </c>
      <c r="AD342" s="129">
        <f>SQRT((((VLOOKUP($AT$4,$A$4:$D$1021,4,FALSE))-D342)^2)+(((VLOOKUP($AT$4,$A$4:$E$1021,5,FALSE))-E342)^2)+(((VLOOKUP($AT$4,$A$4:$N$1021,14,FALSE))-N342)^2)+(((VLOOKUP($AT$4,$A$4:$O$1021,15,FALSE))-O342)^2))</f>
        <v/>
      </c>
      <c r="AG342" s="129">
        <f>SQRT((((VLOOKUP($AT$4,$A$4:$D$1021,4,FALSE))-D342)^2)+(((VLOOKUP($AT$4,$A$4:$E$1021,5,FALSE))-E342)^2)+(((VLOOKUP($AT$4,$A$4:$R$1021,18,FALSE))-R342)^2)+(((VLOOKUP($AT$4,$A$4:$S$1021,19,FALSE))-S342)^2))</f>
        <v/>
      </c>
      <c r="AJ342" s="125" t="inlineStr">
        <is>
          <t>W40X264</t>
        </is>
      </c>
      <c r="AK342" s="125">
        <f>SQRT(((VLOOKUP($AT$4,$A$4:$J$1021,10,FALSE))-J342)^2)</f>
        <v/>
      </c>
      <c r="AL342" s="125" t="n"/>
      <c r="AM342" s="125" t="n"/>
      <c r="AN342" s="125">
        <f>SQRT(((VLOOKUP($AT$4,$A$4:$R$1021,18,FALSE))-R342)^2)</f>
        <v/>
      </c>
      <c r="AO342" s="125" t="n"/>
      <c r="AP342" s="125" t="n"/>
      <c r="AQ342" s="125" t="inlineStr">
        <is>
          <t>W40X264</t>
        </is>
      </c>
      <c r="BB342" s="125">
        <f>SQRT(($J$1022-J342)^2)</f>
        <v/>
      </c>
      <c r="BC342" s="125">
        <f>SQRT(($R$1022-R342)^2)</f>
        <v/>
      </c>
      <c r="BD342" s="125" t="inlineStr">
        <is>
          <t>W40X264</t>
        </is>
      </c>
      <c r="BI342">
        <f>SQRT(($J$1023-J342)^2)</f>
        <v/>
      </c>
      <c r="BJ342">
        <f>SQRT(($R$1023-R342)^2)</f>
        <v/>
      </c>
      <c r="BK342" s="125" t="inlineStr">
        <is>
          <t>W40X264</t>
        </is>
      </c>
      <c r="BP342">
        <f>SQRT(($J$1024-J342)^2)</f>
        <v/>
      </c>
      <c r="BQ342">
        <f>SQRT(($R$1024-R342)^2)</f>
        <v/>
      </c>
      <c r="BR342" s="125" t="inlineStr">
        <is>
          <t>W40X264</t>
        </is>
      </c>
      <c r="BW342">
        <f>SQRT(($J$1025-J342)^2)</f>
        <v/>
      </c>
      <c r="BX342">
        <f>SQRT(($R$1025-R342)^2)</f>
        <v/>
      </c>
      <c r="BY342" s="125" t="inlineStr">
        <is>
          <t>W40X264</t>
        </is>
      </c>
      <c r="CD342">
        <f>SQRT(($J$1026-J342)^2)</f>
        <v/>
      </c>
      <c r="CE342">
        <f>SQRT(($R$1026-R342)^2)</f>
        <v/>
      </c>
      <c r="CF342" s="125" t="inlineStr">
        <is>
          <t>W40X264</t>
        </is>
      </c>
    </row>
    <row r="343">
      <c r="A343" s="125" t="inlineStr">
        <is>
          <t>W40X278</t>
        </is>
      </c>
      <c r="B343" s="129" t="inlineStr">
        <is>
          <t>AISC</t>
        </is>
      </c>
      <c r="C343" s="125" t="n">
        <v>415</v>
      </c>
      <c r="D343" s="125" t="n">
        <v>1020</v>
      </c>
      <c r="E343" s="125" t="n">
        <v>304</v>
      </c>
      <c r="F343" s="125" t="n">
        <v>46</v>
      </c>
      <c r="G343" s="125" t="n">
        <v>26</v>
      </c>
      <c r="H343" s="125" t="n">
        <v>30</v>
      </c>
      <c r="I343" s="125" t="n">
        <v>868</v>
      </c>
      <c r="J343" s="125" t="n">
        <v>529</v>
      </c>
      <c r="K343" s="125">
        <f>((E343-G343)/2)/F343</f>
        <v/>
      </c>
      <c r="L343" s="125">
        <f>I343/G343</f>
        <v/>
      </c>
      <c r="M343" s="125" t="n">
        <v>3.15</v>
      </c>
      <c r="N343" s="125" t="n">
        <v>853100</v>
      </c>
      <c r="O343" s="125" t="n">
        <v>21710</v>
      </c>
      <c r="P343" s="125" t="n">
        <v>40.2</v>
      </c>
      <c r="Q343" s="125" t="n">
        <v>6.41</v>
      </c>
      <c r="R343" s="125" t="n">
        <v>16728</v>
      </c>
      <c r="S343" s="125" t="n">
        <v>1428</v>
      </c>
      <c r="T343" s="125" t="n">
        <v>19571</v>
      </c>
      <c r="U343" s="125" t="n">
        <v>2298</v>
      </c>
      <c r="X343" s="129">
        <f t="array" ref="X343">_xlfn.IFS((D343/F343) &lt;= (640/SQRT($AT$32)), "Compact", L343 &lt;= ($AT$32*(0.79-(0.002*((E343-G343/2)/(2*F343))*SQRT($AT$32)))), "Non-Compact", L343 &gt; ($AT$32*(0.79-(0.002*((E343-G343/2)/(2*F343))*SQRT($AT$32)))), "Slender")</f>
        <v/>
      </c>
      <c r="Y343" s="129">
        <f t="array" ref="Y343">_xlfn.IFS(K343 &lt;= (65/SQRT($AT$32)), "Compact", K343 &lt;= (95/SQRT($AT$32)), "Non-Compact", K343 &gt; (95/SQRT($AT$32)), "Slender")</f>
        <v/>
      </c>
      <c r="Z343" s="125">
        <f>E343/F343</f>
        <v/>
      </c>
      <c r="AA343" s="125">
        <f>D343/G343</f>
        <v/>
      </c>
      <c r="AB343" s="125">
        <f t="array" ref="AB343">_xlfn.IFS(Z343 &lt;= 9, "1", Z343 &lt;= 12, "2", Z343 &lt;= 15, "3", Z343 &gt; 15, "4")</f>
        <v/>
      </c>
      <c r="AC343" s="125">
        <f t="array" ref="AC343">_xlfn.IFS(AA343 &lt;= 200, "1", L343 &lt;= 300, "2", L343 &lt;= 400, "3", L343 &gt; 400, "4")</f>
        <v/>
      </c>
      <c r="AD343" s="129">
        <f>SQRT((((VLOOKUP($AT$4,$A$4:$D$1021,4,FALSE))-D343)^2)+(((VLOOKUP($AT$4,$A$4:$E$1021,5,FALSE))-E343)^2)+(((VLOOKUP($AT$4,$A$4:$N$1021,14,FALSE))-N343)^2)+(((VLOOKUP($AT$4,$A$4:$O$1021,15,FALSE))-O343)^2))</f>
        <v/>
      </c>
      <c r="AG343" s="129">
        <f>SQRT((((VLOOKUP($AT$4,$A$4:$D$1021,4,FALSE))-D343)^2)+(((VLOOKUP($AT$4,$A$4:$E$1021,5,FALSE))-E343)^2)+(((VLOOKUP($AT$4,$A$4:$R$1021,18,FALSE))-R343)^2)+(((VLOOKUP($AT$4,$A$4:$S$1021,19,FALSE))-S343)^2))</f>
        <v/>
      </c>
      <c r="AJ343" s="125" t="inlineStr">
        <is>
          <t>W40X278</t>
        </is>
      </c>
      <c r="AK343" s="125">
        <f>SQRT(((VLOOKUP($AT$4,$A$4:$J$1021,10,FALSE))-J343)^2)</f>
        <v/>
      </c>
      <c r="AL343" s="125" t="n"/>
      <c r="AM343" s="125" t="n"/>
      <c r="AN343" s="125">
        <f>SQRT(((VLOOKUP($AT$4,$A$4:$R$1021,18,FALSE))-R343)^2)</f>
        <v/>
      </c>
      <c r="AO343" s="125" t="n"/>
      <c r="AP343" s="125" t="n"/>
      <c r="AQ343" s="125" t="inlineStr">
        <is>
          <t>W40X278</t>
        </is>
      </c>
      <c r="BB343" s="125">
        <f>SQRT(($J$1022-J343)^2)</f>
        <v/>
      </c>
      <c r="BC343" s="125">
        <f>SQRT(($R$1022-R343)^2)</f>
        <v/>
      </c>
      <c r="BD343" s="125" t="inlineStr">
        <is>
          <t>W40X278</t>
        </is>
      </c>
      <c r="BI343">
        <f>SQRT(($J$1023-J343)^2)</f>
        <v/>
      </c>
      <c r="BJ343">
        <f>SQRT(($R$1023-R343)^2)</f>
        <v/>
      </c>
      <c r="BK343" s="125" t="inlineStr">
        <is>
          <t>W40X278</t>
        </is>
      </c>
      <c r="BP343">
        <f>SQRT(($J$1024-J343)^2)</f>
        <v/>
      </c>
      <c r="BQ343">
        <f>SQRT(($R$1024-R343)^2)</f>
        <v/>
      </c>
      <c r="BR343" s="125" t="inlineStr">
        <is>
          <t>W40X278</t>
        </is>
      </c>
      <c r="BW343">
        <f>SQRT(($J$1025-J343)^2)</f>
        <v/>
      </c>
      <c r="BX343">
        <f>SQRT(($R$1025-R343)^2)</f>
        <v/>
      </c>
      <c r="BY343" s="125" t="inlineStr">
        <is>
          <t>W40X278</t>
        </is>
      </c>
      <c r="CD343">
        <f>SQRT(($J$1026-J343)^2)</f>
        <v/>
      </c>
      <c r="CE343">
        <f>SQRT(($R$1026-R343)^2)</f>
        <v/>
      </c>
      <c r="CF343" s="125" t="inlineStr">
        <is>
          <t>W40X278</t>
        </is>
      </c>
    </row>
    <row r="344">
      <c r="A344" s="125" t="inlineStr">
        <is>
          <t>W40X294</t>
        </is>
      </c>
      <c r="B344" s="129" t="inlineStr">
        <is>
          <t>AISC</t>
        </is>
      </c>
      <c r="C344" s="125" t="n">
        <v>438</v>
      </c>
      <c r="D344" s="125" t="n">
        <v>1025.9</v>
      </c>
      <c r="E344" s="125" t="n">
        <v>305.4</v>
      </c>
      <c r="F344" s="125" t="n">
        <v>49</v>
      </c>
      <c r="G344" s="125" t="n">
        <v>26.9</v>
      </c>
      <c r="H344" s="125" t="n">
        <v>30</v>
      </c>
      <c r="I344" s="125" t="n">
        <v>867.9</v>
      </c>
      <c r="J344" s="125" t="n">
        <v>557</v>
      </c>
      <c r="K344" s="125">
        <f>((E344-G344)/2)/F344</f>
        <v/>
      </c>
      <c r="L344" s="125">
        <f>I344/G344</f>
        <v/>
      </c>
      <c r="M344" s="125" t="n">
        <v>3.17</v>
      </c>
      <c r="N344" s="125" t="n">
        <v>909900</v>
      </c>
      <c r="O344" s="125" t="n">
        <v>23450</v>
      </c>
      <c r="P344" s="125" t="n">
        <v>40.4</v>
      </c>
      <c r="Q344" s="125" t="n">
        <v>6.49</v>
      </c>
      <c r="R344" s="125" t="n">
        <v>17740</v>
      </c>
      <c r="S344" s="125" t="n">
        <v>1536</v>
      </c>
      <c r="T344" s="125" t="n">
        <v>20760</v>
      </c>
      <c r="U344" s="125" t="n">
        <v>2469</v>
      </c>
      <c r="X344" s="129">
        <f t="array" ref="X344">_xlfn.IFS((D344/F344) &lt;= (640/SQRT($AT$32)), "Compact", L344 &lt;= ($AT$32*(0.79-(0.002*((E344-G344/2)/(2*F344))*SQRT($AT$32)))), "Non-Compact", L344 &gt; ($AT$32*(0.79-(0.002*((E344-G344/2)/(2*F344))*SQRT($AT$32)))), "Slender")</f>
        <v/>
      </c>
      <c r="Y344" s="129">
        <f t="array" ref="Y344">_xlfn.IFS(K344 &lt;= (65/SQRT($AT$32)), "Compact", K344 &lt;= (95/SQRT($AT$32)), "Non-Compact", K344 &gt; (95/SQRT($AT$32)), "Slender")</f>
        <v/>
      </c>
      <c r="Z344" s="125">
        <f>E344/F344</f>
        <v/>
      </c>
      <c r="AA344" s="125">
        <f>D344/G344</f>
        <v/>
      </c>
      <c r="AB344" s="125">
        <f t="array" ref="AB344">_xlfn.IFS(Z344 &lt;= 9, "1", Z344 &lt;= 12, "2", Z344 &lt;= 15, "3", Z344 &gt; 15, "4")</f>
        <v/>
      </c>
      <c r="AC344" s="125">
        <f t="array" ref="AC344">_xlfn.IFS(AA344 &lt;= 200, "1", L344 &lt;= 300, "2", L344 &lt;= 400, "3", L344 &gt; 400, "4")</f>
        <v/>
      </c>
      <c r="AD344" s="129">
        <f>SQRT((((VLOOKUP($AT$4,$A$4:$D$1021,4,FALSE))-D344)^2)+(((VLOOKUP($AT$4,$A$4:$E$1021,5,FALSE))-E344)^2)+(((VLOOKUP($AT$4,$A$4:$N$1021,14,FALSE))-N344)^2)+(((VLOOKUP($AT$4,$A$4:$O$1021,15,FALSE))-O344)^2))</f>
        <v/>
      </c>
      <c r="AG344" s="129">
        <f>SQRT((((VLOOKUP($AT$4,$A$4:$D$1021,4,FALSE))-D344)^2)+(((VLOOKUP($AT$4,$A$4:$E$1021,5,FALSE))-E344)^2)+(((VLOOKUP($AT$4,$A$4:$R$1021,18,FALSE))-R344)^2)+(((VLOOKUP($AT$4,$A$4:$S$1021,19,FALSE))-S344)^2))</f>
        <v/>
      </c>
      <c r="AJ344" s="125" t="inlineStr">
        <is>
          <t>W40X294</t>
        </is>
      </c>
      <c r="AK344" s="125">
        <f>SQRT(((VLOOKUP($AT$4,$A$4:$J$1021,10,FALSE))-J344)^2)</f>
        <v/>
      </c>
      <c r="AL344" s="125" t="n"/>
      <c r="AM344" s="125" t="n"/>
      <c r="AN344" s="125">
        <f>SQRT(((VLOOKUP($AT$4,$A$4:$R$1021,18,FALSE))-R344)^2)</f>
        <v/>
      </c>
      <c r="AO344" s="125" t="n"/>
      <c r="AP344" s="125" t="n"/>
      <c r="AQ344" s="125" t="inlineStr">
        <is>
          <t>W40X294</t>
        </is>
      </c>
      <c r="BB344" s="125">
        <f>SQRT(($J$1022-J344)^2)</f>
        <v/>
      </c>
      <c r="BC344" s="125">
        <f>SQRT(($R$1022-R344)^2)</f>
        <v/>
      </c>
      <c r="BD344" s="125" t="inlineStr">
        <is>
          <t>W40X294</t>
        </is>
      </c>
      <c r="BI344">
        <f>SQRT(($J$1023-J344)^2)</f>
        <v/>
      </c>
      <c r="BJ344">
        <f>SQRT(($R$1023-R344)^2)</f>
        <v/>
      </c>
      <c r="BK344" s="125" t="inlineStr">
        <is>
          <t>W40X294</t>
        </is>
      </c>
      <c r="BP344">
        <f>SQRT(($J$1024-J344)^2)</f>
        <v/>
      </c>
      <c r="BQ344">
        <f>SQRT(($R$1024-R344)^2)</f>
        <v/>
      </c>
      <c r="BR344" s="125" t="inlineStr">
        <is>
          <t>W40X294</t>
        </is>
      </c>
      <c r="BW344">
        <f>SQRT(($J$1025-J344)^2)</f>
        <v/>
      </c>
      <c r="BX344">
        <f>SQRT(($R$1025-R344)^2)</f>
        <v/>
      </c>
      <c r="BY344" s="125" t="inlineStr">
        <is>
          <t>W40X294</t>
        </is>
      </c>
      <c r="CD344">
        <f>SQRT(($J$1026-J344)^2)</f>
        <v/>
      </c>
      <c r="CE344">
        <f>SQRT(($R$1026-R344)^2)</f>
        <v/>
      </c>
      <c r="CF344" s="125" t="inlineStr">
        <is>
          <t>W40X294</t>
        </is>
      </c>
    </row>
    <row r="345">
      <c r="A345" s="125" t="inlineStr">
        <is>
          <t>W40X327</t>
        </is>
      </c>
      <c r="B345" s="129" t="inlineStr">
        <is>
          <t>AISC</t>
        </is>
      </c>
      <c r="C345" s="125" t="n">
        <v>487</v>
      </c>
      <c r="D345" s="125" t="n">
        <v>1036.1</v>
      </c>
      <c r="E345" s="125" t="n">
        <v>308.5</v>
      </c>
      <c r="F345" s="125" t="n">
        <v>54.1</v>
      </c>
      <c r="G345" s="125" t="n">
        <v>30</v>
      </c>
      <c r="H345" s="125" t="n">
        <v>30</v>
      </c>
      <c r="I345" s="125" t="n">
        <v>867.9</v>
      </c>
      <c r="J345" s="125" t="n">
        <v>620</v>
      </c>
      <c r="K345" s="125">
        <f>((E345-G345)/2)/F345</f>
        <v/>
      </c>
      <c r="L345" s="125">
        <f>I345/G345</f>
        <v/>
      </c>
      <c r="M345" s="125" t="n">
        <v>3.19</v>
      </c>
      <c r="N345" s="125" t="n">
        <v>1021000</v>
      </c>
      <c r="O345" s="125" t="n">
        <v>26730</v>
      </c>
      <c r="P345" s="125" t="n">
        <v>40.6</v>
      </c>
      <c r="Q345" s="125" t="n">
        <v>6.57</v>
      </c>
      <c r="R345" s="125" t="n">
        <v>19720</v>
      </c>
      <c r="S345" s="125" t="n">
        <v>1733</v>
      </c>
      <c r="T345" s="125" t="n">
        <v>23200</v>
      </c>
      <c r="U345" s="125" t="n">
        <v>2800</v>
      </c>
      <c r="X345" s="129">
        <f t="array" ref="X345">_xlfn.IFS((D345/F345) &lt;= (640/SQRT($AT$32)), "Compact", L345 &lt;= ($AT$32*(0.79-(0.002*((E345-G345/2)/(2*F345))*SQRT($AT$32)))), "Non-Compact", L345 &gt; ($AT$32*(0.79-(0.002*((E345-G345/2)/(2*F345))*SQRT($AT$32)))), "Slender")</f>
        <v/>
      </c>
      <c r="Y345" s="129">
        <f t="array" ref="Y345">_xlfn.IFS(K345 &lt;= (65/SQRT($AT$32)), "Compact", K345 &lt;= (95/SQRT($AT$32)), "Non-Compact", K345 &gt; (95/SQRT($AT$32)), "Slender")</f>
        <v/>
      </c>
      <c r="Z345" s="125">
        <f>E345/F345</f>
        <v/>
      </c>
      <c r="AA345" s="125">
        <f>D345/G345</f>
        <v/>
      </c>
      <c r="AB345" s="125">
        <f t="array" ref="AB345">_xlfn.IFS(Z345 &lt;= 9, "1", Z345 &lt;= 12, "2", Z345 &lt;= 15, "3", Z345 &gt; 15, "4")</f>
        <v/>
      </c>
      <c r="AC345" s="125">
        <f t="array" ref="AC345">_xlfn.IFS(AA345 &lt;= 200, "1", L345 &lt;= 300, "2", L345 &lt;= 400, "3", L345 &gt; 400, "4")</f>
        <v/>
      </c>
      <c r="AD345" s="129">
        <f>SQRT((((VLOOKUP($AT$4,$A$4:$D$1021,4,FALSE))-D345)^2)+(((VLOOKUP($AT$4,$A$4:$E$1021,5,FALSE))-E345)^2)+(((VLOOKUP($AT$4,$A$4:$N$1021,14,FALSE))-N345)^2)+(((VLOOKUP($AT$4,$A$4:$O$1021,15,FALSE))-O345)^2))</f>
        <v/>
      </c>
      <c r="AG345" s="129">
        <f>SQRT((((VLOOKUP($AT$4,$A$4:$D$1021,4,FALSE))-D345)^2)+(((VLOOKUP($AT$4,$A$4:$E$1021,5,FALSE))-E345)^2)+(((VLOOKUP($AT$4,$A$4:$R$1021,18,FALSE))-R345)^2)+(((VLOOKUP($AT$4,$A$4:$S$1021,19,FALSE))-S345)^2))</f>
        <v/>
      </c>
      <c r="AJ345" s="125" t="inlineStr">
        <is>
          <t>W40X327</t>
        </is>
      </c>
      <c r="AK345" s="125">
        <f>SQRT(((VLOOKUP($AT$4,$A$4:$J$1021,10,FALSE))-J345)^2)</f>
        <v/>
      </c>
      <c r="AL345" s="125" t="n"/>
      <c r="AM345" s="125" t="n"/>
      <c r="AN345" s="125">
        <f>SQRT(((VLOOKUP($AT$4,$A$4:$R$1021,18,FALSE))-R345)^2)</f>
        <v/>
      </c>
      <c r="AO345" s="125" t="n"/>
      <c r="AP345" s="125" t="n"/>
      <c r="AQ345" s="125" t="inlineStr">
        <is>
          <t>W40X327</t>
        </is>
      </c>
      <c r="BB345" s="125">
        <f>SQRT(($J$1022-J345)^2)</f>
        <v/>
      </c>
      <c r="BC345" s="125">
        <f>SQRT(($R$1022-R345)^2)</f>
        <v/>
      </c>
      <c r="BD345" s="125" t="inlineStr">
        <is>
          <t>W40X327</t>
        </is>
      </c>
      <c r="BI345">
        <f>SQRT(($J$1023-J345)^2)</f>
        <v/>
      </c>
      <c r="BJ345">
        <f>SQRT(($R$1023-R345)^2)</f>
        <v/>
      </c>
      <c r="BK345" s="125" t="inlineStr">
        <is>
          <t>W40X327</t>
        </is>
      </c>
      <c r="BP345">
        <f>SQRT(($J$1024-J345)^2)</f>
        <v/>
      </c>
      <c r="BQ345">
        <f>SQRT(($R$1024-R345)^2)</f>
        <v/>
      </c>
      <c r="BR345" s="125" t="inlineStr">
        <is>
          <t>W40X327</t>
        </is>
      </c>
      <c r="BW345">
        <f>SQRT(($J$1025-J345)^2)</f>
        <v/>
      </c>
      <c r="BX345">
        <f>SQRT(($R$1025-R345)^2)</f>
        <v/>
      </c>
      <c r="BY345" s="125" t="inlineStr">
        <is>
          <t>W40X327</t>
        </is>
      </c>
      <c r="CD345">
        <f>SQRT(($J$1026-J345)^2)</f>
        <v/>
      </c>
      <c r="CE345">
        <f>SQRT(($R$1026-R345)^2)</f>
        <v/>
      </c>
      <c r="CF345" s="125" t="inlineStr">
        <is>
          <t>W40X327</t>
        </is>
      </c>
    </row>
    <row r="346">
      <c r="A346" s="125" t="inlineStr">
        <is>
          <t>W40X331</t>
        </is>
      </c>
      <c r="B346" s="129" t="inlineStr">
        <is>
          <t>AISC</t>
        </is>
      </c>
      <c r="C346" s="125" t="n">
        <v>494</v>
      </c>
      <c r="D346" s="125" t="n">
        <v>1036</v>
      </c>
      <c r="E346" s="125" t="n">
        <v>309</v>
      </c>
      <c r="F346" s="125" t="n">
        <v>54</v>
      </c>
      <c r="G346" s="125" t="n">
        <v>31</v>
      </c>
      <c r="H346" s="125" t="n">
        <v>30</v>
      </c>
      <c r="I346" s="125" t="n">
        <v>868</v>
      </c>
      <c r="J346" s="125" t="n">
        <v>629</v>
      </c>
      <c r="K346" s="125">
        <f>((E346-G346)/2)/F346</f>
        <v/>
      </c>
      <c r="L346" s="125">
        <f>I346/G346</f>
        <v/>
      </c>
      <c r="M346" s="125" t="n">
        <v>3.19</v>
      </c>
      <c r="N346" s="125" t="n">
        <v>1028000</v>
      </c>
      <c r="O346" s="125" t="n">
        <v>26820</v>
      </c>
      <c r="P346" s="125" t="n">
        <v>40.4</v>
      </c>
      <c r="Q346" s="125" t="n">
        <v>6.53</v>
      </c>
      <c r="R346" s="125" t="n">
        <v>19845</v>
      </c>
      <c r="S346" s="125" t="n">
        <v>1736</v>
      </c>
      <c r="T346" s="125" t="n">
        <v>23413</v>
      </c>
      <c r="U346" s="125" t="n">
        <v>2818</v>
      </c>
      <c r="X346" s="129">
        <f t="array" ref="X346">_xlfn.IFS((D346/F346) &lt;= (640/SQRT($AT$32)), "Compact", L346 &lt;= ($AT$32*(0.79-(0.002*((E346-G346/2)/(2*F346))*SQRT($AT$32)))), "Non-Compact", L346 &gt; ($AT$32*(0.79-(0.002*((E346-G346/2)/(2*F346))*SQRT($AT$32)))), "Slender")</f>
        <v/>
      </c>
      <c r="Y346" s="129">
        <f t="array" ref="Y346">_xlfn.IFS(K346 &lt;= (65/SQRT($AT$32)), "Compact", K346 &lt;= (95/SQRT($AT$32)), "Non-Compact", K346 &gt; (95/SQRT($AT$32)), "Slender")</f>
        <v/>
      </c>
      <c r="Z346" s="125">
        <f>E346/F346</f>
        <v/>
      </c>
      <c r="AA346" s="125">
        <f>D346/G346</f>
        <v/>
      </c>
      <c r="AB346" s="125">
        <f t="array" ref="AB346">_xlfn.IFS(Z346 &lt;= 9, "1", Z346 &lt;= 12, "2", Z346 &lt;= 15, "3", Z346 &gt; 15, "4")</f>
        <v/>
      </c>
      <c r="AC346" s="125">
        <f t="array" ref="AC346">_xlfn.IFS(AA346 &lt;= 200, "1", L346 &lt;= 300, "2", L346 &lt;= 400, "3", L346 &gt; 400, "4")</f>
        <v/>
      </c>
      <c r="AD346" s="129">
        <f>SQRT((((VLOOKUP($AT$4,$A$4:$D$1021,4,FALSE))-D346)^2)+(((VLOOKUP($AT$4,$A$4:$E$1021,5,FALSE))-E346)^2)+(((VLOOKUP($AT$4,$A$4:$N$1021,14,FALSE))-N346)^2)+(((VLOOKUP($AT$4,$A$4:$O$1021,15,FALSE))-O346)^2))</f>
        <v/>
      </c>
      <c r="AG346" s="129">
        <f>SQRT((((VLOOKUP($AT$4,$A$4:$D$1021,4,FALSE))-D346)^2)+(((VLOOKUP($AT$4,$A$4:$E$1021,5,FALSE))-E346)^2)+(((VLOOKUP($AT$4,$A$4:$R$1021,18,FALSE))-R346)^2)+(((VLOOKUP($AT$4,$A$4:$S$1021,19,FALSE))-S346)^2))</f>
        <v/>
      </c>
      <c r="AJ346" s="125" t="inlineStr">
        <is>
          <t>W40X331</t>
        </is>
      </c>
      <c r="AK346" s="125">
        <f>SQRT(((VLOOKUP($AT$4,$A$4:$J$1021,10,FALSE))-J346)^2)</f>
        <v/>
      </c>
      <c r="AL346" s="125" t="n"/>
      <c r="AM346" s="125" t="n"/>
      <c r="AN346" s="125">
        <f>SQRT(((VLOOKUP($AT$4,$A$4:$R$1021,18,FALSE))-R346)^2)</f>
        <v/>
      </c>
      <c r="AO346" s="125" t="n"/>
      <c r="AP346" s="125" t="n"/>
      <c r="AQ346" s="125" t="inlineStr">
        <is>
          <t>W40X331</t>
        </is>
      </c>
      <c r="BB346" s="125">
        <f>SQRT(($J$1022-J346)^2)</f>
        <v/>
      </c>
      <c r="BC346" s="125">
        <f>SQRT(($R$1022-R346)^2)</f>
        <v/>
      </c>
      <c r="BD346" s="125" t="inlineStr">
        <is>
          <t>W40X331</t>
        </is>
      </c>
      <c r="BI346">
        <f>SQRT(($J$1023-J346)^2)</f>
        <v/>
      </c>
      <c r="BJ346">
        <f>SQRT(($R$1023-R346)^2)</f>
        <v/>
      </c>
      <c r="BK346" s="125" t="inlineStr">
        <is>
          <t>W40X331</t>
        </is>
      </c>
      <c r="BP346">
        <f>SQRT(($J$1024-J346)^2)</f>
        <v/>
      </c>
      <c r="BQ346">
        <f>SQRT(($R$1024-R346)^2)</f>
        <v/>
      </c>
      <c r="BR346" s="125" t="inlineStr">
        <is>
          <t>W40X331</t>
        </is>
      </c>
      <c r="BW346">
        <f>SQRT(($J$1025-J346)^2)</f>
        <v/>
      </c>
      <c r="BX346">
        <f>SQRT(($R$1025-R346)^2)</f>
        <v/>
      </c>
      <c r="BY346" s="125" t="inlineStr">
        <is>
          <t>W40X331</t>
        </is>
      </c>
      <c r="CD346">
        <f>SQRT(($J$1026-J346)^2)</f>
        <v/>
      </c>
      <c r="CE346">
        <f>SQRT(($R$1026-R346)^2)</f>
        <v/>
      </c>
      <c r="CF346" s="125" t="inlineStr">
        <is>
          <t>W40X331</t>
        </is>
      </c>
    </row>
    <row r="347">
      <c r="A347" s="125" t="inlineStr">
        <is>
          <t>W40X359</t>
        </is>
      </c>
      <c r="B347" s="129" t="inlineStr">
        <is>
          <t>AISC</t>
        </is>
      </c>
      <c r="C347" s="125" t="n">
        <v>535</v>
      </c>
      <c r="D347" s="125" t="n">
        <v>1046</v>
      </c>
      <c r="E347" s="125" t="n">
        <v>311.4</v>
      </c>
      <c r="F347" s="125" t="n">
        <v>58.9</v>
      </c>
      <c r="G347" s="125" t="n">
        <v>33</v>
      </c>
      <c r="H347" s="125" t="n">
        <v>30</v>
      </c>
      <c r="I347" s="125" t="n">
        <v>868.2</v>
      </c>
      <c r="J347" s="125" t="n">
        <v>681</v>
      </c>
      <c r="K347" s="125">
        <f>((E347-G347)/2)/F347</f>
        <v/>
      </c>
      <c r="L347" s="125">
        <f>I347/G347</f>
        <v/>
      </c>
      <c r="M347" s="125" t="n">
        <v>3.22</v>
      </c>
      <c r="N347" s="125" t="n">
        <v>1131000</v>
      </c>
      <c r="O347" s="125" t="n">
        <v>29970</v>
      </c>
      <c r="P347" s="125" t="n">
        <v>40.8</v>
      </c>
      <c r="Q347" s="125" t="n">
        <v>6.63</v>
      </c>
      <c r="R347" s="125" t="n">
        <v>21620</v>
      </c>
      <c r="S347" s="125" t="n">
        <v>1925</v>
      </c>
      <c r="T347" s="125" t="n">
        <v>25570</v>
      </c>
      <c r="U347" s="125" t="n">
        <v>3126</v>
      </c>
      <c r="X347" s="129">
        <f t="array" ref="X347">_xlfn.IFS((D347/F347) &lt;= (640/SQRT($AT$32)), "Compact", L347 &lt;= ($AT$32*(0.79-(0.002*((E347-G347/2)/(2*F347))*SQRT($AT$32)))), "Non-Compact", L347 &gt; ($AT$32*(0.79-(0.002*((E347-G347/2)/(2*F347))*SQRT($AT$32)))), "Slender")</f>
        <v/>
      </c>
      <c r="Y347" s="129">
        <f t="array" ref="Y347">_xlfn.IFS(K347 &lt;= (65/SQRT($AT$32)), "Compact", K347 &lt;= (95/SQRT($AT$32)), "Non-Compact", K347 &gt; (95/SQRT($AT$32)), "Slender")</f>
        <v/>
      </c>
      <c r="Z347" s="125">
        <f>E347/F347</f>
        <v/>
      </c>
      <c r="AA347" s="125">
        <f>D347/G347</f>
        <v/>
      </c>
      <c r="AB347" s="125">
        <f t="array" ref="AB347">_xlfn.IFS(Z347 &lt;= 9, "1", Z347 &lt;= 12, "2", Z347 &lt;= 15, "3", Z347 &gt; 15, "4")</f>
        <v/>
      </c>
      <c r="AC347" s="125">
        <f t="array" ref="AC347">_xlfn.IFS(AA347 &lt;= 200, "1", L347 &lt;= 300, "2", L347 &lt;= 400, "3", L347 &gt; 400, "4")</f>
        <v/>
      </c>
      <c r="AD347" s="129">
        <f>SQRT((((VLOOKUP($AT$4,$A$4:$D$1021,4,FALSE))-D347)^2)+(((VLOOKUP($AT$4,$A$4:$E$1021,5,FALSE))-E347)^2)+(((VLOOKUP($AT$4,$A$4:$N$1021,14,FALSE))-N347)^2)+(((VLOOKUP($AT$4,$A$4:$O$1021,15,FALSE))-O347)^2))</f>
        <v/>
      </c>
      <c r="AG347" s="129">
        <f>SQRT((((VLOOKUP($AT$4,$A$4:$D$1021,4,FALSE))-D347)^2)+(((VLOOKUP($AT$4,$A$4:$E$1021,5,FALSE))-E347)^2)+(((VLOOKUP($AT$4,$A$4:$R$1021,18,FALSE))-R347)^2)+(((VLOOKUP($AT$4,$A$4:$S$1021,19,FALSE))-S347)^2))</f>
        <v/>
      </c>
      <c r="AJ347" s="125" t="inlineStr">
        <is>
          <t>W40X359</t>
        </is>
      </c>
      <c r="AK347" s="125">
        <f>SQRT(((VLOOKUP($AT$4,$A$4:$J$1021,10,FALSE))-J347)^2)</f>
        <v/>
      </c>
      <c r="AL347" s="125" t="n"/>
      <c r="AM347" s="125" t="n"/>
      <c r="AN347" s="125">
        <f>SQRT(((VLOOKUP($AT$4,$A$4:$R$1021,18,FALSE))-R347)^2)</f>
        <v/>
      </c>
      <c r="AO347" s="125" t="n"/>
      <c r="AP347" s="125" t="n"/>
      <c r="AQ347" s="125" t="inlineStr">
        <is>
          <t>W40X359</t>
        </is>
      </c>
      <c r="BB347" s="125">
        <f>SQRT(($J$1022-J347)^2)</f>
        <v/>
      </c>
      <c r="BC347" s="125">
        <f>SQRT(($R$1022-R347)^2)</f>
        <v/>
      </c>
      <c r="BD347" s="125" t="inlineStr">
        <is>
          <t>W40X359</t>
        </is>
      </c>
      <c r="BI347">
        <f>SQRT(($J$1023-J347)^2)</f>
        <v/>
      </c>
      <c r="BJ347">
        <f>SQRT(($R$1023-R347)^2)</f>
        <v/>
      </c>
      <c r="BK347" s="125" t="inlineStr">
        <is>
          <t>W40X359</t>
        </is>
      </c>
      <c r="BP347">
        <f>SQRT(($J$1024-J347)^2)</f>
        <v/>
      </c>
      <c r="BQ347">
        <f>SQRT(($R$1024-R347)^2)</f>
        <v/>
      </c>
      <c r="BR347" s="125" t="inlineStr">
        <is>
          <t>W40X359</t>
        </is>
      </c>
      <c r="BW347">
        <f>SQRT(($J$1025-J347)^2)</f>
        <v/>
      </c>
      <c r="BX347">
        <f>SQRT(($R$1025-R347)^2)</f>
        <v/>
      </c>
      <c r="BY347" s="125" t="inlineStr">
        <is>
          <t>W40X359</t>
        </is>
      </c>
      <c r="CD347">
        <f>SQRT(($J$1026-J347)^2)</f>
        <v/>
      </c>
      <c r="CE347">
        <f>SQRT(($R$1026-R347)^2)</f>
        <v/>
      </c>
      <c r="CF347" s="125" t="inlineStr">
        <is>
          <t>W40X359</t>
        </is>
      </c>
    </row>
    <row r="348">
      <c r="A348" s="125" t="inlineStr">
        <is>
          <t>W40X392</t>
        </is>
      </c>
      <c r="B348" s="129" t="inlineStr">
        <is>
          <t>AISC</t>
        </is>
      </c>
      <c r="C348" s="125" t="n">
        <v>584</v>
      </c>
      <c r="D348" s="125" t="n">
        <v>1056</v>
      </c>
      <c r="E348" s="125" t="n">
        <v>314</v>
      </c>
      <c r="F348" s="125" t="n">
        <v>64</v>
      </c>
      <c r="G348" s="125" t="n">
        <v>36</v>
      </c>
      <c r="H348" s="125" t="n">
        <v>30</v>
      </c>
      <c r="I348" s="125" t="n">
        <v>868</v>
      </c>
      <c r="J348" s="125" t="n">
        <v>744</v>
      </c>
      <c r="K348" s="125">
        <f>((E348-G348)/2)/F348</f>
        <v/>
      </c>
      <c r="L348" s="125">
        <f>I348/G348</f>
        <v/>
      </c>
      <c r="M348" s="125" t="n">
        <v>3.24</v>
      </c>
      <c r="N348" s="125" t="n">
        <v>1246100</v>
      </c>
      <c r="O348" s="125" t="n">
        <v>33430</v>
      </c>
      <c r="P348" s="125" t="n">
        <v>40.9</v>
      </c>
      <c r="Q348" s="125" t="n">
        <v>6.7</v>
      </c>
      <c r="R348" s="125" t="n">
        <v>23600</v>
      </c>
      <c r="S348" s="125" t="n">
        <v>2130</v>
      </c>
      <c r="T348" s="125" t="n">
        <v>28039</v>
      </c>
      <c r="U348" s="125" t="n">
        <v>3475</v>
      </c>
      <c r="X348" s="129">
        <f t="array" ref="X348">_xlfn.IFS((D348/F348) &lt;= (640/SQRT($AT$32)), "Compact", L348 &lt;= ($AT$32*(0.79-(0.002*((E348-G348/2)/(2*F348))*SQRT($AT$32)))), "Non-Compact", L348 &gt; ($AT$32*(0.79-(0.002*((E348-G348/2)/(2*F348))*SQRT($AT$32)))), "Slender")</f>
        <v/>
      </c>
      <c r="Y348" s="129">
        <f t="array" ref="Y348">_xlfn.IFS(K348 &lt;= (65/SQRT($AT$32)), "Compact", K348 &lt;= (95/SQRT($AT$32)), "Non-Compact", K348 &gt; (95/SQRT($AT$32)), "Slender")</f>
        <v/>
      </c>
      <c r="Z348" s="125">
        <f>E348/F348</f>
        <v/>
      </c>
      <c r="AA348" s="125">
        <f>D348/G348</f>
        <v/>
      </c>
      <c r="AB348" s="125">
        <f t="array" ref="AB348">_xlfn.IFS(Z348 &lt;= 9, "1", Z348 &lt;= 12, "2", Z348 &lt;= 15, "3", Z348 &gt; 15, "4")</f>
        <v/>
      </c>
      <c r="AC348" s="125">
        <f t="array" ref="AC348">_xlfn.IFS(AA348 &lt;= 200, "1", L348 &lt;= 300, "2", L348 &lt;= 400, "3", L348 &gt; 400, "4")</f>
        <v/>
      </c>
      <c r="AD348" s="129">
        <f>SQRT((((VLOOKUP($AT$4,$A$4:$D$1021,4,FALSE))-D348)^2)+(((VLOOKUP($AT$4,$A$4:$E$1021,5,FALSE))-E348)^2)+(((VLOOKUP($AT$4,$A$4:$N$1021,14,FALSE))-N348)^2)+(((VLOOKUP($AT$4,$A$4:$O$1021,15,FALSE))-O348)^2))</f>
        <v/>
      </c>
      <c r="AG348" s="129">
        <f>SQRT((((VLOOKUP($AT$4,$A$4:$D$1021,4,FALSE))-D348)^2)+(((VLOOKUP($AT$4,$A$4:$E$1021,5,FALSE))-E348)^2)+(((VLOOKUP($AT$4,$A$4:$R$1021,18,FALSE))-R348)^2)+(((VLOOKUP($AT$4,$A$4:$S$1021,19,FALSE))-S348)^2))</f>
        <v/>
      </c>
      <c r="AJ348" s="125" t="inlineStr">
        <is>
          <t>W40X392</t>
        </is>
      </c>
      <c r="AK348" s="125">
        <f>SQRT(((VLOOKUP($AT$4,$A$4:$J$1021,10,FALSE))-J348)^2)</f>
        <v/>
      </c>
      <c r="AL348" s="125" t="n"/>
      <c r="AM348" s="125" t="n"/>
      <c r="AN348" s="125">
        <f>SQRT(((VLOOKUP($AT$4,$A$4:$R$1021,18,FALSE))-R348)^2)</f>
        <v/>
      </c>
      <c r="AO348" s="125" t="n"/>
      <c r="AP348" s="125" t="n"/>
      <c r="AQ348" s="125" t="inlineStr">
        <is>
          <t>W40X392</t>
        </is>
      </c>
      <c r="BB348" s="125">
        <f>SQRT(($J$1022-J348)^2)</f>
        <v/>
      </c>
      <c r="BC348" s="125">
        <f>SQRT(($R$1022-R348)^2)</f>
        <v/>
      </c>
      <c r="BD348" s="125" t="inlineStr">
        <is>
          <t>W40X392</t>
        </is>
      </c>
      <c r="BI348">
        <f>SQRT(($J$1023-J348)^2)</f>
        <v/>
      </c>
      <c r="BJ348">
        <f>SQRT(($R$1023-R348)^2)</f>
        <v/>
      </c>
      <c r="BK348" s="125" t="inlineStr">
        <is>
          <t>W40X392</t>
        </is>
      </c>
      <c r="BP348">
        <f>SQRT(($J$1024-J348)^2)</f>
        <v/>
      </c>
      <c r="BQ348">
        <f>SQRT(($R$1024-R348)^2)</f>
        <v/>
      </c>
      <c r="BR348" s="125" t="inlineStr">
        <is>
          <t>W40X392</t>
        </is>
      </c>
      <c r="BW348">
        <f>SQRT(($J$1025-J348)^2)</f>
        <v/>
      </c>
      <c r="BX348">
        <f>SQRT(($R$1025-R348)^2)</f>
        <v/>
      </c>
      <c r="BY348" s="125" t="inlineStr">
        <is>
          <t>W40X392</t>
        </is>
      </c>
      <c r="CD348">
        <f>SQRT(($J$1026-J348)^2)</f>
        <v/>
      </c>
      <c r="CE348">
        <f>SQRT(($R$1026-R348)^2)</f>
        <v/>
      </c>
      <c r="CF348" s="125" t="inlineStr">
        <is>
          <t>W40X392</t>
        </is>
      </c>
    </row>
    <row r="349">
      <c r="A349" s="125" t="inlineStr">
        <is>
          <t>W40X199</t>
        </is>
      </c>
      <c r="B349" s="129" t="inlineStr">
        <is>
          <t>AISC</t>
        </is>
      </c>
      <c r="C349" s="125" t="n">
        <v>296</v>
      </c>
      <c r="D349" s="125" t="n">
        <v>982</v>
      </c>
      <c r="E349" s="125" t="n">
        <v>400</v>
      </c>
      <c r="F349" s="125" t="n">
        <v>27.1</v>
      </c>
      <c r="G349" s="125" t="n">
        <v>16.5</v>
      </c>
      <c r="H349" s="125" t="n">
        <v>30</v>
      </c>
      <c r="I349" s="125" t="n">
        <v>868</v>
      </c>
      <c r="J349" s="125" t="n">
        <v>377</v>
      </c>
      <c r="K349" s="125">
        <f>((E349-G349)/2)/F349</f>
        <v/>
      </c>
      <c r="L349" s="125">
        <f>I349/G349</f>
        <v/>
      </c>
      <c r="M349" s="125" t="n">
        <v>3.48</v>
      </c>
      <c r="N349" s="125" t="n">
        <v>618700</v>
      </c>
      <c r="O349" s="125" t="n">
        <v>28850</v>
      </c>
      <c r="P349" s="125" t="n">
        <v>40.5</v>
      </c>
      <c r="Q349" s="125" t="n">
        <v>8.75</v>
      </c>
      <c r="R349" s="125" t="n">
        <v>12600</v>
      </c>
      <c r="S349" s="125" t="n">
        <v>1443</v>
      </c>
      <c r="T349" s="125" t="n">
        <v>14220</v>
      </c>
      <c r="U349" s="125" t="n">
        <v>2235</v>
      </c>
      <c r="X349" s="129">
        <f t="array" ref="X349">_xlfn.IFS((D349/F349) &lt;= (640/SQRT($AT$32)), "Compact", L349 &lt;= ($AT$32*(0.79-(0.002*((E349-G349/2)/(2*F349))*SQRT($AT$32)))), "Non-Compact", L349 &gt; ($AT$32*(0.79-(0.002*((E349-G349/2)/(2*F349))*SQRT($AT$32)))), "Slender")</f>
        <v/>
      </c>
      <c r="Y349" s="129">
        <f t="array" ref="Y349">_xlfn.IFS(K349 &lt;= (65/SQRT($AT$32)), "Compact", K349 &lt;= (95/SQRT($AT$32)), "Non-Compact", K349 &gt; (95/SQRT($AT$32)), "Slender")</f>
        <v/>
      </c>
      <c r="Z349" s="125">
        <f>E349/F349</f>
        <v/>
      </c>
      <c r="AA349" s="125">
        <f>D349/G349</f>
        <v/>
      </c>
      <c r="AB349" s="125">
        <f t="array" ref="AB349">_xlfn.IFS(Z349 &lt;= 9, "1", Z349 &lt;= 12, "2", Z349 &lt;= 15, "3", Z349 &gt; 15, "4")</f>
        <v/>
      </c>
      <c r="AC349" s="125">
        <f t="array" ref="AC349">_xlfn.IFS(AA349 &lt;= 200, "1", L349 &lt;= 300, "2", L349 &lt;= 400, "3", L349 &gt; 400, "4")</f>
        <v/>
      </c>
      <c r="AD349" s="129">
        <f>SQRT((((VLOOKUP($AT$4,$A$4:$D$1021,4,FALSE))-D349)^2)+(((VLOOKUP($AT$4,$A$4:$E$1021,5,FALSE))-E349)^2)+(((VLOOKUP($AT$4,$A$4:$N$1021,14,FALSE))-N349)^2)+(((VLOOKUP($AT$4,$A$4:$O$1021,15,FALSE))-O349)^2))</f>
        <v/>
      </c>
      <c r="AG349" s="129">
        <f>SQRT((((VLOOKUP($AT$4,$A$4:$D$1021,4,FALSE))-D349)^2)+(((VLOOKUP($AT$4,$A$4:$E$1021,5,FALSE))-E349)^2)+(((VLOOKUP($AT$4,$A$4:$R$1021,18,FALSE))-R349)^2)+(((VLOOKUP($AT$4,$A$4:$S$1021,19,FALSE))-S349)^2))</f>
        <v/>
      </c>
      <c r="AJ349" s="125" t="inlineStr">
        <is>
          <t>W40X199</t>
        </is>
      </c>
      <c r="AK349" s="125">
        <f>SQRT(((VLOOKUP($AT$4,$A$4:$J$1021,10,FALSE))-J349)^2)</f>
        <v/>
      </c>
      <c r="AL349" s="125" t="n"/>
      <c r="AM349" s="125" t="n"/>
      <c r="AN349" s="125">
        <f>SQRT(((VLOOKUP($AT$4,$A$4:$R$1021,18,FALSE))-R349)^2)</f>
        <v/>
      </c>
      <c r="AO349" s="125" t="n"/>
      <c r="AP349" s="125" t="n"/>
      <c r="AQ349" s="125" t="inlineStr">
        <is>
          <t>W40X199</t>
        </is>
      </c>
      <c r="BB349" s="125">
        <f>SQRT(($J$1022-J349)^2)</f>
        <v/>
      </c>
      <c r="BC349" s="125">
        <f>SQRT(($R$1022-R349)^2)</f>
        <v/>
      </c>
      <c r="BD349" s="125" t="inlineStr">
        <is>
          <t>W40X199</t>
        </is>
      </c>
      <c r="BI349">
        <f>SQRT(($J$1023-J349)^2)</f>
        <v/>
      </c>
      <c r="BJ349">
        <f>SQRT(($R$1023-R349)^2)</f>
        <v/>
      </c>
      <c r="BK349" s="125" t="inlineStr">
        <is>
          <t>W40X199</t>
        </is>
      </c>
      <c r="BP349">
        <f>SQRT(($J$1024-J349)^2)</f>
        <v/>
      </c>
      <c r="BQ349">
        <f>SQRT(($R$1024-R349)^2)</f>
        <v/>
      </c>
      <c r="BR349" s="125" t="inlineStr">
        <is>
          <t>W40X199</t>
        </is>
      </c>
      <c r="BW349">
        <f>SQRT(($J$1025-J349)^2)</f>
        <v/>
      </c>
      <c r="BX349">
        <f>SQRT(($R$1025-R349)^2)</f>
        <v/>
      </c>
      <c r="BY349" s="125" t="inlineStr">
        <is>
          <t>W40X199</t>
        </is>
      </c>
      <c r="CD349">
        <f>SQRT(($J$1026-J349)^2)</f>
        <v/>
      </c>
      <c r="CE349">
        <f>SQRT(($R$1026-R349)^2)</f>
        <v/>
      </c>
      <c r="CF349" s="125" t="inlineStr">
        <is>
          <t>W40X199</t>
        </is>
      </c>
    </row>
    <row r="350">
      <c r="A350" s="125" t="inlineStr">
        <is>
          <t>W40X215</t>
        </is>
      </c>
      <c r="B350" s="129" t="inlineStr">
        <is>
          <t>AISC</t>
        </is>
      </c>
      <c r="C350" s="125" t="n">
        <v>321</v>
      </c>
      <c r="D350" s="125" t="n">
        <v>990</v>
      </c>
      <c r="E350" s="125" t="n">
        <v>400</v>
      </c>
      <c r="F350" s="125" t="n">
        <v>31</v>
      </c>
      <c r="G350" s="125" t="n">
        <v>16.5</v>
      </c>
      <c r="H350" s="125" t="n">
        <v>30</v>
      </c>
      <c r="I350" s="125" t="n">
        <v>868</v>
      </c>
      <c r="J350" s="125" t="n">
        <v>409</v>
      </c>
      <c r="K350" s="125">
        <f>((E350-G350)/2)/F350</f>
        <v/>
      </c>
      <c r="L350" s="125">
        <f>I350/G350</f>
        <v/>
      </c>
      <c r="M350" s="125" t="n">
        <v>3.5</v>
      </c>
      <c r="N350" s="125" t="n">
        <v>696400</v>
      </c>
      <c r="O350" s="125" t="n">
        <v>33120</v>
      </c>
      <c r="P350" s="125" t="n">
        <v>41.3</v>
      </c>
      <c r="Q350" s="125" t="n">
        <v>9</v>
      </c>
      <c r="R350" s="125" t="n">
        <v>14070</v>
      </c>
      <c r="S350" s="125" t="n">
        <v>1656</v>
      </c>
      <c r="T350" s="125" t="n">
        <v>15800</v>
      </c>
      <c r="U350" s="125" t="n">
        <v>2555</v>
      </c>
      <c r="X350" s="129">
        <f t="array" ref="X350">_xlfn.IFS((D350/F350) &lt;= (640/SQRT($AT$32)), "Compact", L350 &lt;= ($AT$32*(0.79-(0.002*((E350-G350/2)/(2*F350))*SQRT($AT$32)))), "Non-Compact", L350 &gt; ($AT$32*(0.79-(0.002*((E350-G350/2)/(2*F350))*SQRT($AT$32)))), "Slender")</f>
        <v/>
      </c>
      <c r="Y350" s="129">
        <f t="array" ref="Y350">_xlfn.IFS(K350 &lt;= (65/SQRT($AT$32)), "Compact", K350 &lt;= (95/SQRT($AT$32)), "Non-Compact", K350 &gt; (95/SQRT($AT$32)), "Slender")</f>
        <v/>
      </c>
      <c r="Z350" s="125">
        <f>E350/F350</f>
        <v/>
      </c>
      <c r="AA350" s="125">
        <f>D350/G350</f>
        <v/>
      </c>
      <c r="AB350" s="125">
        <f t="array" ref="AB350">_xlfn.IFS(Z350 &lt;= 9, "1", Z350 &lt;= 12, "2", Z350 &lt;= 15, "3", Z350 &gt; 15, "4")</f>
        <v/>
      </c>
      <c r="AC350" s="125">
        <f t="array" ref="AC350">_xlfn.IFS(AA350 &lt;= 200, "1", L350 &lt;= 300, "2", L350 &lt;= 400, "3", L350 &gt; 400, "4")</f>
        <v/>
      </c>
      <c r="AD350" s="129">
        <f>SQRT((((VLOOKUP($AT$4,$A$4:$D$1021,4,FALSE))-D350)^2)+(((VLOOKUP($AT$4,$A$4:$E$1021,5,FALSE))-E350)^2)+(((VLOOKUP($AT$4,$A$4:$N$1021,14,FALSE))-N350)^2)+(((VLOOKUP($AT$4,$A$4:$O$1021,15,FALSE))-O350)^2))</f>
        <v/>
      </c>
      <c r="AG350" s="129">
        <f>SQRT((((VLOOKUP($AT$4,$A$4:$D$1021,4,FALSE))-D350)^2)+(((VLOOKUP($AT$4,$A$4:$E$1021,5,FALSE))-E350)^2)+(((VLOOKUP($AT$4,$A$4:$R$1021,18,FALSE))-R350)^2)+(((VLOOKUP($AT$4,$A$4:$S$1021,19,FALSE))-S350)^2))</f>
        <v/>
      </c>
      <c r="AJ350" s="125" t="inlineStr">
        <is>
          <t>W40X215</t>
        </is>
      </c>
      <c r="AK350" s="125">
        <f>SQRT(((VLOOKUP($AT$4,$A$4:$J$1021,10,FALSE))-J350)^2)</f>
        <v/>
      </c>
      <c r="AL350" s="125" t="n"/>
      <c r="AM350" s="125" t="n"/>
      <c r="AN350" s="125">
        <f>SQRT(((VLOOKUP($AT$4,$A$4:$R$1021,18,FALSE))-R350)^2)</f>
        <v/>
      </c>
      <c r="AO350" s="125" t="n"/>
      <c r="AP350" s="125" t="n"/>
      <c r="AQ350" s="125" t="inlineStr">
        <is>
          <t>W40X215</t>
        </is>
      </c>
      <c r="BB350" s="125">
        <f>SQRT(($J$1022-J350)^2)</f>
        <v/>
      </c>
      <c r="BC350" s="125">
        <f>SQRT(($R$1022-R350)^2)</f>
        <v/>
      </c>
      <c r="BD350" s="125" t="inlineStr">
        <is>
          <t>W40X215</t>
        </is>
      </c>
      <c r="BI350">
        <f>SQRT(($J$1023-J350)^2)</f>
        <v/>
      </c>
      <c r="BJ350">
        <f>SQRT(($R$1023-R350)^2)</f>
        <v/>
      </c>
      <c r="BK350" s="125" t="inlineStr">
        <is>
          <t>W40X215</t>
        </is>
      </c>
      <c r="BP350">
        <f>SQRT(($J$1024-J350)^2)</f>
        <v/>
      </c>
      <c r="BQ350">
        <f>SQRT(($R$1024-R350)^2)</f>
        <v/>
      </c>
      <c r="BR350" s="125" t="inlineStr">
        <is>
          <t>W40X215</t>
        </is>
      </c>
      <c r="BW350">
        <f>SQRT(($J$1025-J350)^2)</f>
        <v/>
      </c>
      <c r="BX350">
        <f>SQRT(($R$1025-R350)^2)</f>
        <v/>
      </c>
      <c r="BY350" s="125" t="inlineStr">
        <is>
          <t>W40X215</t>
        </is>
      </c>
      <c r="CD350">
        <f>SQRT(($J$1026-J350)^2)</f>
        <v/>
      </c>
      <c r="CE350">
        <f>SQRT(($R$1026-R350)^2)</f>
        <v/>
      </c>
      <c r="CF350" s="125" t="inlineStr">
        <is>
          <t>W40X215</t>
        </is>
      </c>
    </row>
    <row r="351">
      <c r="A351" s="125" t="inlineStr">
        <is>
          <t>W40X249</t>
        </is>
      </c>
      <c r="B351" s="129" t="inlineStr">
        <is>
          <t>AISC</t>
        </is>
      </c>
      <c r="C351" s="125" t="n">
        <v>371</v>
      </c>
      <c r="D351" s="125" t="n">
        <v>1000</v>
      </c>
      <c r="E351" s="125" t="n">
        <v>400</v>
      </c>
      <c r="F351" s="125" t="n">
        <v>36.1</v>
      </c>
      <c r="G351" s="125" t="n">
        <v>19</v>
      </c>
      <c r="H351" s="125" t="n">
        <v>30</v>
      </c>
      <c r="I351" s="125" t="n">
        <v>868</v>
      </c>
      <c r="J351" s="125" t="n">
        <v>472</v>
      </c>
      <c r="K351" s="125">
        <f>((E351-G351)/2)/F351</f>
        <v/>
      </c>
      <c r="L351" s="125">
        <f>I351/G351</f>
        <v/>
      </c>
      <c r="M351" s="125" t="n">
        <v>3.51</v>
      </c>
      <c r="N351" s="125" t="n">
        <v>812100</v>
      </c>
      <c r="O351" s="125" t="n">
        <v>38480</v>
      </c>
      <c r="P351" s="125" t="n">
        <v>41.5</v>
      </c>
      <c r="Q351" s="125" t="n">
        <v>9.029999999999999</v>
      </c>
      <c r="R351" s="125" t="n">
        <v>16240</v>
      </c>
      <c r="S351" s="125" t="n">
        <v>1924</v>
      </c>
      <c r="T351" s="125" t="n">
        <v>18330</v>
      </c>
      <c r="U351" s="125" t="n">
        <v>2976</v>
      </c>
      <c r="X351" s="129">
        <f t="array" ref="X351">_xlfn.IFS((D351/F351) &lt;= (640/SQRT($AT$32)), "Compact", L351 &lt;= ($AT$32*(0.79-(0.002*((E351-G351/2)/(2*F351))*SQRT($AT$32)))), "Non-Compact", L351 &gt; ($AT$32*(0.79-(0.002*((E351-G351/2)/(2*F351))*SQRT($AT$32)))), "Slender")</f>
        <v/>
      </c>
      <c r="Y351" s="129">
        <f t="array" ref="Y351">_xlfn.IFS(K351 &lt;= (65/SQRT($AT$32)), "Compact", K351 &lt;= (95/SQRT($AT$32)), "Non-Compact", K351 &gt; (95/SQRT($AT$32)), "Slender")</f>
        <v/>
      </c>
      <c r="Z351" s="125">
        <f>E351/F351</f>
        <v/>
      </c>
      <c r="AA351" s="125">
        <f>D351/G351</f>
        <v/>
      </c>
      <c r="AB351" s="125">
        <f t="array" ref="AB351">_xlfn.IFS(Z351 &lt;= 9, "1", Z351 &lt;= 12, "2", Z351 &lt;= 15, "3", Z351 &gt; 15, "4")</f>
        <v/>
      </c>
      <c r="AC351" s="125">
        <f t="array" ref="AC351">_xlfn.IFS(AA351 &lt;= 200, "1", L351 &lt;= 300, "2", L351 &lt;= 400, "3", L351 &gt; 400, "4")</f>
        <v/>
      </c>
      <c r="AD351" s="129">
        <f>SQRT((((VLOOKUP($AT$4,$A$4:$D$1021,4,FALSE))-D351)^2)+(((VLOOKUP($AT$4,$A$4:$E$1021,5,FALSE))-E351)^2)+(((VLOOKUP($AT$4,$A$4:$N$1021,14,FALSE))-N351)^2)+(((VLOOKUP($AT$4,$A$4:$O$1021,15,FALSE))-O351)^2))</f>
        <v/>
      </c>
      <c r="AG351" s="129">
        <f>SQRT((((VLOOKUP($AT$4,$A$4:$D$1021,4,FALSE))-D351)^2)+(((VLOOKUP($AT$4,$A$4:$E$1021,5,FALSE))-E351)^2)+(((VLOOKUP($AT$4,$A$4:$R$1021,18,FALSE))-R351)^2)+(((VLOOKUP($AT$4,$A$4:$S$1021,19,FALSE))-S351)^2))</f>
        <v/>
      </c>
      <c r="AJ351" s="125" t="inlineStr">
        <is>
          <t>W40X249</t>
        </is>
      </c>
      <c r="AK351" s="125">
        <f>SQRT(((VLOOKUP($AT$4,$A$4:$J$1021,10,FALSE))-J351)^2)</f>
        <v/>
      </c>
      <c r="AL351" s="125" t="n"/>
      <c r="AM351" s="125" t="n"/>
      <c r="AN351" s="125">
        <f>SQRT(((VLOOKUP($AT$4,$A$4:$R$1021,18,FALSE))-R351)^2)</f>
        <v/>
      </c>
      <c r="AO351" s="125" t="n"/>
      <c r="AP351" s="125" t="n"/>
      <c r="AQ351" s="125" t="inlineStr">
        <is>
          <t>W40X249</t>
        </is>
      </c>
      <c r="BB351" s="125">
        <f>SQRT(($J$1022-J351)^2)</f>
        <v/>
      </c>
      <c r="BC351" s="125">
        <f>SQRT(($R$1022-R351)^2)</f>
        <v/>
      </c>
      <c r="BD351" s="125" t="inlineStr">
        <is>
          <t>W40X249</t>
        </is>
      </c>
      <c r="BI351">
        <f>SQRT(($J$1023-J351)^2)</f>
        <v/>
      </c>
      <c r="BJ351">
        <f>SQRT(($R$1023-R351)^2)</f>
        <v/>
      </c>
      <c r="BK351" s="125" t="inlineStr">
        <is>
          <t>W40X249</t>
        </is>
      </c>
      <c r="BP351">
        <f>SQRT(($J$1024-J351)^2)</f>
        <v/>
      </c>
      <c r="BQ351">
        <f>SQRT(($R$1024-R351)^2)</f>
        <v/>
      </c>
      <c r="BR351" s="125" t="inlineStr">
        <is>
          <t>W40X249</t>
        </is>
      </c>
      <c r="BW351">
        <f>SQRT(($J$1025-J351)^2)</f>
        <v/>
      </c>
      <c r="BX351">
        <f>SQRT(($R$1025-R351)^2)</f>
        <v/>
      </c>
      <c r="BY351" s="125" t="inlineStr">
        <is>
          <t>W40X249</t>
        </is>
      </c>
      <c r="CD351">
        <f>SQRT(($J$1026-J351)^2)</f>
        <v/>
      </c>
      <c r="CE351">
        <f>SQRT(($R$1026-R351)^2)</f>
        <v/>
      </c>
      <c r="CF351" s="125" t="inlineStr">
        <is>
          <t>W40X249</t>
        </is>
      </c>
    </row>
    <row r="352">
      <c r="A352" s="125" t="inlineStr">
        <is>
          <t>W40X277</t>
        </is>
      </c>
      <c r="B352" s="129" t="inlineStr">
        <is>
          <t>AISC</t>
        </is>
      </c>
      <c r="C352" s="125" t="n">
        <v>412</v>
      </c>
      <c r="D352" s="125" t="n">
        <v>1008</v>
      </c>
      <c r="E352" s="125" t="n">
        <v>402</v>
      </c>
      <c r="F352" s="125" t="n">
        <v>40</v>
      </c>
      <c r="G352" s="125" t="n">
        <v>21.1</v>
      </c>
      <c r="H352" s="125" t="n">
        <v>30</v>
      </c>
      <c r="I352" s="125" t="n">
        <v>868</v>
      </c>
      <c r="J352" s="125" t="n">
        <v>524</v>
      </c>
      <c r="K352" s="125">
        <f>((E352-G352)/2)/F352</f>
        <v/>
      </c>
      <c r="L352" s="125">
        <f>I352/G352</f>
        <v/>
      </c>
      <c r="M352" s="125" t="n">
        <v>3.53</v>
      </c>
      <c r="N352" s="125" t="n">
        <v>909800</v>
      </c>
      <c r="O352" s="125" t="n">
        <v>43410</v>
      </c>
      <c r="P352" s="125" t="n">
        <v>41.7</v>
      </c>
      <c r="Q352" s="125" t="n">
        <v>9.1</v>
      </c>
      <c r="R352" s="125" t="n">
        <v>18050</v>
      </c>
      <c r="S352" s="125" t="n">
        <v>2160</v>
      </c>
      <c r="T352" s="125" t="n">
        <v>20440</v>
      </c>
      <c r="U352" s="125" t="n">
        <v>3348</v>
      </c>
      <c r="X352" s="129">
        <f t="array" ref="X352">_xlfn.IFS((D352/F352) &lt;= (640/SQRT($AT$32)), "Compact", L352 &lt;= ($AT$32*(0.79-(0.002*((E352-G352/2)/(2*F352))*SQRT($AT$32)))), "Non-Compact", L352 &gt; ($AT$32*(0.79-(0.002*((E352-G352/2)/(2*F352))*SQRT($AT$32)))), "Slender")</f>
        <v/>
      </c>
      <c r="Y352" s="129">
        <f t="array" ref="Y352">_xlfn.IFS(K352 &lt;= (65/SQRT($AT$32)), "Compact", K352 &lt;= (95/SQRT($AT$32)), "Non-Compact", K352 &gt; (95/SQRT($AT$32)), "Slender")</f>
        <v/>
      </c>
      <c r="Z352" s="125">
        <f>E352/F352</f>
        <v/>
      </c>
      <c r="AA352" s="125">
        <f>D352/G352</f>
        <v/>
      </c>
      <c r="AB352" s="125">
        <f t="array" ref="AB352">_xlfn.IFS(Z352 &lt;= 9, "1", Z352 &lt;= 12, "2", Z352 &lt;= 15, "3", Z352 &gt; 15, "4")</f>
        <v/>
      </c>
      <c r="AC352" s="125">
        <f t="array" ref="AC352">_xlfn.IFS(AA352 &lt;= 200, "1", L352 &lt;= 300, "2", L352 &lt;= 400, "3", L352 &gt; 400, "4")</f>
        <v/>
      </c>
      <c r="AD352" s="129">
        <f>SQRT((((VLOOKUP($AT$4,$A$4:$D$1021,4,FALSE))-D352)^2)+(((VLOOKUP($AT$4,$A$4:$E$1021,5,FALSE))-E352)^2)+(((VLOOKUP($AT$4,$A$4:$N$1021,14,FALSE))-N352)^2)+(((VLOOKUP($AT$4,$A$4:$O$1021,15,FALSE))-O352)^2))</f>
        <v/>
      </c>
      <c r="AG352" s="129">
        <f>SQRT((((VLOOKUP($AT$4,$A$4:$D$1021,4,FALSE))-D352)^2)+(((VLOOKUP($AT$4,$A$4:$E$1021,5,FALSE))-E352)^2)+(((VLOOKUP($AT$4,$A$4:$R$1021,18,FALSE))-R352)^2)+(((VLOOKUP($AT$4,$A$4:$S$1021,19,FALSE))-S352)^2))</f>
        <v/>
      </c>
      <c r="AJ352" s="125" t="inlineStr">
        <is>
          <t>W40X277</t>
        </is>
      </c>
      <c r="AK352" s="125">
        <f>SQRT(((VLOOKUP($AT$4,$A$4:$J$1021,10,FALSE))-J352)^2)</f>
        <v/>
      </c>
      <c r="AL352" s="125" t="n"/>
      <c r="AM352" s="125" t="n"/>
      <c r="AN352" s="125">
        <f>SQRT(((VLOOKUP($AT$4,$A$4:$R$1021,18,FALSE))-R352)^2)</f>
        <v/>
      </c>
      <c r="AO352" s="125" t="n"/>
      <c r="AP352" s="125" t="n"/>
      <c r="AQ352" s="125" t="inlineStr">
        <is>
          <t>W40X277</t>
        </is>
      </c>
      <c r="BB352" s="125">
        <f>SQRT(($J$1022-J352)^2)</f>
        <v/>
      </c>
      <c r="BC352" s="125">
        <f>SQRT(($R$1022-R352)^2)</f>
        <v/>
      </c>
      <c r="BD352" s="125" t="inlineStr">
        <is>
          <t>W40X277</t>
        </is>
      </c>
      <c r="BI352">
        <f>SQRT(($J$1023-J352)^2)</f>
        <v/>
      </c>
      <c r="BJ352">
        <f>SQRT(($R$1023-R352)^2)</f>
        <v/>
      </c>
      <c r="BK352" s="125" t="inlineStr">
        <is>
          <t>W40X277</t>
        </is>
      </c>
      <c r="BP352">
        <f>SQRT(($J$1024-J352)^2)</f>
        <v/>
      </c>
      <c r="BQ352">
        <f>SQRT(($R$1024-R352)^2)</f>
        <v/>
      </c>
      <c r="BR352" s="125" t="inlineStr">
        <is>
          <t>W40X277</t>
        </is>
      </c>
      <c r="BW352">
        <f>SQRT(($J$1025-J352)^2)</f>
        <v/>
      </c>
      <c r="BX352">
        <f>SQRT(($R$1025-R352)^2)</f>
        <v/>
      </c>
      <c r="BY352" s="125" t="inlineStr">
        <is>
          <t>W40X277</t>
        </is>
      </c>
      <c r="CD352">
        <f>SQRT(($J$1026-J352)^2)</f>
        <v/>
      </c>
      <c r="CE352">
        <f>SQRT(($R$1026-R352)^2)</f>
        <v/>
      </c>
      <c r="CF352" s="125" t="inlineStr">
        <is>
          <t>W40X277</t>
        </is>
      </c>
    </row>
    <row r="353">
      <c r="A353" s="125" t="inlineStr">
        <is>
          <t>W40X297</t>
        </is>
      </c>
      <c r="B353" s="129" t="inlineStr">
        <is>
          <t>AISC</t>
        </is>
      </c>
      <c r="C353" s="125" t="n">
        <v>443</v>
      </c>
      <c r="D353" s="125" t="n">
        <v>1012</v>
      </c>
      <c r="E353" s="125" t="n">
        <v>402</v>
      </c>
      <c r="F353" s="125" t="n">
        <v>41.9</v>
      </c>
      <c r="G353" s="125" t="n">
        <v>23.6</v>
      </c>
      <c r="H353" s="125" t="n">
        <v>30</v>
      </c>
      <c r="I353" s="125" t="n">
        <v>868.2</v>
      </c>
      <c r="J353" s="125" t="n">
        <v>564</v>
      </c>
      <c r="K353" s="125">
        <f>((E353-G353)/2)/F353</f>
        <v/>
      </c>
      <c r="L353" s="125">
        <f>I353/G353</f>
        <v/>
      </c>
      <c r="M353" s="125" t="n">
        <v>3.53</v>
      </c>
      <c r="N353" s="125" t="n">
        <v>966510</v>
      </c>
      <c r="O353" s="125" t="n">
        <v>45500</v>
      </c>
      <c r="P353" s="125" t="n">
        <v>41.4</v>
      </c>
      <c r="Q353" s="125" t="n">
        <v>8.98</v>
      </c>
      <c r="R353" s="125" t="n">
        <v>19101</v>
      </c>
      <c r="S353" s="125" t="n">
        <v>2264</v>
      </c>
      <c r="T353" s="125" t="n">
        <v>21777</v>
      </c>
      <c r="U353" s="125" t="n">
        <v>3529</v>
      </c>
      <c r="X353" s="129">
        <f t="array" ref="X353">_xlfn.IFS((D353/F353) &lt;= (640/SQRT($AT$32)), "Compact", L353 &lt;= ($AT$32*(0.79-(0.002*((E353-G353/2)/(2*F353))*SQRT($AT$32)))), "Non-Compact", L353 &gt; ($AT$32*(0.79-(0.002*((E353-G353/2)/(2*F353))*SQRT($AT$32)))), "Slender")</f>
        <v/>
      </c>
      <c r="Y353" s="129">
        <f t="array" ref="Y353">_xlfn.IFS(K353 &lt;= (65/SQRT($AT$32)), "Compact", K353 &lt;= (95/SQRT($AT$32)), "Non-Compact", K353 &gt; (95/SQRT($AT$32)), "Slender")</f>
        <v/>
      </c>
      <c r="Z353" s="125">
        <f>E353/F353</f>
        <v/>
      </c>
      <c r="AA353" s="125">
        <f>D353/G353</f>
        <v/>
      </c>
      <c r="AB353" s="125">
        <f t="array" ref="AB353">_xlfn.IFS(Z353 &lt;= 9, "1", Z353 &lt;= 12, "2", Z353 &lt;= 15, "3", Z353 &gt; 15, "4")</f>
        <v/>
      </c>
      <c r="AC353" s="125">
        <f t="array" ref="AC353">_xlfn.IFS(AA353 &lt;= 200, "1", L353 &lt;= 300, "2", L353 &lt;= 400, "3", L353 &gt; 400, "4")</f>
        <v/>
      </c>
      <c r="AD353" s="129">
        <f>SQRT((((VLOOKUP($AT$4,$A$4:$D$1021,4,FALSE))-D353)^2)+(((VLOOKUP($AT$4,$A$4:$E$1021,5,FALSE))-E353)^2)+(((VLOOKUP($AT$4,$A$4:$N$1021,14,FALSE))-N353)^2)+(((VLOOKUP($AT$4,$A$4:$O$1021,15,FALSE))-O353)^2))</f>
        <v/>
      </c>
      <c r="AG353" s="129">
        <f>SQRT((((VLOOKUP($AT$4,$A$4:$D$1021,4,FALSE))-D353)^2)+(((VLOOKUP($AT$4,$A$4:$E$1021,5,FALSE))-E353)^2)+(((VLOOKUP($AT$4,$A$4:$R$1021,18,FALSE))-R353)^2)+(((VLOOKUP($AT$4,$A$4:$S$1021,19,FALSE))-S353)^2))</f>
        <v/>
      </c>
      <c r="AJ353" s="125" t="inlineStr">
        <is>
          <t>W40X297</t>
        </is>
      </c>
      <c r="AK353" s="125">
        <f>SQRT(((VLOOKUP($AT$4,$A$4:$J$1021,10,FALSE))-J353)^2)</f>
        <v/>
      </c>
      <c r="AL353" s="125" t="n"/>
      <c r="AM353" s="125" t="n"/>
      <c r="AN353" s="125">
        <f>SQRT(((VLOOKUP($AT$4,$A$4:$R$1021,18,FALSE))-R353)^2)</f>
        <v/>
      </c>
      <c r="AO353" s="125" t="n"/>
      <c r="AP353" s="125" t="n"/>
      <c r="AQ353" s="125" t="inlineStr">
        <is>
          <t>W40X297</t>
        </is>
      </c>
      <c r="BB353" s="125">
        <f>SQRT(($J$1022-J353)^2)</f>
        <v/>
      </c>
      <c r="BC353" s="125">
        <f>SQRT(($R$1022-R353)^2)</f>
        <v/>
      </c>
      <c r="BD353" s="125" t="inlineStr">
        <is>
          <t>W40X297</t>
        </is>
      </c>
      <c r="BI353">
        <f>SQRT(($J$1023-J353)^2)</f>
        <v/>
      </c>
      <c r="BJ353">
        <f>SQRT(($R$1023-R353)^2)</f>
        <v/>
      </c>
      <c r="BK353" s="125" t="inlineStr">
        <is>
          <t>W40X297</t>
        </is>
      </c>
      <c r="BP353">
        <f>SQRT(($J$1024-J353)^2)</f>
        <v/>
      </c>
      <c r="BQ353">
        <f>SQRT(($R$1024-R353)^2)</f>
        <v/>
      </c>
      <c r="BR353" s="125" t="inlineStr">
        <is>
          <t>W40X297</t>
        </is>
      </c>
      <c r="BW353">
        <f>SQRT(($J$1025-J353)^2)</f>
        <v/>
      </c>
      <c r="BX353">
        <f>SQRT(($R$1025-R353)^2)</f>
        <v/>
      </c>
      <c r="BY353" s="125" t="inlineStr">
        <is>
          <t>W40X297</t>
        </is>
      </c>
      <c r="CD353">
        <f>SQRT(($J$1026-J353)^2)</f>
        <v/>
      </c>
      <c r="CE353">
        <f>SQRT(($R$1026-R353)^2)</f>
        <v/>
      </c>
      <c r="CF353" s="125" t="inlineStr">
        <is>
          <t>W40X297</t>
        </is>
      </c>
    </row>
    <row r="354">
      <c r="A354" s="125" t="inlineStr">
        <is>
          <t>W40X324</t>
        </is>
      </c>
      <c r="B354" s="129" t="inlineStr">
        <is>
          <t>AISC</t>
        </is>
      </c>
      <c r="C354" s="125" t="n">
        <v>483</v>
      </c>
      <c r="D354" s="125" t="n">
        <v>1020</v>
      </c>
      <c r="E354" s="125" t="n">
        <v>404</v>
      </c>
      <c r="F354" s="125" t="n">
        <v>46</v>
      </c>
      <c r="G354" s="125" t="n">
        <v>25.4</v>
      </c>
      <c r="H354" s="125" t="n">
        <v>30</v>
      </c>
      <c r="I354" s="125" t="n">
        <v>868</v>
      </c>
      <c r="J354" s="125" t="n">
        <v>615</v>
      </c>
      <c r="K354" s="125">
        <f>((E354-G354)/2)/F354</f>
        <v/>
      </c>
      <c r="L354" s="125">
        <f>I354/G354</f>
        <v/>
      </c>
      <c r="M354" s="125" t="n">
        <v>3.55</v>
      </c>
      <c r="N354" s="125" t="n">
        <v>1067480</v>
      </c>
      <c r="O354" s="125" t="n">
        <v>50710</v>
      </c>
      <c r="P354" s="125" t="n">
        <v>41.7</v>
      </c>
      <c r="Q354" s="125" t="n">
        <v>9.08</v>
      </c>
      <c r="R354" s="125" t="n">
        <v>20931</v>
      </c>
      <c r="S354" s="125" t="n">
        <v>2510</v>
      </c>
      <c r="T354" s="125" t="n">
        <v>23923</v>
      </c>
      <c r="U354" s="125" t="n">
        <v>3919</v>
      </c>
      <c r="X354" s="129">
        <f t="array" ref="X354">_xlfn.IFS((D354/F354) &lt;= (640/SQRT($AT$32)), "Compact", L354 &lt;= ($AT$32*(0.79-(0.002*((E354-G354/2)/(2*F354))*SQRT($AT$32)))), "Non-Compact", L354 &gt; ($AT$32*(0.79-(0.002*((E354-G354/2)/(2*F354))*SQRT($AT$32)))), "Slender")</f>
        <v/>
      </c>
      <c r="Y354" s="129">
        <f t="array" ref="Y354">_xlfn.IFS(K354 &lt;= (65/SQRT($AT$32)), "Compact", K354 &lt;= (95/SQRT($AT$32)), "Non-Compact", K354 &gt; (95/SQRT($AT$32)), "Slender")</f>
        <v/>
      </c>
      <c r="Z354" s="125">
        <f>E354/F354</f>
        <v/>
      </c>
      <c r="AA354" s="125">
        <f>D354/G354</f>
        <v/>
      </c>
      <c r="AB354" s="125">
        <f t="array" ref="AB354">_xlfn.IFS(Z354 &lt;= 9, "1", Z354 &lt;= 12, "2", Z354 &lt;= 15, "3", Z354 &gt; 15, "4")</f>
        <v/>
      </c>
      <c r="AC354" s="125">
        <f t="array" ref="AC354">_xlfn.IFS(AA354 &lt;= 200, "1", L354 &lt;= 300, "2", L354 &lt;= 400, "3", L354 &gt; 400, "4")</f>
        <v/>
      </c>
      <c r="AD354" s="129">
        <f>SQRT((((VLOOKUP($AT$4,$A$4:$D$1021,4,FALSE))-D354)^2)+(((VLOOKUP($AT$4,$A$4:$E$1021,5,FALSE))-E354)^2)+(((VLOOKUP($AT$4,$A$4:$N$1021,14,FALSE))-N354)^2)+(((VLOOKUP($AT$4,$A$4:$O$1021,15,FALSE))-O354)^2))</f>
        <v/>
      </c>
      <c r="AG354" s="129">
        <f>SQRT((((VLOOKUP($AT$4,$A$4:$D$1021,4,FALSE))-D354)^2)+(((VLOOKUP($AT$4,$A$4:$E$1021,5,FALSE))-E354)^2)+(((VLOOKUP($AT$4,$A$4:$R$1021,18,FALSE))-R354)^2)+(((VLOOKUP($AT$4,$A$4:$S$1021,19,FALSE))-S354)^2))</f>
        <v/>
      </c>
      <c r="AJ354" s="125" t="inlineStr">
        <is>
          <t>W40X324</t>
        </is>
      </c>
      <c r="AK354" s="125">
        <f>SQRT(((VLOOKUP($AT$4,$A$4:$J$1021,10,FALSE))-J354)^2)</f>
        <v/>
      </c>
      <c r="AL354" s="125" t="n"/>
      <c r="AM354" s="125" t="n"/>
      <c r="AN354" s="125">
        <f>SQRT(((VLOOKUP($AT$4,$A$4:$R$1021,18,FALSE))-R354)^2)</f>
        <v/>
      </c>
      <c r="AO354" s="125" t="n"/>
      <c r="AP354" s="125" t="n"/>
      <c r="AQ354" s="125" t="inlineStr">
        <is>
          <t>W40X324</t>
        </is>
      </c>
      <c r="BB354" s="125">
        <f>SQRT(($J$1022-J354)^2)</f>
        <v/>
      </c>
      <c r="BC354" s="125">
        <f>SQRT(($R$1022-R354)^2)</f>
        <v/>
      </c>
      <c r="BD354" s="125" t="inlineStr">
        <is>
          <t>W40X324</t>
        </is>
      </c>
      <c r="BI354">
        <f>SQRT(($J$1023-J354)^2)</f>
        <v/>
      </c>
      <c r="BJ354">
        <f>SQRT(($R$1023-R354)^2)</f>
        <v/>
      </c>
      <c r="BK354" s="125" t="inlineStr">
        <is>
          <t>W40X324</t>
        </is>
      </c>
      <c r="BP354">
        <f>SQRT(($J$1024-J354)^2)</f>
        <v/>
      </c>
      <c r="BQ354">
        <f>SQRT(($R$1024-R354)^2)</f>
        <v/>
      </c>
      <c r="BR354" s="125" t="inlineStr">
        <is>
          <t>W40X324</t>
        </is>
      </c>
      <c r="BW354">
        <f>SQRT(($J$1025-J354)^2)</f>
        <v/>
      </c>
      <c r="BX354">
        <f>SQRT(($R$1025-R354)^2)</f>
        <v/>
      </c>
      <c r="BY354" s="125" t="inlineStr">
        <is>
          <t>W40X324</t>
        </is>
      </c>
      <c r="CD354">
        <f>SQRT(($J$1026-J354)^2)</f>
        <v/>
      </c>
      <c r="CE354">
        <f>SQRT(($R$1026-R354)^2)</f>
        <v/>
      </c>
      <c r="CF354" s="125" t="inlineStr">
        <is>
          <t>W40X324</t>
        </is>
      </c>
    </row>
    <row r="355">
      <c r="A355" s="125" t="inlineStr">
        <is>
          <t>W40X362</t>
        </is>
      </c>
      <c r="B355" s="129" t="inlineStr">
        <is>
          <t>AISC</t>
        </is>
      </c>
      <c r="C355" s="125" t="n">
        <v>539</v>
      </c>
      <c r="D355" s="125" t="n">
        <v>1030</v>
      </c>
      <c r="E355" s="125" t="n">
        <v>407</v>
      </c>
      <c r="F355" s="125" t="n">
        <v>51.1</v>
      </c>
      <c r="G355" s="125" t="n">
        <v>28.4</v>
      </c>
      <c r="H355" s="125" t="n">
        <v>30</v>
      </c>
      <c r="I355" s="125" t="n">
        <v>867.8</v>
      </c>
      <c r="J355" s="125" t="n">
        <v>687</v>
      </c>
      <c r="K355" s="125">
        <f>((E355-G355)/2)/F355</f>
        <v/>
      </c>
      <c r="L355" s="125">
        <f>I355/G355</f>
        <v/>
      </c>
      <c r="M355" s="125" t="n">
        <v>3.58</v>
      </c>
      <c r="N355" s="125" t="n">
        <v>1202540</v>
      </c>
      <c r="O355" s="125" t="n">
        <v>57630</v>
      </c>
      <c r="P355" s="125" t="n">
        <v>41.8</v>
      </c>
      <c r="Q355" s="125" t="n">
        <v>9.16</v>
      </c>
      <c r="R355" s="125" t="n">
        <v>23350</v>
      </c>
      <c r="S355" s="125" t="n">
        <v>2832</v>
      </c>
      <c r="T355" s="125" t="n">
        <v>26824</v>
      </c>
      <c r="U355" s="125" t="n">
        <v>4436</v>
      </c>
      <c r="X355" s="129">
        <f t="array" ref="X355">_xlfn.IFS((D355/F355) &lt;= (640/SQRT($AT$32)), "Compact", L355 &lt;= ($AT$32*(0.79-(0.002*((E355-G355/2)/(2*F355))*SQRT($AT$32)))), "Non-Compact", L355 &gt; ($AT$32*(0.79-(0.002*((E355-G355/2)/(2*F355))*SQRT($AT$32)))), "Slender")</f>
        <v/>
      </c>
      <c r="Y355" s="129">
        <f t="array" ref="Y355">_xlfn.IFS(K355 &lt;= (65/SQRT($AT$32)), "Compact", K355 &lt;= (95/SQRT($AT$32)), "Non-Compact", K355 &gt; (95/SQRT($AT$32)), "Slender")</f>
        <v/>
      </c>
      <c r="Z355" s="125">
        <f>E355/F355</f>
        <v/>
      </c>
      <c r="AA355" s="125">
        <f>D355/G355</f>
        <v/>
      </c>
      <c r="AB355" s="125">
        <f t="array" ref="AB355">_xlfn.IFS(Z355 &lt;= 9, "1", Z355 &lt;= 12, "2", Z355 &lt;= 15, "3", Z355 &gt; 15, "4")</f>
        <v/>
      </c>
      <c r="AC355" s="125">
        <f t="array" ref="AC355">_xlfn.IFS(AA355 &lt;= 200, "1", L355 &lt;= 300, "2", L355 &lt;= 400, "3", L355 &gt; 400, "4")</f>
        <v/>
      </c>
      <c r="AD355" s="129">
        <f>SQRT((((VLOOKUP($AT$4,$A$4:$D$1021,4,FALSE))-D355)^2)+(((VLOOKUP($AT$4,$A$4:$E$1021,5,FALSE))-E355)^2)+(((VLOOKUP($AT$4,$A$4:$N$1021,14,FALSE))-N355)^2)+(((VLOOKUP($AT$4,$A$4:$O$1021,15,FALSE))-O355)^2))</f>
        <v/>
      </c>
      <c r="AG355" s="129">
        <f>SQRT((((VLOOKUP($AT$4,$A$4:$D$1021,4,FALSE))-D355)^2)+(((VLOOKUP($AT$4,$A$4:$E$1021,5,FALSE))-E355)^2)+(((VLOOKUP($AT$4,$A$4:$R$1021,18,FALSE))-R355)^2)+(((VLOOKUP($AT$4,$A$4:$S$1021,19,FALSE))-S355)^2))</f>
        <v/>
      </c>
      <c r="AJ355" s="125" t="inlineStr">
        <is>
          <t>W40X362</t>
        </is>
      </c>
      <c r="AK355" s="125">
        <f>SQRT(((VLOOKUP($AT$4,$A$4:$J$1021,10,FALSE))-J355)^2)</f>
        <v/>
      </c>
      <c r="AL355" s="125" t="n"/>
      <c r="AM355" s="125" t="n"/>
      <c r="AN355" s="125">
        <f>SQRT(((VLOOKUP($AT$4,$A$4:$R$1021,18,FALSE))-R355)^2)</f>
        <v/>
      </c>
      <c r="AO355" s="125" t="n"/>
      <c r="AP355" s="125" t="n"/>
      <c r="AQ355" s="125" t="inlineStr">
        <is>
          <t>W40X362</t>
        </is>
      </c>
      <c r="BB355" s="125">
        <f>SQRT(($J$1022-J355)^2)</f>
        <v/>
      </c>
      <c r="BC355" s="125">
        <f>SQRT(($R$1022-R355)^2)</f>
        <v/>
      </c>
      <c r="BD355" s="125" t="inlineStr">
        <is>
          <t>W40X362</t>
        </is>
      </c>
      <c r="BI355">
        <f>SQRT(($J$1023-J355)^2)</f>
        <v/>
      </c>
      <c r="BJ355">
        <f>SQRT(($R$1023-R355)^2)</f>
        <v/>
      </c>
      <c r="BK355" s="125" t="inlineStr">
        <is>
          <t>W40X362</t>
        </is>
      </c>
      <c r="BP355">
        <f>SQRT(($J$1024-J355)^2)</f>
        <v/>
      </c>
      <c r="BQ355">
        <f>SQRT(($R$1024-R355)^2)</f>
        <v/>
      </c>
      <c r="BR355" s="125" t="inlineStr">
        <is>
          <t>W40X362</t>
        </is>
      </c>
      <c r="BW355">
        <f>SQRT(($J$1025-J355)^2)</f>
        <v/>
      </c>
      <c r="BX355">
        <f>SQRT(($R$1025-R355)^2)</f>
        <v/>
      </c>
      <c r="BY355" s="125" t="inlineStr">
        <is>
          <t>W40X362</t>
        </is>
      </c>
      <c r="CD355">
        <f>SQRT(($J$1026-J355)^2)</f>
        <v/>
      </c>
      <c r="CE355">
        <f>SQRT(($R$1026-R355)^2)</f>
        <v/>
      </c>
      <c r="CF355" s="125" t="inlineStr">
        <is>
          <t>W40X362</t>
        </is>
      </c>
    </row>
    <row r="356">
      <c r="A356" s="125" t="inlineStr">
        <is>
          <t>W40X397</t>
        </is>
      </c>
      <c r="B356" s="129" t="inlineStr">
        <is>
          <t>AISC</t>
        </is>
      </c>
      <c r="C356" s="125" t="n">
        <v>591</v>
      </c>
      <c r="D356" s="125" t="n">
        <v>1040</v>
      </c>
      <c r="E356" s="125" t="n">
        <v>409</v>
      </c>
      <c r="F356" s="125" t="n">
        <v>55.9</v>
      </c>
      <c r="G356" s="125" t="n">
        <v>31</v>
      </c>
      <c r="H356" s="125" t="n">
        <v>30</v>
      </c>
      <c r="I356" s="125" t="n">
        <v>868.2</v>
      </c>
      <c r="J356" s="125" t="n">
        <v>753</v>
      </c>
      <c r="K356" s="125">
        <f>((E356-G356)/2)/F356</f>
        <v/>
      </c>
      <c r="L356" s="125">
        <f>I356/G356</f>
        <v/>
      </c>
      <c r="M356" s="125" t="n">
        <v>3.6</v>
      </c>
      <c r="N356" s="125" t="n">
        <v>1331040</v>
      </c>
      <c r="O356" s="125" t="n">
        <v>64010</v>
      </c>
      <c r="P356" s="125" t="n">
        <v>42.1</v>
      </c>
      <c r="Q356" s="125" t="n">
        <v>9.220000000000001</v>
      </c>
      <c r="R356" s="125" t="n">
        <v>25597</v>
      </c>
      <c r="S356" s="125" t="n">
        <v>3130</v>
      </c>
      <c r="T356" s="125" t="n">
        <v>29530</v>
      </c>
      <c r="U356" s="125" t="n">
        <v>4916</v>
      </c>
      <c r="X356" s="129">
        <f t="array" ref="X356">_xlfn.IFS((D356/F356) &lt;= (640/SQRT($AT$32)), "Compact", L356 &lt;= ($AT$32*(0.79-(0.002*((E356-G356/2)/(2*F356))*SQRT($AT$32)))), "Non-Compact", L356 &gt; ($AT$32*(0.79-(0.002*((E356-G356/2)/(2*F356))*SQRT($AT$32)))), "Slender")</f>
        <v/>
      </c>
      <c r="Y356" s="129">
        <f t="array" ref="Y356">_xlfn.IFS(K356 &lt;= (65/SQRT($AT$32)), "Compact", K356 &lt;= (95/SQRT($AT$32)), "Non-Compact", K356 &gt; (95/SQRT($AT$32)), "Slender")</f>
        <v/>
      </c>
      <c r="Z356" s="125">
        <f>E356/F356</f>
        <v/>
      </c>
      <c r="AA356" s="125">
        <f>D356/G356</f>
        <v/>
      </c>
      <c r="AB356" s="125">
        <f t="array" ref="AB356">_xlfn.IFS(Z356 &lt;= 9, "1", Z356 &lt;= 12, "2", Z356 &lt;= 15, "3", Z356 &gt; 15, "4")</f>
        <v/>
      </c>
      <c r="AC356" s="125">
        <f t="array" ref="AC356">_xlfn.IFS(AA356 &lt;= 200, "1", L356 &lt;= 300, "2", L356 &lt;= 400, "3", L356 &gt; 400, "4")</f>
        <v/>
      </c>
      <c r="AD356" s="129">
        <f>SQRT((((VLOOKUP($AT$4,$A$4:$D$1021,4,FALSE))-D356)^2)+(((VLOOKUP($AT$4,$A$4:$E$1021,5,FALSE))-E356)^2)+(((VLOOKUP($AT$4,$A$4:$N$1021,14,FALSE))-N356)^2)+(((VLOOKUP($AT$4,$A$4:$O$1021,15,FALSE))-O356)^2))</f>
        <v/>
      </c>
      <c r="AG356" s="129">
        <f>SQRT((((VLOOKUP($AT$4,$A$4:$D$1021,4,FALSE))-D356)^2)+(((VLOOKUP($AT$4,$A$4:$E$1021,5,FALSE))-E356)^2)+(((VLOOKUP($AT$4,$A$4:$R$1021,18,FALSE))-R356)^2)+(((VLOOKUP($AT$4,$A$4:$S$1021,19,FALSE))-S356)^2))</f>
        <v/>
      </c>
      <c r="AJ356" s="125" t="inlineStr">
        <is>
          <t>W40X397</t>
        </is>
      </c>
      <c r="AK356" s="125">
        <f>SQRT(((VLOOKUP($AT$4,$A$4:$J$1021,10,FALSE))-J356)^2)</f>
        <v/>
      </c>
      <c r="AL356" s="125" t="n"/>
      <c r="AM356" s="125" t="n"/>
      <c r="AN356" s="125">
        <f>SQRT(((VLOOKUP($AT$4,$A$4:$R$1021,18,FALSE))-R356)^2)</f>
        <v/>
      </c>
      <c r="AO356" s="125" t="n"/>
      <c r="AP356" s="125" t="n"/>
      <c r="AQ356" s="125" t="inlineStr">
        <is>
          <t>W40X397</t>
        </is>
      </c>
      <c r="BB356" s="125">
        <f>SQRT(($J$1022-J356)^2)</f>
        <v/>
      </c>
      <c r="BC356" s="125">
        <f>SQRT(($R$1022-R356)^2)</f>
        <v/>
      </c>
      <c r="BD356" s="125" t="inlineStr">
        <is>
          <t>W40X397</t>
        </is>
      </c>
      <c r="BI356">
        <f>SQRT(($J$1023-J356)^2)</f>
        <v/>
      </c>
      <c r="BJ356">
        <f>SQRT(($R$1023-R356)^2)</f>
        <v/>
      </c>
      <c r="BK356" s="125" t="inlineStr">
        <is>
          <t>W40X397</t>
        </is>
      </c>
      <c r="BP356">
        <f>SQRT(($J$1024-J356)^2)</f>
        <v/>
      </c>
      <c r="BQ356">
        <f>SQRT(($R$1024-R356)^2)</f>
        <v/>
      </c>
      <c r="BR356" s="125" t="inlineStr">
        <is>
          <t>W40X397</t>
        </is>
      </c>
      <c r="BW356">
        <f>SQRT(($J$1025-J356)^2)</f>
        <v/>
      </c>
      <c r="BX356">
        <f>SQRT(($R$1025-R356)^2)</f>
        <v/>
      </c>
      <c r="BY356" s="125" t="inlineStr">
        <is>
          <t>W40X397</t>
        </is>
      </c>
      <c r="CD356">
        <f>SQRT(($J$1026-J356)^2)</f>
        <v/>
      </c>
      <c r="CE356">
        <f>SQRT(($R$1026-R356)^2)</f>
        <v/>
      </c>
      <c r="CF356" s="125" t="inlineStr">
        <is>
          <t>W40X397</t>
        </is>
      </c>
    </row>
    <row r="357">
      <c r="A357" s="125" t="inlineStr">
        <is>
          <t>W40X431</t>
        </is>
      </c>
      <c r="B357" s="129" t="inlineStr">
        <is>
          <t>AISC</t>
        </is>
      </c>
      <c r="C357" s="125" t="n">
        <v>642</v>
      </c>
      <c r="D357" s="125" t="n">
        <v>1048</v>
      </c>
      <c r="E357" s="125" t="n">
        <v>412</v>
      </c>
      <c r="F357" s="125" t="n">
        <v>60</v>
      </c>
      <c r="G357" s="125" t="n">
        <v>34</v>
      </c>
      <c r="H357" s="125" t="n">
        <v>30</v>
      </c>
      <c r="I357" s="125" t="n">
        <v>868</v>
      </c>
      <c r="J357" s="125" t="n">
        <v>818</v>
      </c>
      <c r="K357" s="125">
        <f>((E357-G357)/2)/F357</f>
        <v/>
      </c>
      <c r="L357" s="125">
        <f>I357/G357</f>
        <v/>
      </c>
      <c r="M357" s="125" t="n">
        <v>3.62</v>
      </c>
      <c r="N357" s="125" t="n">
        <v>1450590</v>
      </c>
      <c r="O357" s="125" t="n">
        <v>70280</v>
      </c>
      <c r="P357" s="125" t="n">
        <v>42.1</v>
      </c>
      <c r="Q357" s="125" t="n">
        <v>9.27</v>
      </c>
      <c r="R357" s="125" t="n">
        <v>27683</v>
      </c>
      <c r="S357" s="125" t="n">
        <v>3412</v>
      </c>
      <c r="T357" s="125" t="n">
        <v>32097</v>
      </c>
      <c r="U357" s="125" t="n">
        <v>5379</v>
      </c>
      <c r="X357" s="129">
        <f t="array" ref="X357">_xlfn.IFS((D357/F357) &lt;= (640/SQRT($AT$32)), "Compact", L357 &lt;= ($AT$32*(0.79-(0.002*((E357-G357/2)/(2*F357))*SQRT($AT$32)))), "Non-Compact", L357 &gt; ($AT$32*(0.79-(0.002*((E357-G357/2)/(2*F357))*SQRT($AT$32)))), "Slender")</f>
        <v/>
      </c>
      <c r="Y357" s="129">
        <f t="array" ref="Y357">_xlfn.IFS(K357 &lt;= (65/SQRT($AT$32)), "Compact", K357 &lt;= (95/SQRT($AT$32)), "Non-Compact", K357 &gt; (95/SQRT($AT$32)), "Slender")</f>
        <v/>
      </c>
      <c r="Z357" s="125">
        <f>E357/F357</f>
        <v/>
      </c>
      <c r="AA357" s="125">
        <f>D357/G357</f>
        <v/>
      </c>
      <c r="AB357" s="125">
        <f t="array" ref="AB357">_xlfn.IFS(Z357 &lt;= 9, "1", Z357 &lt;= 12, "2", Z357 &lt;= 15, "3", Z357 &gt; 15, "4")</f>
        <v/>
      </c>
      <c r="AC357" s="125">
        <f t="array" ref="AC357">_xlfn.IFS(AA357 &lt;= 200, "1", L357 &lt;= 300, "2", L357 &lt;= 400, "3", L357 &gt; 400, "4")</f>
        <v/>
      </c>
      <c r="AD357" s="129">
        <f>SQRT((((VLOOKUP($AT$4,$A$4:$D$1021,4,FALSE))-D357)^2)+(((VLOOKUP($AT$4,$A$4:$E$1021,5,FALSE))-E357)^2)+(((VLOOKUP($AT$4,$A$4:$N$1021,14,FALSE))-N357)^2)+(((VLOOKUP($AT$4,$A$4:$O$1021,15,FALSE))-O357)^2))</f>
        <v/>
      </c>
      <c r="AG357" s="129">
        <f>SQRT((((VLOOKUP($AT$4,$A$4:$D$1021,4,FALSE))-D357)^2)+(((VLOOKUP($AT$4,$A$4:$E$1021,5,FALSE))-E357)^2)+(((VLOOKUP($AT$4,$A$4:$R$1021,18,FALSE))-R357)^2)+(((VLOOKUP($AT$4,$A$4:$S$1021,19,FALSE))-S357)^2))</f>
        <v/>
      </c>
      <c r="AJ357" s="125" t="inlineStr">
        <is>
          <t>W40X431</t>
        </is>
      </c>
      <c r="AK357" s="125">
        <f>SQRT(((VLOOKUP($AT$4,$A$4:$J$1021,10,FALSE))-J357)^2)</f>
        <v/>
      </c>
      <c r="AL357" s="125" t="n"/>
      <c r="AM357" s="125" t="n"/>
      <c r="AN357" s="125">
        <f>SQRT(((VLOOKUP($AT$4,$A$4:$R$1021,18,FALSE))-R357)^2)</f>
        <v/>
      </c>
      <c r="AO357" s="125" t="n"/>
      <c r="AP357" s="125" t="n"/>
      <c r="AQ357" s="125" t="inlineStr">
        <is>
          <t>W40X431</t>
        </is>
      </c>
      <c r="BB357" s="125">
        <f>SQRT(($J$1022-J357)^2)</f>
        <v/>
      </c>
      <c r="BC357" s="125">
        <f>SQRT(($R$1022-R357)^2)</f>
        <v/>
      </c>
      <c r="BD357" s="125" t="inlineStr">
        <is>
          <t>W40X431</t>
        </is>
      </c>
      <c r="BI357">
        <f>SQRT(($J$1023-J357)^2)</f>
        <v/>
      </c>
      <c r="BJ357">
        <f>SQRT(($R$1023-R357)^2)</f>
        <v/>
      </c>
      <c r="BK357" s="125" t="inlineStr">
        <is>
          <t>W40X431</t>
        </is>
      </c>
      <c r="BP357">
        <f>SQRT(($J$1024-J357)^2)</f>
        <v/>
      </c>
      <c r="BQ357">
        <f>SQRT(($R$1024-R357)^2)</f>
        <v/>
      </c>
      <c r="BR357" s="125" t="inlineStr">
        <is>
          <t>W40X431</t>
        </is>
      </c>
      <c r="BW357">
        <f>SQRT(($J$1025-J357)^2)</f>
        <v/>
      </c>
      <c r="BX357">
        <f>SQRT(($R$1025-R357)^2)</f>
        <v/>
      </c>
      <c r="BY357" s="125" t="inlineStr">
        <is>
          <t>W40X431</t>
        </is>
      </c>
      <c r="CD357">
        <f>SQRT(($J$1026-J357)^2)</f>
        <v/>
      </c>
      <c r="CE357">
        <f>SQRT(($R$1026-R357)^2)</f>
        <v/>
      </c>
      <c r="CF357" s="125" t="inlineStr">
        <is>
          <t>W40X431</t>
        </is>
      </c>
    </row>
    <row r="358">
      <c r="A358" s="125" t="inlineStr">
        <is>
          <t>W40X503</t>
        </is>
      </c>
      <c r="B358" s="129" t="inlineStr">
        <is>
          <t>AISC</t>
        </is>
      </c>
      <c r="C358" s="125" t="n">
        <v>748</v>
      </c>
      <c r="D358" s="125" t="n">
        <v>1068</v>
      </c>
      <c r="E358" s="125" t="n">
        <v>417</v>
      </c>
      <c r="F358" s="125" t="n">
        <v>70</v>
      </c>
      <c r="G358" s="125" t="n">
        <v>39</v>
      </c>
      <c r="H358" s="125" t="n">
        <v>30</v>
      </c>
      <c r="I358" s="125" t="n">
        <v>868</v>
      </c>
      <c r="J358" s="125" t="n">
        <v>953</v>
      </c>
      <c r="K358" s="125">
        <f>((E358-G358)/2)/F358</f>
        <v/>
      </c>
      <c r="L358" s="125">
        <f>I358/G358</f>
        <v/>
      </c>
      <c r="M358" s="125" t="n">
        <v>3.67</v>
      </c>
      <c r="N358" s="125" t="n">
        <v>1731940</v>
      </c>
      <c r="O358" s="125" t="n">
        <v>85110</v>
      </c>
      <c r="P358" s="125" t="n">
        <v>42.6</v>
      </c>
      <c r="Q358" s="125" t="n">
        <v>9.449999999999999</v>
      </c>
      <c r="R358" s="125" t="n">
        <v>32433</v>
      </c>
      <c r="S358" s="125" t="n">
        <v>4082</v>
      </c>
      <c r="T358" s="125" t="n">
        <v>37881</v>
      </c>
      <c r="U358" s="125" t="n">
        <v>6459</v>
      </c>
      <c r="X358" s="129">
        <f t="array" ref="X358">_xlfn.IFS((D358/F358) &lt;= (640/SQRT($AT$32)), "Compact", L358 &lt;= ($AT$32*(0.79-(0.002*((E358-G358/2)/(2*F358))*SQRT($AT$32)))), "Non-Compact", L358 &gt; ($AT$32*(0.79-(0.002*((E358-G358/2)/(2*F358))*SQRT($AT$32)))), "Slender")</f>
        <v/>
      </c>
      <c r="Y358" s="129">
        <f t="array" ref="Y358">_xlfn.IFS(K358 &lt;= (65/SQRT($AT$32)), "Compact", K358 &lt;= (95/SQRT($AT$32)), "Non-Compact", K358 &gt; (95/SQRT($AT$32)), "Slender")</f>
        <v/>
      </c>
      <c r="Z358" s="125">
        <f>E358/F358</f>
        <v/>
      </c>
      <c r="AA358" s="125">
        <f>D358/G358</f>
        <v/>
      </c>
      <c r="AB358" s="125">
        <f t="array" ref="AB358">_xlfn.IFS(Z358 &lt;= 9, "1", Z358 &lt;= 12, "2", Z358 &lt;= 15, "3", Z358 &gt; 15, "4")</f>
        <v/>
      </c>
      <c r="AC358" s="125">
        <f t="array" ref="AC358">_xlfn.IFS(AA358 &lt;= 200, "1", L358 &lt;= 300, "2", L358 &lt;= 400, "3", L358 &gt; 400, "4")</f>
        <v/>
      </c>
      <c r="AD358" s="129">
        <f>SQRT((((VLOOKUP($AT$4,$A$4:$D$1021,4,FALSE))-D358)^2)+(((VLOOKUP($AT$4,$A$4:$E$1021,5,FALSE))-E358)^2)+(((VLOOKUP($AT$4,$A$4:$N$1021,14,FALSE))-N358)^2)+(((VLOOKUP($AT$4,$A$4:$O$1021,15,FALSE))-O358)^2))</f>
        <v/>
      </c>
      <c r="AG358" s="129">
        <f>SQRT((((VLOOKUP($AT$4,$A$4:$D$1021,4,FALSE))-D358)^2)+(((VLOOKUP($AT$4,$A$4:$E$1021,5,FALSE))-E358)^2)+(((VLOOKUP($AT$4,$A$4:$R$1021,18,FALSE))-R358)^2)+(((VLOOKUP($AT$4,$A$4:$S$1021,19,FALSE))-S358)^2))</f>
        <v/>
      </c>
      <c r="AJ358" s="125" t="inlineStr">
        <is>
          <t>W40X503</t>
        </is>
      </c>
      <c r="AK358" s="125">
        <f>SQRT(((VLOOKUP($AT$4,$A$4:$J$1021,10,FALSE))-J358)^2)</f>
        <v/>
      </c>
      <c r="AL358" s="125" t="n"/>
      <c r="AM358" s="125" t="n"/>
      <c r="AN358" s="125">
        <f>SQRT(((VLOOKUP($AT$4,$A$4:$R$1021,18,FALSE))-R358)^2)</f>
        <v/>
      </c>
      <c r="AO358" s="125" t="n"/>
      <c r="AP358" s="125" t="n"/>
      <c r="AQ358" s="125" t="inlineStr">
        <is>
          <t>W40X503</t>
        </is>
      </c>
      <c r="BB358" s="125">
        <f>SQRT(($J$1022-J358)^2)</f>
        <v/>
      </c>
      <c r="BC358" s="125">
        <f>SQRT(($R$1022-R358)^2)</f>
        <v/>
      </c>
      <c r="BD358" s="125" t="inlineStr">
        <is>
          <t>W40X503</t>
        </is>
      </c>
      <c r="BI358">
        <f>SQRT(($J$1023-J358)^2)</f>
        <v/>
      </c>
      <c r="BJ358">
        <f>SQRT(($R$1023-R358)^2)</f>
        <v/>
      </c>
      <c r="BK358" s="125" t="inlineStr">
        <is>
          <t>W40X503</t>
        </is>
      </c>
      <c r="BP358">
        <f>SQRT(($J$1024-J358)^2)</f>
        <v/>
      </c>
      <c r="BQ358">
        <f>SQRT(($R$1024-R358)^2)</f>
        <v/>
      </c>
      <c r="BR358" s="125" t="inlineStr">
        <is>
          <t>W40X503</t>
        </is>
      </c>
      <c r="BW358">
        <f>SQRT(($J$1025-J358)^2)</f>
        <v/>
      </c>
      <c r="BX358">
        <f>SQRT(($R$1025-R358)^2)</f>
        <v/>
      </c>
      <c r="BY358" s="125" t="inlineStr">
        <is>
          <t>W40X503</t>
        </is>
      </c>
      <c r="CD358">
        <f>SQRT(($J$1026-J358)^2)</f>
        <v/>
      </c>
      <c r="CE358">
        <f>SQRT(($R$1026-R358)^2)</f>
        <v/>
      </c>
      <c r="CF358" s="125" t="inlineStr">
        <is>
          <t>W40X503</t>
        </is>
      </c>
    </row>
    <row r="359">
      <c r="A359" s="125" t="inlineStr">
        <is>
          <t>W40X593</t>
        </is>
      </c>
      <c r="B359" s="129" t="inlineStr">
        <is>
          <t>AISC</t>
        </is>
      </c>
      <c r="C359" s="125" t="n">
        <v>883</v>
      </c>
      <c r="D359" s="125" t="n">
        <v>1092</v>
      </c>
      <c r="E359" s="125" t="n">
        <v>424</v>
      </c>
      <c r="F359" s="125" t="n">
        <v>82</v>
      </c>
      <c r="G359" s="125" t="n">
        <v>45.5</v>
      </c>
      <c r="H359" s="125" t="n">
        <v>30</v>
      </c>
      <c r="I359" s="125" t="n">
        <v>868</v>
      </c>
      <c r="J359" s="125" t="n">
        <v>1125</v>
      </c>
      <c r="K359" s="125">
        <f>((E359-G359)/2)/F359</f>
        <v/>
      </c>
      <c r="L359" s="125">
        <f>I359/G359</f>
        <v/>
      </c>
      <c r="M359" s="125" t="n">
        <v>3.74</v>
      </c>
      <c r="N359" s="125" t="n">
        <v>2096420</v>
      </c>
      <c r="O359" s="125" t="n">
        <v>104970</v>
      </c>
      <c r="P359" s="125" t="n">
        <v>43.2</v>
      </c>
      <c r="Q359" s="125" t="n">
        <v>9.66</v>
      </c>
      <c r="R359" s="125" t="n">
        <v>38396</v>
      </c>
      <c r="S359" s="125" t="n">
        <v>4952</v>
      </c>
      <c r="T359" s="125" t="n">
        <v>45265</v>
      </c>
      <c r="U359" s="125" t="n">
        <v>7874</v>
      </c>
      <c r="X359" s="129">
        <f t="array" ref="X359">_xlfn.IFS((D359/F359) &lt;= (640/SQRT($AT$32)), "Compact", L359 &lt;= ($AT$32*(0.79-(0.002*((E359-G359/2)/(2*F359))*SQRT($AT$32)))), "Non-Compact", L359 &gt; ($AT$32*(0.79-(0.002*((E359-G359/2)/(2*F359))*SQRT($AT$32)))), "Slender")</f>
        <v/>
      </c>
      <c r="Y359" s="129">
        <f t="array" ref="Y359">_xlfn.IFS(K359 &lt;= (65/SQRT($AT$32)), "Compact", K359 &lt;= (95/SQRT($AT$32)), "Non-Compact", K359 &gt; (95/SQRT($AT$32)), "Slender")</f>
        <v/>
      </c>
      <c r="Z359" s="125">
        <f>E359/F359</f>
        <v/>
      </c>
      <c r="AA359" s="125">
        <f>D359/G359</f>
        <v/>
      </c>
      <c r="AB359" s="125">
        <f t="array" ref="AB359">_xlfn.IFS(Z359 &lt;= 9, "1", Z359 &lt;= 12, "2", Z359 &lt;= 15, "3", Z359 &gt; 15, "4")</f>
        <v/>
      </c>
      <c r="AC359" s="125">
        <f t="array" ref="AC359">_xlfn.IFS(AA359 &lt;= 200, "1", L359 &lt;= 300, "2", L359 &lt;= 400, "3", L359 &gt; 400, "4")</f>
        <v/>
      </c>
      <c r="AD359" s="129">
        <f>SQRT((((VLOOKUP($AT$4,$A$4:$D$1021,4,FALSE))-D359)^2)+(((VLOOKUP($AT$4,$A$4:$E$1021,5,FALSE))-E359)^2)+(((VLOOKUP($AT$4,$A$4:$N$1021,14,FALSE))-N359)^2)+(((VLOOKUP($AT$4,$A$4:$O$1021,15,FALSE))-O359)^2))</f>
        <v/>
      </c>
      <c r="AG359" s="129">
        <f>SQRT((((VLOOKUP($AT$4,$A$4:$D$1021,4,FALSE))-D359)^2)+(((VLOOKUP($AT$4,$A$4:$E$1021,5,FALSE))-E359)^2)+(((VLOOKUP($AT$4,$A$4:$R$1021,18,FALSE))-R359)^2)+(((VLOOKUP($AT$4,$A$4:$S$1021,19,FALSE))-S359)^2))</f>
        <v/>
      </c>
      <c r="AJ359" s="125" t="inlineStr">
        <is>
          <t>W40X593</t>
        </is>
      </c>
      <c r="AK359" s="125">
        <f>SQRT(((VLOOKUP($AT$4,$A$4:$J$1021,10,FALSE))-J359)^2)</f>
        <v/>
      </c>
      <c r="AL359" s="125" t="n"/>
      <c r="AM359" s="125" t="n"/>
      <c r="AN359" s="125">
        <f>SQRT(((VLOOKUP($AT$4,$A$4:$R$1021,18,FALSE))-R359)^2)</f>
        <v/>
      </c>
      <c r="AO359" s="125" t="n"/>
      <c r="AP359" s="125" t="n"/>
      <c r="AQ359" s="125" t="inlineStr">
        <is>
          <t>W40X593</t>
        </is>
      </c>
      <c r="BB359" s="125">
        <f>SQRT(($J$1022-J359)^2)</f>
        <v/>
      </c>
      <c r="BC359" s="125">
        <f>SQRT(($R$1022-R359)^2)</f>
        <v/>
      </c>
      <c r="BD359" s="125" t="inlineStr">
        <is>
          <t>W40X593</t>
        </is>
      </c>
      <c r="BI359">
        <f>SQRT(($J$1023-J359)^2)</f>
        <v/>
      </c>
      <c r="BJ359">
        <f>SQRT(($R$1023-R359)^2)</f>
        <v/>
      </c>
      <c r="BK359" s="125" t="inlineStr">
        <is>
          <t>W40X593</t>
        </is>
      </c>
      <c r="BP359">
        <f>SQRT(($J$1024-J359)^2)</f>
        <v/>
      </c>
      <c r="BQ359">
        <f>SQRT(($R$1024-R359)^2)</f>
        <v/>
      </c>
      <c r="BR359" s="125" t="inlineStr">
        <is>
          <t>W40X593</t>
        </is>
      </c>
      <c r="BW359">
        <f>SQRT(($J$1025-J359)^2)</f>
        <v/>
      </c>
      <c r="BX359">
        <f>SQRT(($R$1025-R359)^2)</f>
        <v/>
      </c>
      <c r="BY359" s="125" t="inlineStr">
        <is>
          <t>W40X593</t>
        </is>
      </c>
      <c r="CD359">
        <f>SQRT(($J$1026-J359)^2)</f>
        <v/>
      </c>
      <c r="CE359">
        <f>SQRT(($R$1026-R359)^2)</f>
        <v/>
      </c>
      <c r="CF359" s="125" t="inlineStr">
        <is>
          <t>W40X593</t>
        </is>
      </c>
    </row>
    <row r="360">
      <c r="A360" s="125" t="inlineStr">
        <is>
          <t>W44X230</t>
        </is>
      </c>
      <c r="B360" s="129" t="inlineStr">
        <is>
          <t>AISC</t>
        </is>
      </c>
      <c r="C360" s="125" t="n">
        <v>343</v>
      </c>
      <c r="D360" s="125" t="n">
        <v>1090</v>
      </c>
      <c r="E360" s="125" t="n">
        <v>400</v>
      </c>
      <c r="F360" s="125" t="n">
        <v>31</v>
      </c>
      <c r="G360" s="125" t="n">
        <v>18</v>
      </c>
      <c r="H360" s="125" t="n">
        <v>20</v>
      </c>
      <c r="I360" s="125" t="n">
        <v>988</v>
      </c>
      <c r="J360" s="125" t="n">
        <v>437</v>
      </c>
      <c r="K360" s="125">
        <f>((E360-G360)/2)/F360</f>
        <v/>
      </c>
      <c r="L360" s="125">
        <f>I360/G360</f>
        <v/>
      </c>
      <c r="M360" s="125" t="n">
        <v>3.71</v>
      </c>
      <c r="N360" s="125" t="n">
        <v>867400</v>
      </c>
      <c r="O360" s="125" t="n">
        <v>33120</v>
      </c>
      <c r="P360" s="125" t="n">
        <v>44.6</v>
      </c>
      <c r="Q360" s="125" t="n">
        <v>8.710000000000001</v>
      </c>
      <c r="R360" s="125" t="n">
        <v>15920</v>
      </c>
      <c r="S360" s="125" t="n">
        <v>1656</v>
      </c>
      <c r="T360" s="125" t="n">
        <v>18060</v>
      </c>
      <c r="U360" s="125" t="n">
        <v>2568</v>
      </c>
      <c r="X360" s="129">
        <f t="array" ref="X360">_xlfn.IFS((D360/F360) &lt;= (640/SQRT($AT$32)), "Compact", L360 &lt;= ($AT$32*(0.79-(0.002*((E360-G360/2)/(2*F360))*SQRT($AT$32)))), "Non-Compact", L360 &gt; ($AT$32*(0.79-(0.002*((E360-G360/2)/(2*F360))*SQRT($AT$32)))), "Slender")</f>
        <v/>
      </c>
      <c r="Y360" s="129">
        <f t="array" ref="Y360">_xlfn.IFS(K360 &lt;= (65/SQRT($AT$32)), "Compact", K360 &lt;= (95/SQRT($AT$32)), "Non-Compact", K360 &gt; (95/SQRT($AT$32)), "Slender")</f>
        <v/>
      </c>
      <c r="Z360" s="125">
        <f>E360/F360</f>
        <v/>
      </c>
      <c r="AA360" s="125">
        <f>D360/G360</f>
        <v/>
      </c>
      <c r="AB360" s="125">
        <f t="array" ref="AB360">_xlfn.IFS(Z360 &lt;= 9, "1", Z360 &lt;= 12, "2", Z360 &lt;= 15, "3", Z360 &gt; 15, "4")</f>
        <v/>
      </c>
      <c r="AC360" s="125">
        <f t="array" ref="AC360">_xlfn.IFS(AA360 &lt;= 200, "1", L360 &lt;= 300, "2", L360 &lt;= 400, "3", L360 &gt; 400, "4")</f>
        <v/>
      </c>
      <c r="AD360" s="129">
        <f>SQRT((((VLOOKUP($AT$4,$A$4:$D$1021,4,FALSE))-D360)^2)+(((VLOOKUP($AT$4,$A$4:$E$1021,5,FALSE))-E360)^2)+(((VLOOKUP($AT$4,$A$4:$N$1021,14,FALSE))-N360)^2)+(((VLOOKUP($AT$4,$A$4:$O$1021,15,FALSE))-O360)^2))</f>
        <v/>
      </c>
      <c r="AG360" s="129">
        <f>SQRT((((VLOOKUP($AT$4,$A$4:$D$1021,4,FALSE))-D360)^2)+(((VLOOKUP($AT$4,$A$4:$E$1021,5,FALSE))-E360)^2)+(((VLOOKUP($AT$4,$A$4:$R$1021,18,FALSE))-R360)^2)+(((VLOOKUP($AT$4,$A$4:$S$1021,19,FALSE))-S360)^2))</f>
        <v/>
      </c>
      <c r="AJ360" s="125" t="inlineStr">
        <is>
          <t>W44X230</t>
        </is>
      </c>
      <c r="AK360" s="125">
        <f>SQRT(((VLOOKUP($AT$4,$A$4:$J$1021,10,FALSE))-J360)^2)</f>
        <v/>
      </c>
      <c r="AL360" s="125" t="n"/>
      <c r="AM360" s="125" t="n"/>
      <c r="AN360" s="125">
        <f>SQRT(((VLOOKUP($AT$4,$A$4:$R$1021,18,FALSE))-R360)^2)</f>
        <v/>
      </c>
      <c r="AO360" s="125" t="n"/>
      <c r="AP360" s="125" t="n"/>
      <c r="AQ360" s="125" t="inlineStr">
        <is>
          <t>W44X230</t>
        </is>
      </c>
      <c r="BB360" s="125">
        <f>SQRT(($J$1022-J360)^2)</f>
        <v/>
      </c>
      <c r="BC360" s="125">
        <f>SQRT(($R$1022-R360)^2)</f>
        <v/>
      </c>
      <c r="BD360" s="125" t="inlineStr">
        <is>
          <t>W44X230</t>
        </is>
      </c>
      <c r="BI360">
        <f>SQRT(($J$1023-J360)^2)</f>
        <v/>
      </c>
      <c r="BJ360">
        <f>SQRT(($R$1023-R360)^2)</f>
        <v/>
      </c>
      <c r="BK360" s="125" t="inlineStr">
        <is>
          <t>W44X230</t>
        </is>
      </c>
      <c r="BP360">
        <f>SQRT(($J$1024-J360)^2)</f>
        <v/>
      </c>
      <c r="BQ360">
        <f>SQRT(($R$1024-R360)^2)</f>
        <v/>
      </c>
      <c r="BR360" s="125" t="inlineStr">
        <is>
          <t>W44X230</t>
        </is>
      </c>
      <c r="BW360">
        <f>SQRT(($J$1025-J360)^2)</f>
        <v/>
      </c>
      <c r="BX360">
        <f>SQRT(($R$1025-R360)^2)</f>
        <v/>
      </c>
      <c r="BY360" s="125" t="inlineStr">
        <is>
          <t>W44X230</t>
        </is>
      </c>
      <c r="CD360">
        <f>SQRT(($J$1026-J360)^2)</f>
        <v/>
      </c>
      <c r="CE360">
        <f>SQRT(($R$1026-R360)^2)</f>
        <v/>
      </c>
      <c r="CF360" s="125" t="inlineStr">
        <is>
          <t>W44X230</t>
        </is>
      </c>
    </row>
    <row r="361">
      <c r="A361" s="125" t="inlineStr">
        <is>
          <t>W44X262</t>
        </is>
      </c>
      <c r="B361" s="129" t="inlineStr">
        <is>
          <t>AISC</t>
        </is>
      </c>
      <c r="C361" s="125" t="n">
        <v>390</v>
      </c>
      <c r="D361" s="125" t="n">
        <v>1100</v>
      </c>
      <c r="E361" s="125" t="n">
        <v>400</v>
      </c>
      <c r="F361" s="125" t="n">
        <v>36</v>
      </c>
      <c r="G361" s="125" t="n">
        <v>20</v>
      </c>
      <c r="H361" s="125" t="n">
        <v>20</v>
      </c>
      <c r="I361" s="125" t="n">
        <v>988</v>
      </c>
      <c r="J361" s="125" t="n">
        <v>497</v>
      </c>
      <c r="K361" s="125">
        <f>((E361-G361)/2)/F361</f>
        <v/>
      </c>
      <c r="L361" s="125">
        <f>I361/G361</f>
        <v/>
      </c>
      <c r="M361" s="125" t="n">
        <v>3.73</v>
      </c>
      <c r="N361" s="125" t="n">
        <v>1005000</v>
      </c>
      <c r="O361" s="125" t="n">
        <v>38480</v>
      </c>
      <c r="P361" s="125" t="n">
        <v>45</v>
      </c>
      <c r="Q361" s="125" t="n">
        <v>8.800000000000001</v>
      </c>
      <c r="R361" s="125" t="n">
        <v>18280</v>
      </c>
      <c r="S361" s="125" t="n">
        <v>1924</v>
      </c>
      <c r="T361" s="125" t="n">
        <v>20780</v>
      </c>
      <c r="U361" s="125" t="n">
        <v>2988</v>
      </c>
      <c r="X361" s="129">
        <f t="array" ref="X361">_xlfn.IFS((D361/F361) &lt;= (640/SQRT($AT$32)), "Compact", L361 &lt;= ($AT$32*(0.79-(0.002*((E361-G361/2)/(2*F361))*SQRT($AT$32)))), "Non-Compact", L361 &gt; ($AT$32*(0.79-(0.002*((E361-G361/2)/(2*F361))*SQRT($AT$32)))), "Slender")</f>
        <v/>
      </c>
      <c r="Y361" s="129">
        <f t="array" ref="Y361">_xlfn.IFS(K361 &lt;= (65/SQRT($AT$32)), "Compact", K361 &lt;= (95/SQRT($AT$32)), "Non-Compact", K361 &gt; (95/SQRT($AT$32)), "Slender")</f>
        <v/>
      </c>
      <c r="Z361" s="125">
        <f>E361/F361</f>
        <v/>
      </c>
      <c r="AA361" s="125">
        <f>D361/G361</f>
        <v/>
      </c>
      <c r="AB361" s="125">
        <f t="array" ref="AB361">_xlfn.IFS(Z361 &lt;= 9, "1", Z361 &lt;= 12, "2", Z361 &lt;= 15, "3", Z361 &gt; 15, "4")</f>
        <v/>
      </c>
      <c r="AC361" s="125">
        <f t="array" ref="AC361">_xlfn.IFS(AA361 &lt;= 200, "1", L361 &lt;= 300, "2", L361 &lt;= 400, "3", L361 &gt; 400, "4")</f>
        <v/>
      </c>
      <c r="AD361" s="129">
        <f>SQRT((((VLOOKUP($AT$4,$A$4:$D$1021,4,FALSE))-D361)^2)+(((VLOOKUP($AT$4,$A$4:$E$1021,5,FALSE))-E361)^2)+(((VLOOKUP($AT$4,$A$4:$N$1021,14,FALSE))-N361)^2)+(((VLOOKUP($AT$4,$A$4:$O$1021,15,FALSE))-O361)^2))</f>
        <v/>
      </c>
      <c r="AG361" s="129">
        <f>SQRT((((VLOOKUP($AT$4,$A$4:$D$1021,4,FALSE))-D361)^2)+(((VLOOKUP($AT$4,$A$4:$E$1021,5,FALSE))-E361)^2)+(((VLOOKUP($AT$4,$A$4:$R$1021,18,FALSE))-R361)^2)+(((VLOOKUP($AT$4,$A$4:$S$1021,19,FALSE))-S361)^2))</f>
        <v/>
      </c>
      <c r="AJ361" s="125" t="inlineStr">
        <is>
          <t>W44X262</t>
        </is>
      </c>
      <c r="AK361" s="125">
        <f>SQRT(((VLOOKUP($AT$4,$A$4:$J$1021,10,FALSE))-J361)^2)</f>
        <v/>
      </c>
      <c r="AL361" s="125" t="n"/>
      <c r="AM361" s="125" t="n"/>
      <c r="AN361" s="125">
        <f>SQRT(((VLOOKUP($AT$4,$A$4:$R$1021,18,FALSE))-R361)^2)</f>
        <v/>
      </c>
      <c r="AO361" s="125" t="n"/>
      <c r="AP361" s="125" t="n"/>
      <c r="AQ361" s="125" t="inlineStr">
        <is>
          <t>W44X262</t>
        </is>
      </c>
      <c r="BB361" s="125">
        <f>SQRT(($J$1022-J361)^2)</f>
        <v/>
      </c>
      <c r="BC361" s="125">
        <f>SQRT(($R$1022-R361)^2)</f>
        <v/>
      </c>
      <c r="BD361" s="125" t="inlineStr">
        <is>
          <t>W44X262</t>
        </is>
      </c>
      <c r="BI361">
        <f>SQRT(($J$1023-J361)^2)</f>
        <v/>
      </c>
      <c r="BJ361">
        <f>SQRT(($R$1023-R361)^2)</f>
        <v/>
      </c>
      <c r="BK361" s="125" t="inlineStr">
        <is>
          <t>W44X262</t>
        </is>
      </c>
      <c r="BP361">
        <f>SQRT(($J$1024-J361)^2)</f>
        <v/>
      </c>
      <c r="BQ361">
        <f>SQRT(($R$1024-R361)^2)</f>
        <v/>
      </c>
      <c r="BR361" s="125" t="inlineStr">
        <is>
          <t>W44X262</t>
        </is>
      </c>
      <c r="BW361">
        <f>SQRT(($J$1025-J361)^2)</f>
        <v/>
      </c>
      <c r="BX361">
        <f>SQRT(($R$1025-R361)^2)</f>
        <v/>
      </c>
      <c r="BY361" s="125" t="inlineStr">
        <is>
          <t>W44X262</t>
        </is>
      </c>
      <c r="CD361">
        <f>SQRT(($J$1026-J361)^2)</f>
        <v/>
      </c>
      <c r="CE361">
        <f>SQRT(($R$1026-R361)^2)</f>
        <v/>
      </c>
      <c r="CF361" s="125" t="inlineStr">
        <is>
          <t>W44X262</t>
        </is>
      </c>
    </row>
    <row r="362">
      <c r="A362" s="125" t="inlineStr">
        <is>
          <t>W44X290</t>
        </is>
      </c>
      <c r="B362" s="129" t="inlineStr">
        <is>
          <t>AISC</t>
        </is>
      </c>
      <c r="C362" s="125" t="n">
        <v>433</v>
      </c>
      <c r="D362" s="125" t="n">
        <v>1108</v>
      </c>
      <c r="E362" s="125" t="n">
        <v>402</v>
      </c>
      <c r="F362" s="125" t="n">
        <v>40</v>
      </c>
      <c r="G362" s="125" t="n">
        <v>22</v>
      </c>
      <c r="H362" s="125" t="n">
        <v>20</v>
      </c>
      <c r="I362" s="125" t="n">
        <v>988</v>
      </c>
      <c r="J362" s="125" t="n">
        <v>551</v>
      </c>
      <c r="K362" s="125">
        <f>((E362-G362)/2)/F362</f>
        <v/>
      </c>
      <c r="L362" s="125">
        <f>I362/G362</f>
        <v/>
      </c>
      <c r="M362" s="125" t="n">
        <v>3.75</v>
      </c>
      <c r="N362" s="125" t="n">
        <v>1126000</v>
      </c>
      <c r="O362" s="125" t="n">
        <v>43410</v>
      </c>
      <c r="P362" s="125" t="n">
        <v>45.2</v>
      </c>
      <c r="Q362" s="125" t="n">
        <v>8.869999999999999</v>
      </c>
      <c r="R362" s="125" t="n">
        <v>20320</v>
      </c>
      <c r="S362" s="125" t="n">
        <v>2160</v>
      </c>
      <c r="T362" s="125" t="n">
        <v>23160</v>
      </c>
      <c r="U362" s="125" t="n">
        <v>3362</v>
      </c>
      <c r="X362" s="129">
        <f t="array" ref="X362">_xlfn.IFS((D362/F362) &lt;= (640/SQRT($AT$32)), "Compact", L362 &lt;= ($AT$32*(0.79-(0.002*((E362-G362/2)/(2*F362))*SQRT($AT$32)))), "Non-Compact", L362 &gt; ($AT$32*(0.79-(0.002*((E362-G362/2)/(2*F362))*SQRT($AT$32)))), "Slender")</f>
        <v/>
      </c>
      <c r="Y362" s="129">
        <f t="array" ref="Y362">_xlfn.IFS(K362 &lt;= (65/SQRT($AT$32)), "Compact", K362 &lt;= (95/SQRT($AT$32)), "Non-Compact", K362 &gt; (95/SQRT($AT$32)), "Slender")</f>
        <v/>
      </c>
      <c r="Z362" s="125">
        <f>E362/F362</f>
        <v/>
      </c>
      <c r="AA362" s="125">
        <f>D362/G362</f>
        <v/>
      </c>
      <c r="AB362" s="125">
        <f t="array" ref="AB362">_xlfn.IFS(Z362 &lt;= 9, "1", Z362 &lt;= 12, "2", Z362 &lt;= 15, "3", Z362 &gt; 15, "4")</f>
        <v/>
      </c>
      <c r="AC362" s="125">
        <f t="array" ref="AC362">_xlfn.IFS(AA362 &lt;= 200, "1", L362 &lt;= 300, "2", L362 &lt;= 400, "3", L362 &gt; 400, "4")</f>
        <v/>
      </c>
      <c r="AD362" s="129">
        <f>SQRT((((VLOOKUP($AT$4,$A$4:$D$1021,4,FALSE))-D362)^2)+(((VLOOKUP($AT$4,$A$4:$E$1021,5,FALSE))-E362)^2)+(((VLOOKUP($AT$4,$A$4:$N$1021,14,FALSE))-N362)^2)+(((VLOOKUP($AT$4,$A$4:$O$1021,15,FALSE))-O362)^2))</f>
        <v/>
      </c>
      <c r="AG362" s="129">
        <f>SQRT((((VLOOKUP($AT$4,$A$4:$D$1021,4,FALSE))-D362)^2)+(((VLOOKUP($AT$4,$A$4:$E$1021,5,FALSE))-E362)^2)+(((VLOOKUP($AT$4,$A$4:$R$1021,18,FALSE))-R362)^2)+(((VLOOKUP($AT$4,$A$4:$S$1021,19,FALSE))-S362)^2))</f>
        <v/>
      </c>
      <c r="AJ362" s="125" t="inlineStr">
        <is>
          <t>W44X290</t>
        </is>
      </c>
      <c r="AK362" s="125">
        <f>SQRT(((VLOOKUP($AT$4,$A$4:$J$1021,10,FALSE))-J362)^2)</f>
        <v/>
      </c>
      <c r="AL362" s="125" t="n"/>
      <c r="AM362" s="125" t="n"/>
      <c r="AN362" s="125">
        <f>SQRT(((VLOOKUP($AT$4,$A$4:$R$1021,18,FALSE))-R362)^2)</f>
        <v/>
      </c>
      <c r="AO362" s="125" t="n"/>
      <c r="AP362" s="125" t="n"/>
      <c r="AQ362" s="125" t="inlineStr">
        <is>
          <t>W44X290</t>
        </is>
      </c>
      <c r="BB362" s="125">
        <f>SQRT(($J$1022-J362)^2)</f>
        <v/>
      </c>
      <c r="BC362" s="125">
        <f>SQRT(($R$1022-R362)^2)</f>
        <v/>
      </c>
      <c r="BD362" s="125" t="inlineStr">
        <is>
          <t>W44X290</t>
        </is>
      </c>
      <c r="BI362">
        <f>SQRT(($J$1023-J362)^2)</f>
        <v/>
      </c>
      <c r="BJ362">
        <f>SQRT(($R$1023-R362)^2)</f>
        <v/>
      </c>
      <c r="BK362" s="125" t="inlineStr">
        <is>
          <t>W44X290</t>
        </is>
      </c>
      <c r="BP362">
        <f>SQRT(($J$1024-J362)^2)</f>
        <v/>
      </c>
      <c r="BQ362">
        <f>SQRT(($R$1024-R362)^2)</f>
        <v/>
      </c>
      <c r="BR362" s="125" t="inlineStr">
        <is>
          <t>W44X290</t>
        </is>
      </c>
      <c r="BW362">
        <f>SQRT(($J$1025-J362)^2)</f>
        <v/>
      </c>
      <c r="BX362">
        <f>SQRT(($R$1025-R362)^2)</f>
        <v/>
      </c>
      <c r="BY362" s="125" t="inlineStr">
        <is>
          <t>W44X290</t>
        </is>
      </c>
      <c r="CD362">
        <f>SQRT(($J$1026-J362)^2)</f>
        <v/>
      </c>
      <c r="CE362">
        <f>SQRT(($R$1026-R362)^2)</f>
        <v/>
      </c>
      <c r="CF362" s="125" t="inlineStr">
        <is>
          <t>W44X290</t>
        </is>
      </c>
    </row>
    <row r="363">
      <c r="A363" s="125" t="inlineStr">
        <is>
          <t>W44X335</t>
        </is>
      </c>
      <c r="B363" s="129" t="inlineStr">
        <is>
          <t>AISC</t>
        </is>
      </c>
      <c r="C363" s="125" t="n">
        <v>499</v>
      </c>
      <c r="D363" s="125" t="n">
        <v>1118</v>
      </c>
      <c r="E363" s="125" t="n">
        <v>405</v>
      </c>
      <c r="F363" s="125" t="n">
        <v>45</v>
      </c>
      <c r="G363" s="125" t="n">
        <v>26</v>
      </c>
      <c r="H363" s="125" t="n">
        <v>20</v>
      </c>
      <c r="I363" s="125" t="n">
        <v>988</v>
      </c>
      <c r="J363" s="125" t="n">
        <v>635</v>
      </c>
      <c r="K363" s="125">
        <f>((E363-G363)/2)/F363</f>
        <v/>
      </c>
      <c r="L363" s="125">
        <f>I363/G363</f>
        <v/>
      </c>
      <c r="M363" s="125" t="n">
        <v>3.77</v>
      </c>
      <c r="N363" s="125" t="n">
        <v>1294000</v>
      </c>
      <c r="O363" s="125" t="n">
        <v>49980</v>
      </c>
      <c r="P363" s="125" t="n">
        <v>45.1</v>
      </c>
      <c r="Q363" s="125" t="n">
        <v>8.869999999999999</v>
      </c>
      <c r="R363" s="125" t="n">
        <v>23150</v>
      </c>
      <c r="S363" s="125" t="n">
        <v>2468</v>
      </c>
      <c r="T363" s="125" t="n">
        <v>26600</v>
      </c>
      <c r="U363" s="125" t="n">
        <v>3870</v>
      </c>
      <c r="X363" s="129">
        <f t="array" ref="X363">_xlfn.IFS((D363/F363) &lt;= (640/SQRT($AT$32)), "Compact", L363 &lt;= ($AT$32*(0.79-(0.002*((E363-G363/2)/(2*F363))*SQRT($AT$32)))), "Non-Compact", L363 &gt; ($AT$32*(0.79-(0.002*((E363-G363/2)/(2*F363))*SQRT($AT$32)))), "Slender")</f>
        <v/>
      </c>
      <c r="Y363" s="129">
        <f t="array" ref="Y363">_xlfn.IFS(K363 &lt;= (65/SQRT($AT$32)), "Compact", K363 &lt;= (95/SQRT($AT$32)), "Non-Compact", K363 &gt; (95/SQRT($AT$32)), "Slender")</f>
        <v/>
      </c>
      <c r="Z363" s="125">
        <f>E363/F363</f>
        <v/>
      </c>
      <c r="AA363" s="125">
        <f>D363/G363</f>
        <v/>
      </c>
      <c r="AB363" s="125">
        <f t="array" ref="AB363">_xlfn.IFS(Z363 &lt;= 9, "1", Z363 &lt;= 12, "2", Z363 &lt;= 15, "3", Z363 &gt; 15, "4")</f>
        <v/>
      </c>
      <c r="AC363" s="125">
        <f t="array" ref="AC363">_xlfn.IFS(AA363 &lt;= 200, "1", L363 &lt;= 300, "2", L363 &lt;= 400, "3", L363 &gt; 400, "4")</f>
        <v/>
      </c>
      <c r="AD363" s="129">
        <f>SQRT((((VLOOKUP($AT$4,$A$4:$D$1021,4,FALSE))-D363)^2)+(((VLOOKUP($AT$4,$A$4:$E$1021,5,FALSE))-E363)^2)+(((VLOOKUP($AT$4,$A$4:$N$1021,14,FALSE))-N363)^2)+(((VLOOKUP($AT$4,$A$4:$O$1021,15,FALSE))-O363)^2))</f>
        <v/>
      </c>
      <c r="AG363" s="129">
        <f>SQRT((((VLOOKUP($AT$4,$A$4:$D$1021,4,FALSE))-D363)^2)+(((VLOOKUP($AT$4,$A$4:$E$1021,5,FALSE))-E363)^2)+(((VLOOKUP($AT$4,$A$4:$R$1021,18,FALSE))-R363)^2)+(((VLOOKUP($AT$4,$A$4:$S$1021,19,FALSE))-S363)^2))</f>
        <v/>
      </c>
      <c r="AJ363" s="125" t="inlineStr">
        <is>
          <t>W44X335</t>
        </is>
      </c>
      <c r="AK363" s="125">
        <f>SQRT(((VLOOKUP($AT$4,$A$4:$J$1021,10,FALSE))-J363)^2)</f>
        <v/>
      </c>
      <c r="AL363" s="125" t="n"/>
      <c r="AM363" s="125" t="n"/>
      <c r="AN363" s="125">
        <f>SQRT(((VLOOKUP($AT$4,$A$4:$R$1021,18,FALSE))-R363)^2)</f>
        <v/>
      </c>
      <c r="AO363" s="125" t="n"/>
      <c r="AP363" s="125" t="n"/>
      <c r="AQ363" s="125" t="inlineStr">
        <is>
          <t>W44X335</t>
        </is>
      </c>
      <c r="BB363" s="125">
        <f>SQRT(($J$1022-J363)^2)</f>
        <v/>
      </c>
      <c r="BC363" s="125">
        <f>SQRT(($R$1022-R363)^2)</f>
        <v/>
      </c>
      <c r="BD363" s="125" t="inlineStr">
        <is>
          <t>W44X335</t>
        </is>
      </c>
      <c r="BI363">
        <f>SQRT(($J$1023-J363)^2)</f>
        <v/>
      </c>
      <c r="BJ363">
        <f>SQRT(($R$1023-R363)^2)</f>
        <v/>
      </c>
      <c r="BK363" s="125" t="inlineStr">
        <is>
          <t>W44X335</t>
        </is>
      </c>
      <c r="BP363">
        <f>SQRT(($J$1024-J363)^2)</f>
        <v/>
      </c>
      <c r="BQ363">
        <f>SQRT(($R$1024-R363)^2)</f>
        <v/>
      </c>
      <c r="BR363" s="125" t="inlineStr">
        <is>
          <t>W44X335</t>
        </is>
      </c>
      <c r="BW363">
        <f>SQRT(($J$1025-J363)^2)</f>
        <v/>
      </c>
      <c r="BX363">
        <f>SQRT(($R$1025-R363)^2)</f>
        <v/>
      </c>
      <c r="BY363" s="125" t="inlineStr">
        <is>
          <t>W44X335</t>
        </is>
      </c>
      <c r="CD363">
        <f>SQRT(($J$1026-J363)^2)</f>
        <v/>
      </c>
      <c r="CE363">
        <f>SQRT(($R$1026-R363)^2)</f>
        <v/>
      </c>
      <c r="CF363" s="125" t="inlineStr">
        <is>
          <t>W44X335</t>
        </is>
      </c>
    </row>
    <row r="364" customFormat="1" s="83">
      <c r="A364" s="81" t="inlineStr">
        <is>
          <t>HW100</t>
        </is>
      </c>
      <c r="B364" s="82" t="inlineStr">
        <is>
          <t>GB</t>
        </is>
      </c>
      <c r="C364" s="81" t="inlineStr">
        <is>
          <t>16.9</t>
        </is>
      </c>
      <c r="D364" s="81" t="n">
        <v>100</v>
      </c>
      <c r="E364" s="81" t="n">
        <v>100</v>
      </c>
      <c r="F364" s="81" t="n">
        <v>8</v>
      </c>
      <c r="G364" s="81" t="n">
        <v>6</v>
      </c>
      <c r="H364" s="81" t="n">
        <v>8</v>
      </c>
      <c r="I364" s="81">
        <f>D364-(2*(H364+F364))</f>
        <v/>
      </c>
      <c r="J364" s="81" t="n">
        <v>21.59</v>
      </c>
      <c r="K364" s="81">
        <f>((E364-G364)/2)/F364</f>
        <v/>
      </c>
      <c r="L364" s="81">
        <f>I364/G364</f>
        <v/>
      </c>
      <c r="M364" s="81">
        <f>(E364*2+F364*4+((E364-G364)/2-H364)*4+2*PI()*H364+(D364-2*F364-2*H364)*2)/1000</f>
        <v/>
      </c>
      <c r="N364" s="81" t="n">
        <v>386</v>
      </c>
      <c r="O364" s="81" t="n">
        <v>134</v>
      </c>
      <c r="P364" s="81" t="n">
        <v>4.23</v>
      </c>
      <c r="Q364" s="81" t="n">
        <v>2.49</v>
      </c>
      <c r="R364" s="81" t="n">
        <v>77.09999999999999</v>
      </c>
      <c r="S364" s="81" t="n">
        <v>26.7</v>
      </c>
      <c r="T364" s="81">
        <f>(((E364*D364*D364)/4)-(((E364-G364)*(D364-F364-F364)*(D364-F364-F364))/4)+(4*(H364*H364*(D364/2-F364-(H364/2))-((PI()*H364*H364)/4*((D364/2)-F364-(H364-((4*H364)/(3*PI()))))))))/1000</f>
        <v/>
      </c>
      <c r="U364" s="81">
        <f>(((D364*E364*E364)/4)-(2*((D364-F364-F364)*(E364/2-(G364/2))*(((E364/2-(G364/2))/2)+(G364/2))))+(4*(((H364*H364)-(((PI()*H364*H364)/4)))*((H364-((4*H364)/(3*PI())))+(G364/2)))))/1000</f>
        <v/>
      </c>
      <c r="X364" s="129">
        <f t="array" ref="X364">_xlfn.IFS((D364/F364) &lt;= (640/SQRT($AT$32)), "Compact", L364 &lt;= ($AT$32*(0.79-(0.002*((E364-G364/2)/(2*F364))*SQRT($AT$32)))), "Non-Compact", L364 &gt; ($AT$32*(0.79-(0.002*((E364-G364/2)/(2*F364))*SQRT($AT$32)))), "Slender")</f>
        <v/>
      </c>
      <c r="Y364" s="129">
        <f t="array" ref="Y364">_xlfn.IFS(K364 &lt;= (65/SQRT($AT$32)), "Compact", K364 &lt;= (95/SQRT($AT$32)), "Non-Compact", K364 &gt; (95/SQRT($AT$32)), "Slender")</f>
        <v/>
      </c>
      <c r="Z364" s="81">
        <f>E364/F364</f>
        <v/>
      </c>
      <c r="AA364" s="81">
        <f>D364/G364</f>
        <v/>
      </c>
      <c r="AB364" s="81">
        <f t="array" ref="AB364">_xlfn.IFS(Z364 &lt;= 9, "1", Z364 &lt;= 12, "2", Z364 &lt;= 15, "3", Z364 &gt; 15, "4")</f>
        <v/>
      </c>
      <c r="AC364" s="81">
        <f t="array" ref="AC364">_xlfn.IFS(AA364 &lt;= 200, "1", L364 &lt;= 300, "2", L364 &lt;= 400, "3", L364 &gt; 400, "4")</f>
        <v/>
      </c>
      <c r="AD364" s="82" t="n"/>
      <c r="AE364" s="82">
        <f>SQRT((((VLOOKUP($AT$4,$A$4:$D$1021,4,FALSE))-D364)^2)+(((VLOOKUP($AT$4,$A$4:$E$1021,5,FALSE))-E364)^2)+(((VLOOKUP($AT$4,$A$4:$N$1021,14,FALSE))-N364)^2)+(((VLOOKUP($AT$4,$A$4:$O$1021,15,FALSE))-O364)^2))</f>
        <v/>
      </c>
      <c r="AG364" s="82" t="n"/>
      <c r="AH364" s="82">
        <f>SQRT((((VLOOKUP($AT$4,$A$4:$D$1021,4,FALSE))-D364)^2)+(((VLOOKUP($AT$4,$A$4:$E$1021,5,FALSE))-E364)^2)+(((VLOOKUP($AT$4,$A$4:$R$1021,18,FALSE))-R364)^2)+(((VLOOKUP($AT$4,$A$4:$S$1021,19,FALSE))-S364)^2))</f>
        <v/>
      </c>
      <c r="AJ364" s="81" t="inlineStr">
        <is>
          <t>HW100X16.9</t>
        </is>
      </c>
      <c r="AK364" s="81" t="n"/>
      <c r="AL364" s="81">
        <f>SQRT(((VLOOKUP($AT$4,$A$4:$J$1021,10,FALSE))-J364)^2)</f>
        <v/>
      </c>
      <c r="AM364" s="81" t="n"/>
      <c r="AN364" s="81" t="n"/>
      <c r="AO364" s="81">
        <f>SQRT(((VLOOKUP($AT$4,$A$4:$R$1021,18,FALSE))-R364)^2)</f>
        <v/>
      </c>
      <c r="AP364" s="81" t="n"/>
      <c r="AQ364" s="81" t="inlineStr">
        <is>
          <t>HW100</t>
        </is>
      </c>
      <c r="BB364" s="81">
        <f>SQRT(($J$1022-J364)^2)</f>
        <v/>
      </c>
      <c r="BC364" s="81">
        <f>SQRT(($R$1022-R364)^2)</f>
        <v/>
      </c>
      <c r="BD364" s="81" t="inlineStr">
        <is>
          <t>HW100</t>
        </is>
      </c>
      <c r="BH364" s="81" t="n"/>
      <c r="BI364">
        <f>SQRT(($J$1023-J364)^2)</f>
        <v/>
      </c>
      <c r="BJ364">
        <f>SQRT(($R$1023-R364)^2)</f>
        <v/>
      </c>
      <c r="BK364" s="81" t="inlineStr">
        <is>
          <t>HW100</t>
        </is>
      </c>
      <c r="BP364">
        <f>SQRT(($J$1024-J364)^2)</f>
        <v/>
      </c>
      <c r="BQ364">
        <f>SQRT(($R$1024-R364)^2)</f>
        <v/>
      </c>
      <c r="BR364" s="81" t="inlineStr">
        <is>
          <t>HW100</t>
        </is>
      </c>
      <c r="BW364">
        <f>SQRT(($J$1025-J364)^2)</f>
        <v/>
      </c>
      <c r="BX364">
        <f>SQRT(($R$1025-R364)^2)</f>
        <v/>
      </c>
      <c r="BY364" s="81" t="inlineStr">
        <is>
          <t>HW100</t>
        </is>
      </c>
      <c r="CD364">
        <f>SQRT(($J$1026-J364)^2)</f>
        <v/>
      </c>
      <c r="CE364">
        <f>SQRT(($R$1026-R364)^2)</f>
        <v/>
      </c>
      <c r="CF364" s="81" t="inlineStr">
        <is>
          <t>HW100</t>
        </is>
      </c>
    </row>
    <row r="365">
      <c r="A365" s="125" t="inlineStr">
        <is>
          <t>HW125</t>
        </is>
      </c>
      <c r="B365" s="129" t="inlineStr">
        <is>
          <t>GB</t>
        </is>
      </c>
      <c r="C365" s="125" t="inlineStr">
        <is>
          <t>23.6</t>
        </is>
      </c>
      <c r="D365" s="125" t="n">
        <v>125</v>
      </c>
      <c r="E365" s="125" t="n">
        <v>125</v>
      </c>
      <c r="F365" s="125" t="n">
        <v>9</v>
      </c>
      <c r="G365" s="125" t="n">
        <v>6.5</v>
      </c>
      <c r="H365" s="125" t="n">
        <v>8</v>
      </c>
      <c r="I365" s="125">
        <f>D365-(2*(H365+F365))</f>
        <v/>
      </c>
      <c r="J365" s="125" t="n">
        <v>30</v>
      </c>
      <c r="K365" s="125">
        <f>((E365-G365)/2)/F365</f>
        <v/>
      </c>
      <c r="L365" s="125">
        <f>I365/G365</f>
        <v/>
      </c>
      <c r="M365" s="125">
        <f>(E365*2+F365*4+((E365-G365)/2-H365)*4+2*PI()*H365+(D365-2*F365-2*H365)*2)/1000</f>
        <v/>
      </c>
      <c r="N365" s="125" t="n">
        <v>843</v>
      </c>
      <c r="O365" s="125" t="n">
        <v>293</v>
      </c>
      <c r="P365" s="125" t="n">
        <v>5.3</v>
      </c>
      <c r="Q365" s="125" t="n">
        <v>3.13</v>
      </c>
      <c r="R365" s="125" t="n">
        <v>135</v>
      </c>
      <c r="S365" s="125" t="n">
        <v>46.9</v>
      </c>
      <c r="T365" s="125">
        <f>(((E365*D365*D365)/4)-(((E365-G365)*(D365-F365-F365)*(D365-F365-F365))/4)+(4*(H365*H365*(D365/2-F365-(H365/2))-((PI()*H365*H365)/4*((D365/2)-F365-(H365-((4*H365)/(3*PI()))))))))/1000</f>
        <v/>
      </c>
      <c r="U365" s="125">
        <f>(((D365*E365*E365)/4)-(2*((D365-F365-F365)*(E365/2-(G365/2))*(((E365/2-(G365/2))/2)+(G365/2))))+(4*(((H365*H365)-(((PI()*H365*H365)/4)))*((H365-((4*H365)/(3*PI())))+(G365/2)))))/1000</f>
        <v/>
      </c>
      <c r="X365" s="129">
        <f t="array" ref="X365">_xlfn.IFS((D365/F365) &lt;= (640/SQRT($AT$32)), "Compact", L365 &lt;= ($AT$32*(0.79-(0.002*((E365-G365/2)/(2*F365))*SQRT($AT$32)))), "Non-Compact", L365 &gt; ($AT$32*(0.79-(0.002*((E365-G365/2)/(2*F365))*SQRT($AT$32)))), "Slender")</f>
        <v/>
      </c>
      <c r="Y365" s="129">
        <f t="array" ref="Y365">_xlfn.IFS(K365 &lt;= (65/SQRT($AT$32)), "Compact", K365 &lt;= (95/SQRT($AT$32)), "Non-Compact", K365 &gt; (95/SQRT($AT$32)), "Slender")</f>
        <v/>
      </c>
      <c r="Z365" s="125">
        <f>E365/F365</f>
        <v/>
      </c>
      <c r="AA365" s="125">
        <f>D365/G365</f>
        <v/>
      </c>
      <c r="AB365" s="125">
        <f t="array" ref="AB365">_xlfn.IFS(Z365 &lt;= 9, "1", Z365 &lt;= 12, "2", Z365 &lt;= 15, "3", Z365 &gt; 15, "4")</f>
        <v/>
      </c>
      <c r="AC365" s="125">
        <f t="array" ref="AC365">_xlfn.IFS(AA365 &lt;= 200, "1", L365 &lt;= 300, "2", L365 &lt;= 400, "3", L365 &gt; 400, "4")</f>
        <v/>
      </c>
      <c r="AE365" s="129">
        <f>SQRT((((VLOOKUP($AT$4,$A$4:$D$1021,4,FALSE))-D365)^2)+(((VLOOKUP($AT$4,$A$4:$E$1021,5,FALSE))-E365)^2)+(((VLOOKUP($AT$4,$A$4:$N$1021,14,FALSE))-N365)^2)+(((VLOOKUP($AT$4,$A$4:$O$1021,15,FALSE))-O365)^2))</f>
        <v/>
      </c>
      <c r="AG365" s="129" t="n"/>
      <c r="AH365" s="129">
        <f>SQRT((((VLOOKUP($AT$4,$A$4:$D$1021,4,FALSE))-D365)^2)+(((VLOOKUP($AT$4,$A$4:$E$1021,5,FALSE))-E365)^2)+(((VLOOKUP($AT$4,$A$4:$R$1021,18,FALSE))-R365)^2)+(((VLOOKUP($AT$4,$A$4:$S$1021,19,FALSE))-S365)^2))</f>
        <v/>
      </c>
      <c r="AJ365" s="125" t="inlineStr">
        <is>
          <t>HW125X23.6</t>
        </is>
      </c>
      <c r="AK365" s="125" t="n"/>
      <c r="AL365" s="125">
        <f>SQRT(((VLOOKUP($AT$4,$A$4:$J$1021,10,FALSE))-J365)^2)</f>
        <v/>
      </c>
      <c r="AM365" s="125" t="n"/>
      <c r="AN365" s="125" t="n"/>
      <c r="AO365" s="125">
        <f>SQRT(((VLOOKUP($AT$4,$A$4:$R$1021,18,FALSE))-R365)^2)</f>
        <v/>
      </c>
      <c r="AP365" s="125" t="n"/>
      <c r="AQ365" s="125" t="inlineStr">
        <is>
          <t>HW125</t>
        </is>
      </c>
      <c r="BB365" s="125">
        <f>SQRT(($J$1022-J365)^2)</f>
        <v/>
      </c>
      <c r="BC365" s="125">
        <f>SQRT(($R$1022-R365)^2)</f>
        <v/>
      </c>
      <c r="BD365" s="125" t="inlineStr">
        <is>
          <t>HW125</t>
        </is>
      </c>
      <c r="BI365">
        <f>SQRT(($J$1023-J365)^2)</f>
        <v/>
      </c>
      <c r="BJ365">
        <f>SQRT(($R$1023-R365)^2)</f>
        <v/>
      </c>
      <c r="BK365" s="125" t="inlineStr">
        <is>
          <t>HW125</t>
        </is>
      </c>
      <c r="BP365">
        <f>SQRT(($J$1024-J365)^2)</f>
        <v/>
      </c>
      <c r="BQ365">
        <f>SQRT(($R$1024-R365)^2)</f>
        <v/>
      </c>
      <c r="BR365" s="125" t="inlineStr">
        <is>
          <t>HW125</t>
        </is>
      </c>
      <c r="BW365">
        <f>SQRT(($J$1025-J365)^2)</f>
        <v/>
      </c>
      <c r="BX365">
        <f>SQRT(($R$1025-R365)^2)</f>
        <v/>
      </c>
      <c r="BY365" s="125" t="inlineStr">
        <is>
          <t>HW125</t>
        </is>
      </c>
      <c r="CD365">
        <f>SQRT(($J$1026-J365)^2)</f>
        <v/>
      </c>
      <c r="CE365">
        <f>SQRT(($R$1026-R365)^2)</f>
        <v/>
      </c>
      <c r="CF365" s="125" t="inlineStr">
        <is>
          <t>HW125</t>
        </is>
      </c>
    </row>
    <row r="366">
      <c r="A366" s="125" t="inlineStr">
        <is>
          <t>HW150</t>
        </is>
      </c>
      <c r="B366" s="129" t="inlineStr">
        <is>
          <t>GB</t>
        </is>
      </c>
      <c r="C366" s="125" t="inlineStr">
        <is>
          <t>31.1</t>
        </is>
      </c>
      <c r="D366" s="125" t="n">
        <v>150</v>
      </c>
      <c r="E366" s="125" t="n">
        <v>150</v>
      </c>
      <c r="F366" s="125" t="n">
        <v>10</v>
      </c>
      <c r="G366" s="125" t="n">
        <v>7</v>
      </c>
      <c r="H366" s="125" t="n">
        <v>8</v>
      </c>
      <c r="I366" s="125">
        <f>D366-(2*(H366+F366))</f>
        <v/>
      </c>
      <c r="J366" s="125" t="n">
        <v>39.65</v>
      </c>
      <c r="K366" s="125">
        <f>((E366-G366)/2)/F366</f>
        <v/>
      </c>
      <c r="L366" s="125">
        <f>I366/G366</f>
        <v/>
      </c>
      <c r="M366" s="125">
        <f>(E366*2+F366*4+((E366-G366)/2-H366)*4+2*PI()*H366+(D366-2*F366-2*H366)*2)/1000</f>
        <v/>
      </c>
      <c r="N366" s="5" t="n">
        <v>1620</v>
      </c>
      <c r="O366" s="125" t="n">
        <v>563</v>
      </c>
      <c r="P366" s="125" t="n">
        <v>6.39</v>
      </c>
      <c r="Q366" s="125" t="n">
        <v>3.77</v>
      </c>
      <c r="R366" s="125" t="n">
        <v>216</v>
      </c>
      <c r="S366" s="125" t="n">
        <v>75.09999999999999</v>
      </c>
      <c r="T366" s="125">
        <f>(((E366*D366*D366)/4)-(((E366-G366)*(D366-F366-F366)*(D366-F366-F366))/4)+(4*(H366*H366*(D366/2-F366-(H366/2))-((PI()*H366*H366)/4*((D366/2)-F366-(H366-((4*H366)/(3*PI()))))))))/1000</f>
        <v/>
      </c>
      <c r="U366" s="125">
        <f>(((D366*E366*E366)/4)-(2*((D366-F366-F366)*(E366/2-(G366/2))*(((E366/2-(G366/2))/2)+(G366/2))))+(4*(((H366*H366)-(((PI()*H366*H366)/4)))*((H366-((4*H366)/(3*PI())))+(G366/2)))))/1000</f>
        <v/>
      </c>
      <c r="X366" s="129">
        <f t="array" ref="X366">_xlfn.IFS((D366/F366) &lt;= (640/SQRT($AT$32)), "Compact", L366 &lt;= ($AT$32*(0.79-(0.002*((E366-G366/2)/(2*F366))*SQRT($AT$32)))), "Non-Compact", L366 &gt; ($AT$32*(0.79-(0.002*((E366-G366/2)/(2*F366))*SQRT($AT$32)))), "Slender")</f>
        <v/>
      </c>
      <c r="Y366" s="129">
        <f t="array" ref="Y366">_xlfn.IFS(K366 &lt;= (65/SQRT($AT$32)), "Compact", K366 &lt;= (95/SQRT($AT$32)), "Non-Compact", K366 &gt; (95/SQRT($AT$32)), "Slender")</f>
        <v/>
      </c>
      <c r="Z366" s="125">
        <f>E366/F366</f>
        <v/>
      </c>
      <c r="AA366" s="125">
        <f>D366/G366</f>
        <v/>
      </c>
      <c r="AB366" s="125">
        <f t="array" ref="AB366">_xlfn.IFS(Z366 &lt;= 9, "1", Z366 &lt;= 12, "2", Z366 &lt;= 15, "3", Z366 &gt; 15, "4")</f>
        <v/>
      </c>
      <c r="AC366" s="125">
        <f t="array" ref="AC366">_xlfn.IFS(AA366 &lt;= 200, "1", L366 &lt;= 300, "2", L366 &lt;= 400, "3", L366 &gt; 400, "4")</f>
        <v/>
      </c>
      <c r="AE366" s="129">
        <f>SQRT((((VLOOKUP($AT$4,$A$4:$D$1021,4,FALSE))-D366)^2)+(((VLOOKUP($AT$4,$A$4:$E$1021,5,FALSE))-E366)^2)+(((VLOOKUP($AT$4,$A$4:$N$1021,14,FALSE))-N366)^2)+(((VLOOKUP($AT$4,$A$4:$O$1021,15,FALSE))-O366)^2))</f>
        <v/>
      </c>
      <c r="AG366" s="129" t="n"/>
      <c r="AH366" s="129">
        <f>SQRT((((VLOOKUP($AT$4,$A$4:$D$1021,4,FALSE))-D366)^2)+(((VLOOKUP($AT$4,$A$4:$E$1021,5,FALSE))-E366)^2)+(((VLOOKUP($AT$4,$A$4:$R$1021,18,FALSE))-R366)^2)+(((VLOOKUP($AT$4,$A$4:$S$1021,19,FALSE))-S366)^2))</f>
        <v/>
      </c>
      <c r="AJ366" s="125" t="inlineStr">
        <is>
          <t>HW150X31.1</t>
        </is>
      </c>
      <c r="AK366" s="125" t="n"/>
      <c r="AL366" s="125">
        <f>SQRT(((VLOOKUP($AT$4,$A$4:$J$1021,10,FALSE))-J366)^2)</f>
        <v/>
      </c>
      <c r="AM366" s="125" t="n"/>
      <c r="AN366" s="125" t="n"/>
      <c r="AO366" s="125">
        <f>SQRT(((VLOOKUP($AT$4,$A$4:$R$1021,18,FALSE))-R366)^2)</f>
        <v/>
      </c>
      <c r="AP366" s="125" t="n"/>
      <c r="AQ366" s="125" t="inlineStr">
        <is>
          <t>HW150</t>
        </is>
      </c>
      <c r="BB366" s="125">
        <f>SQRT(($J$1022-J366)^2)</f>
        <v/>
      </c>
      <c r="BC366" s="125">
        <f>SQRT(($R$1022-R366)^2)</f>
        <v/>
      </c>
      <c r="BD366" s="125" t="inlineStr">
        <is>
          <t>HW150</t>
        </is>
      </c>
      <c r="BI366">
        <f>SQRT(($J$1023-J366)^2)</f>
        <v/>
      </c>
      <c r="BJ366">
        <f>SQRT(($R$1023-R366)^2)</f>
        <v/>
      </c>
      <c r="BK366" s="125" t="inlineStr">
        <is>
          <t>HW150</t>
        </is>
      </c>
      <c r="BP366">
        <f>SQRT(($J$1024-J366)^2)</f>
        <v/>
      </c>
      <c r="BQ366">
        <f>SQRT(($R$1024-R366)^2)</f>
        <v/>
      </c>
      <c r="BR366" s="125" t="inlineStr">
        <is>
          <t>HW150</t>
        </is>
      </c>
      <c r="BW366">
        <f>SQRT(($J$1025-J366)^2)</f>
        <v/>
      </c>
      <c r="BX366">
        <f>SQRT(($R$1025-R366)^2)</f>
        <v/>
      </c>
      <c r="BY366" s="125" t="inlineStr">
        <is>
          <t>HW150</t>
        </is>
      </c>
      <c r="CD366">
        <f>SQRT(($J$1026-J366)^2)</f>
        <v/>
      </c>
      <c r="CE366">
        <f>SQRT(($R$1026-R366)^2)</f>
        <v/>
      </c>
      <c r="CF366" s="125" t="inlineStr">
        <is>
          <t>HW150</t>
        </is>
      </c>
    </row>
    <row r="367">
      <c r="A367" s="125" t="inlineStr">
        <is>
          <t>HW175</t>
        </is>
      </c>
      <c r="B367" s="129" t="inlineStr">
        <is>
          <t>GB</t>
        </is>
      </c>
      <c r="C367" s="125" t="inlineStr">
        <is>
          <t>40.4</t>
        </is>
      </c>
      <c r="D367" s="125" t="n">
        <v>175</v>
      </c>
      <c r="E367" s="125" t="n">
        <v>175</v>
      </c>
      <c r="F367" s="125" t="n">
        <v>11</v>
      </c>
      <c r="G367" s="125" t="n">
        <v>7.5</v>
      </c>
      <c r="H367" s="125" t="n">
        <v>13</v>
      </c>
      <c r="I367" s="125">
        <f>D367-(2*(H367+F367))</f>
        <v/>
      </c>
      <c r="J367" s="125" t="n">
        <v>51.43</v>
      </c>
      <c r="K367" s="125">
        <f>((E367-G367)/2)/F367</f>
        <v/>
      </c>
      <c r="L367" s="125">
        <f>I367/G367</f>
        <v/>
      </c>
      <c r="M367" s="125">
        <f>(E367*2+F367*4+((E367-G367)/2-H367)*4+2*PI()*H367+(D367-2*F367-2*H367)*2)/1000</f>
        <v/>
      </c>
      <c r="N367" s="5" t="n">
        <v>2918</v>
      </c>
      <c r="O367" s="125" t="n">
        <v>983</v>
      </c>
      <c r="P367" s="125" t="n">
        <v>7.53</v>
      </c>
      <c r="Q367" s="125" t="n">
        <v>4.37</v>
      </c>
      <c r="R367" s="125" t="n">
        <v>334</v>
      </c>
      <c r="S367" s="125" t="n">
        <v>112</v>
      </c>
      <c r="T367" s="125">
        <f>(((E367*D367*D367)/4)-(((E367-G367)*(D367-F367-F367)*(D367-F367-F367))/4)+(4*(H367*H367*(D367/2-F367-(H367/2))-((PI()*H367*H367)/4*((D367/2)-F367-(H367-((4*H367)/(3*PI()))))))))/1000</f>
        <v/>
      </c>
      <c r="U367" s="125">
        <f>(((D367*E367*E367)/4)-(2*((D367-F367-F367)*(E367/2-(G367/2))*(((E367/2-(G367/2))/2)+(G367/2))))+(4*(((H367*H367)-(((PI()*H367*H367)/4)))*((H367-((4*H367)/(3*PI())))+(G367/2)))))/1000</f>
        <v/>
      </c>
      <c r="X367" s="129">
        <f t="array" ref="X367">_xlfn.IFS((D367/F367) &lt;= (640/SQRT($AT$32)), "Compact", L367 &lt;= ($AT$32*(0.79-(0.002*((E367-G367/2)/(2*F367))*SQRT($AT$32)))), "Non-Compact", L367 &gt; ($AT$32*(0.79-(0.002*((E367-G367/2)/(2*F367))*SQRT($AT$32)))), "Slender")</f>
        <v/>
      </c>
      <c r="Y367" s="129">
        <f t="array" ref="Y367">_xlfn.IFS(K367 &lt;= (65/SQRT($AT$32)), "Compact", K367 &lt;= (95/SQRT($AT$32)), "Non-Compact", K367 &gt; (95/SQRT($AT$32)), "Slender")</f>
        <v/>
      </c>
      <c r="Z367" s="125">
        <f>E367/F367</f>
        <v/>
      </c>
      <c r="AA367" s="125">
        <f>D367/G367</f>
        <v/>
      </c>
      <c r="AB367" s="125">
        <f t="array" ref="AB367">_xlfn.IFS(Z367 &lt;= 9, "1", Z367 &lt;= 12, "2", Z367 &lt;= 15, "3", Z367 &gt; 15, "4")</f>
        <v/>
      </c>
      <c r="AC367" s="125">
        <f t="array" ref="AC367">_xlfn.IFS(AA367 &lt;= 200, "1", L367 &lt;= 300, "2", L367 &lt;= 400, "3", L367 &gt; 400, "4")</f>
        <v/>
      </c>
      <c r="AE367" s="129">
        <f>SQRT((((VLOOKUP($AT$4,$A$4:$D$1021,4,FALSE))-D367)^2)+(((VLOOKUP($AT$4,$A$4:$E$1021,5,FALSE))-E367)^2)+(((VLOOKUP($AT$4,$A$4:$N$1021,14,FALSE))-N367)^2)+(((VLOOKUP($AT$4,$A$4:$O$1021,15,FALSE))-O367)^2))</f>
        <v/>
      </c>
      <c r="AG367" s="129" t="n"/>
      <c r="AH367" s="129">
        <f>SQRT((((VLOOKUP($AT$4,$A$4:$D$1021,4,FALSE))-D367)^2)+(((VLOOKUP($AT$4,$A$4:$E$1021,5,FALSE))-E367)^2)+(((VLOOKUP($AT$4,$A$4:$R$1021,18,FALSE))-R367)^2)+(((VLOOKUP($AT$4,$A$4:$S$1021,19,FALSE))-S367)^2))</f>
        <v/>
      </c>
      <c r="AJ367" s="125" t="inlineStr">
        <is>
          <t>HW175X40.4</t>
        </is>
      </c>
      <c r="AK367" s="125" t="n"/>
      <c r="AL367" s="125">
        <f>SQRT(((VLOOKUP($AT$4,$A$4:$J$1021,10,FALSE))-J367)^2)</f>
        <v/>
      </c>
      <c r="AM367" s="125" t="n"/>
      <c r="AN367" s="125" t="n"/>
      <c r="AO367" s="125">
        <f>SQRT(((VLOOKUP($AT$4,$A$4:$R$1021,18,FALSE))-R367)^2)</f>
        <v/>
      </c>
      <c r="AP367" s="125" t="n"/>
      <c r="AQ367" s="125" t="inlineStr">
        <is>
          <t>HW175</t>
        </is>
      </c>
      <c r="BB367" s="125">
        <f>SQRT(($J$1022-J367)^2)</f>
        <v/>
      </c>
      <c r="BC367" s="125">
        <f>SQRT(($R$1022-R367)^2)</f>
        <v/>
      </c>
      <c r="BD367" s="125" t="inlineStr">
        <is>
          <t>HW175</t>
        </is>
      </c>
      <c r="BI367">
        <f>SQRT(($J$1023-J367)^2)</f>
        <v/>
      </c>
      <c r="BJ367">
        <f>SQRT(($R$1023-R367)^2)</f>
        <v/>
      </c>
      <c r="BK367" s="125" t="inlineStr">
        <is>
          <t>HW175</t>
        </is>
      </c>
      <c r="BP367">
        <f>SQRT(($J$1024-J367)^2)</f>
        <v/>
      </c>
      <c r="BQ367">
        <f>SQRT(($R$1024-R367)^2)</f>
        <v/>
      </c>
      <c r="BR367" s="125" t="inlineStr">
        <is>
          <t>HW175</t>
        </is>
      </c>
      <c r="BW367">
        <f>SQRT(($J$1025-J367)^2)</f>
        <v/>
      </c>
      <c r="BX367">
        <f>SQRT(($R$1025-R367)^2)</f>
        <v/>
      </c>
      <c r="BY367" s="125" t="inlineStr">
        <is>
          <t>HW175</t>
        </is>
      </c>
      <c r="CD367">
        <f>SQRT(($J$1026-J367)^2)</f>
        <v/>
      </c>
      <c r="CE367">
        <f>SQRT(($R$1026-R367)^2)</f>
        <v/>
      </c>
      <c r="CF367" s="125" t="inlineStr">
        <is>
          <t>HW175</t>
        </is>
      </c>
    </row>
    <row r="368">
      <c r="A368" s="125" t="inlineStr">
        <is>
          <t>HW200X200</t>
        </is>
      </c>
      <c r="B368" s="129" t="inlineStr">
        <is>
          <t>GB</t>
        </is>
      </c>
      <c r="C368" s="125" t="inlineStr">
        <is>
          <t>49.9</t>
        </is>
      </c>
      <c r="D368" s="125" t="n">
        <v>200</v>
      </c>
      <c r="E368" s="125" t="n">
        <v>200</v>
      </c>
      <c r="F368" s="125" t="n">
        <v>12</v>
      </c>
      <c r="G368" s="125" t="n">
        <v>8</v>
      </c>
      <c r="H368" s="125" t="n">
        <v>13</v>
      </c>
      <c r="I368" s="125">
        <f>D368-(2*(H368+F368))</f>
        <v/>
      </c>
      <c r="J368" s="125" t="n">
        <v>63.53</v>
      </c>
      <c r="K368" s="125">
        <f>((E368-G368)/2)/F368</f>
        <v/>
      </c>
      <c r="L368" s="125">
        <f>I368/G368</f>
        <v/>
      </c>
      <c r="M368" s="125">
        <f>(E368*2+F368*4+((E368-G368)/2-H368)*4+2*PI()*H368+(D368-2*F368-2*H368)*2)/1000</f>
        <v/>
      </c>
      <c r="N368" s="5" t="n">
        <v>4717</v>
      </c>
      <c r="O368" s="5" t="n">
        <v>1601</v>
      </c>
      <c r="P368" s="125" t="n">
        <v>8.619999999999999</v>
      </c>
      <c r="Q368" s="125" t="n">
        <v>5.02</v>
      </c>
      <c r="R368" s="125" t="n">
        <v>472</v>
      </c>
      <c r="S368" s="125" t="n">
        <v>160</v>
      </c>
      <c r="T368" s="125">
        <f>(((E368*D368*D368)/4)-(((E368-G368)*(D368-F368-F368)*(D368-F368-F368))/4)+(4*(H368*H368*(D368/2-F368-(H368/2))-((PI()*H368*H368)/4*((D368/2)-F368-(H368-((4*H368)/(3*PI()))))))))/1000</f>
        <v/>
      </c>
      <c r="U368" s="125">
        <f>(((D368*E368*E368)/4)-(2*((D368-F368-F368)*(E368/2-(G368/2))*(((E368/2-(G368/2))/2)+(G368/2))))+(4*(((H368*H368)-(((PI()*H368*H368)/4)))*((H368-((4*H368)/(3*PI())))+(G368/2)))))/1000</f>
        <v/>
      </c>
      <c r="X368" s="129">
        <f t="array" ref="X368">_xlfn.IFS((D368/F368) &lt;= (640/SQRT($AT$32)), "Compact", L368 &lt;= ($AT$32*(0.79-(0.002*((E368-G368/2)/(2*F368))*SQRT($AT$32)))), "Non-Compact", L368 &gt; ($AT$32*(0.79-(0.002*((E368-G368/2)/(2*F368))*SQRT($AT$32)))), "Slender")</f>
        <v/>
      </c>
      <c r="Y368" s="129">
        <f t="array" ref="Y368">_xlfn.IFS(K368 &lt;= (65/SQRT($AT$32)), "Compact", K368 &lt;= (95/SQRT($AT$32)), "Non-Compact", K368 &gt; (95/SQRT($AT$32)), "Slender")</f>
        <v/>
      </c>
      <c r="Z368" s="125">
        <f>E368/F368</f>
        <v/>
      </c>
      <c r="AA368" s="125">
        <f>D368/G368</f>
        <v/>
      </c>
      <c r="AB368" s="125">
        <f t="array" ref="AB368">_xlfn.IFS(Z368 &lt;= 9, "1", Z368 &lt;= 12, "2", Z368 &lt;= 15, "3", Z368 &gt; 15, "4")</f>
        <v/>
      </c>
      <c r="AC368" s="125">
        <f t="array" ref="AC368">_xlfn.IFS(AA368 &lt;= 200, "1", L368 &lt;= 300, "2", L368 &lt;= 400, "3", L368 &gt; 400, "4")</f>
        <v/>
      </c>
      <c r="AE368" s="129">
        <f>SQRT((((VLOOKUP($AT$4,$A$4:$D$1021,4,FALSE))-D368)^2)+(((VLOOKUP($AT$4,$A$4:$E$1021,5,FALSE))-E368)^2)+(((VLOOKUP($AT$4,$A$4:$N$1021,14,FALSE))-N368)^2)+(((VLOOKUP($AT$4,$A$4:$O$1021,15,FALSE))-O368)^2))</f>
        <v/>
      </c>
      <c r="AG368" s="129" t="n"/>
      <c r="AH368" s="129">
        <f>SQRT((((VLOOKUP($AT$4,$A$4:$D$1021,4,FALSE))-D368)^2)+(((VLOOKUP($AT$4,$A$4:$E$1021,5,FALSE))-E368)^2)+(((VLOOKUP($AT$4,$A$4:$R$1021,18,FALSE))-R368)^2)+(((VLOOKUP($AT$4,$A$4:$S$1021,19,FALSE))-S368)^2))</f>
        <v/>
      </c>
      <c r="AJ368" s="125" t="inlineStr">
        <is>
          <t>HW200X49.9</t>
        </is>
      </c>
      <c r="AK368" s="125" t="n"/>
      <c r="AL368" s="125">
        <f>SQRT(((VLOOKUP($AT$4,$A$4:$J$1021,10,FALSE))-J368)^2)</f>
        <v/>
      </c>
      <c r="AM368" s="125" t="n"/>
      <c r="AN368" s="125" t="n"/>
      <c r="AO368" s="125">
        <f>SQRT(((VLOOKUP($AT$4,$A$4:$R$1021,18,FALSE))-R368)^2)</f>
        <v/>
      </c>
      <c r="AP368" s="125" t="n"/>
      <c r="AQ368" s="125" t="inlineStr">
        <is>
          <t>HW200X200</t>
        </is>
      </c>
      <c r="BB368" s="125">
        <f>SQRT(($J$1022-J368)^2)</f>
        <v/>
      </c>
      <c r="BC368" s="125">
        <f>SQRT(($R$1022-R368)^2)</f>
        <v/>
      </c>
      <c r="BD368" s="125" t="inlineStr">
        <is>
          <t>HW200X200</t>
        </is>
      </c>
      <c r="BI368">
        <f>SQRT(($J$1023-J368)^2)</f>
        <v/>
      </c>
      <c r="BJ368">
        <f>SQRT(($R$1023-R368)^2)</f>
        <v/>
      </c>
      <c r="BK368" s="125" t="inlineStr">
        <is>
          <t>HW200X200</t>
        </is>
      </c>
      <c r="BP368">
        <f>SQRT(($J$1024-J368)^2)</f>
        <v/>
      </c>
      <c r="BQ368">
        <f>SQRT(($R$1024-R368)^2)</f>
        <v/>
      </c>
      <c r="BR368" s="125" t="inlineStr">
        <is>
          <t>HW200X200</t>
        </is>
      </c>
      <c r="BW368">
        <f>SQRT(($J$1025-J368)^2)</f>
        <v/>
      </c>
      <c r="BX368">
        <f>SQRT(($R$1025-R368)^2)</f>
        <v/>
      </c>
      <c r="BY368" s="125" t="inlineStr">
        <is>
          <t>HW200X200</t>
        </is>
      </c>
      <c r="CD368">
        <f>SQRT(($J$1026-J368)^2)</f>
        <v/>
      </c>
      <c r="CE368">
        <f>SQRT(($R$1026-R368)^2)</f>
        <v/>
      </c>
      <c r="CF368" s="125" t="inlineStr">
        <is>
          <t>HW200X200</t>
        </is>
      </c>
    </row>
    <row r="369">
      <c r="A369" s="125" t="inlineStr">
        <is>
          <t>HW200X204</t>
        </is>
      </c>
      <c r="B369" s="129" t="inlineStr">
        <is>
          <t>GB</t>
        </is>
      </c>
      <c r="C369" s="125" t="inlineStr">
        <is>
          <t>56.2</t>
        </is>
      </c>
      <c r="D369" s="125" t="n">
        <v>200</v>
      </c>
      <c r="E369" s="125" t="n">
        <v>204</v>
      </c>
      <c r="F369" s="125" t="n">
        <v>12</v>
      </c>
      <c r="G369" s="125" t="n">
        <v>12</v>
      </c>
      <c r="H369" s="125" t="n">
        <v>13</v>
      </c>
      <c r="I369" s="125">
        <f>D369-(2*(H369+F369))</f>
        <v/>
      </c>
      <c r="J369" s="125" t="n">
        <v>71.53</v>
      </c>
      <c r="K369" s="125">
        <f>((E369-G369)/2)/F369</f>
        <v/>
      </c>
      <c r="L369" s="125">
        <f>I369/G369</f>
        <v/>
      </c>
      <c r="M369" s="125">
        <f>(E369*2+F369*4+((E369-G369)/2-H369)*4+2*PI()*H369+(D369-2*F369-2*H369)*2)/1000</f>
        <v/>
      </c>
      <c r="N369" s="5" t="n">
        <v>4984</v>
      </c>
      <c r="O369" s="5" t="n">
        <v>1701</v>
      </c>
      <c r="P369" s="125" t="n">
        <v>8.35</v>
      </c>
      <c r="Q369" s="125" t="n">
        <v>4.88</v>
      </c>
      <c r="R369" s="125" t="n">
        <v>498</v>
      </c>
      <c r="S369" s="125" t="n">
        <v>167</v>
      </c>
      <c r="T369" s="125">
        <f>(((E369*D369*D369)/4)-(((E369-G369)*(D369-F369-F369)*(D369-F369-F369))/4)+(4*(H369*H369*(D369/2-F369-(H369/2))-((PI()*H369*H369)/4*((D369/2)-F369-(H369-((4*H369)/(3*PI()))))))))/1000</f>
        <v/>
      </c>
      <c r="U369" s="125">
        <f>(((D369*E369*E369)/4)-(2*((D369-F369-F369)*(E369/2-(G369/2))*(((E369/2-(G369/2))/2)+(G369/2))))+(4*(((H369*H369)-(((PI()*H369*H369)/4)))*((H369-((4*H369)/(3*PI())))+(G369/2)))))/1000</f>
        <v/>
      </c>
      <c r="X369" s="129">
        <f t="array" ref="X369">_xlfn.IFS((D369/F369) &lt;= (640/SQRT($AT$32)), "Compact", L369 &lt;= ($AT$32*(0.79-(0.002*((E369-G369/2)/(2*F369))*SQRT($AT$32)))), "Non-Compact", L369 &gt; ($AT$32*(0.79-(0.002*((E369-G369/2)/(2*F369))*SQRT($AT$32)))), "Slender")</f>
        <v/>
      </c>
      <c r="Y369" s="129">
        <f t="array" ref="Y369">_xlfn.IFS(K369 &lt;= (65/SQRT($AT$32)), "Compact", K369 &lt;= (95/SQRT($AT$32)), "Non-Compact", K369 &gt; (95/SQRT($AT$32)), "Slender")</f>
        <v/>
      </c>
      <c r="Z369" s="125">
        <f>E369/F369</f>
        <v/>
      </c>
      <c r="AA369" s="125">
        <f>D369/G369</f>
        <v/>
      </c>
      <c r="AB369" s="125">
        <f t="array" ref="AB369">_xlfn.IFS(Z369 &lt;= 9, "1", Z369 &lt;= 12, "2", Z369 &lt;= 15, "3", Z369 &gt; 15, "4")</f>
        <v/>
      </c>
      <c r="AC369" s="125">
        <f t="array" ref="AC369">_xlfn.IFS(AA369 &lt;= 200, "1", L369 &lt;= 300, "2", L369 &lt;= 400, "3", L369 &gt; 400, "4")</f>
        <v/>
      </c>
      <c r="AE369" s="129">
        <f>SQRT((((VLOOKUP($AT$4,$A$4:$D$1021,4,FALSE))-D369)^2)+(((VLOOKUP($AT$4,$A$4:$E$1021,5,FALSE))-E369)^2)+(((VLOOKUP($AT$4,$A$4:$N$1021,14,FALSE))-N369)^2)+(((VLOOKUP($AT$4,$A$4:$O$1021,15,FALSE))-O369)^2))</f>
        <v/>
      </c>
      <c r="AG369" s="129" t="n"/>
      <c r="AH369" s="129">
        <f>SQRT((((VLOOKUP($AT$4,$A$4:$D$1021,4,FALSE))-D369)^2)+(((VLOOKUP($AT$4,$A$4:$E$1021,5,FALSE))-E369)^2)+(((VLOOKUP($AT$4,$A$4:$R$1021,18,FALSE))-R369)^2)+(((VLOOKUP($AT$4,$A$4:$S$1021,19,FALSE))-S369)^2))</f>
        <v/>
      </c>
      <c r="AJ369" s="125" t="inlineStr">
        <is>
          <t>HW200X56.2</t>
        </is>
      </c>
      <c r="AK369" s="125" t="n"/>
      <c r="AL369" s="125">
        <f>SQRT(((VLOOKUP($AT$4,$A$4:$J$1021,10,FALSE))-J369)^2)</f>
        <v/>
      </c>
      <c r="AM369" s="125" t="n"/>
      <c r="AN369" s="125" t="n"/>
      <c r="AO369" s="125">
        <f>SQRT(((VLOOKUP($AT$4,$A$4:$R$1021,18,FALSE))-R369)^2)</f>
        <v/>
      </c>
      <c r="AP369" s="125" t="n"/>
      <c r="AQ369" s="125" t="inlineStr">
        <is>
          <t>HW200X204</t>
        </is>
      </c>
      <c r="BB369" s="125">
        <f>SQRT(($J$1022-J369)^2)</f>
        <v/>
      </c>
      <c r="BC369" s="125">
        <f>SQRT(($R$1022-R369)^2)</f>
        <v/>
      </c>
      <c r="BD369" s="125" t="inlineStr">
        <is>
          <t>HW200X204</t>
        </is>
      </c>
      <c r="BI369">
        <f>SQRT(($J$1023-J369)^2)</f>
        <v/>
      </c>
      <c r="BJ369">
        <f>SQRT(($R$1023-R369)^2)</f>
        <v/>
      </c>
      <c r="BK369" s="125" t="inlineStr">
        <is>
          <t>HW200X204</t>
        </is>
      </c>
      <c r="BP369">
        <f>SQRT(($J$1024-J369)^2)</f>
        <v/>
      </c>
      <c r="BQ369">
        <f>SQRT(($R$1024-R369)^2)</f>
        <v/>
      </c>
      <c r="BR369" s="125" t="inlineStr">
        <is>
          <t>HW200X204</t>
        </is>
      </c>
      <c r="BW369">
        <f>SQRT(($J$1025-J369)^2)</f>
        <v/>
      </c>
      <c r="BX369">
        <f>SQRT(($R$1025-R369)^2)</f>
        <v/>
      </c>
      <c r="BY369" s="125" t="inlineStr">
        <is>
          <t>HW200X204</t>
        </is>
      </c>
      <c r="CD369">
        <f>SQRT(($J$1026-J369)^2)</f>
        <v/>
      </c>
      <c r="CE369">
        <f>SQRT(($R$1026-R369)^2)</f>
        <v/>
      </c>
      <c r="CF369" s="125" t="inlineStr">
        <is>
          <t>HW200X204</t>
        </is>
      </c>
    </row>
    <row r="370">
      <c r="A370" s="125" t="inlineStr">
        <is>
          <t>HW244</t>
        </is>
      </c>
      <c r="B370" s="129" t="inlineStr">
        <is>
          <t>GB</t>
        </is>
      </c>
      <c r="C370" s="125" t="inlineStr">
        <is>
          <t>63.8</t>
        </is>
      </c>
      <c r="D370" s="125" t="n">
        <v>244</v>
      </c>
      <c r="E370" s="125" t="n">
        <v>252</v>
      </c>
      <c r="F370" s="125" t="n">
        <v>11</v>
      </c>
      <c r="G370" s="125" t="n">
        <v>11</v>
      </c>
      <c r="H370" s="125" t="n">
        <v>13</v>
      </c>
      <c r="I370" s="125">
        <f>D370-(2*(H370+F370))</f>
        <v/>
      </c>
      <c r="J370" s="125" t="n">
        <v>81.31</v>
      </c>
      <c r="K370" s="125">
        <f>((E370-G370)/2)/F370</f>
        <v/>
      </c>
      <c r="L370" s="125">
        <f>I370/G370</f>
        <v/>
      </c>
      <c r="M370" s="125">
        <f>(E370*2+F370*4+((E370-G370)/2-H370)*4+2*PI()*H370+(D370-2*F370-2*H370)*2)/1000</f>
        <v/>
      </c>
      <c r="N370" s="5" t="n">
        <v>8573</v>
      </c>
      <c r="O370" s="5" t="n">
        <v>2937</v>
      </c>
      <c r="P370" s="125" t="n">
        <v>10.27</v>
      </c>
      <c r="Q370" s="125" t="n">
        <v>6.01</v>
      </c>
      <c r="R370" s="125" t="n">
        <v>703</v>
      </c>
      <c r="S370" s="125" t="n">
        <v>233</v>
      </c>
      <c r="T370" s="125">
        <f>(((E370*D370*D370)/4)-(((E370-G370)*(D370-F370-F370)*(D370-F370-F370))/4)+(4*(H370*H370*(D370/2-F370-(H370/2))-((PI()*H370*H370)/4*((D370/2)-F370-(H370-((4*H370)/(3*PI()))))))))/1000</f>
        <v/>
      </c>
      <c r="U370" s="125">
        <f>(((D370*E370*E370)/4)-(2*((D370-F370-F370)*(E370/2-(G370/2))*(((E370/2-(G370/2))/2)+(G370/2))))+(4*(((H370*H370)-(((PI()*H370*H370)/4)))*((H370-((4*H370)/(3*PI())))+(G370/2)))))/1000</f>
        <v/>
      </c>
      <c r="X370" s="129">
        <f t="array" ref="X370">_xlfn.IFS((D370/F370) &lt;= (640/SQRT($AT$32)), "Compact", L370 &lt;= ($AT$32*(0.79-(0.002*((E370-G370/2)/(2*F370))*SQRT($AT$32)))), "Non-Compact", L370 &gt; ($AT$32*(0.79-(0.002*((E370-G370/2)/(2*F370))*SQRT($AT$32)))), "Slender")</f>
        <v/>
      </c>
      <c r="Y370" s="129">
        <f t="array" ref="Y370">_xlfn.IFS(K370 &lt;= (65/SQRT($AT$32)), "Compact", K370 &lt;= (95/SQRT($AT$32)), "Non-Compact", K370 &gt; (95/SQRT($AT$32)), "Slender")</f>
        <v/>
      </c>
      <c r="Z370" s="125">
        <f>E370/F370</f>
        <v/>
      </c>
      <c r="AA370" s="125">
        <f>D370/G370</f>
        <v/>
      </c>
      <c r="AB370" s="125">
        <f t="array" ref="AB370">_xlfn.IFS(Z370 &lt;= 9, "1", Z370 &lt;= 12, "2", Z370 &lt;= 15, "3", Z370 &gt; 15, "4")</f>
        <v/>
      </c>
      <c r="AC370" s="125">
        <f t="array" ref="AC370">_xlfn.IFS(AA370 &lt;= 200, "1", L370 &lt;= 300, "2", L370 &lt;= 400, "3", L370 &gt; 400, "4")</f>
        <v/>
      </c>
      <c r="AE370" s="129">
        <f>SQRT((((VLOOKUP($AT$4,$A$4:$D$1021,4,FALSE))-D370)^2)+(((VLOOKUP($AT$4,$A$4:$E$1021,5,FALSE))-E370)^2)+(((VLOOKUP($AT$4,$A$4:$N$1021,14,FALSE))-N370)^2)+(((VLOOKUP($AT$4,$A$4:$O$1021,15,FALSE))-O370)^2))</f>
        <v/>
      </c>
      <c r="AG370" s="129" t="n"/>
      <c r="AH370" s="129">
        <f>SQRT((((VLOOKUP($AT$4,$A$4:$D$1021,4,FALSE))-D370)^2)+(((VLOOKUP($AT$4,$A$4:$E$1021,5,FALSE))-E370)^2)+(((VLOOKUP($AT$4,$A$4:$R$1021,18,FALSE))-R370)^2)+(((VLOOKUP($AT$4,$A$4:$S$1021,19,FALSE))-S370)^2))</f>
        <v/>
      </c>
      <c r="AJ370" s="125" t="inlineStr">
        <is>
          <t>HW250X63.8</t>
        </is>
      </c>
      <c r="AK370" s="125" t="n"/>
      <c r="AL370" s="125">
        <f>SQRT(((VLOOKUP($AT$4,$A$4:$J$1021,10,FALSE))-J370)^2)</f>
        <v/>
      </c>
      <c r="AM370" s="125" t="n"/>
      <c r="AN370" s="125" t="n"/>
      <c r="AO370" s="125">
        <f>SQRT(((VLOOKUP($AT$4,$A$4:$R$1021,18,FALSE))-R370)^2)</f>
        <v/>
      </c>
      <c r="AP370" s="125" t="n"/>
      <c r="AQ370" s="125" t="inlineStr">
        <is>
          <t>HW244</t>
        </is>
      </c>
      <c r="BB370" s="125">
        <f>SQRT(($J$1022-J370)^2)</f>
        <v/>
      </c>
      <c r="BC370" s="125">
        <f>SQRT(($R$1022-R370)^2)</f>
        <v/>
      </c>
      <c r="BD370" s="125" t="inlineStr">
        <is>
          <t>HW244</t>
        </is>
      </c>
      <c r="BI370">
        <f>SQRT(($J$1023-J370)^2)</f>
        <v/>
      </c>
      <c r="BJ370">
        <f>SQRT(($R$1023-R370)^2)</f>
        <v/>
      </c>
      <c r="BK370" s="125" t="inlineStr">
        <is>
          <t>HW244</t>
        </is>
      </c>
      <c r="BP370">
        <f>SQRT(($J$1024-J370)^2)</f>
        <v/>
      </c>
      <c r="BQ370">
        <f>SQRT(($R$1024-R370)^2)</f>
        <v/>
      </c>
      <c r="BR370" s="125" t="inlineStr">
        <is>
          <t>HW244</t>
        </is>
      </c>
      <c r="BW370">
        <f>SQRT(($J$1025-J370)^2)</f>
        <v/>
      </c>
      <c r="BX370">
        <f>SQRT(($R$1025-R370)^2)</f>
        <v/>
      </c>
      <c r="BY370" s="125" t="inlineStr">
        <is>
          <t>HW244</t>
        </is>
      </c>
      <c r="CD370">
        <f>SQRT(($J$1026-J370)^2)</f>
        <v/>
      </c>
      <c r="CE370">
        <f>SQRT(($R$1026-R370)^2)</f>
        <v/>
      </c>
      <c r="CF370" s="125" t="inlineStr">
        <is>
          <t>HW244</t>
        </is>
      </c>
    </row>
    <row r="371">
      <c r="A371" s="125" t="inlineStr">
        <is>
          <t>HW250X250</t>
        </is>
      </c>
      <c r="B371" s="129" t="inlineStr">
        <is>
          <t>GB</t>
        </is>
      </c>
      <c r="C371" s="125" t="inlineStr">
        <is>
          <t>71.8</t>
        </is>
      </c>
      <c r="D371" s="125" t="n">
        <v>250</v>
      </c>
      <c r="E371" s="125" t="n">
        <v>250</v>
      </c>
      <c r="F371" s="125" t="n">
        <v>14</v>
      </c>
      <c r="G371" s="125" t="n">
        <v>9</v>
      </c>
      <c r="H371" s="125" t="n">
        <v>13</v>
      </c>
      <c r="I371" s="125">
        <f>D371-(2*(H371+F371))</f>
        <v/>
      </c>
      <c r="J371" s="125" t="n">
        <v>91.43000000000001</v>
      </c>
      <c r="K371" s="125">
        <f>((E371-G371)/2)/F371</f>
        <v/>
      </c>
      <c r="L371" s="125">
        <f>I371/G371</f>
        <v/>
      </c>
      <c r="M371" s="125">
        <f>(E371*2+F371*4+((E371-G371)/2-H371)*4+2*PI()*H371+(D371-2*F371-2*H371)*2)/1000</f>
        <v/>
      </c>
      <c r="N371" s="5" t="n">
        <v>10689</v>
      </c>
      <c r="O371" s="5" t="n">
        <v>3648</v>
      </c>
      <c r="P371" s="125" t="n">
        <v>10.81</v>
      </c>
      <c r="Q371" s="125" t="n">
        <v>6.32</v>
      </c>
      <c r="R371" s="125" t="n">
        <v>855</v>
      </c>
      <c r="S371" s="125" t="n">
        <v>292</v>
      </c>
      <c r="T371" s="125">
        <f>(((E371*D371*D371)/4)-(((E371-G371)*(D371-F371-F371)*(D371-F371-F371))/4)+(4*(H371*H371*(D371/2-F371-(H371/2))-((PI()*H371*H371)/4*((D371/2)-F371-(H371-((4*H371)/(3*PI()))))))))/1000</f>
        <v/>
      </c>
      <c r="U371" s="125">
        <f>(((D371*E371*E371)/4)-(2*((D371-F371-F371)*(E371/2-(G371/2))*(((E371/2-(G371/2))/2)+(G371/2))))+(4*(((H371*H371)-(((PI()*H371*H371)/4)))*((H371-((4*H371)/(3*PI())))+(G371/2)))))/1000</f>
        <v/>
      </c>
      <c r="X371" s="129">
        <f t="array" ref="X371">_xlfn.IFS((D371/F371) &lt;= (640/SQRT($AT$32)), "Compact", L371 &lt;= ($AT$32*(0.79-(0.002*((E371-G371/2)/(2*F371))*SQRT($AT$32)))), "Non-Compact", L371 &gt; ($AT$32*(0.79-(0.002*((E371-G371/2)/(2*F371))*SQRT($AT$32)))), "Slender")</f>
        <v/>
      </c>
      <c r="Y371" s="129">
        <f t="array" ref="Y371">_xlfn.IFS(K371 &lt;= (65/SQRT($AT$32)), "Compact", K371 &lt;= (95/SQRT($AT$32)), "Non-Compact", K371 &gt; (95/SQRT($AT$32)), "Slender")</f>
        <v/>
      </c>
      <c r="Z371" s="125">
        <f>E371/F371</f>
        <v/>
      </c>
      <c r="AA371" s="125">
        <f>D371/G371</f>
        <v/>
      </c>
      <c r="AB371" s="125">
        <f t="array" ref="AB371">_xlfn.IFS(Z371 &lt;= 9, "1", Z371 &lt;= 12, "2", Z371 &lt;= 15, "3", Z371 &gt; 15, "4")</f>
        <v/>
      </c>
      <c r="AC371" s="125">
        <f t="array" ref="AC371">_xlfn.IFS(AA371 &lt;= 200, "1", L371 &lt;= 300, "2", L371 &lt;= 400, "3", L371 &gt; 400, "4")</f>
        <v/>
      </c>
      <c r="AE371" s="129">
        <f>SQRT((((VLOOKUP($AT$4,$A$4:$D$1021,4,FALSE))-D371)^2)+(((VLOOKUP($AT$4,$A$4:$E$1021,5,FALSE))-E371)^2)+(((VLOOKUP($AT$4,$A$4:$N$1021,14,FALSE))-N371)^2)+(((VLOOKUP($AT$4,$A$4:$O$1021,15,FALSE))-O371)^2))</f>
        <v/>
      </c>
      <c r="AG371" s="129" t="n"/>
      <c r="AH371" s="129">
        <f>SQRT((((VLOOKUP($AT$4,$A$4:$D$1021,4,FALSE))-D371)^2)+(((VLOOKUP($AT$4,$A$4:$E$1021,5,FALSE))-E371)^2)+(((VLOOKUP($AT$4,$A$4:$R$1021,18,FALSE))-R371)^2)+(((VLOOKUP($AT$4,$A$4:$S$1021,19,FALSE))-S371)^2))</f>
        <v/>
      </c>
      <c r="AJ371" s="125" t="inlineStr">
        <is>
          <t>HW250X71.8</t>
        </is>
      </c>
      <c r="AK371" s="125" t="n"/>
      <c r="AL371" s="125">
        <f>SQRT(((VLOOKUP($AT$4,$A$4:$J$1021,10,FALSE))-J371)^2)</f>
        <v/>
      </c>
      <c r="AM371" s="125" t="n"/>
      <c r="AN371" s="125" t="n"/>
      <c r="AO371" s="125">
        <f>SQRT(((VLOOKUP($AT$4,$A$4:$R$1021,18,FALSE))-R371)^2)</f>
        <v/>
      </c>
      <c r="AP371" s="125" t="n"/>
      <c r="AQ371" s="125" t="inlineStr">
        <is>
          <t>HW250X250</t>
        </is>
      </c>
      <c r="BB371" s="125">
        <f>SQRT(($J$1022-J371)^2)</f>
        <v/>
      </c>
      <c r="BC371" s="125">
        <f>SQRT(($R$1022-R371)^2)</f>
        <v/>
      </c>
      <c r="BD371" s="125" t="inlineStr">
        <is>
          <t>HW250X250</t>
        </is>
      </c>
      <c r="BI371">
        <f>SQRT(($J$1023-J371)^2)</f>
        <v/>
      </c>
      <c r="BJ371">
        <f>SQRT(($R$1023-R371)^2)</f>
        <v/>
      </c>
      <c r="BK371" s="125" t="inlineStr">
        <is>
          <t>HW250X250</t>
        </is>
      </c>
      <c r="BP371">
        <f>SQRT(($J$1024-J371)^2)</f>
        <v/>
      </c>
      <c r="BQ371">
        <f>SQRT(($R$1024-R371)^2)</f>
        <v/>
      </c>
      <c r="BR371" s="125" t="inlineStr">
        <is>
          <t>HW250X250</t>
        </is>
      </c>
      <c r="BW371">
        <f>SQRT(($J$1025-J371)^2)</f>
        <v/>
      </c>
      <c r="BX371">
        <f>SQRT(($R$1025-R371)^2)</f>
        <v/>
      </c>
      <c r="BY371" s="125" t="inlineStr">
        <is>
          <t>HW250X250</t>
        </is>
      </c>
      <c r="CD371">
        <f>SQRT(($J$1026-J371)^2)</f>
        <v/>
      </c>
      <c r="CE371">
        <f>SQRT(($R$1026-R371)^2)</f>
        <v/>
      </c>
      <c r="CF371" s="125" t="inlineStr">
        <is>
          <t>HW250X250</t>
        </is>
      </c>
    </row>
    <row r="372">
      <c r="A372" s="125" t="inlineStr">
        <is>
          <t>HW250X255</t>
        </is>
      </c>
      <c r="B372" s="129" t="inlineStr">
        <is>
          <t>GB</t>
        </is>
      </c>
      <c r="C372" s="125" t="inlineStr">
        <is>
          <t>81.6</t>
        </is>
      </c>
      <c r="D372" s="125" t="n">
        <v>250</v>
      </c>
      <c r="E372" s="125" t="n">
        <v>255</v>
      </c>
      <c r="F372" s="125" t="n">
        <v>14</v>
      </c>
      <c r="G372" s="125" t="n">
        <v>14</v>
      </c>
      <c r="H372" s="125" t="n">
        <v>13</v>
      </c>
      <c r="I372" s="125">
        <f>D372-(2*(H372+F372))</f>
        <v/>
      </c>
      <c r="J372" s="125" t="n">
        <v>103.93</v>
      </c>
      <c r="K372" s="125">
        <f>((E372-G372)/2)/F372</f>
        <v/>
      </c>
      <c r="L372" s="125">
        <f>I372/G372</f>
        <v/>
      </c>
      <c r="M372" s="125">
        <f>(E372*2+F372*4+((E372-G372)/2-H372)*4+2*PI()*H372+(D372-2*F372-2*H372)*2)/1000</f>
        <v/>
      </c>
      <c r="N372" s="5" t="n">
        <v>11340</v>
      </c>
      <c r="O372" s="5" t="n">
        <v>3875</v>
      </c>
      <c r="P372" s="125" t="n">
        <v>10.45</v>
      </c>
      <c r="Q372" s="125" t="n">
        <v>6.11</v>
      </c>
      <c r="R372" s="125" t="n">
        <v>907</v>
      </c>
      <c r="S372" s="125" t="n">
        <v>304</v>
      </c>
      <c r="T372" s="125">
        <f>(((E372*D372*D372)/4)-(((E372-G372)*(D372-F372-F372)*(D372-F372-F372))/4)+(4*(H372*H372*(D372/2-F372-(H372/2))-((PI()*H372*H372)/4*((D372/2)-F372-(H372-((4*H372)/(3*PI()))))))))/1000</f>
        <v/>
      </c>
      <c r="U372" s="125">
        <f>(((D372*E372*E372)/4)-(2*((D372-F372-F372)*(E372/2-(G372/2))*(((E372/2-(G372/2))/2)+(G372/2))))+(4*(((H372*H372)-(((PI()*H372*H372)/4)))*((H372-((4*H372)/(3*PI())))+(G372/2)))))/1000</f>
        <v/>
      </c>
      <c r="X372" s="129">
        <f t="array" ref="X372">_xlfn.IFS((D372/F372) &lt;= (640/SQRT($AT$32)), "Compact", L372 &lt;= ($AT$32*(0.79-(0.002*((E372-G372/2)/(2*F372))*SQRT($AT$32)))), "Non-Compact", L372 &gt; ($AT$32*(0.79-(0.002*((E372-G372/2)/(2*F372))*SQRT($AT$32)))), "Slender")</f>
        <v/>
      </c>
      <c r="Y372" s="129">
        <f t="array" ref="Y372">_xlfn.IFS(K372 &lt;= (65/SQRT($AT$32)), "Compact", K372 &lt;= (95/SQRT($AT$32)), "Non-Compact", K372 &gt; (95/SQRT($AT$32)), "Slender")</f>
        <v/>
      </c>
      <c r="Z372" s="125">
        <f>E372/F372</f>
        <v/>
      </c>
      <c r="AA372" s="125">
        <f>D372/G372</f>
        <v/>
      </c>
      <c r="AB372" s="125">
        <f t="array" ref="AB372">_xlfn.IFS(Z372 &lt;= 9, "1", Z372 &lt;= 12, "2", Z372 &lt;= 15, "3", Z372 &gt; 15, "4")</f>
        <v/>
      </c>
      <c r="AC372" s="125">
        <f t="array" ref="AC372">_xlfn.IFS(AA372 &lt;= 200, "1", L372 &lt;= 300, "2", L372 &lt;= 400, "3", L372 &gt; 400, "4")</f>
        <v/>
      </c>
      <c r="AE372" s="129">
        <f>SQRT((((VLOOKUP($AT$4,$A$4:$D$1021,4,FALSE))-D372)^2)+(((VLOOKUP($AT$4,$A$4:$E$1021,5,FALSE))-E372)^2)+(((VLOOKUP($AT$4,$A$4:$N$1021,14,FALSE))-N372)^2)+(((VLOOKUP($AT$4,$A$4:$O$1021,15,FALSE))-O372)^2))</f>
        <v/>
      </c>
      <c r="AG372" s="129" t="n"/>
      <c r="AH372" s="129">
        <f>SQRT((((VLOOKUP($AT$4,$A$4:$D$1021,4,FALSE))-D372)^2)+(((VLOOKUP($AT$4,$A$4:$E$1021,5,FALSE))-E372)^2)+(((VLOOKUP($AT$4,$A$4:$R$1021,18,FALSE))-R372)^2)+(((VLOOKUP($AT$4,$A$4:$S$1021,19,FALSE))-S372)^2))</f>
        <v/>
      </c>
      <c r="AJ372" s="125" t="inlineStr">
        <is>
          <t>HW250X81.6</t>
        </is>
      </c>
      <c r="AK372" s="125" t="n"/>
      <c r="AL372" s="125">
        <f>SQRT(((VLOOKUP($AT$4,$A$4:$J$1021,10,FALSE))-J372)^2)</f>
        <v/>
      </c>
      <c r="AM372" s="125" t="n"/>
      <c r="AN372" s="125" t="n"/>
      <c r="AO372" s="125">
        <f>SQRT(((VLOOKUP($AT$4,$A$4:$R$1021,18,FALSE))-R372)^2)</f>
        <v/>
      </c>
      <c r="AP372" s="125" t="n"/>
      <c r="AQ372" s="125" t="inlineStr">
        <is>
          <t>HW250X255</t>
        </is>
      </c>
      <c r="BB372" s="125">
        <f>SQRT(($J$1022-J372)^2)</f>
        <v/>
      </c>
      <c r="BC372" s="125">
        <f>SQRT(($R$1022-R372)^2)</f>
        <v/>
      </c>
      <c r="BD372" s="125" t="inlineStr">
        <is>
          <t>HW250X255</t>
        </is>
      </c>
      <c r="BI372">
        <f>SQRT(($J$1023-J372)^2)</f>
        <v/>
      </c>
      <c r="BJ372">
        <f>SQRT(($R$1023-R372)^2)</f>
        <v/>
      </c>
      <c r="BK372" s="125" t="inlineStr">
        <is>
          <t>HW250X255</t>
        </is>
      </c>
      <c r="BP372">
        <f>SQRT(($J$1024-J372)^2)</f>
        <v/>
      </c>
      <c r="BQ372">
        <f>SQRT(($R$1024-R372)^2)</f>
        <v/>
      </c>
      <c r="BR372" s="125" t="inlineStr">
        <is>
          <t>HW250X255</t>
        </is>
      </c>
      <c r="BW372">
        <f>SQRT(($J$1025-J372)^2)</f>
        <v/>
      </c>
      <c r="BX372">
        <f>SQRT(($R$1025-R372)^2)</f>
        <v/>
      </c>
      <c r="BY372" s="125" t="inlineStr">
        <is>
          <t>HW250X255</t>
        </is>
      </c>
      <c r="CD372">
        <f>SQRT(($J$1026-J372)^2)</f>
        <v/>
      </c>
      <c r="CE372">
        <f>SQRT(($R$1026-R372)^2)</f>
        <v/>
      </c>
      <c r="CF372" s="125" t="inlineStr">
        <is>
          <t>HW250X255</t>
        </is>
      </c>
    </row>
    <row r="373">
      <c r="A373" s="125" t="inlineStr">
        <is>
          <t>HW294</t>
        </is>
      </c>
      <c r="B373" s="129" t="inlineStr">
        <is>
          <t>GB</t>
        </is>
      </c>
      <c r="C373" s="125" t="inlineStr">
        <is>
          <t>83.5</t>
        </is>
      </c>
      <c r="D373" s="125" t="n">
        <v>294</v>
      </c>
      <c r="E373" s="125" t="n">
        <v>302</v>
      </c>
      <c r="F373" s="125" t="n">
        <v>12</v>
      </c>
      <c r="G373" s="125" t="n">
        <v>12</v>
      </c>
      <c r="H373" s="125" t="n">
        <v>13</v>
      </c>
      <c r="I373" s="125">
        <f>D373-(2*(H373+F373))</f>
        <v/>
      </c>
      <c r="J373" s="125" t="n">
        <v>106.33</v>
      </c>
      <c r="K373" s="125">
        <f>((E373-G373)/2)/F373</f>
        <v/>
      </c>
      <c r="L373" s="125">
        <f>I373/G373</f>
        <v/>
      </c>
      <c r="M373" s="125">
        <f>(E373*2+F373*4+((E373-G373)/2-H373)*4+2*PI()*H373+(D373-2*F373-2*H373)*2)/1000</f>
        <v/>
      </c>
      <c r="N373" s="5" t="n">
        <v>16384</v>
      </c>
      <c r="O373" s="5" t="n">
        <v>5513</v>
      </c>
      <c r="P373" s="125" t="n">
        <v>12.41</v>
      </c>
      <c r="Q373" s="125" t="n">
        <v>7.2</v>
      </c>
      <c r="R373" s="5" t="n">
        <v>1115</v>
      </c>
      <c r="S373" s="125" t="n">
        <v>365</v>
      </c>
      <c r="T373" s="125">
        <f>(((E373*D373*D373)/4)-(((E373-G373)*(D373-F373-F373)*(D373-F373-F373))/4)+(4*(H373*H373*(D373/2-F373-(H373/2))-((PI()*H373*H373)/4*((D373/2)-F373-(H373-((4*H373)/(3*PI()))))))))/1000</f>
        <v/>
      </c>
      <c r="U373" s="125">
        <f>(((D373*E373*E373)/4)-(2*((D373-F373-F373)*(E373/2-(G373/2))*(((E373/2-(G373/2))/2)+(G373/2))))+(4*(((H373*H373)-(((PI()*H373*H373)/4)))*((H373-((4*H373)/(3*PI())))+(G373/2)))))/1000</f>
        <v/>
      </c>
      <c r="X373" s="129">
        <f t="array" ref="X373">_xlfn.IFS((D373/F373) &lt;= (640/SQRT($AT$32)), "Compact", L373 &lt;= ($AT$32*(0.79-(0.002*((E373-G373/2)/(2*F373))*SQRT($AT$32)))), "Non-Compact", L373 &gt; ($AT$32*(0.79-(0.002*((E373-G373/2)/(2*F373))*SQRT($AT$32)))), "Slender")</f>
        <v/>
      </c>
      <c r="Y373" s="129">
        <f t="array" ref="Y373">_xlfn.IFS(K373 &lt;= (65/SQRT($AT$32)), "Compact", K373 &lt;= (95/SQRT($AT$32)), "Non-Compact", K373 &gt; (95/SQRT($AT$32)), "Slender")</f>
        <v/>
      </c>
      <c r="Z373" s="125">
        <f>E373/F373</f>
        <v/>
      </c>
      <c r="AA373" s="125">
        <f>D373/G373</f>
        <v/>
      </c>
      <c r="AB373" s="125">
        <f t="array" ref="AB373">_xlfn.IFS(Z373 &lt;= 9, "1", Z373 &lt;= 12, "2", Z373 &lt;= 15, "3", Z373 &gt; 15, "4")</f>
        <v/>
      </c>
      <c r="AC373" s="125">
        <f t="array" ref="AC373">_xlfn.IFS(AA373 &lt;= 200, "1", L373 &lt;= 300, "2", L373 &lt;= 400, "3", L373 &gt; 400, "4")</f>
        <v/>
      </c>
      <c r="AE373" s="129">
        <f>SQRT((((VLOOKUP($AT$4,$A$4:$D$1021,4,FALSE))-D373)^2)+(((VLOOKUP($AT$4,$A$4:$E$1021,5,FALSE))-E373)^2)+(((VLOOKUP($AT$4,$A$4:$N$1021,14,FALSE))-N373)^2)+(((VLOOKUP($AT$4,$A$4:$O$1021,15,FALSE))-O373)^2))</f>
        <v/>
      </c>
      <c r="AG373" s="129" t="n"/>
      <c r="AH373" s="129">
        <f>SQRT((((VLOOKUP($AT$4,$A$4:$D$1021,4,FALSE))-D373)^2)+(((VLOOKUP($AT$4,$A$4:$E$1021,5,FALSE))-E373)^2)+(((VLOOKUP($AT$4,$A$4:$R$1021,18,FALSE))-R373)^2)+(((VLOOKUP($AT$4,$A$4:$S$1021,19,FALSE))-S373)^2))</f>
        <v/>
      </c>
      <c r="AJ373" s="125" t="inlineStr">
        <is>
          <t>HW300X83.5</t>
        </is>
      </c>
      <c r="AK373" s="125" t="n"/>
      <c r="AL373" s="125">
        <f>SQRT(((VLOOKUP($AT$4,$A$4:$J$1021,10,FALSE))-J373)^2)</f>
        <v/>
      </c>
      <c r="AM373" s="125" t="n"/>
      <c r="AN373" s="125" t="n"/>
      <c r="AO373" s="125">
        <f>SQRT(((VLOOKUP($AT$4,$A$4:$R$1021,18,FALSE))-R373)^2)</f>
        <v/>
      </c>
      <c r="AP373" s="125" t="n"/>
      <c r="AQ373" s="125" t="inlineStr">
        <is>
          <t>HW294</t>
        </is>
      </c>
      <c r="BB373" s="125">
        <f>SQRT(($J$1022-J373)^2)</f>
        <v/>
      </c>
      <c r="BC373" s="125">
        <f>SQRT(($R$1022-R373)^2)</f>
        <v/>
      </c>
      <c r="BD373" s="125" t="inlineStr">
        <is>
          <t>HW294</t>
        </is>
      </c>
      <c r="BI373">
        <f>SQRT(($J$1023-J373)^2)</f>
        <v/>
      </c>
      <c r="BJ373">
        <f>SQRT(($R$1023-R373)^2)</f>
        <v/>
      </c>
      <c r="BK373" s="125" t="inlineStr">
        <is>
          <t>HW294</t>
        </is>
      </c>
      <c r="BP373">
        <f>SQRT(($J$1024-J373)^2)</f>
        <v/>
      </c>
      <c r="BQ373">
        <f>SQRT(($R$1024-R373)^2)</f>
        <v/>
      </c>
      <c r="BR373" s="125" t="inlineStr">
        <is>
          <t>HW294</t>
        </is>
      </c>
      <c r="BW373">
        <f>SQRT(($J$1025-J373)^2)</f>
        <v/>
      </c>
      <c r="BX373">
        <f>SQRT(($R$1025-R373)^2)</f>
        <v/>
      </c>
      <c r="BY373" s="125" t="inlineStr">
        <is>
          <t>HW294</t>
        </is>
      </c>
      <c r="CD373">
        <f>SQRT(($J$1026-J373)^2)</f>
        <v/>
      </c>
      <c r="CE373">
        <f>SQRT(($R$1026-R373)^2)</f>
        <v/>
      </c>
      <c r="CF373" s="125" t="inlineStr">
        <is>
          <t>HW294</t>
        </is>
      </c>
    </row>
    <row r="374">
      <c r="A374" s="125" t="inlineStr">
        <is>
          <t>HW300X300</t>
        </is>
      </c>
      <c r="B374" s="129" t="inlineStr">
        <is>
          <t>GB</t>
        </is>
      </c>
      <c r="C374" s="125" t="inlineStr">
        <is>
          <t>93</t>
        </is>
      </c>
      <c r="D374" s="125" t="n">
        <v>300</v>
      </c>
      <c r="E374" s="125" t="n">
        <v>300</v>
      </c>
      <c r="F374" s="125" t="n">
        <v>15</v>
      </c>
      <c r="G374" s="125" t="n">
        <v>10</v>
      </c>
      <c r="H374" s="125" t="n">
        <v>13</v>
      </c>
      <c r="I374" s="125">
        <f>D374-(2*(H374+F374))</f>
        <v/>
      </c>
      <c r="J374" s="125" t="n">
        <v>118.45</v>
      </c>
      <c r="K374" s="125">
        <f>((E374-G374)/2)/F374</f>
        <v/>
      </c>
      <c r="L374" s="125">
        <f>I374/G374</f>
        <v/>
      </c>
      <c r="M374" s="125">
        <f>(E374*2+F374*4+((E374-G374)/2-H374)*4+2*PI()*H374+(D374-2*F374-2*H374)*2)/1000</f>
        <v/>
      </c>
      <c r="N374" s="5" t="n">
        <v>20010</v>
      </c>
      <c r="O374" s="5" t="n">
        <v>6753</v>
      </c>
      <c r="P374" s="125" t="n">
        <v>13</v>
      </c>
      <c r="Q374" s="125" t="n">
        <v>7.55</v>
      </c>
      <c r="R374" s="5" t="n">
        <v>1334</v>
      </c>
      <c r="S374" s="125" t="n">
        <v>450</v>
      </c>
      <c r="T374" s="125">
        <f>(((E374*D374*D374)/4)-(((E374-G374)*(D374-F374-F374)*(D374-F374-F374))/4)+(4*(H374*H374*(D374/2-F374-(H374/2))-((PI()*H374*H374)/4*((D374/2)-F374-(H374-((4*H374)/(3*PI()))))))))/1000</f>
        <v/>
      </c>
      <c r="U374" s="125">
        <f>(((D374*E374*E374)/4)-(2*((D374-F374-F374)*(E374/2-(G374/2))*(((E374/2-(G374/2))/2)+(G374/2))))+(4*(((H374*H374)-(((PI()*H374*H374)/4)))*((H374-((4*H374)/(3*PI())))+(G374/2)))))/1000</f>
        <v/>
      </c>
      <c r="X374" s="129">
        <f t="array" ref="X374">_xlfn.IFS((D374/F374) &lt;= (640/SQRT($AT$32)), "Compact", L374 &lt;= ($AT$32*(0.79-(0.002*((E374-G374/2)/(2*F374))*SQRT($AT$32)))), "Non-Compact", L374 &gt; ($AT$32*(0.79-(0.002*((E374-G374/2)/(2*F374))*SQRT($AT$32)))), "Slender")</f>
        <v/>
      </c>
      <c r="Y374" s="129">
        <f t="array" ref="Y374">_xlfn.IFS(K374 &lt;= (65/SQRT($AT$32)), "Compact", K374 &lt;= (95/SQRT($AT$32)), "Non-Compact", K374 &gt; (95/SQRT($AT$32)), "Slender")</f>
        <v/>
      </c>
      <c r="Z374" s="125">
        <f>E374/F374</f>
        <v/>
      </c>
      <c r="AA374" s="125">
        <f>D374/G374</f>
        <v/>
      </c>
      <c r="AB374" s="125">
        <f t="array" ref="AB374">_xlfn.IFS(Z374 &lt;= 9, "1", Z374 &lt;= 12, "2", Z374 &lt;= 15, "3", Z374 &gt; 15, "4")</f>
        <v/>
      </c>
      <c r="AC374" s="125">
        <f t="array" ref="AC374">_xlfn.IFS(AA374 &lt;= 200, "1", L374 &lt;= 300, "2", L374 &lt;= 400, "3", L374 &gt; 400, "4")</f>
        <v/>
      </c>
      <c r="AE374" s="129">
        <f>SQRT((((VLOOKUP($AT$4,$A$4:$D$1021,4,FALSE))-D374)^2)+(((VLOOKUP($AT$4,$A$4:$E$1021,5,FALSE))-E374)^2)+(((VLOOKUP($AT$4,$A$4:$N$1021,14,FALSE))-N374)^2)+(((VLOOKUP($AT$4,$A$4:$O$1021,15,FALSE))-O374)^2))</f>
        <v/>
      </c>
      <c r="AG374" s="129" t="n"/>
      <c r="AH374" s="129">
        <f>SQRT((((VLOOKUP($AT$4,$A$4:$D$1021,4,FALSE))-D374)^2)+(((VLOOKUP($AT$4,$A$4:$E$1021,5,FALSE))-E374)^2)+(((VLOOKUP($AT$4,$A$4:$R$1021,18,FALSE))-R374)^2)+(((VLOOKUP($AT$4,$A$4:$S$1021,19,FALSE))-S374)^2))</f>
        <v/>
      </c>
      <c r="AJ374" s="125" t="inlineStr">
        <is>
          <t>HW300X93</t>
        </is>
      </c>
      <c r="AK374" s="125" t="n"/>
      <c r="AL374" s="125">
        <f>SQRT(((VLOOKUP($AT$4,$A$4:$J$1021,10,FALSE))-J374)^2)</f>
        <v/>
      </c>
      <c r="AM374" s="125" t="n"/>
      <c r="AN374" s="125" t="n"/>
      <c r="AO374" s="125">
        <f>SQRT(((VLOOKUP($AT$4,$A$4:$R$1021,18,FALSE))-R374)^2)</f>
        <v/>
      </c>
      <c r="AP374" s="125" t="n"/>
      <c r="AQ374" s="125" t="inlineStr">
        <is>
          <t>HW300X300</t>
        </is>
      </c>
      <c r="BB374" s="125">
        <f>SQRT(($J$1022-J374)^2)</f>
        <v/>
      </c>
      <c r="BC374" s="125">
        <f>SQRT(($R$1022-R374)^2)</f>
        <v/>
      </c>
      <c r="BD374" s="125" t="inlineStr">
        <is>
          <t>HW300X300</t>
        </is>
      </c>
      <c r="BI374">
        <f>SQRT(($J$1023-J374)^2)</f>
        <v/>
      </c>
      <c r="BJ374">
        <f>SQRT(($R$1023-R374)^2)</f>
        <v/>
      </c>
      <c r="BK374" s="125" t="inlineStr">
        <is>
          <t>HW300X300</t>
        </is>
      </c>
      <c r="BP374">
        <f>SQRT(($J$1024-J374)^2)</f>
        <v/>
      </c>
      <c r="BQ374">
        <f>SQRT(($R$1024-R374)^2)</f>
        <v/>
      </c>
      <c r="BR374" s="125" t="inlineStr">
        <is>
          <t>HW300X300</t>
        </is>
      </c>
      <c r="BW374">
        <f>SQRT(($J$1025-J374)^2)</f>
        <v/>
      </c>
      <c r="BX374">
        <f>SQRT(($R$1025-R374)^2)</f>
        <v/>
      </c>
      <c r="BY374" s="125" t="inlineStr">
        <is>
          <t>HW300X300</t>
        </is>
      </c>
      <c r="CD374">
        <f>SQRT(($J$1026-J374)^2)</f>
        <v/>
      </c>
      <c r="CE374">
        <f>SQRT(($R$1026-R374)^2)</f>
        <v/>
      </c>
      <c r="CF374" s="125" t="inlineStr">
        <is>
          <t>HW300X300</t>
        </is>
      </c>
    </row>
    <row r="375">
      <c r="A375" s="125" t="inlineStr">
        <is>
          <t>HW300X305</t>
        </is>
      </c>
      <c r="B375" s="129" t="inlineStr">
        <is>
          <t>GB</t>
        </is>
      </c>
      <c r="C375" s="125" t="inlineStr">
        <is>
          <t>104.8</t>
        </is>
      </c>
      <c r="D375" s="125" t="n">
        <v>300</v>
      </c>
      <c r="E375" s="125" t="n">
        <v>305</v>
      </c>
      <c r="F375" s="125" t="n">
        <v>15</v>
      </c>
      <c r="G375" s="125" t="n">
        <v>15</v>
      </c>
      <c r="H375" s="125" t="n">
        <v>13</v>
      </c>
      <c r="I375" s="125">
        <f>D375-(2*(H375+F375))</f>
        <v/>
      </c>
      <c r="J375" s="125" t="n">
        <v>133.45</v>
      </c>
      <c r="K375" s="125">
        <f>((E375-G375)/2)/F375</f>
        <v/>
      </c>
      <c r="L375" s="125">
        <f>I375/G375</f>
        <v/>
      </c>
      <c r="M375" s="125">
        <f>(E375*2+F375*4+((E375-G375)/2-H375)*4+2*PI()*H375+(D375-2*F375-2*H375)*2)/1000</f>
        <v/>
      </c>
      <c r="N375" s="5" t="n">
        <v>21135</v>
      </c>
      <c r="O375" s="5" t="n">
        <v>7102</v>
      </c>
      <c r="P375" s="125" t="n">
        <v>12.58</v>
      </c>
      <c r="Q375" s="125" t="n">
        <v>7.29</v>
      </c>
      <c r="R375" s="5" t="n">
        <v>1409</v>
      </c>
      <c r="S375" s="125" t="n">
        <v>466</v>
      </c>
      <c r="T375" s="125">
        <f>(((E375*D375*D375)/4)-(((E375-G375)*(D375-F375-F375)*(D375-F375-F375))/4)+(4*(H375*H375*(D375/2-F375-(H375/2))-((PI()*H375*H375)/4*((D375/2)-F375-(H375-((4*H375)/(3*PI()))))))))/1000</f>
        <v/>
      </c>
      <c r="U375" s="125">
        <f>(((D375*E375*E375)/4)-(2*((D375-F375-F375)*(E375/2-(G375/2))*(((E375/2-(G375/2))/2)+(G375/2))))+(4*(((H375*H375)-(((PI()*H375*H375)/4)))*((H375-((4*H375)/(3*PI())))+(G375/2)))))/1000</f>
        <v/>
      </c>
      <c r="X375" s="129">
        <f t="array" ref="X375">_xlfn.IFS((D375/F375) &lt;= (640/SQRT($AT$32)), "Compact", L375 &lt;= ($AT$32*(0.79-(0.002*((E375-G375/2)/(2*F375))*SQRT($AT$32)))), "Non-Compact", L375 &gt; ($AT$32*(0.79-(0.002*((E375-G375/2)/(2*F375))*SQRT($AT$32)))), "Slender")</f>
        <v/>
      </c>
      <c r="Y375" s="129">
        <f t="array" ref="Y375">_xlfn.IFS(K375 &lt;= (65/SQRT($AT$32)), "Compact", K375 &lt;= (95/SQRT($AT$32)), "Non-Compact", K375 &gt; (95/SQRT($AT$32)), "Slender")</f>
        <v/>
      </c>
      <c r="Z375" s="125">
        <f>E375/F375</f>
        <v/>
      </c>
      <c r="AA375" s="125">
        <f>D375/G375</f>
        <v/>
      </c>
      <c r="AB375" s="125">
        <f t="array" ref="AB375">_xlfn.IFS(Z375 &lt;= 9, "1", Z375 &lt;= 12, "2", Z375 &lt;= 15, "3", Z375 &gt; 15, "4")</f>
        <v/>
      </c>
      <c r="AC375" s="125">
        <f t="array" ref="AC375">_xlfn.IFS(AA375 &lt;= 200, "1", L375 &lt;= 300, "2", L375 &lt;= 400, "3", L375 &gt; 400, "4")</f>
        <v/>
      </c>
      <c r="AE375" s="129">
        <f>SQRT((((VLOOKUP($AT$4,$A$4:$D$1021,4,FALSE))-D375)^2)+(((VLOOKUP($AT$4,$A$4:$E$1021,5,FALSE))-E375)^2)+(((VLOOKUP($AT$4,$A$4:$N$1021,14,FALSE))-N375)^2)+(((VLOOKUP($AT$4,$A$4:$O$1021,15,FALSE))-O375)^2))</f>
        <v/>
      </c>
      <c r="AG375" s="129" t="n"/>
      <c r="AH375" s="129">
        <f>SQRT((((VLOOKUP($AT$4,$A$4:$D$1021,4,FALSE))-D375)^2)+(((VLOOKUP($AT$4,$A$4:$E$1021,5,FALSE))-E375)^2)+(((VLOOKUP($AT$4,$A$4:$R$1021,18,FALSE))-R375)^2)+(((VLOOKUP($AT$4,$A$4:$S$1021,19,FALSE))-S375)^2))</f>
        <v/>
      </c>
      <c r="AJ375" s="125" t="inlineStr">
        <is>
          <t>HW300X104.8</t>
        </is>
      </c>
      <c r="AK375" s="125" t="n"/>
      <c r="AL375" s="125">
        <f>SQRT(((VLOOKUP($AT$4,$A$4:$J$1021,10,FALSE))-J375)^2)</f>
        <v/>
      </c>
      <c r="AM375" s="125" t="n"/>
      <c r="AN375" s="125" t="n"/>
      <c r="AO375" s="125">
        <f>SQRT(((VLOOKUP($AT$4,$A$4:$R$1021,18,FALSE))-R375)^2)</f>
        <v/>
      </c>
      <c r="AP375" s="125" t="n"/>
      <c r="AQ375" s="125" t="inlineStr">
        <is>
          <t>HW300X305</t>
        </is>
      </c>
      <c r="BB375" s="125">
        <f>SQRT(($J$1022-J375)^2)</f>
        <v/>
      </c>
      <c r="BC375" s="125">
        <f>SQRT(($R$1022-R375)^2)</f>
        <v/>
      </c>
      <c r="BD375" s="125" t="inlineStr">
        <is>
          <t>HW300X305</t>
        </is>
      </c>
      <c r="BI375">
        <f>SQRT(($J$1023-J375)^2)</f>
        <v/>
      </c>
      <c r="BJ375">
        <f>SQRT(($R$1023-R375)^2)</f>
        <v/>
      </c>
      <c r="BK375" s="125" t="inlineStr">
        <is>
          <t>HW300X305</t>
        </is>
      </c>
      <c r="BP375">
        <f>SQRT(($J$1024-J375)^2)</f>
        <v/>
      </c>
      <c r="BQ375">
        <f>SQRT(($R$1024-R375)^2)</f>
        <v/>
      </c>
      <c r="BR375" s="125" t="inlineStr">
        <is>
          <t>HW300X305</t>
        </is>
      </c>
      <c r="BW375">
        <f>SQRT(($J$1025-J375)^2)</f>
        <v/>
      </c>
      <c r="BX375">
        <f>SQRT(($R$1025-R375)^2)</f>
        <v/>
      </c>
      <c r="BY375" s="125" t="inlineStr">
        <is>
          <t>HW300X305</t>
        </is>
      </c>
      <c r="CD375">
        <f>SQRT(($J$1026-J375)^2)</f>
        <v/>
      </c>
      <c r="CE375">
        <f>SQRT(($R$1026-R375)^2)</f>
        <v/>
      </c>
      <c r="CF375" s="125" t="inlineStr">
        <is>
          <t>HW300X305</t>
        </is>
      </c>
    </row>
    <row r="376">
      <c r="A376" s="125" t="inlineStr">
        <is>
          <t>HW338</t>
        </is>
      </c>
      <c r="B376" s="129" t="inlineStr">
        <is>
          <t>GB</t>
        </is>
      </c>
      <c r="C376" s="125" t="inlineStr">
        <is>
          <t>104.6</t>
        </is>
      </c>
      <c r="D376" s="125" t="n">
        <v>338</v>
      </c>
      <c r="E376" s="125" t="n">
        <v>351</v>
      </c>
      <c r="F376" s="125" t="n">
        <v>13</v>
      </c>
      <c r="G376" s="125" t="n">
        <v>13</v>
      </c>
      <c r="H376" s="125" t="n">
        <v>13</v>
      </c>
      <c r="I376" s="125">
        <f>D376-(2*(H376+F376))</f>
        <v/>
      </c>
      <c r="J376" s="125" t="n">
        <v>133.27</v>
      </c>
      <c r="K376" s="125">
        <f>((E376-G376)/2)/F376</f>
        <v/>
      </c>
      <c r="L376" s="125">
        <f>I376/G376</f>
        <v/>
      </c>
      <c r="M376" s="125">
        <f>(E376*2+F376*4+((E376-G376)/2-H376)*4+2*PI()*H376+(D376-2*F376-2*H376)*2)/1000</f>
        <v/>
      </c>
      <c r="N376" s="5" t="n">
        <v>27352</v>
      </c>
      <c r="O376" s="5" t="n">
        <v>9376</v>
      </c>
      <c r="P376" s="125" t="n">
        <v>14.33</v>
      </c>
      <c r="Q376" s="125" t="n">
        <v>8.390000000000001</v>
      </c>
      <c r="R376" s="5" t="n">
        <v>1618</v>
      </c>
      <c r="S376" s="125" t="n">
        <v>534</v>
      </c>
      <c r="T376" s="125">
        <f>(((E376*D376*D376)/4)-(((E376-G376)*(D376-F376-F376)*(D376-F376-F376))/4)+(4*(H376*H376*(D376/2-F376-(H376/2))-((PI()*H376*H376)/4*((D376/2)-F376-(H376-((4*H376)/(3*PI()))))))))/1000</f>
        <v/>
      </c>
      <c r="U376" s="125">
        <f>(((D376*E376*E376)/4)-(2*((D376-F376-F376)*(E376/2-(G376/2))*(((E376/2-(G376/2))/2)+(G376/2))))+(4*(((H376*H376)-(((PI()*H376*H376)/4)))*((H376-((4*H376)/(3*PI())))+(G376/2)))))/1000</f>
        <v/>
      </c>
      <c r="X376" s="129">
        <f t="array" ref="X376">_xlfn.IFS((D376/F376) &lt;= (640/SQRT($AT$32)), "Compact", L376 &lt;= ($AT$32*(0.79-(0.002*((E376-G376/2)/(2*F376))*SQRT($AT$32)))), "Non-Compact", L376 &gt; ($AT$32*(0.79-(0.002*((E376-G376/2)/(2*F376))*SQRT($AT$32)))), "Slender")</f>
        <v/>
      </c>
      <c r="Y376" s="129">
        <f t="array" ref="Y376">_xlfn.IFS(K376 &lt;= (65/SQRT($AT$32)), "Compact", K376 &lt;= (95/SQRT($AT$32)), "Non-Compact", K376 &gt; (95/SQRT($AT$32)), "Slender")</f>
        <v/>
      </c>
      <c r="Z376" s="125">
        <f>E376/F376</f>
        <v/>
      </c>
      <c r="AA376" s="125">
        <f>D376/G376</f>
        <v/>
      </c>
      <c r="AB376" s="125">
        <f t="array" ref="AB376">_xlfn.IFS(Z376 &lt;= 9, "1", Z376 &lt;= 12, "2", Z376 &lt;= 15, "3", Z376 &gt; 15, "4")</f>
        <v/>
      </c>
      <c r="AC376" s="125">
        <f t="array" ref="AC376">_xlfn.IFS(AA376 &lt;= 200, "1", L376 &lt;= 300, "2", L376 &lt;= 400, "3", L376 &gt; 400, "4")</f>
        <v/>
      </c>
      <c r="AE376" s="129">
        <f>SQRT((((VLOOKUP($AT$4,$A$4:$D$1021,4,FALSE))-D376)^2)+(((VLOOKUP($AT$4,$A$4:$E$1021,5,FALSE))-E376)^2)+(((VLOOKUP($AT$4,$A$4:$N$1021,14,FALSE))-N376)^2)+(((VLOOKUP($AT$4,$A$4:$O$1021,15,FALSE))-O376)^2))</f>
        <v/>
      </c>
      <c r="AG376" s="129" t="n"/>
      <c r="AH376" s="129">
        <f>SQRT((((VLOOKUP($AT$4,$A$4:$D$1021,4,FALSE))-D376)^2)+(((VLOOKUP($AT$4,$A$4:$E$1021,5,FALSE))-E376)^2)+(((VLOOKUP($AT$4,$A$4:$R$1021,18,FALSE))-R376)^2)+(((VLOOKUP($AT$4,$A$4:$S$1021,19,FALSE))-S376)^2))</f>
        <v/>
      </c>
      <c r="AJ376" s="125" t="inlineStr">
        <is>
          <t>HW350X104.6</t>
        </is>
      </c>
      <c r="AK376" s="125" t="n"/>
      <c r="AL376" s="125">
        <f>SQRT(((VLOOKUP($AT$4,$A$4:$J$1021,10,FALSE))-J376)^2)</f>
        <v/>
      </c>
      <c r="AM376" s="125" t="n"/>
      <c r="AN376" s="125" t="n"/>
      <c r="AO376" s="125">
        <f>SQRT(((VLOOKUP($AT$4,$A$4:$R$1021,18,FALSE))-R376)^2)</f>
        <v/>
      </c>
      <c r="AP376" s="125" t="n"/>
      <c r="AQ376" s="125" t="inlineStr">
        <is>
          <t>HW338</t>
        </is>
      </c>
      <c r="BB376" s="125">
        <f>SQRT(($J$1022-J376)^2)</f>
        <v/>
      </c>
      <c r="BC376" s="125">
        <f>SQRT(($R$1022-R376)^2)</f>
        <v/>
      </c>
      <c r="BD376" s="125" t="inlineStr">
        <is>
          <t>HW338</t>
        </is>
      </c>
      <c r="BI376">
        <f>SQRT(($J$1023-J376)^2)</f>
        <v/>
      </c>
      <c r="BJ376">
        <f>SQRT(($R$1023-R376)^2)</f>
        <v/>
      </c>
      <c r="BK376" s="125" t="inlineStr">
        <is>
          <t>HW338</t>
        </is>
      </c>
      <c r="BP376">
        <f>SQRT(($J$1024-J376)^2)</f>
        <v/>
      </c>
      <c r="BQ376">
        <f>SQRT(($R$1024-R376)^2)</f>
        <v/>
      </c>
      <c r="BR376" s="125" t="inlineStr">
        <is>
          <t>HW338</t>
        </is>
      </c>
      <c r="BW376">
        <f>SQRT(($J$1025-J376)^2)</f>
        <v/>
      </c>
      <c r="BX376">
        <f>SQRT(($R$1025-R376)^2)</f>
        <v/>
      </c>
      <c r="BY376" s="125" t="inlineStr">
        <is>
          <t>HW338</t>
        </is>
      </c>
      <c r="CD376">
        <f>SQRT(($J$1026-J376)^2)</f>
        <v/>
      </c>
      <c r="CE376">
        <f>SQRT(($R$1026-R376)^2)</f>
        <v/>
      </c>
      <c r="CF376" s="125" t="inlineStr">
        <is>
          <t>HW338</t>
        </is>
      </c>
    </row>
    <row r="377">
      <c r="A377" s="125" t="inlineStr">
        <is>
          <t>HW344X348</t>
        </is>
      </c>
      <c r="B377" s="129" t="inlineStr">
        <is>
          <t>GB</t>
        </is>
      </c>
      <c r="C377" s="125" t="inlineStr">
        <is>
          <t>113</t>
        </is>
      </c>
      <c r="D377" s="125" t="n">
        <v>344</v>
      </c>
      <c r="E377" s="125" t="n">
        <v>348</v>
      </c>
      <c r="F377" s="125" t="n">
        <v>16</v>
      </c>
      <c r="G377" s="125" t="n">
        <v>10</v>
      </c>
      <c r="H377" s="125" t="n">
        <v>13</v>
      </c>
      <c r="I377" s="125">
        <f>D377-(2*(H377+F377))</f>
        <v/>
      </c>
      <c r="J377" s="125" t="n">
        <v>144.01</v>
      </c>
      <c r="K377" s="125">
        <f>((E377-G377)/2)/F377</f>
        <v/>
      </c>
      <c r="L377" s="125">
        <f>I377/G377</f>
        <v/>
      </c>
      <c r="M377" s="125">
        <f>(E377*2+F377*4+((E377-G377)/2-H377)*4+2*PI()*H377+(D377-2*F377-2*H377)*2)/1000</f>
        <v/>
      </c>
      <c r="N377" s="5" t="n">
        <v>32545</v>
      </c>
      <c r="O377" s="5" t="n">
        <v>11242</v>
      </c>
      <c r="P377" s="125" t="n">
        <v>15.03</v>
      </c>
      <c r="Q377" s="125" t="n">
        <v>8.84</v>
      </c>
      <c r="R377" s="5" t="n">
        <v>1892</v>
      </c>
      <c r="S377" s="125" t="n">
        <v>646</v>
      </c>
      <c r="T377" s="125">
        <f>(((E377*D377*D377)/4)-(((E377-G377)*(D377-F377-F377)*(D377-F377-F377))/4)+(4*(H377*H377*(D377/2-F377-(H377/2))-((PI()*H377*H377)/4*((D377/2)-F377-(H377-((4*H377)/(3*PI()))))))))/1000</f>
        <v/>
      </c>
      <c r="U377" s="125">
        <f>(((D377*E377*E377)/4)-(2*((D377-F377-F377)*(E377/2-(G377/2))*(((E377/2-(G377/2))/2)+(G377/2))))+(4*(((H377*H377)-(((PI()*H377*H377)/4)))*((H377-((4*H377)/(3*PI())))+(G377/2)))))/1000</f>
        <v/>
      </c>
      <c r="X377" s="129">
        <f t="array" ref="X377">_xlfn.IFS((D377/F377) &lt;= (640/SQRT($AT$32)), "Compact", L377 &lt;= ($AT$32*(0.79-(0.002*((E377-G377/2)/(2*F377))*SQRT($AT$32)))), "Non-Compact", L377 &gt; ($AT$32*(0.79-(0.002*((E377-G377/2)/(2*F377))*SQRT($AT$32)))), "Slender")</f>
        <v/>
      </c>
      <c r="Y377" s="129">
        <f t="array" ref="Y377">_xlfn.IFS(K377 &lt;= (65/SQRT($AT$32)), "Compact", K377 &lt;= (95/SQRT($AT$32)), "Non-Compact", K377 &gt; (95/SQRT($AT$32)), "Slender")</f>
        <v/>
      </c>
      <c r="Z377" s="125">
        <f>E377/F377</f>
        <v/>
      </c>
      <c r="AA377" s="125">
        <f>D377/G377</f>
        <v/>
      </c>
      <c r="AB377" s="125">
        <f t="array" ref="AB377">_xlfn.IFS(Z377 &lt;= 9, "1", Z377 &lt;= 12, "2", Z377 &lt;= 15, "3", Z377 &gt; 15, "4")</f>
        <v/>
      </c>
      <c r="AC377" s="125">
        <f t="array" ref="AC377">_xlfn.IFS(AA377 &lt;= 200, "1", L377 &lt;= 300, "2", L377 &lt;= 400, "3", L377 &gt; 400, "4")</f>
        <v/>
      </c>
      <c r="AE377" s="129">
        <f>SQRT((((VLOOKUP($AT$4,$A$4:$D$1021,4,FALSE))-D377)^2)+(((VLOOKUP($AT$4,$A$4:$E$1021,5,FALSE))-E377)^2)+(((VLOOKUP($AT$4,$A$4:$N$1021,14,FALSE))-N377)^2)+(((VLOOKUP($AT$4,$A$4:$O$1021,15,FALSE))-O377)^2))</f>
        <v/>
      </c>
      <c r="AG377" s="129" t="n"/>
      <c r="AH377" s="129">
        <f>SQRT((((VLOOKUP($AT$4,$A$4:$D$1021,4,FALSE))-D377)^2)+(((VLOOKUP($AT$4,$A$4:$E$1021,5,FALSE))-E377)^2)+(((VLOOKUP($AT$4,$A$4:$R$1021,18,FALSE))-R377)^2)+(((VLOOKUP($AT$4,$A$4:$S$1021,19,FALSE))-S377)^2))</f>
        <v/>
      </c>
      <c r="AJ377" s="125" t="inlineStr">
        <is>
          <t>HW350X113</t>
        </is>
      </c>
      <c r="AK377" s="125" t="n"/>
      <c r="AL377" s="125">
        <f>SQRT(((VLOOKUP($AT$4,$A$4:$J$1021,10,FALSE))-J377)^2)</f>
        <v/>
      </c>
      <c r="AM377" s="125" t="n"/>
      <c r="AN377" s="125" t="n"/>
      <c r="AO377" s="125">
        <f>SQRT(((VLOOKUP($AT$4,$A$4:$R$1021,18,FALSE))-R377)^2)</f>
        <v/>
      </c>
      <c r="AP377" s="125" t="n"/>
      <c r="AQ377" s="125" t="inlineStr">
        <is>
          <t>HW344X348</t>
        </is>
      </c>
      <c r="BB377" s="125">
        <f>SQRT(($J$1022-J377)^2)</f>
        <v/>
      </c>
      <c r="BC377" s="125">
        <f>SQRT(($R$1022-R377)^2)</f>
        <v/>
      </c>
      <c r="BD377" s="125" t="inlineStr">
        <is>
          <t>HW344X348</t>
        </is>
      </c>
      <c r="BI377">
        <f>SQRT(($J$1023-J377)^2)</f>
        <v/>
      </c>
      <c r="BJ377">
        <f>SQRT(($R$1023-R377)^2)</f>
        <v/>
      </c>
      <c r="BK377" s="125" t="inlineStr">
        <is>
          <t>HW344X348</t>
        </is>
      </c>
      <c r="BP377">
        <f>SQRT(($J$1024-J377)^2)</f>
        <v/>
      </c>
      <c r="BQ377">
        <f>SQRT(($R$1024-R377)^2)</f>
        <v/>
      </c>
      <c r="BR377" s="125" t="inlineStr">
        <is>
          <t>HW344X348</t>
        </is>
      </c>
      <c r="BW377">
        <f>SQRT(($J$1025-J377)^2)</f>
        <v/>
      </c>
      <c r="BX377">
        <f>SQRT(($R$1025-R377)^2)</f>
        <v/>
      </c>
      <c r="BY377" s="125" t="inlineStr">
        <is>
          <t>HW344X348</t>
        </is>
      </c>
      <c r="CD377">
        <f>SQRT(($J$1026-J377)^2)</f>
        <v/>
      </c>
      <c r="CE377">
        <f>SQRT(($R$1026-R377)^2)</f>
        <v/>
      </c>
      <c r="CF377" s="125" t="inlineStr">
        <is>
          <t>HW344X348</t>
        </is>
      </c>
    </row>
    <row r="378">
      <c r="A378" s="125" t="inlineStr">
        <is>
          <t>HW344X354</t>
        </is>
      </c>
      <c r="B378" s="129" t="inlineStr">
        <is>
          <t>GB</t>
        </is>
      </c>
      <c r="C378" s="125" t="inlineStr">
        <is>
          <t>129.3</t>
        </is>
      </c>
      <c r="D378" s="125" t="n">
        <v>344</v>
      </c>
      <c r="E378" s="125" t="n">
        <v>354</v>
      </c>
      <c r="F378" s="125" t="n">
        <v>16</v>
      </c>
      <c r="G378" s="125" t="n">
        <v>16</v>
      </c>
      <c r="H378" s="125" t="n">
        <v>13</v>
      </c>
      <c r="I378" s="125">
        <f>D378-(2*(H378+F378))</f>
        <v/>
      </c>
      <c r="J378" s="125" t="n">
        <v>164.65</v>
      </c>
      <c r="K378" s="125">
        <f>((E378-G378)/2)/F378</f>
        <v/>
      </c>
      <c r="L378" s="125">
        <f>I378/G378</f>
        <v/>
      </c>
      <c r="M378" s="125">
        <f>(E378*2+F378*4+((E378-G378)/2-H378)*4+2*PI()*H378+(D378-2*F378-2*H378)*2)/1000</f>
        <v/>
      </c>
      <c r="N378" s="5" t="n">
        <v>34581</v>
      </c>
      <c r="O378" s="5" t="n">
        <v>11841</v>
      </c>
      <c r="P378" s="125" t="n">
        <v>14.49</v>
      </c>
      <c r="Q378" s="125" t="n">
        <v>8.48</v>
      </c>
      <c r="R378" s="5" t="n">
        <v>2011</v>
      </c>
      <c r="S378" s="125" t="n">
        <v>669</v>
      </c>
      <c r="T378" s="125">
        <f>(((E378*D378*D378)/4)-(((E378-G378)*(D378-F378-F378)*(D378-F378-F378))/4)+(4*(H378*H378*(D378/2-F378-(H378/2))-((PI()*H378*H378)/4*((D378/2)-F378-(H378-((4*H378)/(3*PI()))))))))/1000</f>
        <v/>
      </c>
      <c r="U378" s="125">
        <f>(((D378*E378*E378)/4)-(2*((D378-F378-F378)*(E378/2-(G378/2))*(((E378/2-(G378/2))/2)+(G378/2))))+(4*(((H378*H378)-(((PI()*H378*H378)/4)))*((H378-((4*H378)/(3*PI())))+(G378/2)))))/1000</f>
        <v/>
      </c>
      <c r="X378" s="129">
        <f t="array" ref="X378">_xlfn.IFS((D378/F378) &lt;= (640/SQRT($AT$32)), "Compact", L378 &lt;= ($AT$32*(0.79-(0.002*((E378-G378/2)/(2*F378))*SQRT($AT$32)))), "Non-Compact", L378 &gt; ($AT$32*(0.79-(0.002*((E378-G378/2)/(2*F378))*SQRT($AT$32)))), "Slender")</f>
        <v/>
      </c>
      <c r="Y378" s="129">
        <f t="array" ref="Y378">_xlfn.IFS(K378 &lt;= (65/SQRT($AT$32)), "Compact", K378 &lt;= (95/SQRT($AT$32)), "Non-Compact", K378 &gt; (95/SQRT($AT$32)), "Slender")</f>
        <v/>
      </c>
      <c r="Z378" s="125">
        <f>E378/F378</f>
        <v/>
      </c>
      <c r="AA378" s="125">
        <f>D378/G378</f>
        <v/>
      </c>
      <c r="AB378" s="125">
        <f t="array" ref="AB378">_xlfn.IFS(Z378 &lt;= 9, "1", Z378 &lt;= 12, "2", Z378 &lt;= 15, "3", Z378 &gt; 15, "4")</f>
        <v/>
      </c>
      <c r="AC378" s="125">
        <f t="array" ref="AC378">_xlfn.IFS(AA378 &lt;= 200, "1", L378 &lt;= 300, "2", L378 &lt;= 400, "3", L378 &gt; 400, "4")</f>
        <v/>
      </c>
      <c r="AE378" s="129">
        <f>SQRT((((VLOOKUP($AT$4,$A$4:$D$1021,4,FALSE))-D378)^2)+(((VLOOKUP($AT$4,$A$4:$E$1021,5,FALSE))-E378)^2)+(((VLOOKUP($AT$4,$A$4:$N$1021,14,FALSE))-N378)^2)+(((VLOOKUP($AT$4,$A$4:$O$1021,15,FALSE))-O378)^2))</f>
        <v/>
      </c>
      <c r="AG378" s="129" t="n"/>
      <c r="AH378" s="129">
        <f>SQRT((((VLOOKUP($AT$4,$A$4:$D$1021,4,FALSE))-D378)^2)+(((VLOOKUP($AT$4,$A$4:$E$1021,5,FALSE))-E378)^2)+(((VLOOKUP($AT$4,$A$4:$R$1021,18,FALSE))-R378)^2)+(((VLOOKUP($AT$4,$A$4:$S$1021,19,FALSE))-S378)^2))</f>
        <v/>
      </c>
      <c r="AJ378" s="125" t="inlineStr">
        <is>
          <t>HW350X129.3</t>
        </is>
      </c>
      <c r="AK378" s="125" t="n"/>
      <c r="AL378" s="125">
        <f>SQRT(((VLOOKUP($AT$4,$A$4:$J$1021,10,FALSE))-J378)^2)</f>
        <v/>
      </c>
      <c r="AM378" s="125" t="n"/>
      <c r="AN378" s="125" t="n"/>
      <c r="AO378" s="125">
        <f>SQRT(((VLOOKUP($AT$4,$A$4:$R$1021,18,FALSE))-R378)^2)</f>
        <v/>
      </c>
      <c r="AP378" s="125" t="n"/>
      <c r="AQ378" s="125" t="inlineStr">
        <is>
          <t>HW344X354</t>
        </is>
      </c>
      <c r="BB378" s="125">
        <f>SQRT(($J$1022-J378)^2)</f>
        <v/>
      </c>
      <c r="BC378" s="125">
        <f>SQRT(($R$1022-R378)^2)</f>
        <v/>
      </c>
      <c r="BD378" s="125" t="inlineStr">
        <is>
          <t>HW344X354</t>
        </is>
      </c>
      <c r="BI378">
        <f>SQRT(($J$1023-J378)^2)</f>
        <v/>
      </c>
      <c r="BJ378">
        <f>SQRT(($R$1023-R378)^2)</f>
        <v/>
      </c>
      <c r="BK378" s="125" t="inlineStr">
        <is>
          <t>HW344X354</t>
        </is>
      </c>
      <c r="BP378">
        <f>SQRT(($J$1024-J378)^2)</f>
        <v/>
      </c>
      <c r="BQ378">
        <f>SQRT(($R$1024-R378)^2)</f>
        <v/>
      </c>
      <c r="BR378" s="125" t="inlineStr">
        <is>
          <t>HW344X354</t>
        </is>
      </c>
      <c r="BW378">
        <f>SQRT(($J$1025-J378)^2)</f>
        <v/>
      </c>
      <c r="BX378">
        <f>SQRT(($R$1025-R378)^2)</f>
        <v/>
      </c>
      <c r="BY378" s="125" t="inlineStr">
        <is>
          <t>HW344X354</t>
        </is>
      </c>
      <c r="CD378">
        <f>SQRT(($J$1026-J378)^2)</f>
        <v/>
      </c>
      <c r="CE378">
        <f>SQRT(($R$1026-R378)^2)</f>
        <v/>
      </c>
      <c r="CF378" s="125" t="inlineStr">
        <is>
          <t>HW344X354</t>
        </is>
      </c>
    </row>
    <row r="379">
      <c r="A379" s="125" t="inlineStr">
        <is>
          <t>HW350X350</t>
        </is>
      </c>
      <c r="B379" s="129" t="inlineStr">
        <is>
          <t>GB</t>
        </is>
      </c>
      <c r="C379" s="125" t="inlineStr">
        <is>
          <t>134.9</t>
        </is>
      </c>
      <c r="D379" s="125" t="n">
        <v>350</v>
      </c>
      <c r="E379" s="125" t="n">
        <v>350</v>
      </c>
      <c r="F379" s="125" t="n">
        <v>19</v>
      </c>
      <c r="G379" s="125" t="n">
        <v>12</v>
      </c>
      <c r="H379" s="125" t="n">
        <v>13</v>
      </c>
      <c r="I379" s="125">
        <f>D379-(2*(H379+F379))</f>
        <v/>
      </c>
      <c r="J379" s="125" t="n">
        <v>171.89</v>
      </c>
      <c r="K379" s="125">
        <f>((E379-G379)/2)/F379</f>
        <v/>
      </c>
      <c r="L379" s="125">
        <f>I379/G379</f>
        <v/>
      </c>
      <c r="M379" s="125">
        <f>(E379*2+F379*4+((E379-G379)/2-H379)*4+2*PI()*H379+(D379-2*F379-2*H379)*2)/1000</f>
        <v/>
      </c>
      <c r="N379" s="5" t="n">
        <v>39637</v>
      </c>
      <c r="O379" s="5" t="n">
        <v>13582</v>
      </c>
      <c r="P379" s="125" t="n">
        <v>15.19</v>
      </c>
      <c r="Q379" s="125" t="n">
        <v>8.890000000000001</v>
      </c>
      <c r="R379" s="5" t="n">
        <v>2265</v>
      </c>
      <c r="S379" s="125" t="n">
        <v>776</v>
      </c>
      <c r="T379" s="125">
        <f>(((E379*D379*D379)/4)-(((E379-G379)*(D379-F379-F379)*(D379-F379-F379))/4)+(4*(H379*H379*(D379/2-F379-(H379/2))-((PI()*H379*H379)/4*((D379/2)-F379-(H379-((4*H379)/(3*PI()))))))))/1000</f>
        <v/>
      </c>
      <c r="U379" s="125">
        <f>(((D379*E379*E379)/4)-(2*((D379-F379-F379)*(E379/2-(G379/2))*(((E379/2-(G379/2))/2)+(G379/2))))+(4*(((H379*H379)-(((PI()*H379*H379)/4)))*((H379-((4*H379)/(3*PI())))+(G379/2)))))/1000</f>
        <v/>
      </c>
      <c r="X379" s="129">
        <f t="array" ref="X379">_xlfn.IFS((D379/F379) &lt;= (640/SQRT($AT$32)), "Compact", L379 &lt;= ($AT$32*(0.79-(0.002*((E379-G379/2)/(2*F379))*SQRT($AT$32)))), "Non-Compact", L379 &gt; ($AT$32*(0.79-(0.002*((E379-G379/2)/(2*F379))*SQRT($AT$32)))), "Slender")</f>
        <v/>
      </c>
      <c r="Y379" s="129">
        <f t="array" ref="Y379">_xlfn.IFS(K379 &lt;= (65/SQRT($AT$32)), "Compact", K379 &lt;= (95/SQRT($AT$32)), "Non-Compact", K379 &gt; (95/SQRT($AT$32)), "Slender")</f>
        <v/>
      </c>
      <c r="Z379" s="125">
        <f>E379/F379</f>
        <v/>
      </c>
      <c r="AA379" s="125">
        <f>D379/G379</f>
        <v/>
      </c>
      <c r="AB379" s="125">
        <f t="array" ref="AB379">_xlfn.IFS(Z379 &lt;= 9, "1", Z379 &lt;= 12, "2", Z379 &lt;= 15, "3", Z379 &gt; 15, "4")</f>
        <v/>
      </c>
      <c r="AC379" s="125">
        <f t="array" ref="AC379">_xlfn.IFS(AA379 &lt;= 200, "1", L379 &lt;= 300, "2", L379 &lt;= 400, "3", L379 &gt; 400, "4")</f>
        <v/>
      </c>
      <c r="AE379" s="129">
        <f>SQRT((((VLOOKUP($AT$4,$A$4:$D$1021,4,FALSE))-D379)^2)+(((VLOOKUP($AT$4,$A$4:$E$1021,5,FALSE))-E379)^2)+(((VLOOKUP($AT$4,$A$4:$N$1021,14,FALSE))-N379)^2)+(((VLOOKUP($AT$4,$A$4:$O$1021,15,FALSE))-O379)^2))</f>
        <v/>
      </c>
      <c r="AG379" s="129" t="n"/>
      <c r="AH379" s="129">
        <f>SQRT((((VLOOKUP($AT$4,$A$4:$D$1021,4,FALSE))-D379)^2)+(((VLOOKUP($AT$4,$A$4:$E$1021,5,FALSE))-E379)^2)+(((VLOOKUP($AT$4,$A$4:$R$1021,18,FALSE))-R379)^2)+(((VLOOKUP($AT$4,$A$4:$S$1021,19,FALSE))-S379)^2))</f>
        <v/>
      </c>
      <c r="AJ379" s="125" t="inlineStr">
        <is>
          <t>HW350X134.9</t>
        </is>
      </c>
      <c r="AK379" s="125" t="n"/>
      <c r="AL379" s="125">
        <f>SQRT(((VLOOKUP($AT$4,$A$4:$J$1021,10,FALSE))-J379)^2)</f>
        <v/>
      </c>
      <c r="AM379" s="125" t="n"/>
      <c r="AN379" s="125" t="n"/>
      <c r="AO379" s="125">
        <f>SQRT(((VLOOKUP($AT$4,$A$4:$R$1021,18,FALSE))-R379)^2)</f>
        <v/>
      </c>
      <c r="AP379" s="125" t="n"/>
      <c r="AQ379" s="125" t="inlineStr">
        <is>
          <t>HW350X350</t>
        </is>
      </c>
      <c r="BB379" s="125">
        <f>SQRT(($J$1022-J379)^2)</f>
        <v/>
      </c>
      <c r="BC379" s="125">
        <f>SQRT(($R$1022-R379)^2)</f>
        <v/>
      </c>
      <c r="BD379" s="125" t="inlineStr">
        <is>
          <t>HW350X350</t>
        </is>
      </c>
      <c r="BI379">
        <f>SQRT(($J$1023-J379)^2)</f>
        <v/>
      </c>
      <c r="BJ379">
        <f>SQRT(($R$1023-R379)^2)</f>
        <v/>
      </c>
      <c r="BK379" s="125" t="inlineStr">
        <is>
          <t>HW350X350</t>
        </is>
      </c>
      <c r="BP379">
        <f>SQRT(($J$1024-J379)^2)</f>
        <v/>
      </c>
      <c r="BQ379">
        <f>SQRT(($R$1024-R379)^2)</f>
        <v/>
      </c>
      <c r="BR379" s="125" t="inlineStr">
        <is>
          <t>HW350X350</t>
        </is>
      </c>
      <c r="BW379">
        <f>SQRT(($J$1025-J379)^2)</f>
        <v/>
      </c>
      <c r="BX379">
        <f>SQRT(($R$1025-R379)^2)</f>
        <v/>
      </c>
      <c r="BY379" s="125" t="inlineStr">
        <is>
          <t>HW350X350</t>
        </is>
      </c>
      <c r="CD379">
        <f>SQRT(($J$1026-J379)^2)</f>
        <v/>
      </c>
      <c r="CE379">
        <f>SQRT(($R$1026-R379)^2)</f>
        <v/>
      </c>
      <c r="CF379" s="125" t="inlineStr">
        <is>
          <t>HW350X350</t>
        </is>
      </c>
    </row>
    <row r="380">
      <c r="A380" s="125" t="inlineStr">
        <is>
          <t>HW350X357</t>
        </is>
      </c>
      <c r="B380" s="129" t="inlineStr">
        <is>
          <t>GB</t>
        </is>
      </c>
      <c r="C380" s="125" t="inlineStr">
        <is>
          <t>154.2</t>
        </is>
      </c>
      <c r="D380" s="125" t="n">
        <v>350</v>
      </c>
      <c r="E380" s="125" t="n">
        <v>357</v>
      </c>
      <c r="F380" s="125" t="n">
        <v>19</v>
      </c>
      <c r="G380" s="125" t="n">
        <v>19</v>
      </c>
      <c r="H380" s="125" t="n">
        <v>13</v>
      </c>
      <c r="I380" s="125">
        <f>D380-(2*(H380+F380))</f>
        <v/>
      </c>
      <c r="J380" s="125" t="n">
        <v>196.39</v>
      </c>
      <c r="K380" s="125">
        <f>((E380-G380)/2)/F380</f>
        <v/>
      </c>
      <c r="L380" s="125">
        <f>I380/G380</f>
        <v/>
      </c>
      <c r="M380" s="125">
        <f>(E380*2+F380*4+((E380-G380)/2-H380)*4+2*PI()*H380+(D380-2*F380-2*H380)*2)/1000</f>
        <v/>
      </c>
      <c r="N380" s="5" t="n">
        <v>42138</v>
      </c>
      <c r="O380" s="5" t="n">
        <v>14427</v>
      </c>
      <c r="P380" s="125" t="n">
        <v>14.65</v>
      </c>
      <c r="Q380" s="125" t="n">
        <v>8.57</v>
      </c>
      <c r="R380" s="5" t="n">
        <v>2408</v>
      </c>
      <c r="S380" s="125" t="n">
        <v>808</v>
      </c>
      <c r="T380" s="125">
        <f>(((E380*D380*D380)/4)-(((E380-G380)*(D380-F380-F380)*(D380-F380-F380))/4)+(4*(H380*H380*(D380/2-F380-(H380/2))-((PI()*H380*H380)/4*((D380/2)-F380-(H380-((4*H380)/(3*PI()))))))))/1000</f>
        <v/>
      </c>
      <c r="U380" s="125">
        <f>(((D380*E380*E380)/4)-(2*((D380-F380-F380)*(E380/2-(G380/2))*(((E380/2-(G380/2))/2)+(G380/2))))+(4*(((H380*H380)-(((PI()*H380*H380)/4)))*((H380-((4*H380)/(3*PI())))+(G380/2)))))/1000</f>
        <v/>
      </c>
      <c r="X380" s="129">
        <f t="array" ref="X380">_xlfn.IFS((D380/F380) &lt;= (640/SQRT($AT$32)), "Compact", L380 &lt;= ($AT$32*(0.79-(0.002*((E380-G380/2)/(2*F380))*SQRT($AT$32)))), "Non-Compact", L380 &gt; ($AT$32*(0.79-(0.002*((E380-G380/2)/(2*F380))*SQRT($AT$32)))), "Slender")</f>
        <v/>
      </c>
      <c r="Y380" s="129">
        <f t="array" ref="Y380">_xlfn.IFS(K380 &lt;= (65/SQRT($AT$32)), "Compact", K380 &lt;= (95/SQRT($AT$32)), "Non-Compact", K380 &gt; (95/SQRT($AT$32)), "Slender")</f>
        <v/>
      </c>
      <c r="Z380" s="125">
        <f>E380/F380</f>
        <v/>
      </c>
      <c r="AA380" s="125">
        <f>D380/G380</f>
        <v/>
      </c>
      <c r="AB380" s="125">
        <f t="array" ref="AB380">_xlfn.IFS(Z380 &lt;= 9, "1", Z380 &lt;= 12, "2", Z380 &lt;= 15, "3", Z380 &gt; 15, "4")</f>
        <v/>
      </c>
      <c r="AC380" s="125">
        <f t="array" ref="AC380">_xlfn.IFS(AA380 &lt;= 200, "1", L380 &lt;= 300, "2", L380 &lt;= 400, "3", L380 &gt; 400, "4")</f>
        <v/>
      </c>
      <c r="AE380" s="129">
        <f>SQRT((((VLOOKUP($AT$4,$A$4:$D$1021,4,FALSE))-D380)^2)+(((VLOOKUP($AT$4,$A$4:$E$1021,5,FALSE))-E380)^2)+(((VLOOKUP($AT$4,$A$4:$N$1021,14,FALSE))-N380)^2)+(((VLOOKUP($AT$4,$A$4:$O$1021,15,FALSE))-O380)^2))</f>
        <v/>
      </c>
      <c r="AG380" s="129" t="n"/>
      <c r="AH380" s="129">
        <f>SQRT((((VLOOKUP($AT$4,$A$4:$D$1021,4,FALSE))-D380)^2)+(((VLOOKUP($AT$4,$A$4:$E$1021,5,FALSE))-E380)^2)+(((VLOOKUP($AT$4,$A$4:$R$1021,18,FALSE))-R380)^2)+(((VLOOKUP($AT$4,$A$4:$S$1021,19,FALSE))-S380)^2))</f>
        <v/>
      </c>
      <c r="AJ380" s="125" t="inlineStr">
        <is>
          <t>HW350X154.2</t>
        </is>
      </c>
      <c r="AK380" s="125" t="n"/>
      <c r="AL380" s="125">
        <f>SQRT(((VLOOKUP($AT$4,$A$4:$J$1021,10,FALSE))-J380)^2)</f>
        <v/>
      </c>
      <c r="AM380" s="125" t="n"/>
      <c r="AN380" s="125" t="n"/>
      <c r="AO380" s="125">
        <f>SQRT(((VLOOKUP($AT$4,$A$4:$R$1021,18,FALSE))-R380)^2)</f>
        <v/>
      </c>
      <c r="AP380" s="125" t="n"/>
      <c r="AQ380" s="125" t="inlineStr">
        <is>
          <t>HW350X357</t>
        </is>
      </c>
      <c r="BB380" s="125">
        <f>SQRT(($J$1022-J380)^2)</f>
        <v/>
      </c>
      <c r="BC380" s="125">
        <f>SQRT(($R$1022-R380)^2)</f>
        <v/>
      </c>
      <c r="BD380" s="125" t="inlineStr">
        <is>
          <t>HW350X357</t>
        </is>
      </c>
      <c r="BI380">
        <f>SQRT(($J$1023-J380)^2)</f>
        <v/>
      </c>
      <c r="BJ380">
        <f>SQRT(($R$1023-R380)^2)</f>
        <v/>
      </c>
      <c r="BK380" s="125" t="inlineStr">
        <is>
          <t>HW350X357</t>
        </is>
      </c>
      <c r="BP380">
        <f>SQRT(($J$1024-J380)^2)</f>
        <v/>
      </c>
      <c r="BQ380">
        <f>SQRT(($R$1024-R380)^2)</f>
        <v/>
      </c>
      <c r="BR380" s="125" t="inlineStr">
        <is>
          <t>HW350X357</t>
        </is>
      </c>
      <c r="BW380">
        <f>SQRT(($J$1025-J380)^2)</f>
        <v/>
      </c>
      <c r="BX380">
        <f>SQRT(($R$1025-R380)^2)</f>
        <v/>
      </c>
      <c r="BY380" s="125" t="inlineStr">
        <is>
          <t>HW350X357</t>
        </is>
      </c>
      <c r="CD380">
        <f>SQRT(($J$1026-J380)^2)</f>
        <v/>
      </c>
      <c r="CE380">
        <f>SQRT(($R$1026-R380)^2)</f>
        <v/>
      </c>
      <c r="CF380" s="125" t="inlineStr">
        <is>
          <t>HW350X357</t>
        </is>
      </c>
    </row>
    <row r="381">
      <c r="A381" s="125" t="inlineStr">
        <is>
          <t>HW388</t>
        </is>
      </c>
      <c r="B381" s="129" t="inlineStr">
        <is>
          <t>GB</t>
        </is>
      </c>
      <c r="C381" s="125" t="inlineStr">
        <is>
          <t>140.1</t>
        </is>
      </c>
      <c r="D381" s="125" t="n">
        <v>388</v>
      </c>
      <c r="E381" s="125" t="n">
        <v>402</v>
      </c>
      <c r="F381" s="125" t="n">
        <v>15</v>
      </c>
      <c r="G381" s="125" t="n">
        <v>15</v>
      </c>
      <c r="H381" s="125" t="n">
        <v>22</v>
      </c>
      <c r="I381" s="125">
        <f>D381-(2*(H381+F381))</f>
        <v/>
      </c>
      <c r="J381" s="125" t="n">
        <v>178.45</v>
      </c>
      <c r="K381" s="125">
        <f>((E381-G381)/2)/F381</f>
        <v/>
      </c>
      <c r="L381" s="125">
        <f>I381/G381</f>
        <v/>
      </c>
      <c r="M381" s="125">
        <f>(E381*2+F381*4+((E381-G381)/2-H381)*4+2*PI()*H381+(D381-2*F381-2*H381)*2)/1000</f>
        <v/>
      </c>
      <c r="N381" s="5" t="n">
        <v>48040</v>
      </c>
      <c r="O381" s="5" t="n">
        <v>16255</v>
      </c>
      <c r="P381" s="125" t="n">
        <v>16.41</v>
      </c>
      <c r="Q381" s="125" t="n">
        <v>9.539999999999999</v>
      </c>
      <c r="R381" s="5" t="n">
        <v>2476</v>
      </c>
      <c r="S381" s="125" t="n">
        <v>809</v>
      </c>
      <c r="T381" s="125">
        <f>(((E381*D381*D381)/4)-(((E381-G381)*(D381-F381-F381)*(D381-F381-F381))/4)+(4*(H381*H381*(D381/2-F381-(H381/2))-((PI()*H381*H381)/4*((D381/2)-F381-(H381-((4*H381)/(3*PI()))))))))/1000</f>
        <v/>
      </c>
      <c r="U381" s="125">
        <f>(((D381*E381*E381)/4)-(2*((D381-F381-F381)*(E381/2-(G381/2))*(((E381/2-(G381/2))/2)+(G381/2))))+(4*(((H381*H381)-(((PI()*H381*H381)/4)))*((H381-((4*H381)/(3*PI())))+(G381/2)))))/1000</f>
        <v/>
      </c>
      <c r="X381" s="129">
        <f t="array" ref="X381">_xlfn.IFS((D381/F381) &lt;= (640/SQRT($AT$32)), "Compact", L381 &lt;= ($AT$32*(0.79-(0.002*((E381-G381/2)/(2*F381))*SQRT($AT$32)))), "Non-Compact", L381 &gt; ($AT$32*(0.79-(0.002*((E381-G381/2)/(2*F381))*SQRT($AT$32)))), "Slender")</f>
        <v/>
      </c>
      <c r="Y381" s="129">
        <f t="array" ref="Y381">_xlfn.IFS(K381 &lt;= (65/SQRT($AT$32)), "Compact", K381 &lt;= (95/SQRT($AT$32)), "Non-Compact", K381 &gt; (95/SQRT($AT$32)), "Slender")</f>
        <v/>
      </c>
      <c r="Z381" s="125">
        <f>E381/F381</f>
        <v/>
      </c>
      <c r="AA381" s="125">
        <f>D381/G381</f>
        <v/>
      </c>
      <c r="AB381" s="125">
        <f t="array" ref="AB381">_xlfn.IFS(Z381 &lt;= 9, "1", Z381 &lt;= 12, "2", Z381 &lt;= 15, "3", Z381 &gt; 15, "4")</f>
        <v/>
      </c>
      <c r="AC381" s="125">
        <f t="array" ref="AC381">_xlfn.IFS(AA381 &lt;= 200, "1", L381 &lt;= 300, "2", L381 &lt;= 400, "3", L381 &gt; 400, "4")</f>
        <v/>
      </c>
      <c r="AE381" s="129">
        <f>SQRT((((VLOOKUP($AT$4,$A$4:$D$1021,4,FALSE))-D381)^2)+(((VLOOKUP($AT$4,$A$4:$E$1021,5,FALSE))-E381)^2)+(((VLOOKUP($AT$4,$A$4:$N$1021,14,FALSE))-N381)^2)+(((VLOOKUP($AT$4,$A$4:$O$1021,15,FALSE))-O381)^2))</f>
        <v/>
      </c>
      <c r="AG381" s="129" t="n"/>
      <c r="AH381" s="129">
        <f>SQRT((((VLOOKUP($AT$4,$A$4:$D$1021,4,FALSE))-D381)^2)+(((VLOOKUP($AT$4,$A$4:$E$1021,5,FALSE))-E381)^2)+(((VLOOKUP($AT$4,$A$4:$R$1021,18,FALSE))-R381)^2)+(((VLOOKUP($AT$4,$A$4:$S$1021,19,FALSE))-S381)^2))</f>
        <v/>
      </c>
      <c r="AJ381" s="125" t="inlineStr">
        <is>
          <t>HW400X140.1</t>
        </is>
      </c>
      <c r="AK381" s="125" t="n"/>
      <c r="AL381" s="125">
        <f>SQRT(((VLOOKUP($AT$4,$A$4:$J$1021,10,FALSE))-J381)^2)</f>
        <v/>
      </c>
      <c r="AM381" s="125" t="n"/>
      <c r="AN381" s="125" t="n"/>
      <c r="AO381" s="125">
        <f>SQRT(((VLOOKUP($AT$4,$A$4:$R$1021,18,FALSE))-R381)^2)</f>
        <v/>
      </c>
      <c r="AP381" s="125" t="n"/>
      <c r="AQ381" s="125" t="inlineStr">
        <is>
          <t>HW388</t>
        </is>
      </c>
      <c r="BB381" s="125">
        <f>SQRT(($J$1022-J381)^2)</f>
        <v/>
      </c>
      <c r="BC381" s="125">
        <f>SQRT(($R$1022-R381)^2)</f>
        <v/>
      </c>
      <c r="BD381" s="125" t="inlineStr">
        <is>
          <t>HW388</t>
        </is>
      </c>
      <c r="BI381">
        <f>SQRT(($J$1023-J381)^2)</f>
        <v/>
      </c>
      <c r="BJ381">
        <f>SQRT(($R$1023-R381)^2)</f>
        <v/>
      </c>
      <c r="BK381" s="125" t="inlineStr">
        <is>
          <t>HW388</t>
        </is>
      </c>
      <c r="BP381">
        <f>SQRT(($J$1024-J381)^2)</f>
        <v/>
      </c>
      <c r="BQ381">
        <f>SQRT(($R$1024-R381)^2)</f>
        <v/>
      </c>
      <c r="BR381" s="125" t="inlineStr">
        <is>
          <t>HW388</t>
        </is>
      </c>
      <c r="BW381">
        <f>SQRT(($J$1025-J381)^2)</f>
        <v/>
      </c>
      <c r="BX381">
        <f>SQRT(($R$1025-R381)^2)</f>
        <v/>
      </c>
      <c r="BY381" s="125" t="inlineStr">
        <is>
          <t>HW388</t>
        </is>
      </c>
      <c r="CD381">
        <f>SQRT(($J$1026-J381)^2)</f>
        <v/>
      </c>
      <c r="CE381">
        <f>SQRT(($R$1026-R381)^2)</f>
        <v/>
      </c>
      <c r="CF381" s="125" t="inlineStr">
        <is>
          <t>HW388</t>
        </is>
      </c>
    </row>
    <row r="382">
      <c r="A382" s="125" t="inlineStr">
        <is>
          <t>HW394X398</t>
        </is>
      </c>
      <c r="B382" s="129" t="inlineStr">
        <is>
          <t>GB</t>
        </is>
      </c>
      <c r="C382" s="125" t="inlineStr">
        <is>
          <t>146.6</t>
        </is>
      </c>
      <c r="D382" s="125" t="n">
        <v>394</v>
      </c>
      <c r="E382" s="125" t="n">
        <v>398</v>
      </c>
      <c r="F382" s="125" t="n">
        <v>18</v>
      </c>
      <c r="G382" s="125" t="n">
        <v>11</v>
      </c>
      <c r="H382" s="125" t="n">
        <v>22</v>
      </c>
      <c r="I382" s="125">
        <f>D382-(2*(H382+F382))</f>
        <v/>
      </c>
      <c r="J382" s="125" t="n">
        <v>186.81</v>
      </c>
      <c r="K382" s="125">
        <f>((E382-G382)/2)/F382</f>
        <v/>
      </c>
      <c r="L382" s="125">
        <f>I382/G382</f>
        <v/>
      </c>
      <c r="M382" s="125">
        <f>(E382*2+F382*4+((E382-G382)/2-H382)*4+2*PI()*H382+(D382-2*F382-2*H382)*2)/1000</f>
        <v/>
      </c>
      <c r="N382" s="5" t="n">
        <v>55597</v>
      </c>
      <c r="O382" s="5" t="n">
        <v>18920</v>
      </c>
      <c r="P382" s="125" t="n">
        <v>17.25</v>
      </c>
      <c r="Q382" s="125" t="n">
        <v>10.06</v>
      </c>
      <c r="R382" s="5" t="n">
        <v>2822</v>
      </c>
      <c r="S382" s="125" t="n">
        <v>951</v>
      </c>
      <c r="T382" s="125">
        <f>(((E382*D382*D382)/4)-(((E382-G382)*(D382-F382-F382)*(D382-F382-F382))/4)+(4*(H382*H382*(D382/2-F382-(H382/2))-((PI()*H382*H382)/4*((D382/2)-F382-(H382-((4*H382)/(3*PI()))))))))/1000</f>
        <v/>
      </c>
      <c r="U382" s="125">
        <f>(((D382*E382*E382)/4)-(2*((D382-F382-F382)*(E382/2-(G382/2))*(((E382/2-(G382/2))/2)+(G382/2))))+(4*(((H382*H382)-(((PI()*H382*H382)/4)))*((H382-((4*H382)/(3*PI())))+(G382/2)))))/1000</f>
        <v/>
      </c>
      <c r="X382" s="129">
        <f t="array" ref="X382">_xlfn.IFS((D382/F382) &lt;= (640/SQRT($AT$32)), "Compact", L382 &lt;= ($AT$32*(0.79-(0.002*((E382-G382/2)/(2*F382))*SQRT($AT$32)))), "Non-Compact", L382 &gt; ($AT$32*(0.79-(0.002*((E382-G382/2)/(2*F382))*SQRT($AT$32)))), "Slender")</f>
        <v/>
      </c>
      <c r="Y382" s="129">
        <f t="array" ref="Y382">_xlfn.IFS(K382 &lt;= (65/SQRT($AT$32)), "Compact", K382 &lt;= (95/SQRT($AT$32)), "Non-Compact", K382 &gt; (95/SQRT($AT$32)), "Slender")</f>
        <v/>
      </c>
      <c r="Z382" s="125">
        <f>E382/F382</f>
        <v/>
      </c>
      <c r="AA382" s="125">
        <f>D382/G382</f>
        <v/>
      </c>
      <c r="AB382" s="125">
        <f t="array" ref="AB382">_xlfn.IFS(Z382 &lt;= 9, "1", Z382 &lt;= 12, "2", Z382 &lt;= 15, "3", Z382 &gt; 15, "4")</f>
        <v/>
      </c>
      <c r="AC382" s="125">
        <f t="array" ref="AC382">_xlfn.IFS(AA382 &lt;= 200, "1", L382 &lt;= 300, "2", L382 &lt;= 400, "3", L382 &gt; 400, "4")</f>
        <v/>
      </c>
      <c r="AE382" s="129">
        <f>SQRT((((VLOOKUP($AT$4,$A$4:$D$1021,4,FALSE))-D382)^2)+(((VLOOKUP($AT$4,$A$4:$E$1021,5,FALSE))-E382)^2)+(((VLOOKUP($AT$4,$A$4:$N$1021,14,FALSE))-N382)^2)+(((VLOOKUP($AT$4,$A$4:$O$1021,15,FALSE))-O382)^2))</f>
        <v/>
      </c>
      <c r="AG382" s="129" t="n"/>
      <c r="AH382" s="129">
        <f>SQRT((((VLOOKUP($AT$4,$A$4:$D$1021,4,FALSE))-D382)^2)+(((VLOOKUP($AT$4,$A$4:$E$1021,5,FALSE))-E382)^2)+(((VLOOKUP($AT$4,$A$4:$R$1021,18,FALSE))-R382)^2)+(((VLOOKUP($AT$4,$A$4:$S$1021,19,FALSE))-S382)^2))</f>
        <v/>
      </c>
      <c r="AJ382" s="125" t="inlineStr">
        <is>
          <t>HW400X146.6</t>
        </is>
      </c>
      <c r="AK382" s="125" t="n"/>
      <c r="AL382" s="125">
        <f>SQRT(((VLOOKUP($AT$4,$A$4:$J$1021,10,FALSE))-J382)^2)</f>
        <v/>
      </c>
      <c r="AM382" s="125" t="n"/>
      <c r="AN382" s="125" t="n"/>
      <c r="AO382" s="125">
        <f>SQRT(((VLOOKUP($AT$4,$A$4:$R$1021,18,FALSE))-R382)^2)</f>
        <v/>
      </c>
      <c r="AP382" s="125" t="n"/>
      <c r="AQ382" s="125" t="inlineStr">
        <is>
          <t>HW394X398</t>
        </is>
      </c>
      <c r="BB382" s="125">
        <f>SQRT(($J$1022-J382)^2)</f>
        <v/>
      </c>
      <c r="BC382" s="125">
        <f>SQRT(($R$1022-R382)^2)</f>
        <v/>
      </c>
      <c r="BD382" s="125" t="inlineStr">
        <is>
          <t>HW394X398</t>
        </is>
      </c>
      <c r="BI382">
        <f>SQRT(($J$1023-J382)^2)</f>
        <v/>
      </c>
      <c r="BJ382">
        <f>SQRT(($R$1023-R382)^2)</f>
        <v/>
      </c>
      <c r="BK382" s="125" t="inlineStr">
        <is>
          <t>HW394X398</t>
        </is>
      </c>
      <c r="BP382">
        <f>SQRT(($J$1024-J382)^2)</f>
        <v/>
      </c>
      <c r="BQ382">
        <f>SQRT(($R$1024-R382)^2)</f>
        <v/>
      </c>
      <c r="BR382" s="125" t="inlineStr">
        <is>
          <t>HW394X398</t>
        </is>
      </c>
      <c r="BW382">
        <f>SQRT(($J$1025-J382)^2)</f>
        <v/>
      </c>
      <c r="BX382">
        <f>SQRT(($R$1025-R382)^2)</f>
        <v/>
      </c>
      <c r="BY382" s="125" t="inlineStr">
        <is>
          <t>HW394X398</t>
        </is>
      </c>
      <c r="CD382">
        <f>SQRT(($J$1026-J382)^2)</f>
        <v/>
      </c>
      <c r="CE382">
        <f>SQRT(($R$1026-R382)^2)</f>
        <v/>
      </c>
      <c r="CF382" s="125" t="inlineStr">
        <is>
          <t>HW394X398</t>
        </is>
      </c>
    </row>
    <row r="383">
      <c r="A383" s="125" t="inlineStr">
        <is>
          <t>HW394X405</t>
        </is>
      </c>
      <c r="B383" s="129" t="inlineStr">
        <is>
          <t>GB</t>
        </is>
      </c>
      <c r="C383" s="125" t="inlineStr">
        <is>
          <t>168.3</t>
        </is>
      </c>
      <c r="D383" s="125" t="n">
        <v>394</v>
      </c>
      <c r="E383" s="125" t="n">
        <v>405</v>
      </c>
      <c r="F383" s="125" t="n">
        <v>18</v>
      </c>
      <c r="G383" s="125" t="n">
        <v>18</v>
      </c>
      <c r="H383" s="125" t="n">
        <v>22</v>
      </c>
      <c r="I383" s="125">
        <f>D383-(2*(H383+F383))</f>
        <v/>
      </c>
      <c r="J383" s="125" t="n">
        <v>214.39</v>
      </c>
      <c r="K383" s="125">
        <f>((E383-G383)/2)/F383</f>
        <v/>
      </c>
      <c r="L383" s="125">
        <f>I383/G383</f>
        <v/>
      </c>
      <c r="M383" s="125">
        <f>(E383*2+F383*4+((E383-G383)/2-H383)*4+2*PI()*H383+(D383-2*F383-2*H383)*2)/1000</f>
        <v/>
      </c>
      <c r="N383" s="5" t="n">
        <v>59165</v>
      </c>
      <c r="O383" s="5" t="n">
        <v>19951</v>
      </c>
      <c r="P383" s="125" t="n">
        <v>16.61</v>
      </c>
      <c r="Q383" s="125" t="n">
        <v>9.65</v>
      </c>
      <c r="R383" s="5" t="n">
        <v>3003</v>
      </c>
      <c r="S383" s="125" t="n">
        <v>985</v>
      </c>
      <c r="T383" s="125">
        <f>(((E383*D383*D383)/4)-(((E383-G383)*(D383-F383-F383)*(D383-F383-F383))/4)+(4*(H383*H383*(D383/2-F383-(H383/2))-((PI()*H383*H383)/4*((D383/2)-F383-(H383-((4*H383)/(3*PI()))))))))/1000</f>
        <v/>
      </c>
      <c r="U383" s="125">
        <f>(((D383*E383*E383)/4)-(2*((D383-F383-F383)*(E383/2-(G383/2))*(((E383/2-(G383/2))/2)+(G383/2))))+(4*(((H383*H383)-(((PI()*H383*H383)/4)))*((H383-((4*H383)/(3*PI())))+(G383/2)))))/1000</f>
        <v/>
      </c>
      <c r="X383" s="129">
        <f t="array" ref="X383">_xlfn.IFS((D383/F383) &lt;= (640/SQRT($AT$32)), "Compact", L383 &lt;= ($AT$32*(0.79-(0.002*((E383-G383/2)/(2*F383))*SQRT($AT$32)))), "Non-Compact", L383 &gt; ($AT$32*(0.79-(0.002*((E383-G383/2)/(2*F383))*SQRT($AT$32)))), "Slender")</f>
        <v/>
      </c>
      <c r="Y383" s="129">
        <f t="array" ref="Y383">_xlfn.IFS(K383 &lt;= (65/SQRT($AT$32)), "Compact", K383 &lt;= (95/SQRT($AT$32)), "Non-Compact", K383 &gt; (95/SQRT($AT$32)), "Slender")</f>
        <v/>
      </c>
      <c r="Z383" s="125">
        <f>E383/F383</f>
        <v/>
      </c>
      <c r="AA383" s="125">
        <f>D383/G383</f>
        <v/>
      </c>
      <c r="AB383" s="125">
        <f t="array" ref="AB383">_xlfn.IFS(Z383 &lt;= 9, "1", Z383 &lt;= 12, "2", Z383 &lt;= 15, "3", Z383 &gt; 15, "4")</f>
        <v/>
      </c>
      <c r="AC383" s="125">
        <f t="array" ref="AC383">_xlfn.IFS(AA383 &lt;= 200, "1", L383 &lt;= 300, "2", L383 &lt;= 400, "3", L383 &gt; 400, "4")</f>
        <v/>
      </c>
      <c r="AE383" s="129">
        <f>SQRT((((VLOOKUP($AT$4,$A$4:$D$1021,4,FALSE))-D383)^2)+(((VLOOKUP($AT$4,$A$4:$E$1021,5,FALSE))-E383)^2)+(((VLOOKUP($AT$4,$A$4:$N$1021,14,FALSE))-N383)^2)+(((VLOOKUP($AT$4,$A$4:$O$1021,15,FALSE))-O383)^2))</f>
        <v/>
      </c>
      <c r="AG383" s="129" t="n"/>
      <c r="AH383" s="129">
        <f>SQRT((((VLOOKUP($AT$4,$A$4:$D$1021,4,FALSE))-D383)^2)+(((VLOOKUP($AT$4,$A$4:$E$1021,5,FALSE))-E383)^2)+(((VLOOKUP($AT$4,$A$4:$R$1021,18,FALSE))-R383)^2)+(((VLOOKUP($AT$4,$A$4:$S$1021,19,FALSE))-S383)^2))</f>
        <v/>
      </c>
      <c r="AJ383" s="125" t="inlineStr">
        <is>
          <t>HW400X168.3</t>
        </is>
      </c>
      <c r="AK383" s="125" t="n"/>
      <c r="AL383" s="125">
        <f>SQRT(((VLOOKUP($AT$4,$A$4:$J$1021,10,FALSE))-J383)^2)</f>
        <v/>
      </c>
      <c r="AM383" s="125" t="n"/>
      <c r="AN383" s="125" t="n"/>
      <c r="AO383" s="125">
        <f>SQRT(((VLOOKUP($AT$4,$A$4:$R$1021,18,FALSE))-R383)^2)</f>
        <v/>
      </c>
      <c r="AP383" s="125" t="n"/>
      <c r="AQ383" s="125" t="inlineStr">
        <is>
          <t>HW394X405</t>
        </is>
      </c>
      <c r="BB383" s="125">
        <f>SQRT(($J$1022-J383)^2)</f>
        <v/>
      </c>
      <c r="BC383" s="125">
        <f>SQRT(($R$1022-R383)^2)</f>
        <v/>
      </c>
      <c r="BD383" s="125" t="inlineStr">
        <is>
          <t>HW394X405</t>
        </is>
      </c>
      <c r="BI383">
        <f>SQRT(($J$1023-J383)^2)</f>
        <v/>
      </c>
      <c r="BJ383">
        <f>SQRT(($R$1023-R383)^2)</f>
        <v/>
      </c>
      <c r="BK383" s="125" t="inlineStr">
        <is>
          <t>HW394X405</t>
        </is>
      </c>
      <c r="BP383">
        <f>SQRT(($J$1024-J383)^2)</f>
        <v/>
      </c>
      <c r="BQ383">
        <f>SQRT(($R$1024-R383)^2)</f>
        <v/>
      </c>
      <c r="BR383" s="125" t="inlineStr">
        <is>
          <t>HW394X405</t>
        </is>
      </c>
      <c r="BW383">
        <f>SQRT(($J$1025-J383)^2)</f>
        <v/>
      </c>
      <c r="BX383">
        <f>SQRT(($R$1025-R383)^2)</f>
        <v/>
      </c>
      <c r="BY383" s="125" t="inlineStr">
        <is>
          <t>HW394X405</t>
        </is>
      </c>
      <c r="CD383">
        <f>SQRT(($J$1026-J383)^2)</f>
        <v/>
      </c>
      <c r="CE383">
        <f>SQRT(($R$1026-R383)^2)</f>
        <v/>
      </c>
      <c r="CF383" s="125" t="inlineStr">
        <is>
          <t>HW394X405</t>
        </is>
      </c>
    </row>
    <row r="384">
      <c r="A384" s="125" t="inlineStr">
        <is>
          <t>HW400X400</t>
        </is>
      </c>
      <c r="B384" s="129" t="inlineStr">
        <is>
          <t>GB</t>
        </is>
      </c>
      <c r="C384" s="125" t="inlineStr">
        <is>
          <t>171.7</t>
        </is>
      </c>
      <c r="D384" s="125" t="n">
        <v>400</v>
      </c>
      <c r="E384" s="125" t="n">
        <v>400</v>
      </c>
      <c r="F384" s="125" t="n">
        <v>21</v>
      </c>
      <c r="G384" s="125" t="n">
        <v>13</v>
      </c>
      <c r="H384" s="125" t="n">
        <v>22</v>
      </c>
      <c r="I384" s="125">
        <f>D384-(2*(H384+F384))</f>
        <v/>
      </c>
      <c r="J384" s="125" t="n">
        <v>218.69</v>
      </c>
      <c r="K384" s="125">
        <f>((E384-G384)/2)/F384</f>
        <v/>
      </c>
      <c r="L384" s="125">
        <f>I384/G384</f>
        <v/>
      </c>
      <c r="M384" s="125">
        <f>(E384*2+F384*4+((E384-G384)/2-H384)*4+2*PI()*H384+(D384-2*F384-2*H384)*2)/1000</f>
        <v/>
      </c>
      <c r="N384" s="5" t="n">
        <v>66455</v>
      </c>
      <c r="O384" s="5" t="n">
        <v>22410</v>
      </c>
      <c r="P384" s="125" t="n">
        <v>17.43</v>
      </c>
      <c r="Q384" s="125" t="n">
        <v>10.12</v>
      </c>
      <c r="R384" s="5" t="n">
        <v>3323</v>
      </c>
      <c r="S384" s="5" t="n">
        <v>1120</v>
      </c>
      <c r="T384" s="125">
        <f>(((E384*D384*D384)/4)-(((E384-G384)*(D384-F384-F384)*(D384-F384-F384))/4)+(4*(H384*H384*(D384/2-F384-(H384/2))-((PI()*H384*H384)/4*((D384/2)-F384-(H384-((4*H384)/(3*PI()))))))))/1000</f>
        <v/>
      </c>
      <c r="U384" s="125">
        <f>(((D384*E384*E384)/4)-(2*((D384-F384-F384)*(E384/2-(G384/2))*(((E384/2-(G384/2))/2)+(G384/2))))+(4*(((H384*H384)-(((PI()*H384*H384)/4)))*((H384-((4*H384)/(3*PI())))+(G384/2)))))/1000</f>
        <v/>
      </c>
      <c r="X384" s="129">
        <f t="array" ref="X384">_xlfn.IFS((D384/F384) &lt;= (640/SQRT($AT$32)), "Compact", L384 &lt;= ($AT$32*(0.79-(0.002*((E384-G384/2)/(2*F384))*SQRT($AT$32)))), "Non-Compact", L384 &gt; ($AT$32*(0.79-(0.002*((E384-G384/2)/(2*F384))*SQRT($AT$32)))), "Slender")</f>
        <v/>
      </c>
      <c r="Y384" s="129">
        <f t="array" ref="Y384">_xlfn.IFS(K384 &lt;= (65/SQRT($AT$32)), "Compact", K384 &lt;= (95/SQRT($AT$32)), "Non-Compact", K384 &gt; (95/SQRT($AT$32)), "Slender")</f>
        <v/>
      </c>
      <c r="Z384" s="125">
        <f>E384/F384</f>
        <v/>
      </c>
      <c r="AA384" s="125">
        <f>D384/G384</f>
        <v/>
      </c>
      <c r="AB384" s="125">
        <f t="array" ref="AB384">_xlfn.IFS(Z384 &lt;= 9, "1", Z384 &lt;= 12, "2", Z384 &lt;= 15, "3", Z384 &gt; 15, "4")</f>
        <v/>
      </c>
      <c r="AC384" s="125">
        <f t="array" ref="AC384">_xlfn.IFS(AA384 &lt;= 200, "1", L384 &lt;= 300, "2", L384 &lt;= 400, "3", L384 &gt; 400, "4")</f>
        <v/>
      </c>
      <c r="AE384" s="129">
        <f>SQRT((((VLOOKUP($AT$4,$A$4:$D$1021,4,FALSE))-D384)^2)+(((VLOOKUP($AT$4,$A$4:$E$1021,5,FALSE))-E384)^2)+(((VLOOKUP($AT$4,$A$4:$N$1021,14,FALSE))-N384)^2)+(((VLOOKUP($AT$4,$A$4:$O$1021,15,FALSE))-O384)^2))</f>
        <v/>
      </c>
      <c r="AG384" s="129" t="n"/>
      <c r="AH384" s="129">
        <f>SQRT((((VLOOKUP($AT$4,$A$4:$D$1021,4,FALSE))-D384)^2)+(((VLOOKUP($AT$4,$A$4:$E$1021,5,FALSE))-E384)^2)+(((VLOOKUP($AT$4,$A$4:$R$1021,18,FALSE))-R384)^2)+(((VLOOKUP($AT$4,$A$4:$S$1021,19,FALSE))-S384)^2))</f>
        <v/>
      </c>
      <c r="AJ384" s="125" t="inlineStr">
        <is>
          <t>HW400X171.7</t>
        </is>
      </c>
      <c r="AK384" s="125" t="n"/>
      <c r="AL384" s="125">
        <f>SQRT(((VLOOKUP($AT$4,$A$4:$J$1021,10,FALSE))-J384)^2)</f>
        <v/>
      </c>
      <c r="AM384" s="125" t="n"/>
      <c r="AN384" s="125" t="n"/>
      <c r="AO384" s="125">
        <f>SQRT(((VLOOKUP($AT$4,$A$4:$R$1021,18,FALSE))-R384)^2)</f>
        <v/>
      </c>
      <c r="AP384" s="125" t="n"/>
      <c r="AQ384" s="125" t="inlineStr">
        <is>
          <t>HW400X400</t>
        </is>
      </c>
      <c r="BB384" s="125">
        <f>SQRT(($J$1022-J384)^2)</f>
        <v/>
      </c>
      <c r="BC384" s="125">
        <f>SQRT(($R$1022-R384)^2)</f>
        <v/>
      </c>
      <c r="BD384" s="125" t="inlineStr">
        <is>
          <t>HW400X400</t>
        </is>
      </c>
      <c r="BI384">
        <f>SQRT(($J$1023-J384)^2)</f>
        <v/>
      </c>
      <c r="BJ384">
        <f>SQRT(($R$1023-R384)^2)</f>
        <v/>
      </c>
      <c r="BK384" s="125" t="inlineStr">
        <is>
          <t>HW400X400</t>
        </is>
      </c>
      <c r="BP384">
        <f>SQRT(($J$1024-J384)^2)</f>
        <v/>
      </c>
      <c r="BQ384">
        <f>SQRT(($R$1024-R384)^2)</f>
        <v/>
      </c>
      <c r="BR384" s="125" t="inlineStr">
        <is>
          <t>HW400X400</t>
        </is>
      </c>
      <c r="BW384">
        <f>SQRT(($J$1025-J384)^2)</f>
        <v/>
      </c>
      <c r="BX384">
        <f>SQRT(($R$1025-R384)^2)</f>
        <v/>
      </c>
      <c r="BY384" s="125" t="inlineStr">
        <is>
          <t>HW400X400</t>
        </is>
      </c>
      <c r="CD384">
        <f>SQRT(($J$1026-J384)^2)</f>
        <v/>
      </c>
      <c r="CE384">
        <f>SQRT(($R$1026-R384)^2)</f>
        <v/>
      </c>
      <c r="CF384" s="125" t="inlineStr">
        <is>
          <t>HW400X400</t>
        </is>
      </c>
    </row>
    <row r="385">
      <c r="A385" s="125" t="inlineStr">
        <is>
          <t>HW400X408</t>
        </is>
      </c>
      <c r="B385" s="129" t="inlineStr">
        <is>
          <t>GB</t>
        </is>
      </c>
      <c r="C385" s="125" t="inlineStr">
        <is>
          <t>196.8</t>
        </is>
      </c>
      <c r="D385" s="125" t="n">
        <v>400</v>
      </c>
      <c r="E385" s="125" t="n">
        <v>408</v>
      </c>
      <c r="F385" s="125" t="n">
        <v>21</v>
      </c>
      <c r="G385" s="125" t="n">
        <v>21</v>
      </c>
      <c r="H385" s="125" t="n">
        <v>22</v>
      </c>
      <c r="I385" s="125">
        <f>D385-(2*(H385+F385))</f>
        <v/>
      </c>
      <c r="J385" s="125" t="n">
        <v>250.69</v>
      </c>
      <c r="K385" s="125">
        <f>((E385-G385)/2)/F385</f>
        <v/>
      </c>
      <c r="L385" s="125">
        <f>I385/G385</f>
        <v/>
      </c>
      <c r="M385" s="125">
        <f>(E385*2+F385*4+((E385-G385)/2-H385)*4+2*PI()*H385+(D385-2*F385-2*H385)*2)/1000</f>
        <v/>
      </c>
      <c r="N385" s="5" t="n">
        <v>70722</v>
      </c>
      <c r="O385" s="5" t="n">
        <v>23804</v>
      </c>
      <c r="P385" s="125" t="n">
        <v>16.8</v>
      </c>
      <c r="Q385" s="125" t="n">
        <v>9.74</v>
      </c>
      <c r="R385" s="5" t="n">
        <v>3536</v>
      </c>
      <c r="S385" s="5" t="n">
        <v>1167</v>
      </c>
      <c r="T385" s="125">
        <f>(((E385*D385*D385)/4)-(((E385-G385)*(D385-F385-F385)*(D385-F385-F385))/4)+(4*(H385*H385*(D385/2-F385-(H385/2))-((PI()*H385*H385)/4*((D385/2)-F385-(H385-((4*H385)/(3*PI()))))))))/1000</f>
        <v/>
      </c>
      <c r="U385" s="125">
        <f>(((D385*E385*E385)/4)-(2*((D385-F385-F385)*(E385/2-(G385/2))*(((E385/2-(G385/2))/2)+(G385/2))))+(4*(((H385*H385)-(((PI()*H385*H385)/4)))*((H385-((4*H385)/(3*PI())))+(G385/2)))))/1000</f>
        <v/>
      </c>
      <c r="X385" s="129">
        <f t="array" ref="X385">_xlfn.IFS((D385/F385) &lt;= (640/SQRT($AT$32)), "Compact", L385 &lt;= ($AT$32*(0.79-(0.002*((E385-G385/2)/(2*F385))*SQRT($AT$32)))), "Non-Compact", L385 &gt; ($AT$32*(0.79-(0.002*((E385-G385/2)/(2*F385))*SQRT($AT$32)))), "Slender")</f>
        <v/>
      </c>
      <c r="Y385" s="129">
        <f t="array" ref="Y385">_xlfn.IFS(K385 &lt;= (65/SQRT($AT$32)), "Compact", K385 &lt;= (95/SQRT($AT$32)), "Non-Compact", K385 &gt; (95/SQRT($AT$32)), "Slender")</f>
        <v/>
      </c>
      <c r="Z385" s="125">
        <f>E385/F385</f>
        <v/>
      </c>
      <c r="AA385" s="125">
        <f>D385/G385</f>
        <v/>
      </c>
      <c r="AB385" s="125">
        <f t="array" ref="AB385">_xlfn.IFS(Z385 &lt;= 9, "1", Z385 &lt;= 12, "2", Z385 &lt;= 15, "3", Z385 &gt; 15, "4")</f>
        <v/>
      </c>
      <c r="AC385" s="125">
        <f t="array" ref="AC385">_xlfn.IFS(AA385 &lt;= 200, "1", L385 &lt;= 300, "2", L385 &lt;= 400, "3", L385 &gt; 400, "4")</f>
        <v/>
      </c>
      <c r="AE385" s="129">
        <f>SQRT((((VLOOKUP($AT$4,$A$4:$D$1021,4,FALSE))-D385)^2)+(((VLOOKUP($AT$4,$A$4:$E$1021,5,FALSE))-E385)^2)+(((VLOOKUP($AT$4,$A$4:$N$1021,14,FALSE))-N385)^2)+(((VLOOKUP($AT$4,$A$4:$O$1021,15,FALSE))-O385)^2))</f>
        <v/>
      </c>
      <c r="AG385" s="129" t="n"/>
      <c r="AH385" s="129">
        <f>SQRT((((VLOOKUP($AT$4,$A$4:$D$1021,4,FALSE))-D385)^2)+(((VLOOKUP($AT$4,$A$4:$E$1021,5,FALSE))-E385)^2)+(((VLOOKUP($AT$4,$A$4:$R$1021,18,FALSE))-R385)^2)+(((VLOOKUP($AT$4,$A$4:$S$1021,19,FALSE))-S385)^2))</f>
        <v/>
      </c>
      <c r="AJ385" s="125" t="inlineStr">
        <is>
          <t>HW400X196.8</t>
        </is>
      </c>
      <c r="AK385" s="125" t="n"/>
      <c r="AL385" s="125">
        <f>SQRT(((VLOOKUP($AT$4,$A$4:$J$1021,10,FALSE))-J385)^2)</f>
        <v/>
      </c>
      <c r="AM385" s="125" t="n"/>
      <c r="AN385" s="125" t="n"/>
      <c r="AO385" s="125">
        <f>SQRT(((VLOOKUP($AT$4,$A$4:$R$1021,18,FALSE))-R385)^2)</f>
        <v/>
      </c>
      <c r="AP385" s="125" t="n"/>
      <c r="AQ385" s="125" t="inlineStr">
        <is>
          <t>HW400X408</t>
        </is>
      </c>
      <c r="BB385" s="125">
        <f>SQRT(($J$1022-J385)^2)</f>
        <v/>
      </c>
      <c r="BC385" s="125">
        <f>SQRT(($R$1022-R385)^2)</f>
        <v/>
      </c>
      <c r="BD385" s="125" t="inlineStr">
        <is>
          <t>HW400X408</t>
        </is>
      </c>
      <c r="BI385">
        <f>SQRT(($J$1023-J385)^2)</f>
        <v/>
      </c>
      <c r="BJ385">
        <f>SQRT(($R$1023-R385)^2)</f>
        <v/>
      </c>
      <c r="BK385" s="125" t="inlineStr">
        <is>
          <t>HW400X408</t>
        </is>
      </c>
      <c r="BP385">
        <f>SQRT(($J$1024-J385)^2)</f>
        <v/>
      </c>
      <c r="BQ385">
        <f>SQRT(($R$1024-R385)^2)</f>
        <v/>
      </c>
      <c r="BR385" s="125" t="inlineStr">
        <is>
          <t>HW400X408</t>
        </is>
      </c>
      <c r="BW385">
        <f>SQRT(($J$1025-J385)^2)</f>
        <v/>
      </c>
      <c r="BX385">
        <f>SQRT(($R$1025-R385)^2)</f>
        <v/>
      </c>
      <c r="BY385" s="125" t="inlineStr">
        <is>
          <t>HW400X408</t>
        </is>
      </c>
      <c r="CD385">
        <f>SQRT(($J$1026-J385)^2)</f>
        <v/>
      </c>
      <c r="CE385">
        <f>SQRT(($R$1026-R385)^2)</f>
        <v/>
      </c>
      <c r="CF385" s="125" t="inlineStr">
        <is>
          <t>HW400X408</t>
        </is>
      </c>
    </row>
    <row r="386">
      <c r="A386" s="125" t="inlineStr">
        <is>
          <t>HW414</t>
        </is>
      </c>
      <c r="B386" s="129" t="inlineStr">
        <is>
          <t>GB</t>
        </is>
      </c>
      <c r="C386" s="125" t="inlineStr">
        <is>
          <t>231.9</t>
        </is>
      </c>
      <c r="D386" s="125" t="n">
        <v>414</v>
      </c>
      <c r="E386" s="125" t="n">
        <v>405</v>
      </c>
      <c r="F386" s="125" t="n">
        <v>28</v>
      </c>
      <c r="G386" s="125" t="n">
        <v>18</v>
      </c>
      <c r="H386" s="125" t="n">
        <v>22</v>
      </c>
      <c r="I386" s="125">
        <f>D386-(2*(H386+F386))</f>
        <v/>
      </c>
      <c r="J386" s="125" t="n">
        <v>295.39</v>
      </c>
      <c r="K386" s="125">
        <f>((E386-G386)/2)/F386</f>
        <v/>
      </c>
      <c r="L386" s="125">
        <f>I386/G386</f>
        <v/>
      </c>
      <c r="M386" s="125">
        <f>(E386*2+F386*4+((E386-G386)/2-H386)*4+2*PI()*H386+(D386-2*F386-2*H386)*2)/1000</f>
        <v/>
      </c>
      <c r="N386" s="5" t="n">
        <v>93518</v>
      </c>
      <c r="O386" s="5" t="n">
        <v>31022</v>
      </c>
      <c r="P386" s="125" t="n">
        <v>17.79</v>
      </c>
      <c r="Q386" s="125" t="n">
        <v>10.25</v>
      </c>
      <c r="R386" s="5" t="n">
        <v>4518</v>
      </c>
      <c r="S386" s="5" t="n">
        <v>1532</v>
      </c>
      <c r="T386" s="125">
        <f>(((E386*D386*D386)/4)-(((E386-G386)*(D386-F386-F386)*(D386-F386-F386))/4)+(4*(H386*H386*(D386/2-F386-(H386/2))-((PI()*H386*H386)/4*((D386/2)-F386-(H386-((4*H386)/(3*PI()))))))))/1000</f>
        <v/>
      </c>
      <c r="U386" s="125">
        <f>(((D386*E386*E386)/4)-(2*((D386-F386-F386)*(E386/2-(G386/2))*(((E386/2-(G386/2))/2)+(G386/2))))+(4*(((H386*H386)-(((PI()*H386*H386)/4)))*((H386-((4*H386)/(3*PI())))+(G386/2)))))/1000</f>
        <v/>
      </c>
      <c r="X386" s="129">
        <f t="array" ref="X386">_xlfn.IFS((D386/F386) &lt;= (640/SQRT($AT$32)), "Compact", L386 &lt;= ($AT$32*(0.79-(0.002*((E386-G386/2)/(2*F386))*SQRT($AT$32)))), "Non-Compact", L386 &gt; ($AT$32*(0.79-(0.002*((E386-G386/2)/(2*F386))*SQRT($AT$32)))), "Slender")</f>
        <v/>
      </c>
      <c r="Y386" s="129">
        <f t="array" ref="Y386">_xlfn.IFS(K386 &lt;= (65/SQRT($AT$32)), "Compact", K386 &lt;= (95/SQRT($AT$32)), "Non-Compact", K386 &gt; (95/SQRT($AT$32)), "Slender")</f>
        <v/>
      </c>
      <c r="Z386" s="125">
        <f>E386/F386</f>
        <v/>
      </c>
      <c r="AA386" s="125">
        <f>D386/G386</f>
        <v/>
      </c>
      <c r="AB386" s="125">
        <f t="array" ref="AB386">_xlfn.IFS(Z386 &lt;= 9, "1", Z386 &lt;= 12, "2", Z386 &lt;= 15, "3", Z386 &gt; 15, "4")</f>
        <v/>
      </c>
      <c r="AC386" s="125">
        <f t="array" ref="AC386">_xlfn.IFS(AA386 &lt;= 200, "1", L386 &lt;= 300, "2", L386 &lt;= 400, "3", L386 &gt; 400, "4")</f>
        <v/>
      </c>
      <c r="AE386" s="129">
        <f>SQRT((((VLOOKUP($AT$4,$A$4:$D$1021,4,FALSE))-D386)^2)+(((VLOOKUP($AT$4,$A$4:$E$1021,5,FALSE))-E386)^2)+(((VLOOKUP($AT$4,$A$4:$N$1021,14,FALSE))-N386)^2)+(((VLOOKUP($AT$4,$A$4:$O$1021,15,FALSE))-O386)^2))</f>
        <v/>
      </c>
      <c r="AG386" s="129" t="n"/>
      <c r="AH386" s="129">
        <f>SQRT((((VLOOKUP($AT$4,$A$4:$D$1021,4,FALSE))-D386)^2)+(((VLOOKUP($AT$4,$A$4:$E$1021,5,FALSE))-E386)^2)+(((VLOOKUP($AT$4,$A$4:$R$1021,18,FALSE))-R386)^2)+(((VLOOKUP($AT$4,$A$4:$S$1021,19,FALSE))-S386)^2))</f>
        <v/>
      </c>
      <c r="AJ386" s="125" t="inlineStr">
        <is>
          <t>HW400X231.9</t>
        </is>
      </c>
      <c r="AK386" s="125" t="n"/>
      <c r="AL386" s="125">
        <f>SQRT(((VLOOKUP($AT$4,$A$4:$J$1021,10,FALSE))-J386)^2)</f>
        <v/>
      </c>
      <c r="AM386" s="125" t="n"/>
      <c r="AN386" s="125" t="n"/>
      <c r="AO386" s="125">
        <f>SQRT(((VLOOKUP($AT$4,$A$4:$R$1021,18,FALSE))-R386)^2)</f>
        <v/>
      </c>
      <c r="AP386" s="125" t="n"/>
      <c r="AQ386" s="125" t="inlineStr">
        <is>
          <t>HW414</t>
        </is>
      </c>
      <c r="BB386" s="125">
        <f>SQRT(($J$1022-J386)^2)</f>
        <v/>
      </c>
      <c r="BC386" s="125">
        <f>SQRT(($R$1022-R386)^2)</f>
        <v/>
      </c>
      <c r="BD386" s="125" t="inlineStr">
        <is>
          <t>HW414</t>
        </is>
      </c>
      <c r="BI386">
        <f>SQRT(($J$1023-J386)^2)</f>
        <v/>
      </c>
      <c r="BJ386">
        <f>SQRT(($R$1023-R386)^2)</f>
        <v/>
      </c>
      <c r="BK386" s="125" t="inlineStr">
        <is>
          <t>HW414</t>
        </is>
      </c>
      <c r="BP386">
        <f>SQRT(($J$1024-J386)^2)</f>
        <v/>
      </c>
      <c r="BQ386">
        <f>SQRT(($R$1024-R386)^2)</f>
        <v/>
      </c>
      <c r="BR386" s="125" t="inlineStr">
        <is>
          <t>HW414</t>
        </is>
      </c>
      <c r="BW386">
        <f>SQRT(($J$1025-J386)^2)</f>
        <v/>
      </c>
      <c r="BX386">
        <f>SQRT(($R$1025-R386)^2)</f>
        <v/>
      </c>
      <c r="BY386" s="125" t="inlineStr">
        <is>
          <t>HW414</t>
        </is>
      </c>
      <c r="CD386">
        <f>SQRT(($J$1026-J386)^2)</f>
        <v/>
      </c>
      <c r="CE386">
        <f>SQRT(($R$1026-R386)^2)</f>
        <v/>
      </c>
      <c r="CF386" s="125" t="inlineStr">
        <is>
          <t>HW414</t>
        </is>
      </c>
    </row>
    <row r="387">
      <c r="A387" s="125" t="inlineStr">
        <is>
          <t>HW428</t>
        </is>
      </c>
      <c r="B387" s="129" t="inlineStr">
        <is>
          <t>GB</t>
        </is>
      </c>
      <c r="C387" s="125" t="inlineStr">
        <is>
          <t>283.1</t>
        </is>
      </c>
      <c r="D387" s="125" t="n">
        <v>428</v>
      </c>
      <c r="E387" s="125" t="n">
        <v>407</v>
      </c>
      <c r="F387" s="125" t="n">
        <v>35</v>
      </c>
      <c r="G387" s="125" t="n">
        <v>20</v>
      </c>
      <c r="H387" s="125" t="n">
        <v>22</v>
      </c>
      <c r="I387" s="125">
        <f>D387-(2*(H387+F387))</f>
        <v/>
      </c>
      <c r="J387" s="125" t="n">
        <v>360.65</v>
      </c>
      <c r="K387" s="125">
        <f>((E387-G387)/2)/F387</f>
        <v/>
      </c>
      <c r="L387" s="125">
        <f>I387/G387</f>
        <v/>
      </c>
      <c r="M387" s="125">
        <f>(E387*2+F387*4+((E387-G387)/2-H387)*4+2*PI()*H387+(D387-2*F387-2*H387)*2)/1000</f>
        <v/>
      </c>
      <c r="N387" s="5" t="n">
        <v>12089</v>
      </c>
      <c r="O387" s="5" t="n">
        <v>39357</v>
      </c>
      <c r="P387" s="125" t="n">
        <v>18.31</v>
      </c>
      <c r="Q387" s="125" t="n">
        <v>10.45</v>
      </c>
      <c r="R387" s="5" t="n">
        <v>5649</v>
      </c>
      <c r="S387" s="125" t="n">
        <v>1934</v>
      </c>
      <c r="T387" s="125">
        <f>(((E387*D387*D387)/4)-(((E387-G387)*(D387-F387-F387)*(D387-F387-F387))/4)+(4*(H387*H387*(D387/2-F387-(H387/2))-((PI()*H387*H387)/4*((D387/2)-F387-(H387-((4*H387)/(3*PI()))))))))/1000</f>
        <v/>
      </c>
      <c r="U387" s="125">
        <f>(((D387*E387*E387)/4)-(2*((D387-F387-F387)*(E387/2-(G387/2))*(((E387/2-(G387/2))/2)+(G387/2))))+(4*(((H387*H387)-(((PI()*H387*H387)/4)))*((H387-((4*H387)/(3*PI())))+(G387/2)))))/1000</f>
        <v/>
      </c>
      <c r="X387" s="129">
        <f t="array" ref="X387">_xlfn.IFS((D387/F387) &lt;= (640/SQRT($AT$32)), "Compact", L387 &lt;= ($AT$32*(0.79-(0.002*((E387-G387/2)/(2*F387))*SQRT($AT$32)))), "Non-Compact", L387 &gt; ($AT$32*(0.79-(0.002*((E387-G387/2)/(2*F387))*SQRT($AT$32)))), "Slender")</f>
        <v/>
      </c>
      <c r="Y387" s="129">
        <f t="array" ref="Y387">_xlfn.IFS(K387 &lt;= (65/SQRT($AT$32)), "Compact", K387 &lt;= (95/SQRT($AT$32)), "Non-Compact", K387 &gt; (95/SQRT($AT$32)), "Slender")</f>
        <v/>
      </c>
      <c r="Z387" s="125">
        <f>E387/F387</f>
        <v/>
      </c>
      <c r="AA387" s="125">
        <f>D387/G387</f>
        <v/>
      </c>
      <c r="AB387" s="125">
        <f t="array" ref="AB387">_xlfn.IFS(Z387 &lt;= 9, "1", Z387 &lt;= 12, "2", Z387 &lt;= 15, "3", Z387 &gt; 15, "4")</f>
        <v/>
      </c>
      <c r="AC387" s="125">
        <f t="array" ref="AC387">_xlfn.IFS(AA387 &lt;= 200, "1", L387 &lt;= 300, "2", L387 &lt;= 400, "3", L387 &gt; 400, "4")</f>
        <v/>
      </c>
      <c r="AE387" s="129">
        <f>SQRT((((VLOOKUP($AT$4,$A$4:$D$1021,4,FALSE))-D387)^2)+(((VLOOKUP($AT$4,$A$4:$E$1021,5,FALSE))-E387)^2)+(((VLOOKUP($AT$4,$A$4:$N$1021,14,FALSE))-N387)^2)+(((VLOOKUP($AT$4,$A$4:$O$1021,15,FALSE))-O387)^2))</f>
        <v/>
      </c>
      <c r="AG387" s="129" t="n"/>
      <c r="AH387" s="129">
        <f>SQRT((((VLOOKUP($AT$4,$A$4:$D$1021,4,FALSE))-D387)^2)+(((VLOOKUP($AT$4,$A$4:$E$1021,5,FALSE))-E387)^2)+(((VLOOKUP($AT$4,$A$4:$R$1021,18,FALSE))-R387)^2)+(((VLOOKUP($AT$4,$A$4:$S$1021,19,FALSE))-S387)^2))</f>
        <v/>
      </c>
      <c r="AJ387" s="125" t="inlineStr">
        <is>
          <t>HW400X283.1</t>
        </is>
      </c>
      <c r="AK387" s="125" t="n"/>
      <c r="AL387" s="125">
        <f>SQRT(((VLOOKUP($AT$4,$A$4:$J$1021,10,FALSE))-J387)^2)</f>
        <v/>
      </c>
      <c r="AM387" s="125" t="n"/>
      <c r="AN387" s="125" t="n"/>
      <c r="AO387" s="125">
        <f>SQRT(((VLOOKUP($AT$4,$A$4:$R$1021,18,FALSE))-R387)^2)</f>
        <v/>
      </c>
      <c r="AP387" s="125" t="n"/>
      <c r="AQ387" s="125" t="inlineStr">
        <is>
          <t>HW428</t>
        </is>
      </c>
      <c r="BB387" s="125">
        <f>SQRT(($J$1022-J387)^2)</f>
        <v/>
      </c>
      <c r="BC387" s="125">
        <f>SQRT(($R$1022-R387)^2)</f>
        <v/>
      </c>
      <c r="BD387" s="125" t="inlineStr">
        <is>
          <t>HW428</t>
        </is>
      </c>
      <c r="BI387">
        <f>SQRT(($J$1023-J387)^2)</f>
        <v/>
      </c>
      <c r="BJ387">
        <f>SQRT(($R$1023-R387)^2)</f>
        <v/>
      </c>
      <c r="BK387" s="125" t="inlineStr">
        <is>
          <t>HW428</t>
        </is>
      </c>
      <c r="BP387">
        <f>SQRT(($J$1024-J387)^2)</f>
        <v/>
      </c>
      <c r="BQ387">
        <f>SQRT(($R$1024-R387)^2)</f>
        <v/>
      </c>
      <c r="BR387" s="125" t="inlineStr">
        <is>
          <t>HW428</t>
        </is>
      </c>
      <c r="BW387">
        <f>SQRT(($J$1025-J387)^2)</f>
        <v/>
      </c>
      <c r="BX387">
        <f>SQRT(($R$1025-R387)^2)</f>
        <v/>
      </c>
      <c r="BY387" s="125" t="inlineStr">
        <is>
          <t>HW428</t>
        </is>
      </c>
      <c r="CD387">
        <f>SQRT(($J$1026-J387)^2)</f>
        <v/>
      </c>
      <c r="CE387">
        <f>SQRT(($R$1026-R387)^2)</f>
        <v/>
      </c>
      <c r="CF387" s="125" t="inlineStr">
        <is>
          <t>HW428</t>
        </is>
      </c>
    </row>
    <row r="388">
      <c r="A388" s="125" t="inlineStr">
        <is>
          <t>HW458</t>
        </is>
      </c>
      <c r="B388" s="129" t="inlineStr">
        <is>
          <t>GB</t>
        </is>
      </c>
      <c r="C388" s="125" t="inlineStr">
        <is>
          <t>414.9</t>
        </is>
      </c>
      <c r="D388" s="125" t="n">
        <v>458</v>
      </c>
      <c r="E388" s="125" t="n">
        <v>417</v>
      </c>
      <c r="F388" s="125" t="n">
        <v>50</v>
      </c>
      <c r="G388" s="125" t="n">
        <v>30</v>
      </c>
      <c r="H388" s="125" t="n">
        <v>22</v>
      </c>
      <c r="I388" s="125">
        <f>D388-(2*(H388+F388))</f>
        <v/>
      </c>
      <c r="J388" s="125" t="n">
        <v>528.55</v>
      </c>
      <c r="K388" s="125">
        <f>((E388-G388)/2)/F388</f>
        <v/>
      </c>
      <c r="L388" s="125">
        <f>I388/G388</f>
        <v/>
      </c>
      <c r="M388" s="125">
        <f>(E388*2+F388*4+((E388-G388)/2-H388)*4+2*PI()*H388+(D388-2*F388-2*H388)*2)/1000</f>
        <v/>
      </c>
      <c r="N388" s="5" t="n">
        <v>19093</v>
      </c>
      <c r="O388" s="5" t="n">
        <v>60516</v>
      </c>
      <c r="P388" s="125" t="n">
        <v>19.01</v>
      </c>
      <c r="Q388" s="125" t="n">
        <v>10.7</v>
      </c>
      <c r="R388" s="5" t="n">
        <v>8338</v>
      </c>
      <c r="S388" s="125" t="n">
        <v>2902</v>
      </c>
      <c r="T388" s="125">
        <f>(((E388*D388*D388)/4)-(((E388-G388)*(D388-F388-F388)*(D388-F388-F388))/4)+(4*(H388*H388*(D388/2-F388-(H388/2))-((PI()*H388*H388)/4*((D388/2)-F388-(H388-((4*H388)/(3*PI()))))))))/1000</f>
        <v/>
      </c>
      <c r="U388" s="125">
        <f>(((D388*E388*E388)/4)-(2*((D388-F388-F388)*(E388/2-(G388/2))*(((E388/2-(G388/2))/2)+(G388/2))))+(4*(((H388*H388)-(((PI()*H388*H388)/4)))*((H388-((4*H388)/(3*PI())))+(G388/2)))))/1000</f>
        <v/>
      </c>
      <c r="X388" s="129">
        <f t="array" ref="X388">_xlfn.IFS((D388/F388) &lt;= (640/SQRT($AT$32)), "Compact", L388 &lt;= ($AT$32*(0.79-(0.002*((E388-G388/2)/(2*F388))*SQRT($AT$32)))), "Non-Compact", L388 &gt; ($AT$32*(0.79-(0.002*((E388-G388/2)/(2*F388))*SQRT($AT$32)))), "Slender")</f>
        <v/>
      </c>
      <c r="Y388" s="129">
        <f t="array" ref="Y388">_xlfn.IFS(K388 &lt;= (65/SQRT($AT$32)), "Compact", K388 &lt;= (95/SQRT($AT$32)), "Non-Compact", K388 &gt; (95/SQRT($AT$32)), "Slender")</f>
        <v/>
      </c>
      <c r="Z388" s="125">
        <f>E388/F388</f>
        <v/>
      </c>
      <c r="AA388" s="125">
        <f>D388/G388</f>
        <v/>
      </c>
      <c r="AB388" s="125">
        <f t="array" ref="AB388">_xlfn.IFS(Z388 &lt;= 9, "1", Z388 &lt;= 12, "2", Z388 &lt;= 15, "3", Z388 &gt; 15, "4")</f>
        <v/>
      </c>
      <c r="AC388" s="125">
        <f t="array" ref="AC388">_xlfn.IFS(AA388 &lt;= 200, "1", L388 &lt;= 300, "2", L388 &lt;= 400, "3", L388 &gt; 400, "4")</f>
        <v/>
      </c>
      <c r="AE388" s="129">
        <f>SQRT((((VLOOKUP($AT$4,$A$4:$D$1021,4,FALSE))-D388)^2)+(((VLOOKUP($AT$4,$A$4:$E$1021,5,FALSE))-E388)^2)+(((VLOOKUP($AT$4,$A$4:$N$1021,14,FALSE))-N388)^2)+(((VLOOKUP($AT$4,$A$4:$O$1021,15,FALSE))-O388)^2))</f>
        <v/>
      </c>
      <c r="AG388" s="129" t="n"/>
      <c r="AH388" s="129">
        <f>SQRT((((VLOOKUP($AT$4,$A$4:$D$1021,4,FALSE))-D388)^2)+(((VLOOKUP($AT$4,$A$4:$E$1021,5,FALSE))-E388)^2)+(((VLOOKUP($AT$4,$A$4:$R$1021,18,FALSE))-R388)^2)+(((VLOOKUP($AT$4,$A$4:$S$1021,19,FALSE))-S388)^2))</f>
        <v/>
      </c>
      <c r="AJ388" s="125" t="inlineStr">
        <is>
          <t>HW400X414.9</t>
        </is>
      </c>
      <c r="AK388" s="125" t="n"/>
      <c r="AL388" s="125">
        <f>SQRT(((VLOOKUP($AT$4,$A$4:$J$1021,10,FALSE))-J388)^2)</f>
        <v/>
      </c>
      <c r="AM388" s="125" t="n"/>
      <c r="AN388" s="125" t="n"/>
      <c r="AO388" s="125">
        <f>SQRT(((VLOOKUP($AT$4,$A$4:$R$1021,18,FALSE))-R388)^2)</f>
        <v/>
      </c>
      <c r="AP388" s="125" t="n"/>
      <c r="AQ388" s="125" t="inlineStr">
        <is>
          <t>HW458</t>
        </is>
      </c>
      <c r="BB388" s="125">
        <f>SQRT(($J$1022-J388)^2)</f>
        <v/>
      </c>
      <c r="BC388" s="125">
        <f>SQRT(($R$1022-R388)^2)</f>
        <v/>
      </c>
      <c r="BD388" s="125" t="inlineStr">
        <is>
          <t>HW458</t>
        </is>
      </c>
      <c r="BI388">
        <f>SQRT(($J$1023-J388)^2)</f>
        <v/>
      </c>
      <c r="BJ388">
        <f>SQRT(($R$1023-R388)^2)</f>
        <v/>
      </c>
      <c r="BK388" s="125" t="inlineStr">
        <is>
          <t>HW458</t>
        </is>
      </c>
      <c r="BP388">
        <f>SQRT(($J$1024-J388)^2)</f>
        <v/>
      </c>
      <c r="BQ388">
        <f>SQRT(($R$1024-R388)^2)</f>
        <v/>
      </c>
      <c r="BR388" s="125" t="inlineStr">
        <is>
          <t>HW458</t>
        </is>
      </c>
      <c r="BW388">
        <f>SQRT(($J$1025-J388)^2)</f>
        <v/>
      </c>
      <c r="BX388">
        <f>SQRT(($R$1025-R388)^2)</f>
        <v/>
      </c>
      <c r="BY388" s="125" t="inlineStr">
        <is>
          <t>HW458</t>
        </is>
      </c>
      <c r="CD388">
        <f>SQRT(($J$1026-J388)^2)</f>
        <v/>
      </c>
      <c r="CE388">
        <f>SQRT(($R$1026-R388)^2)</f>
        <v/>
      </c>
      <c r="CF388" s="125" t="inlineStr">
        <is>
          <t>HW458</t>
        </is>
      </c>
    </row>
    <row r="389">
      <c r="A389" s="125" t="inlineStr">
        <is>
          <t>HW498</t>
        </is>
      </c>
      <c r="B389" s="129" t="inlineStr">
        <is>
          <t>GB</t>
        </is>
      </c>
      <c r="C389" s="125" t="inlineStr">
        <is>
          <t>604.5</t>
        </is>
      </c>
      <c r="D389" s="125" t="n">
        <v>498</v>
      </c>
      <c r="E389" s="125" t="n">
        <v>432</v>
      </c>
      <c r="F389" s="125" t="n">
        <v>70</v>
      </c>
      <c r="G389" s="125" t="n">
        <v>45</v>
      </c>
      <c r="H389" s="125" t="n">
        <v>22</v>
      </c>
      <c r="I389" s="125">
        <f>D389-(2*(H389+F389))</f>
        <v/>
      </c>
      <c r="J389" s="125" t="n">
        <v>770.05</v>
      </c>
      <c r="K389" s="125">
        <f>((E389-G389)/2)/F389</f>
        <v/>
      </c>
      <c r="L389" s="125">
        <f>I389/G389</f>
        <v/>
      </c>
      <c r="M389" s="125">
        <f>(E389*2+F389*4+((E389-G389)/2-H389)*4+2*PI()*H389+(D389-2*F389-2*H389)*2)/1000</f>
        <v/>
      </c>
      <c r="N389" s="5" t="n">
        <v>30473</v>
      </c>
      <c r="O389" s="5" t="n">
        <v>94346</v>
      </c>
      <c r="P389" s="125" t="n">
        <v>19.89</v>
      </c>
      <c r="Q389" s="125" t="n">
        <v>11.07</v>
      </c>
      <c r="R389" s="5" t="n">
        <v>12238</v>
      </c>
      <c r="S389" s="125" t="n">
        <v>4368</v>
      </c>
      <c r="T389" s="125">
        <f>(((E389*D389*D389)/4)-(((E389-G389)*(D389-F389-F389)*(D389-F389-F389))/4)+(4*(H389*H389*(D389/2-F389-(H389/2))-((PI()*H389*H389)/4*((D389/2)-F389-(H389-((4*H389)/(3*PI()))))))))/1000</f>
        <v/>
      </c>
      <c r="U389" s="125">
        <f>(((D389*E389*E389)/4)-(2*((D389-F389-F389)*(E389/2-(G389/2))*(((E389/2-(G389/2))/2)+(G389/2))))+(4*(((H389*H389)-(((PI()*H389*H389)/4)))*((H389-((4*H389)/(3*PI())))+(G389/2)))))/1000</f>
        <v/>
      </c>
      <c r="X389" s="129">
        <f t="array" ref="X389">_xlfn.IFS((D389/F389) &lt;= (640/SQRT($AT$32)), "Compact", L389 &lt;= ($AT$32*(0.79-(0.002*((E389-G389/2)/(2*F389))*SQRT($AT$32)))), "Non-Compact", L389 &gt; ($AT$32*(0.79-(0.002*((E389-G389/2)/(2*F389))*SQRT($AT$32)))), "Slender")</f>
        <v/>
      </c>
      <c r="Y389" s="129">
        <f t="array" ref="Y389">_xlfn.IFS(K389 &lt;= (65/SQRT($AT$32)), "Compact", K389 &lt;= (95/SQRT($AT$32)), "Non-Compact", K389 &gt; (95/SQRT($AT$32)), "Slender")</f>
        <v/>
      </c>
      <c r="Z389" s="125">
        <f>E389/F389</f>
        <v/>
      </c>
      <c r="AA389" s="125">
        <f>D389/G389</f>
        <v/>
      </c>
      <c r="AB389" s="125">
        <f t="array" ref="AB389">_xlfn.IFS(Z389 &lt;= 9, "1", Z389 &lt;= 12, "2", Z389 &lt;= 15, "3", Z389 &gt; 15, "4")</f>
        <v/>
      </c>
      <c r="AC389" s="125">
        <f t="array" ref="AC389">_xlfn.IFS(AA389 &lt;= 200, "1", L389 &lt;= 300, "2", L389 &lt;= 400, "3", L389 &gt; 400, "4")</f>
        <v/>
      </c>
      <c r="AE389" s="129">
        <f>SQRT((((VLOOKUP($AT$4,$A$4:$D$1021,4,FALSE))-D389)^2)+(((VLOOKUP($AT$4,$A$4:$E$1021,5,FALSE))-E389)^2)+(((VLOOKUP($AT$4,$A$4:$N$1021,14,FALSE))-N389)^2)+(((VLOOKUP($AT$4,$A$4:$O$1021,15,FALSE))-O389)^2))</f>
        <v/>
      </c>
      <c r="AG389" s="129" t="n"/>
      <c r="AH389" s="129">
        <f>SQRT((((VLOOKUP($AT$4,$A$4:$D$1021,4,FALSE))-D389)^2)+(((VLOOKUP($AT$4,$A$4:$E$1021,5,FALSE))-E389)^2)+(((VLOOKUP($AT$4,$A$4:$R$1021,18,FALSE))-R389)^2)+(((VLOOKUP($AT$4,$A$4:$S$1021,19,FALSE))-S389)^2))</f>
        <v/>
      </c>
      <c r="AJ389" s="125" t="inlineStr">
        <is>
          <t>HW400X604.5</t>
        </is>
      </c>
      <c r="AK389" s="125" t="n"/>
      <c r="AL389" s="125">
        <f>SQRT(((VLOOKUP($AT$4,$A$4:$J$1021,10,FALSE))-J389)^2)</f>
        <v/>
      </c>
      <c r="AM389" s="125" t="n"/>
      <c r="AN389" s="125" t="n"/>
      <c r="AO389" s="125">
        <f>SQRT(((VLOOKUP($AT$4,$A$4:$R$1021,18,FALSE))-R389)^2)</f>
        <v/>
      </c>
      <c r="AP389" s="125" t="n"/>
      <c r="AQ389" s="125" t="inlineStr">
        <is>
          <t>HW498</t>
        </is>
      </c>
      <c r="BB389" s="125">
        <f>SQRT(($J$1022-J389)^2)</f>
        <v/>
      </c>
      <c r="BC389" s="125">
        <f>SQRT(($R$1022-R389)^2)</f>
        <v/>
      </c>
      <c r="BD389" s="125" t="inlineStr">
        <is>
          <t>HW498</t>
        </is>
      </c>
      <c r="BI389">
        <f>SQRT(($J$1023-J389)^2)</f>
        <v/>
      </c>
      <c r="BJ389">
        <f>SQRT(($R$1023-R389)^2)</f>
        <v/>
      </c>
      <c r="BK389" s="125" t="inlineStr">
        <is>
          <t>HW498</t>
        </is>
      </c>
      <c r="BP389">
        <f>SQRT(($J$1024-J389)^2)</f>
        <v/>
      </c>
      <c r="BQ389">
        <f>SQRT(($R$1024-R389)^2)</f>
        <v/>
      </c>
      <c r="BR389" s="125" t="inlineStr">
        <is>
          <t>HW498</t>
        </is>
      </c>
      <c r="BW389">
        <f>SQRT(($J$1025-J389)^2)</f>
        <v/>
      </c>
      <c r="BX389">
        <f>SQRT(($R$1025-R389)^2)</f>
        <v/>
      </c>
      <c r="BY389" s="125" t="inlineStr">
        <is>
          <t>HW498</t>
        </is>
      </c>
      <c r="CD389">
        <f>SQRT(($J$1026-J389)^2)</f>
        <v/>
      </c>
      <c r="CE389">
        <f>SQRT(($R$1026-R389)^2)</f>
        <v/>
      </c>
      <c r="CF389" s="125" t="inlineStr">
        <is>
          <t>HW498</t>
        </is>
      </c>
    </row>
    <row r="390">
      <c r="A390" s="125" t="inlineStr">
        <is>
          <t>HW492</t>
        </is>
      </c>
      <c r="B390" s="129" t="inlineStr">
        <is>
          <t>GB</t>
        </is>
      </c>
      <c r="C390" s="125" t="inlineStr">
        <is>
          <t>202.5</t>
        </is>
      </c>
      <c r="D390" s="125" t="n">
        <v>492</v>
      </c>
      <c r="E390" s="125" t="n">
        <v>465</v>
      </c>
      <c r="F390" s="125" t="n">
        <v>20</v>
      </c>
      <c r="G390" s="125" t="n">
        <v>15</v>
      </c>
      <c r="H390" s="125" t="n">
        <v>22</v>
      </c>
      <c r="I390" s="125">
        <f>D390-(2*(H390+F390))</f>
        <v/>
      </c>
      <c r="J390" s="125" t="n">
        <v>257.95</v>
      </c>
      <c r="K390" s="125">
        <f>((E390-G390)/2)/F390</f>
        <v/>
      </c>
      <c r="L390" s="125">
        <f>I390/G390</f>
        <v/>
      </c>
      <c r="M390" s="125">
        <f>(E390*2+F390*4+((E390-G390)/2-H390)*4+2*PI()*H390+(D390-2*F390-2*H390)*2)/1000</f>
        <v/>
      </c>
      <c r="N390" s="5" t="n">
        <v>115559</v>
      </c>
      <c r="O390" s="5" t="n">
        <v>33531</v>
      </c>
      <c r="P390" s="125" t="n">
        <v>21.17</v>
      </c>
      <c r="Q390" s="125" t="n">
        <v>11.4</v>
      </c>
      <c r="R390" s="5" t="n">
        <v>4698</v>
      </c>
      <c r="S390" s="125" t="n">
        <v>1442</v>
      </c>
      <c r="T390" s="125">
        <f>(((E390*D390*D390)/4)-(((E390-G390)*(D390-F390-F390)*(D390-F390-F390))/4)+(4*(H390*H390*(D390/2-F390-(H390/2))-((PI()*H390*H390)/4*((D390/2)-F390-(H390-((4*H390)/(3*PI()))))))))/1000</f>
        <v/>
      </c>
      <c r="U390" s="125">
        <f>(((D390*E390*E390)/4)-(2*((D390-F390-F390)*(E390/2-(G390/2))*(((E390/2-(G390/2))/2)+(G390/2))))+(4*(((H390*H390)-(((PI()*H390*H390)/4)))*((H390-((4*H390)/(3*PI())))+(G390/2)))))/1000</f>
        <v/>
      </c>
      <c r="X390" s="129">
        <f t="array" ref="X390">_xlfn.IFS((D390/F390) &lt;= (640/SQRT($AT$32)), "Compact", L390 &lt;= ($AT$32*(0.79-(0.002*((E390-G390/2)/(2*F390))*SQRT($AT$32)))), "Non-Compact", L390 &gt; ($AT$32*(0.79-(0.002*((E390-G390/2)/(2*F390))*SQRT($AT$32)))), "Slender")</f>
        <v/>
      </c>
      <c r="Y390" s="129">
        <f t="array" ref="Y390">_xlfn.IFS(K390 &lt;= (65/SQRT($AT$32)), "Compact", K390 &lt;= (95/SQRT($AT$32)), "Non-Compact", K390 &gt; (95/SQRT($AT$32)), "Slender")</f>
        <v/>
      </c>
      <c r="Z390" s="125">
        <f>E390/F390</f>
        <v/>
      </c>
      <c r="AA390" s="125">
        <f>D390/G390</f>
        <v/>
      </c>
      <c r="AB390" s="125">
        <f t="array" ref="AB390">_xlfn.IFS(Z390 &lt;= 9, "1", Z390 &lt;= 12, "2", Z390 &lt;= 15, "3", Z390 &gt; 15, "4")</f>
        <v/>
      </c>
      <c r="AC390" s="125">
        <f t="array" ref="AC390">_xlfn.IFS(AA390 &lt;= 200, "1", L390 &lt;= 300, "2", L390 &lt;= 400, "3", L390 &gt; 400, "4")</f>
        <v/>
      </c>
      <c r="AE390" s="129">
        <f>SQRT((((VLOOKUP($AT$4,$A$4:$D$1021,4,FALSE))-D390)^2)+(((VLOOKUP($AT$4,$A$4:$E$1021,5,FALSE))-E390)^2)+(((VLOOKUP($AT$4,$A$4:$N$1021,14,FALSE))-N390)^2)+(((VLOOKUP($AT$4,$A$4:$O$1021,15,FALSE))-O390)^2))</f>
        <v/>
      </c>
      <c r="AG390" s="129" t="n"/>
      <c r="AH390" s="129">
        <f>SQRT((((VLOOKUP($AT$4,$A$4:$D$1021,4,FALSE))-D390)^2)+(((VLOOKUP($AT$4,$A$4:$E$1021,5,FALSE))-E390)^2)+(((VLOOKUP($AT$4,$A$4:$R$1021,18,FALSE))-R390)^2)+(((VLOOKUP($AT$4,$A$4:$S$1021,19,FALSE))-S390)^2))</f>
        <v/>
      </c>
      <c r="AJ390" s="125" t="inlineStr">
        <is>
          <t>HW500X202.5</t>
        </is>
      </c>
      <c r="AK390" s="125" t="n"/>
      <c r="AL390" s="125">
        <f>SQRT(((VLOOKUP($AT$4,$A$4:$J$1021,10,FALSE))-J390)^2)</f>
        <v/>
      </c>
      <c r="AM390" s="125" t="n"/>
      <c r="AN390" s="125" t="n"/>
      <c r="AO390" s="125">
        <f>SQRT(((VLOOKUP($AT$4,$A$4:$R$1021,18,FALSE))-R390)^2)</f>
        <v/>
      </c>
      <c r="AP390" s="125" t="n"/>
      <c r="AQ390" s="125" t="inlineStr">
        <is>
          <t>HW492</t>
        </is>
      </c>
      <c r="BB390" s="125">
        <f>SQRT(($J$1022-J390)^2)</f>
        <v/>
      </c>
      <c r="BC390" s="125">
        <f>SQRT(($R$1022-R390)^2)</f>
        <v/>
      </c>
      <c r="BD390" s="125" t="inlineStr">
        <is>
          <t>HW492</t>
        </is>
      </c>
      <c r="BI390">
        <f>SQRT(($J$1023-J390)^2)</f>
        <v/>
      </c>
      <c r="BJ390">
        <f>SQRT(($R$1023-R390)^2)</f>
        <v/>
      </c>
      <c r="BK390" s="125" t="inlineStr">
        <is>
          <t>HW492</t>
        </is>
      </c>
      <c r="BP390">
        <f>SQRT(($J$1024-J390)^2)</f>
        <v/>
      </c>
      <c r="BQ390">
        <f>SQRT(($R$1024-R390)^2)</f>
        <v/>
      </c>
      <c r="BR390" s="125" t="inlineStr">
        <is>
          <t>HW492</t>
        </is>
      </c>
      <c r="BW390">
        <f>SQRT(($J$1025-J390)^2)</f>
        <v/>
      </c>
      <c r="BX390">
        <f>SQRT(($R$1025-R390)^2)</f>
        <v/>
      </c>
      <c r="BY390" s="125" t="inlineStr">
        <is>
          <t>HW492</t>
        </is>
      </c>
      <c r="CD390">
        <f>SQRT(($J$1026-J390)^2)</f>
        <v/>
      </c>
      <c r="CE390">
        <f>SQRT(($R$1026-R390)^2)</f>
        <v/>
      </c>
      <c r="CF390" s="125" t="inlineStr">
        <is>
          <t>HW492</t>
        </is>
      </c>
    </row>
    <row r="391">
      <c r="A391" s="125" t="inlineStr">
        <is>
          <t>HW502X465</t>
        </is>
      </c>
      <c r="B391" s="129" t="inlineStr">
        <is>
          <t>GB</t>
        </is>
      </c>
      <c r="C391" s="125" t="inlineStr">
        <is>
          <t>239</t>
        </is>
      </c>
      <c r="D391" s="125" t="n">
        <v>502</v>
      </c>
      <c r="E391" s="125" t="n">
        <v>465</v>
      </c>
      <c r="F391" s="125" t="n">
        <v>25</v>
      </c>
      <c r="G391" s="125" t="n">
        <v>15</v>
      </c>
      <c r="H391" s="125" t="n">
        <v>22</v>
      </c>
      <c r="I391" s="125">
        <f>D391-(2*(H391+F391))</f>
        <v/>
      </c>
      <c r="J391" s="125" t="n">
        <v>304.45</v>
      </c>
      <c r="K391" s="125">
        <f>((E391-G391)/2)/F391</f>
        <v/>
      </c>
      <c r="L391" s="125">
        <f>I391/G391</f>
        <v/>
      </c>
      <c r="M391" s="125">
        <f>(E391*2+F391*4+((E391-G391)/2-H391)*4+2*PI()*H391+(D391-2*F391-2*H391)*2)/1000</f>
        <v/>
      </c>
      <c r="N391" s="5" t="n">
        <v>145012</v>
      </c>
      <c r="O391" s="5" t="n">
        <v>41910</v>
      </c>
      <c r="P391" s="125" t="n">
        <v>21.82</v>
      </c>
      <c r="Q391" s="125" t="n">
        <v>11.73</v>
      </c>
      <c r="R391" s="5" t="n">
        <v>5777</v>
      </c>
      <c r="S391" s="125" t="n">
        <v>1803</v>
      </c>
      <c r="T391" s="125">
        <f>(((E391*D391*D391)/4)-(((E391-G391)*(D391-F391-F391)*(D391-F391-F391))/4)+(4*(H391*H391*(D391/2-F391-(H391/2))-((PI()*H391*H391)/4*((D391/2)-F391-(H391-((4*H391)/(3*PI()))))))))/1000</f>
        <v/>
      </c>
      <c r="U391" s="125">
        <f>(((D391*E391*E391)/4)-(2*((D391-F391-F391)*(E391/2-(G391/2))*(((E391/2-(G391/2))/2)+(G391/2))))+(4*(((H391*H391)-(((PI()*H391*H391)/4)))*((H391-((4*H391)/(3*PI())))+(G391/2)))))/1000</f>
        <v/>
      </c>
      <c r="X391" s="129">
        <f t="array" ref="X391">_xlfn.IFS((D391/F391) &lt;= (640/SQRT($AT$32)), "Compact", L391 &lt;= ($AT$32*(0.79-(0.002*((E391-G391/2)/(2*F391))*SQRT($AT$32)))), "Non-Compact", L391 &gt; ($AT$32*(0.79-(0.002*((E391-G391/2)/(2*F391))*SQRT($AT$32)))), "Slender")</f>
        <v/>
      </c>
      <c r="Y391" s="129">
        <f t="array" ref="Y391">_xlfn.IFS(K391 &lt;= (65/SQRT($AT$32)), "Compact", K391 &lt;= (95/SQRT($AT$32)), "Non-Compact", K391 &gt; (95/SQRT($AT$32)), "Slender")</f>
        <v/>
      </c>
      <c r="Z391" s="125">
        <f>E391/F391</f>
        <v/>
      </c>
      <c r="AA391" s="125">
        <f>D391/G391</f>
        <v/>
      </c>
      <c r="AB391" s="125">
        <f t="array" ref="AB391">_xlfn.IFS(Z391 &lt;= 9, "1", Z391 &lt;= 12, "2", Z391 &lt;= 15, "3", Z391 &gt; 15, "4")</f>
        <v/>
      </c>
      <c r="AC391" s="125">
        <f t="array" ref="AC391">_xlfn.IFS(AA391 &lt;= 200, "1", L391 &lt;= 300, "2", L391 &lt;= 400, "3", L391 &gt; 400, "4")</f>
        <v/>
      </c>
      <c r="AE391" s="129">
        <f>SQRT((((VLOOKUP($AT$4,$A$4:$D$1021,4,FALSE))-D391)^2)+(((VLOOKUP($AT$4,$A$4:$E$1021,5,FALSE))-E391)^2)+(((VLOOKUP($AT$4,$A$4:$N$1021,14,FALSE))-N391)^2)+(((VLOOKUP($AT$4,$A$4:$O$1021,15,FALSE))-O391)^2))</f>
        <v/>
      </c>
      <c r="AG391" s="129" t="n"/>
      <c r="AH391" s="129">
        <f>SQRT((((VLOOKUP($AT$4,$A$4:$D$1021,4,FALSE))-D391)^2)+(((VLOOKUP($AT$4,$A$4:$E$1021,5,FALSE))-E391)^2)+(((VLOOKUP($AT$4,$A$4:$R$1021,18,FALSE))-R391)^2)+(((VLOOKUP($AT$4,$A$4:$S$1021,19,FALSE))-S391)^2))</f>
        <v/>
      </c>
      <c r="AJ391" s="125" t="inlineStr">
        <is>
          <t>HW500X239</t>
        </is>
      </c>
      <c r="AK391" s="125" t="n"/>
      <c r="AL391" s="125">
        <f>SQRT(((VLOOKUP($AT$4,$A$4:$J$1021,10,FALSE))-J391)^2)</f>
        <v/>
      </c>
      <c r="AM391" s="125" t="n"/>
      <c r="AN391" s="125" t="n"/>
      <c r="AO391" s="125">
        <f>SQRT(((VLOOKUP($AT$4,$A$4:$R$1021,18,FALSE))-R391)^2)</f>
        <v/>
      </c>
      <c r="AP391" s="125" t="n"/>
      <c r="AQ391" s="125" t="inlineStr">
        <is>
          <t>HW502X465</t>
        </is>
      </c>
      <c r="BB391" s="125">
        <f>SQRT(($J$1022-J391)^2)</f>
        <v/>
      </c>
      <c r="BC391" s="125">
        <f>SQRT(($R$1022-R391)^2)</f>
        <v/>
      </c>
      <c r="BD391" s="125" t="inlineStr">
        <is>
          <t>HW502X465</t>
        </is>
      </c>
      <c r="BI391">
        <f>SQRT(($J$1023-J391)^2)</f>
        <v/>
      </c>
      <c r="BJ391">
        <f>SQRT(($R$1023-R391)^2)</f>
        <v/>
      </c>
      <c r="BK391" s="125" t="inlineStr">
        <is>
          <t>HW502X465</t>
        </is>
      </c>
      <c r="BP391">
        <f>SQRT(($J$1024-J391)^2)</f>
        <v/>
      </c>
      <c r="BQ391">
        <f>SQRT(($R$1024-R391)^2)</f>
        <v/>
      </c>
      <c r="BR391" s="125" t="inlineStr">
        <is>
          <t>HW502X465</t>
        </is>
      </c>
      <c r="BW391">
        <f>SQRT(($J$1025-J391)^2)</f>
        <v/>
      </c>
      <c r="BX391">
        <f>SQRT(($R$1025-R391)^2)</f>
        <v/>
      </c>
      <c r="BY391" s="125" t="inlineStr">
        <is>
          <t>HW502X465</t>
        </is>
      </c>
      <c r="CD391">
        <f>SQRT(($J$1026-J391)^2)</f>
        <v/>
      </c>
      <c r="CE391">
        <f>SQRT(($R$1026-R391)^2)</f>
        <v/>
      </c>
      <c r="CF391" s="125" t="inlineStr">
        <is>
          <t>HW502X465</t>
        </is>
      </c>
    </row>
    <row r="392">
      <c r="A392" s="125" t="inlineStr">
        <is>
          <t>HW502X470</t>
        </is>
      </c>
      <c r="B392" s="129" t="inlineStr">
        <is>
          <t>GB</t>
        </is>
      </c>
      <c r="C392" s="125" t="inlineStr">
        <is>
          <t>258.7</t>
        </is>
      </c>
      <c r="D392" s="125" t="n">
        <v>502</v>
      </c>
      <c r="E392" s="125" t="n">
        <v>470</v>
      </c>
      <c r="F392" s="125" t="n">
        <v>25</v>
      </c>
      <c r="G392" s="125" t="n">
        <v>20</v>
      </c>
      <c r="H392" s="125" t="n">
        <v>22</v>
      </c>
      <c r="I392" s="125">
        <f>D392-(2*(H392+F392))</f>
        <v/>
      </c>
      <c r="J392" s="125" t="n">
        <v>329.55</v>
      </c>
      <c r="K392" s="125">
        <f>((E392-G392)/2)/F392</f>
        <v/>
      </c>
      <c r="L392" s="125">
        <f>I392/G392</f>
        <v/>
      </c>
      <c r="M392" s="125">
        <f>(E392*2+F392*4+((E392-G392)/2-H392)*4+2*PI()*H392+(D392-2*F392-2*H392)*2)/1000</f>
        <v/>
      </c>
      <c r="N392" s="5" t="n">
        <v>150283</v>
      </c>
      <c r="O392" s="5" t="n">
        <v>43295</v>
      </c>
      <c r="P392" s="125" t="n">
        <v>21.35</v>
      </c>
      <c r="Q392" s="125" t="n">
        <v>11.46</v>
      </c>
      <c r="R392" s="5" t="n">
        <v>5987</v>
      </c>
      <c r="S392" s="125" t="n">
        <v>1842</v>
      </c>
      <c r="T392" s="125">
        <f>(((E392*D392*D392)/4)-(((E392-G392)*(D392-F392-F392)*(D392-F392-F392))/4)+(4*(H392*H392*(D392/2-F392-(H392/2))-((PI()*H392*H392)/4*((D392/2)-F392-(H392-((4*H392)/(3*PI()))))))))/1000</f>
        <v/>
      </c>
      <c r="U392" s="125">
        <f>(((D392*E392*E392)/4)-(2*((D392-F392-F392)*(E392/2-(G392/2))*(((E392/2-(G392/2))/2)+(G392/2))))+(4*(((H392*H392)-(((PI()*H392*H392)/4)))*((H392-((4*H392)/(3*PI())))+(G392/2)))))/1000</f>
        <v/>
      </c>
      <c r="X392" s="129">
        <f t="array" ref="X392">_xlfn.IFS((D392/F392) &lt;= (640/SQRT($AT$32)), "Compact", L392 &lt;= ($AT$32*(0.79-(0.002*((E392-G392/2)/(2*F392))*SQRT($AT$32)))), "Non-Compact", L392 &gt; ($AT$32*(0.79-(0.002*((E392-G392/2)/(2*F392))*SQRT($AT$32)))), "Slender")</f>
        <v/>
      </c>
      <c r="Y392" s="129">
        <f t="array" ref="Y392">_xlfn.IFS(K392 &lt;= (65/SQRT($AT$32)), "Compact", K392 &lt;= (95/SQRT($AT$32)), "Non-Compact", K392 &gt; (95/SQRT($AT$32)), "Slender")</f>
        <v/>
      </c>
      <c r="Z392" s="125">
        <f>E392/F392</f>
        <v/>
      </c>
      <c r="AA392" s="125">
        <f>D392/G392</f>
        <v/>
      </c>
      <c r="AB392" s="125">
        <f t="array" ref="AB392">_xlfn.IFS(Z392 &lt;= 9, "1", Z392 &lt;= 12, "2", Z392 &lt;= 15, "3", Z392 &gt; 15, "4")</f>
        <v/>
      </c>
      <c r="AC392" s="125">
        <f t="array" ref="AC392">_xlfn.IFS(AA392 &lt;= 200, "1", L392 &lt;= 300, "2", L392 &lt;= 400, "3", L392 &gt; 400, "4")</f>
        <v/>
      </c>
      <c r="AE392" s="129">
        <f>SQRT((((VLOOKUP($AT$4,$A$4:$D$1021,4,FALSE))-D392)^2)+(((VLOOKUP($AT$4,$A$4:$E$1021,5,FALSE))-E392)^2)+(((VLOOKUP($AT$4,$A$4:$N$1021,14,FALSE))-N392)^2)+(((VLOOKUP($AT$4,$A$4:$O$1021,15,FALSE))-O392)^2))</f>
        <v/>
      </c>
      <c r="AG392" s="129" t="n"/>
      <c r="AH392" s="129">
        <f>SQRT((((VLOOKUP($AT$4,$A$4:$D$1021,4,FALSE))-D392)^2)+(((VLOOKUP($AT$4,$A$4:$E$1021,5,FALSE))-E392)^2)+(((VLOOKUP($AT$4,$A$4:$R$1021,18,FALSE))-R392)^2)+(((VLOOKUP($AT$4,$A$4:$S$1021,19,FALSE))-S392)^2))</f>
        <v/>
      </c>
      <c r="AJ392" s="125" t="inlineStr">
        <is>
          <t>HW500X258.7</t>
        </is>
      </c>
      <c r="AK392" s="125" t="n"/>
      <c r="AL392" s="125">
        <f>SQRT(((VLOOKUP($AT$4,$A$4:$J$1021,10,FALSE))-J392)^2)</f>
        <v/>
      </c>
      <c r="AM392" s="125" t="n"/>
      <c r="AN392" s="125" t="n"/>
      <c r="AO392" s="125">
        <f>SQRT(((VLOOKUP($AT$4,$A$4:$R$1021,18,FALSE))-R392)^2)</f>
        <v/>
      </c>
      <c r="AP392" s="125" t="n"/>
      <c r="AQ392" s="125" t="inlineStr">
        <is>
          <t>HW502X470</t>
        </is>
      </c>
      <c r="BB392" s="125">
        <f>SQRT(($J$1022-J392)^2)</f>
        <v/>
      </c>
      <c r="BC392" s="125">
        <f>SQRT(($R$1022-R392)^2)</f>
        <v/>
      </c>
      <c r="BD392" s="125" t="inlineStr">
        <is>
          <t>HW502X470</t>
        </is>
      </c>
      <c r="BI392">
        <f>SQRT(($J$1023-J392)^2)</f>
        <v/>
      </c>
      <c r="BJ392">
        <f>SQRT(($R$1023-R392)^2)</f>
        <v/>
      </c>
      <c r="BK392" s="125" t="inlineStr">
        <is>
          <t>HW502X470</t>
        </is>
      </c>
      <c r="BP392">
        <f>SQRT(($J$1024-J392)^2)</f>
        <v/>
      </c>
      <c r="BQ392">
        <f>SQRT(($R$1024-R392)^2)</f>
        <v/>
      </c>
      <c r="BR392" s="125" t="inlineStr">
        <is>
          <t>HW502X470</t>
        </is>
      </c>
      <c r="BW392">
        <f>SQRT(($J$1025-J392)^2)</f>
        <v/>
      </c>
      <c r="BX392">
        <f>SQRT(($R$1025-R392)^2)</f>
        <v/>
      </c>
      <c r="BY392" s="125" t="inlineStr">
        <is>
          <t>HW502X470</t>
        </is>
      </c>
      <c r="CD392">
        <f>SQRT(($J$1026-J392)^2)</f>
        <v/>
      </c>
      <c r="CE392">
        <f>SQRT(($R$1026-R392)^2)</f>
        <v/>
      </c>
      <c r="CF392" s="125" t="inlineStr">
        <is>
          <t>HW502X470</t>
        </is>
      </c>
    </row>
    <row r="393">
      <c r="A393" s="125" t="inlineStr">
        <is>
          <t>HM148</t>
        </is>
      </c>
      <c r="B393" s="129" t="inlineStr">
        <is>
          <t>GB</t>
        </is>
      </c>
      <c r="C393" s="125" t="inlineStr">
        <is>
          <t>20.7</t>
        </is>
      </c>
      <c r="D393" s="125" t="n">
        <v>148</v>
      </c>
      <c r="E393" s="125" t="n">
        <v>100</v>
      </c>
      <c r="F393" s="125" t="n">
        <v>9</v>
      </c>
      <c r="G393" s="125" t="n">
        <v>6</v>
      </c>
      <c r="H393" s="125" t="n">
        <v>8</v>
      </c>
      <c r="I393" s="125">
        <f>D393-(2*(H393+F393))</f>
        <v/>
      </c>
      <c r="J393" s="125" t="n">
        <v>26.35</v>
      </c>
      <c r="K393" s="125">
        <f>((E393-G393)/2)/F393</f>
        <v/>
      </c>
      <c r="L393" s="125">
        <f>I393/G393</f>
        <v/>
      </c>
      <c r="M393" s="125">
        <f>(E393*2+F393*4+((E393-G393)/2-H393)*4+2*PI()*H393+(D393-2*F393-2*H393)*2)/1000</f>
        <v/>
      </c>
      <c r="N393" s="125" t="n">
        <v>995.3</v>
      </c>
      <c r="O393" s="125" t="n">
        <v>150.3</v>
      </c>
      <c r="P393" s="125" t="n">
        <v>6.15</v>
      </c>
      <c r="Q393" s="125" t="n">
        <v>2.39</v>
      </c>
      <c r="R393" s="125" t="n">
        <v>134.5</v>
      </c>
      <c r="S393" s="125" t="n">
        <v>30.1</v>
      </c>
      <c r="T393" s="125">
        <f>(((E393*D393*D393)/4)-(((E393-G393)*(D393-F393-F393)*(D393-F393-F393))/4)+(4*(H393*H393*(D393/2-F393-(H393/2))-((PI()*H393*H393)/4*((D393/2)-F393-(H393-((4*H393)/(3*PI()))))))))/1000</f>
        <v/>
      </c>
      <c r="U393" s="125">
        <f>(((D393*E393*E393)/4)-(2*((D393-F393-F393)*(E393/2-(G393/2))*(((E393/2-(G393/2))/2)+(G393/2))))+(4*(((H393*H393)-(((PI()*H393*H393)/4)))*((H393-((4*H393)/(3*PI())))+(G393/2)))))/1000</f>
        <v/>
      </c>
      <c r="X393" s="129">
        <f t="array" ref="X393">_xlfn.IFS((D393/F393) &lt;= (640/SQRT($AT$32)), "Compact", L393 &lt;= ($AT$32*(0.79-(0.002*((E393-G393/2)/(2*F393))*SQRT($AT$32)))), "Non-Compact", L393 &gt; ($AT$32*(0.79-(0.002*((E393-G393/2)/(2*F393))*SQRT($AT$32)))), "Slender")</f>
        <v/>
      </c>
      <c r="Y393" s="129">
        <f t="array" ref="Y393">_xlfn.IFS(K393 &lt;= (65/SQRT($AT$32)), "Compact", K393 &lt;= (95/SQRT($AT$32)), "Non-Compact", K393 &gt; (95/SQRT($AT$32)), "Slender")</f>
        <v/>
      </c>
      <c r="Z393" s="125">
        <f>E393/F393</f>
        <v/>
      </c>
      <c r="AA393" s="125">
        <f>D393/G393</f>
        <v/>
      </c>
      <c r="AB393" s="125">
        <f t="array" ref="AB393">_xlfn.IFS(Z393 &lt;= 9, "1", Z393 &lt;= 12, "2", Z393 &lt;= 15, "3", Z393 &gt; 15, "4")</f>
        <v/>
      </c>
      <c r="AC393" s="125">
        <f t="array" ref="AC393">_xlfn.IFS(AA393 &lt;= 200, "1", L393 &lt;= 300, "2", L393 &lt;= 400, "3", L393 &gt; 400, "4")</f>
        <v/>
      </c>
      <c r="AE393" s="129">
        <f>SQRT((((VLOOKUP($AT$4,$A$4:$D$1021,4,FALSE))-D393)^2)+(((VLOOKUP($AT$4,$A$4:$E$1021,5,FALSE))-E393)^2)+(((VLOOKUP($AT$4,$A$4:$N$1021,14,FALSE))-N393)^2)+(((VLOOKUP($AT$4,$A$4:$O$1021,15,FALSE))-O393)^2))</f>
        <v/>
      </c>
      <c r="AG393" s="129" t="n"/>
      <c r="AH393" s="129">
        <f>SQRT((((VLOOKUP($AT$4,$A$4:$D$1021,4,FALSE))-D393)^2)+(((VLOOKUP($AT$4,$A$4:$E$1021,5,FALSE))-E393)^2)+(((VLOOKUP($AT$4,$A$4:$R$1021,18,FALSE))-R393)^2)+(((VLOOKUP($AT$4,$A$4:$S$1021,19,FALSE))-S393)^2))</f>
        <v/>
      </c>
      <c r="AJ393" s="125" t="inlineStr">
        <is>
          <t>HM150X20.7</t>
        </is>
      </c>
      <c r="AK393" s="125" t="n"/>
      <c r="AL393" s="125">
        <f>SQRT(((VLOOKUP($AT$4,$A$4:$J$1021,10,FALSE))-J393)^2)</f>
        <v/>
      </c>
      <c r="AM393" s="125" t="n"/>
      <c r="AN393" s="125" t="n"/>
      <c r="AO393" s="125">
        <f>SQRT(((VLOOKUP($AT$4,$A$4:$R$1021,18,FALSE))-R393)^2)</f>
        <v/>
      </c>
      <c r="AP393" s="125" t="n"/>
      <c r="AQ393" s="125" t="inlineStr">
        <is>
          <t>HM148</t>
        </is>
      </c>
      <c r="BB393" s="125">
        <f>SQRT(($J$1022-J393)^2)</f>
        <v/>
      </c>
      <c r="BC393" s="125">
        <f>SQRT(($R$1022-R393)^2)</f>
        <v/>
      </c>
      <c r="BD393" s="125" t="inlineStr">
        <is>
          <t>HM148</t>
        </is>
      </c>
      <c r="BI393">
        <f>SQRT(($J$1023-J393)^2)</f>
        <v/>
      </c>
      <c r="BJ393">
        <f>SQRT(($R$1023-R393)^2)</f>
        <v/>
      </c>
      <c r="BK393" s="125" t="inlineStr">
        <is>
          <t>HM148</t>
        </is>
      </c>
      <c r="BP393">
        <f>SQRT(($J$1024-J393)^2)</f>
        <v/>
      </c>
      <c r="BQ393">
        <f>SQRT(($R$1024-R393)^2)</f>
        <v/>
      </c>
      <c r="BR393" s="125" t="inlineStr">
        <is>
          <t>HM148</t>
        </is>
      </c>
      <c r="BW393">
        <f>SQRT(($J$1025-J393)^2)</f>
        <v/>
      </c>
      <c r="BX393">
        <f>SQRT(($R$1025-R393)^2)</f>
        <v/>
      </c>
      <c r="BY393" s="125" t="inlineStr">
        <is>
          <t>HM148</t>
        </is>
      </c>
      <c r="CD393">
        <f>SQRT(($J$1026-J393)^2)</f>
        <v/>
      </c>
      <c r="CE393">
        <f>SQRT(($R$1026-R393)^2)</f>
        <v/>
      </c>
      <c r="CF393" s="125" t="inlineStr">
        <is>
          <t>HM148</t>
        </is>
      </c>
    </row>
    <row r="394">
      <c r="A394" s="125" t="inlineStr">
        <is>
          <t>HM194</t>
        </is>
      </c>
      <c r="B394" s="129" t="inlineStr">
        <is>
          <t>GB</t>
        </is>
      </c>
      <c r="C394" s="125" t="inlineStr">
        <is>
          <t>29.9</t>
        </is>
      </c>
      <c r="D394" s="125" t="n">
        <v>194</v>
      </c>
      <c r="E394" s="125" t="n">
        <v>150</v>
      </c>
      <c r="F394" s="125" t="n">
        <v>9</v>
      </c>
      <c r="G394" s="125" t="n">
        <v>6</v>
      </c>
      <c r="H394" s="125" t="n">
        <v>8</v>
      </c>
      <c r="I394" s="125">
        <f>D394-(2*(H394+F394))</f>
        <v/>
      </c>
      <c r="J394" s="125" t="n">
        <v>38.11</v>
      </c>
      <c r="K394" s="125">
        <f>((E394-G394)/2)/F394</f>
        <v/>
      </c>
      <c r="L394" s="125">
        <f>I394/G394</f>
        <v/>
      </c>
      <c r="M394" s="125">
        <f>(E394*2+F394*4+((E394-G394)/2-H394)*4+2*PI()*H394+(D394-2*F394-2*H394)*2)/1000</f>
        <v/>
      </c>
      <c r="N394" s="5" t="n">
        <v>2586</v>
      </c>
      <c r="O394" s="125" t="n">
        <v>506.6</v>
      </c>
      <c r="P394" s="125" t="n">
        <v>8.24</v>
      </c>
      <c r="Q394" s="125" t="n">
        <v>3.65</v>
      </c>
      <c r="R394" s="125" t="n">
        <v>266.6</v>
      </c>
      <c r="S394" s="125" t="n">
        <v>67.59999999999999</v>
      </c>
      <c r="T394" s="125">
        <f>(((E394*D394*D394)/4)-(((E394-G394)*(D394-F394-F394)*(D394-F394-F394))/4)+(4*(H394*H394*(D394/2-F394-(H394/2))-((PI()*H394*H394)/4*((D394/2)-F394-(H394-((4*H394)/(3*PI()))))))))/1000</f>
        <v/>
      </c>
      <c r="U394" s="125">
        <f>(((D394*E394*E394)/4)-(2*((D394-F394-F394)*(E394/2-(G394/2))*(((E394/2-(G394/2))/2)+(G394/2))))+(4*(((H394*H394)-(((PI()*H394*H394)/4)))*((H394-((4*H394)/(3*PI())))+(G394/2)))))/1000</f>
        <v/>
      </c>
      <c r="X394" s="129">
        <f t="array" ref="X394">_xlfn.IFS((D394/F394) &lt;= (640/SQRT($AT$32)), "Compact", L394 &lt;= ($AT$32*(0.79-(0.002*((E394-G394/2)/(2*F394))*SQRT($AT$32)))), "Non-Compact", L394 &gt; ($AT$32*(0.79-(0.002*((E394-G394/2)/(2*F394))*SQRT($AT$32)))), "Slender")</f>
        <v/>
      </c>
      <c r="Y394" s="129">
        <f t="array" ref="Y394">_xlfn.IFS(K394 &lt;= (65/SQRT($AT$32)), "Compact", K394 &lt;= (95/SQRT($AT$32)), "Non-Compact", K394 &gt; (95/SQRT($AT$32)), "Slender")</f>
        <v/>
      </c>
      <c r="Z394" s="125">
        <f>E394/F394</f>
        <v/>
      </c>
      <c r="AA394" s="125">
        <f>D394/G394</f>
        <v/>
      </c>
      <c r="AB394" s="125">
        <f t="array" ref="AB394">_xlfn.IFS(Z394 &lt;= 9, "1", Z394 &lt;= 12, "2", Z394 &lt;= 15, "3", Z394 &gt; 15, "4")</f>
        <v/>
      </c>
      <c r="AC394" s="125">
        <f t="array" ref="AC394">_xlfn.IFS(AA394 &lt;= 200, "1", L394 &lt;= 300, "2", L394 &lt;= 400, "3", L394 &gt; 400, "4")</f>
        <v/>
      </c>
      <c r="AE394" s="129">
        <f>SQRT((((VLOOKUP($AT$4,$A$4:$D$1021,4,FALSE))-D394)^2)+(((VLOOKUP($AT$4,$A$4:$E$1021,5,FALSE))-E394)^2)+(((VLOOKUP($AT$4,$A$4:$N$1021,14,FALSE))-N394)^2)+(((VLOOKUP($AT$4,$A$4:$O$1021,15,FALSE))-O394)^2))</f>
        <v/>
      </c>
      <c r="AG394" s="129" t="n"/>
      <c r="AH394" s="129">
        <f>SQRT((((VLOOKUP($AT$4,$A$4:$D$1021,4,FALSE))-D394)^2)+(((VLOOKUP($AT$4,$A$4:$E$1021,5,FALSE))-E394)^2)+(((VLOOKUP($AT$4,$A$4:$R$1021,18,FALSE))-R394)^2)+(((VLOOKUP($AT$4,$A$4:$S$1021,19,FALSE))-S394)^2))</f>
        <v/>
      </c>
      <c r="AJ394" s="125" t="inlineStr">
        <is>
          <t>HM200X29.9</t>
        </is>
      </c>
      <c r="AK394" s="125" t="n"/>
      <c r="AL394" s="125">
        <f>SQRT(((VLOOKUP($AT$4,$A$4:$J$1021,10,FALSE))-J394)^2)</f>
        <v/>
      </c>
      <c r="AM394" s="125" t="n"/>
      <c r="AN394" s="125" t="n"/>
      <c r="AO394" s="125">
        <f>SQRT(((VLOOKUP($AT$4,$A$4:$R$1021,18,FALSE))-R394)^2)</f>
        <v/>
      </c>
      <c r="AP394" s="125" t="n"/>
      <c r="AQ394" s="125" t="inlineStr">
        <is>
          <t>HM194</t>
        </is>
      </c>
      <c r="BB394" s="125">
        <f>SQRT(($J$1022-J394)^2)</f>
        <v/>
      </c>
      <c r="BC394" s="125">
        <f>SQRT(($R$1022-R394)^2)</f>
        <v/>
      </c>
      <c r="BD394" s="125" t="inlineStr">
        <is>
          <t>HM194</t>
        </is>
      </c>
      <c r="BI394">
        <f>SQRT(($J$1023-J394)^2)</f>
        <v/>
      </c>
      <c r="BJ394">
        <f>SQRT(($R$1023-R394)^2)</f>
        <v/>
      </c>
      <c r="BK394" s="125" t="inlineStr">
        <is>
          <t>HM194</t>
        </is>
      </c>
      <c r="BP394">
        <f>SQRT(($J$1024-J394)^2)</f>
        <v/>
      </c>
      <c r="BQ394">
        <f>SQRT(($R$1024-R394)^2)</f>
        <v/>
      </c>
      <c r="BR394" s="125" t="inlineStr">
        <is>
          <t>HM194</t>
        </is>
      </c>
      <c r="BW394">
        <f>SQRT(($J$1025-J394)^2)</f>
        <v/>
      </c>
      <c r="BX394">
        <f>SQRT(($R$1025-R394)^2)</f>
        <v/>
      </c>
      <c r="BY394" s="125" t="inlineStr">
        <is>
          <t>HM194</t>
        </is>
      </c>
      <c r="CD394">
        <f>SQRT(($J$1026-J394)^2)</f>
        <v/>
      </c>
      <c r="CE394">
        <f>SQRT(($R$1026-R394)^2)</f>
        <v/>
      </c>
      <c r="CF394" s="125" t="inlineStr">
        <is>
          <t>HM194</t>
        </is>
      </c>
    </row>
    <row r="395">
      <c r="A395" s="125" t="inlineStr">
        <is>
          <t>HM244</t>
        </is>
      </c>
      <c r="B395" s="129" t="inlineStr">
        <is>
          <t>GB</t>
        </is>
      </c>
      <c r="C395" s="125" t="inlineStr">
        <is>
          <t>43.6</t>
        </is>
      </c>
      <c r="D395" s="125" t="n">
        <v>244</v>
      </c>
      <c r="E395" s="125" t="n">
        <v>175</v>
      </c>
      <c r="F395" s="125" t="n">
        <v>11</v>
      </c>
      <c r="G395" s="125" t="n">
        <v>7</v>
      </c>
      <c r="H395" s="125" t="n">
        <v>13</v>
      </c>
      <c r="I395" s="125">
        <f>D395-(2*(H395+F395))</f>
        <v/>
      </c>
      <c r="J395" s="125" t="n">
        <v>55.49</v>
      </c>
      <c r="K395" s="125">
        <f>((E395-G395)/2)/F395</f>
        <v/>
      </c>
      <c r="L395" s="125">
        <f>I395/G395</f>
        <v/>
      </c>
      <c r="M395" s="125">
        <f>(E395*2+F395*4+((E395-G395)/2-H395)*4+2*PI()*H395+(D395-2*F395-2*H395)*2)/1000</f>
        <v/>
      </c>
      <c r="N395" s="5" t="n">
        <v>5908</v>
      </c>
      <c r="O395" s="125" t="n">
        <v>983.5</v>
      </c>
      <c r="P395" s="125" t="n">
        <v>10.32</v>
      </c>
      <c r="Q395" s="125" t="n">
        <v>4.21</v>
      </c>
      <c r="R395" s="125" t="n">
        <v>484.3</v>
      </c>
      <c r="S395" s="125" t="n">
        <v>112.4</v>
      </c>
      <c r="T395" s="125">
        <f>(((E395*D395*D395)/4)-(((E395-G395)*(D395-F395-F395)*(D395-F395-F395))/4)+(4*(H395*H395*(D395/2-F395-(H395/2))-((PI()*H395*H395)/4*((D395/2)-F395-(H395-((4*H395)/(3*PI()))))))))/1000</f>
        <v/>
      </c>
      <c r="U395" s="125">
        <f>(((D395*E395*E395)/4)-(2*((D395-F395-F395)*(E395/2-(G395/2))*(((E395/2-(G395/2))/2)+(G395/2))))+(4*(((H395*H395)-(((PI()*H395*H395)/4)))*((H395-((4*H395)/(3*PI())))+(G395/2)))))/1000</f>
        <v/>
      </c>
      <c r="X395" s="129">
        <f t="array" ref="X395">_xlfn.IFS((D395/F395) &lt;= (640/SQRT($AT$32)), "Compact", L395 &lt;= ($AT$32*(0.79-(0.002*((E395-G395/2)/(2*F395))*SQRT($AT$32)))), "Non-Compact", L395 &gt; ($AT$32*(0.79-(0.002*((E395-G395/2)/(2*F395))*SQRT($AT$32)))), "Slender")</f>
        <v/>
      </c>
      <c r="Y395" s="129">
        <f t="array" ref="Y395">_xlfn.IFS(K395 &lt;= (65/SQRT($AT$32)), "Compact", K395 &lt;= (95/SQRT($AT$32)), "Non-Compact", K395 &gt; (95/SQRT($AT$32)), "Slender")</f>
        <v/>
      </c>
      <c r="Z395" s="125">
        <f>E395/F395</f>
        <v/>
      </c>
      <c r="AA395" s="125">
        <f>D395/G395</f>
        <v/>
      </c>
      <c r="AB395" s="125">
        <f t="array" ref="AB395">_xlfn.IFS(Z395 &lt;= 9, "1", Z395 &lt;= 12, "2", Z395 &lt;= 15, "3", Z395 &gt; 15, "4")</f>
        <v/>
      </c>
      <c r="AC395" s="125">
        <f t="array" ref="AC395">_xlfn.IFS(AA395 &lt;= 200, "1", L395 &lt;= 300, "2", L395 &lt;= 400, "3", L395 &gt; 400, "4")</f>
        <v/>
      </c>
      <c r="AE395" s="129">
        <f>SQRT((((VLOOKUP($AT$4,$A$4:$D$1021,4,FALSE))-D395)^2)+(((VLOOKUP($AT$4,$A$4:$E$1021,5,FALSE))-E395)^2)+(((VLOOKUP($AT$4,$A$4:$N$1021,14,FALSE))-N395)^2)+(((VLOOKUP($AT$4,$A$4:$O$1021,15,FALSE))-O395)^2))</f>
        <v/>
      </c>
      <c r="AG395" s="129" t="n"/>
      <c r="AH395" s="129">
        <f>SQRT((((VLOOKUP($AT$4,$A$4:$D$1021,4,FALSE))-D395)^2)+(((VLOOKUP($AT$4,$A$4:$E$1021,5,FALSE))-E395)^2)+(((VLOOKUP($AT$4,$A$4:$R$1021,18,FALSE))-R395)^2)+(((VLOOKUP($AT$4,$A$4:$S$1021,19,FALSE))-S395)^2))</f>
        <v/>
      </c>
      <c r="AJ395" s="125" t="inlineStr">
        <is>
          <t>HM250X43.6</t>
        </is>
      </c>
      <c r="AK395" s="125" t="n"/>
      <c r="AL395" s="125">
        <f>SQRT(((VLOOKUP($AT$4,$A$4:$J$1021,10,FALSE))-J395)^2)</f>
        <v/>
      </c>
      <c r="AM395" s="125" t="n"/>
      <c r="AN395" s="125" t="n"/>
      <c r="AO395" s="125">
        <f>SQRT(((VLOOKUP($AT$4,$A$4:$R$1021,18,FALSE))-R395)^2)</f>
        <v/>
      </c>
      <c r="AP395" s="125" t="n"/>
      <c r="AQ395" s="125" t="inlineStr">
        <is>
          <t>HM244</t>
        </is>
      </c>
      <c r="BB395" s="125">
        <f>SQRT(($J$1022-J395)^2)</f>
        <v/>
      </c>
      <c r="BC395" s="125">
        <f>SQRT(($R$1022-R395)^2)</f>
        <v/>
      </c>
      <c r="BD395" s="125" t="inlineStr">
        <is>
          <t>HM244</t>
        </is>
      </c>
      <c r="BI395">
        <f>SQRT(($J$1023-J395)^2)</f>
        <v/>
      </c>
      <c r="BJ395">
        <f>SQRT(($R$1023-R395)^2)</f>
        <v/>
      </c>
      <c r="BK395" s="125" t="inlineStr">
        <is>
          <t>HM244</t>
        </is>
      </c>
      <c r="BP395">
        <f>SQRT(($J$1024-J395)^2)</f>
        <v/>
      </c>
      <c r="BQ395">
        <f>SQRT(($R$1024-R395)^2)</f>
        <v/>
      </c>
      <c r="BR395" s="125" t="inlineStr">
        <is>
          <t>HM244</t>
        </is>
      </c>
      <c r="BW395">
        <f>SQRT(($J$1025-J395)^2)</f>
        <v/>
      </c>
      <c r="BX395">
        <f>SQRT(($R$1025-R395)^2)</f>
        <v/>
      </c>
      <c r="BY395" s="125" t="inlineStr">
        <is>
          <t>HM244</t>
        </is>
      </c>
      <c r="CD395">
        <f>SQRT(($J$1026-J395)^2)</f>
        <v/>
      </c>
      <c r="CE395">
        <f>SQRT(($R$1026-R395)^2)</f>
        <v/>
      </c>
      <c r="CF395" s="125" t="inlineStr">
        <is>
          <t>HM244</t>
        </is>
      </c>
    </row>
    <row r="396">
      <c r="A396" s="125" t="inlineStr">
        <is>
          <t>HM294</t>
        </is>
      </c>
      <c r="B396" s="129" t="inlineStr">
        <is>
          <t>GB</t>
        </is>
      </c>
      <c r="C396" s="125" t="inlineStr">
        <is>
          <t>55.8</t>
        </is>
      </c>
      <c r="D396" s="125" t="n">
        <v>294</v>
      </c>
      <c r="E396" s="125" t="n">
        <v>200</v>
      </c>
      <c r="F396" s="125" t="n">
        <v>12</v>
      </c>
      <c r="G396" s="125" t="n">
        <v>8</v>
      </c>
      <c r="H396" s="125" t="n">
        <v>13</v>
      </c>
      <c r="I396" s="125">
        <f>D396-(2*(H396+F396))</f>
        <v/>
      </c>
      <c r="J396" s="125" t="n">
        <v>71.05</v>
      </c>
      <c r="K396" s="125">
        <f>((E396-G396)/2)/F396</f>
        <v/>
      </c>
      <c r="L396" s="125">
        <f>I396/G396</f>
        <v/>
      </c>
      <c r="M396" s="125">
        <f>(E396*2+F396*4+((E396-G396)/2-H396)*4+2*PI()*H396+(D396-2*F396-2*H396)*2)/1000</f>
        <v/>
      </c>
      <c r="N396" s="5" t="n">
        <v>10858</v>
      </c>
      <c r="O396" s="5" t="n">
        <v>1602</v>
      </c>
      <c r="P396" s="125" t="n">
        <v>12.36</v>
      </c>
      <c r="Q396" s="125" t="n">
        <v>4.75</v>
      </c>
      <c r="R396" s="125" t="n">
        <v>738.6</v>
      </c>
      <c r="S396" s="125" t="n">
        <v>160.2</v>
      </c>
      <c r="T396" s="125">
        <f>(((E396*D396*D396)/4)-(((E396-G396)*(D396-F396-F396)*(D396-F396-F396))/4)+(4*(H396*H396*(D396/2-F396-(H396/2))-((PI()*H396*H396)/4*((D396/2)-F396-(H396-((4*H396)/(3*PI()))))))))/1000</f>
        <v/>
      </c>
      <c r="U396" s="125">
        <f>(((D396*E396*E396)/4)-(2*((D396-F396-F396)*(E396/2-(G396/2))*(((E396/2-(G396/2))/2)+(G396/2))))+(4*(((H396*H396)-(((PI()*H396*H396)/4)))*((H396-((4*H396)/(3*PI())))+(G396/2)))))/1000</f>
        <v/>
      </c>
      <c r="X396" s="129">
        <f t="array" ref="X396">_xlfn.IFS((D396/F396) &lt;= (640/SQRT($AT$32)), "Compact", L396 &lt;= ($AT$32*(0.79-(0.002*((E396-G396/2)/(2*F396))*SQRT($AT$32)))), "Non-Compact", L396 &gt; ($AT$32*(0.79-(0.002*((E396-G396/2)/(2*F396))*SQRT($AT$32)))), "Slender")</f>
        <v/>
      </c>
      <c r="Y396" s="129">
        <f t="array" ref="Y396">_xlfn.IFS(K396 &lt;= (65/SQRT($AT$32)), "Compact", K396 &lt;= (95/SQRT($AT$32)), "Non-Compact", K396 &gt; (95/SQRT($AT$32)), "Slender")</f>
        <v/>
      </c>
      <c r="Z396" s="125">
        <f>E396/F396</f>
        <v/>
      </c>
      <c r="AA396" s="125">
        <f>D396/G396</f>
        <v/>
      </c>
      <c r="AB396" s="125">
        <f t="array" ref="AB396">_xlfn.IFS(Z396 &lt;= 9, "1", Z396 &lt;= 12, "2", Z396 &lt;= 15, "3", Z396 &gt; 15, "4")</f>
        <v/>
      </c>
      <c r="AC396" s="125">
        <f t="array" ref="AC396">_xlfn.IFS(AA396 &lt;= 200, "1", L396 &lt;= 300, "2", L396 &lt;= 400, "3", L396 &gt; 400, "4")</f>
        <v/>
      </c>
      <c r="AE396" s="129">
        <f>SQRT((((VLOOKUP($AT$4,$A$4:$D$1021,4,FALSE))-D396)^2)+(((VLOOKUP($AT$4,$A$4:$E$1021,5,FALSE))-E396)^2)+(((VLOOKUP($AT$4,$A$4:$N$1021,14,FALSE))-N396)^2)+(((VLOOKUP($AT$4,$A$4:$O$1021,15,FALSE))-O396)^2))</f>
        <v/>
      </c>
      <c r="AG396" s="129" t="n"/>
      <c r="AH396" s="129">
        <f>SQRT((((VLOOKUP($AT$4,$A$4:$D$1021,4,FALSE))-D396)^2)+(((VLOOKUP($AT$4,$A$4:$E$1021,5,FALSE))-E396)^2)+(((VLOOKUP($AT$4,$A$4:$R$1021,18,FALSE))-R396)^2)+(((VLOOKUP($AT$4,$A$4:$S$1021,19,FALSE))-S396)^2))</f>
        <v/>
      </c>
      <c r="AJ396" s="125" t="inlineStr">
        <is>
          <t>HM300X55.8</t>
        </is>
      </c>
      <c r="AK396" s="125" t="n"/>
      <c r="AL396" s="125">
        <f>SQRT(((VLOOKUP($AT$4,$A$4:$J$1021,10,FALSE))-J396)^2)</f>
        <v/>
      </c>
      <c r="AM396" s="125" t="n"/>
      <c r="AN396" s="125" t="n"/>
      <c r="AO396" s="125">
        <f>SQRT(((VLOOKUP($AT$4,$A$4:$R$1021,18,FALSE))-R396)^2)</f>
        <v/>
      </c>
      <c r="AP396" s="125" t="n"/>
      <c r="AQ396" s="125" t="inlineStr">
        <is>
          <t>HM294</t>
        </is>
      </c>
      <c r="BB396" s="125">
        <f>SQRT(($J$1022-J396)^2)</f>
        <v/>
      </c>
      <c r="BC396" s="125">
        <f>SQRT(($R$1022-R396)^2)</f>
        <v/>
      </c>
      <c r="BD396" s="125" t="inlineStr">
        <is>
          <t>HM294</t>
        </is>
      </c>
      <c r="BI396">
        <f>SQRT(($J$1023-J396)^2)</f>
        <v/>
      </c>
      <c r="BJ396">
        <f>SQRT(($R$1023-R396)^2)</f>
        <v/>
      </c>
      <c r="BK396" s="125" t="inlineStr">
        <is>
          <t>HM294</t>
        </is>
      </c>
      <c r="BP396">
        <f>SQRT(($J$1024-J396)^2)</f>
        <v/>
      </c>
      <c r="BQ396">
        <f>SQRT(($R$1024-R396)^2)</f>
        <v/>
      </c>
      <c r="BR396" s="125" t="inlineStr">
        <is>
          <t>HM294</t>
        </is>
      </c>
      <c r="BW396">
        <f>SQRT(($J$1025-J396)^2)</f>
        <v/>
      </c>
      <c r="BX396">
        <f>SQRT(($R$1025-R396)^2)</f>
        <v/>
      </c>
      <c r="BY396" s="125" t="inlineStr">
        <is>
          <t>HM294</t>
        </is>
      </c>
      <c r="CD396">
        <f>SQRT(($J$1026-J396)^2)</f>
        <v/>
      </c>
      <c r="CE396">
        <f>SQRT(($R$1026-R396)^2)</f>
        <v/>
      </c>
      <c r="CF396" s="125" t="inlineStr">
        <is>
          <t>HM294</t>
        </is>
      </c>
    </row>
    <row r="397">
      <c r="A397" s="125" t="inlineStr">
        <is>
          <t>HM340</t>
        </is>
      </c>
      <c r="B397" s="129" t="inlineStr">
        <is>
          <t>GB</t>
        </is>
      </c>
      <c r="C397" s="125" t="inlineStr">
        <is>
          <t>78.1</t>
        </is>
      </c>
      <c r="D397" s="125" t="n">
        <v>340</v>
      </c>
      <c r="E397" s="125" t="n">
        <v>250</v>
      </c>
      <c r="F397" s="125" t="n">
        <v>14</v>
      </c>
      <c r="G397" s="125" t="n">
        <v>9</v>
      </c>
      <c r="H397" s="125" t="n">
        <v>13</v>
      </c>
      <c r="I397" s="125">
        <f>D397-(2*(H397+F397))</f>
        <v/>
      </c>
      <c r="J397" s="125" t="n">
        <v>99.53</v>
      </c>
      <c r="K397" s="125">
        <f>((E397-G397)/2)/F397</f>
        <v/>
      </c>
      <c r="L397" s="125">
        <f>I397/G397</f>
        <v/>
      </c>
      <c r="M397" s="125">
        <f>(E397*2+F397*4+((E397-G397)/2-H397)*4+2*PI()*H397+(D397-2*F397-2*H397)*2)/1000</f>
        <v/>
      </c>
      <c r="N397" s="5" t="n">
        <v>20867</v>
      </c>
      <c r="O397" s="5" t="n">
        <v>3648</v>
      </c>
      <c r="P397" s="125" t="n">
        <v>14.48</v>
      </c>
      <c r="Q397" s="125" t="n">
        <v>6.05</v>
      </c>
      <c r="R397" s="5" t="n">
        <v>1227</v>
      </c>
      <c r="S397" s="125" t="n">
        <v>291.9</v>
      </c>
      <c r="T397" s="125">
        <f>(((E397*D397*D397)/4)-(((E397-G397)*(D397-F397-F397)*(D397-F397-F397))/4)+(4*(H397*H397*(D397/2-F397-(H397/2))-((PI()*H397*H397)/4*((D397/2)-F397-(H397-((4*H397)/(3*PI()))))))))/1000</f>
        <v/>
      </c>
      <c r="U397" s="125">
        <f>(((D397*E397*E397)/4)-(2*((D397-F397-F397)*(E397/2-(G397/2))*(((E397/2-(G397/2))/2)+(G397/2))))+(4*(((H397*H397)-(((PI()*H397*H397)/4)))*((H397-((4*H397)/(3*PI())))+(G397/2)))))/1000</f>
        <v/>
      </c>
      <c r="X397" s="129">
        <f t="array" ref="X397">_xlfn.IFS((D397/F397) &lt;= (640/SQRT($AT$32)), "Compact", L397 &lt;= ($AT$32*(0.79-(0.002*((E397-G397/2)/(2*F397))*SQRT($AT$32)))), "Non-Compact", L397 &gt; ($AT$32*(0.79-(0.002*((E397-G397/2)/(2*F397))*SQRT($AT$32)))), "Slender")</f>
        <v/>
      </c>
      <c r="Y397" s="129">
        <f t="array" ref="Y397">_xlfn.IFS(K397 &lt;= (65/SQRT($AT$32)), "Compact", K397 &lt;= (95/SQRT($AT$32)), "Non-Compact", K397 &gt; (95/SQRT($AT$32)), "Slender")</f>
        <v/>
      </c>
      <c r="Z397" s="125">
        <f>E397/F397</f>
        <v/>
      </c>
      <c r="AA397" s="125">
        <f>D397/G397</f>
        <v/>
      </c>
      <c r="AB397" s="125">
        <f t="array" ref="AB397">_xlfn.IFS(Z397 &lt;= 9, "1", Z397 &lt;= 12, "2", Z397 &lt;= 15, "3", Z397 &gt; 15, "4")</f>
        <v/>
      </c>
      <c r="AC397" s="125">
        <f t="array" ref="AC397">_xlfn.IFS(AA397 &lt;= 200, "1", L397 &lt;= 300, "2", L397 &lt;= 400, "3", L397 &gt; 400, "4")</f>
        <v/>
      </c>
      <c r="AE397" s="129">
        <f>SQRT((((VLOOKUP($AT$4,$A$4:$D$1021,4,FALSE))-D397)^2)+(((VLOOKUP($AT$4,$A$4:$E$1021,5,FALSE))-E397)^2)+(((VLOOKUP($AT$4,$A$4:$N$1021,14,FALSE))-N397)^2)+(((VLOOKUP($AT$4,$A$4:$O$1021,15,FALSE))-O397)^2))</f>
        <v/>
      </c>
      <c r="AG397" s="129" t="n"/>
      <c r="AH397" s="129">
        <f>SQRT((((VLOOKUP($AT$4,$A$4:$D$1021,4,FALSE))-D397)^2)+(((VLOOKUP($AT$4,$A$4:$E$1021,5,FALSE))-E397)^2)+(((VLOOKUP($AT$4,$A$4:$R$1021,18,FALSE))-R397)^2)+(((VLOOKUP($AT$4,$A$4:$S$1021,19,FALSE))-S397)^2))</f>
        <v/>
      </c>
      <c r="AJ397" s="125" t="inlineStr">
        <is>
          <t>HM350X78.1</t>
        </is>
      </c>
      <c r="AK397" s="125" t="n"/>
      <c r="AL397" s="125">
        <f>SQRT(((VLOOKUP($AT$4,$A$4:$J$1021,10,FALSE))-J397)^2)</f>
        <v/>
      </c>
      <c r="AM397" s="125" t="n"/>
      <c r="AN397" s="125" t="n"/>
      <c r="AO397" s="125">
        <f>SQRT(((VLOOKUP($AT$4,$A$4:$R$1021,18,FALSE))-R397)^2)</f>
        <v/>
      </c>
      <c r="AP397" s="125" t="n"/>
      <c r="AQ397" s="125" t="inlineStr">
        <is>
          <t>HM340</t>
        </is>
      </c>
      <c r="BB397" s="125">
        <f>SQRT(($J$1022-J397)^2)</f>
        <v/>
      </c>
      <c r="BC397" s="125">
        <f>SQRT(($R$1022-R397)^2)</f>
        <v/>
      </c>
      <c r="BD397" s="125" t="inlineStr">
        <is>
          <t>HM340</t>
        </is>
      </c>
      <c r="BI397">
        <f>SQRT(($J$1023-J397)^2)</f>
        <v/>
      </c>
      <c r="BJ397">
        <f>SQRT(($R$1023-R397)^2)</f>
        <v/>
      </c>
      <c r="BK397" s="125" t="inlineStr">
        <is>
          <t>HM340</t>
        </is>
      </c>
      <c r="BP397">
        <f>SQRT(($J$1024-J397)^2)</f>
        <v/>
      </c>
      <c r="BQ397">
        <f>SQRT(($R$1024-R397)^2)</f>
        <v/>
      </c>
      <c r="BR397" s="125" t="inlineStr">
        <is>
          <t>HM340</t>
        </is>
      </c>
      <c r="BW397">
        <f>SQRT(($J$1025-J397)^2)</f>
        <v/>
      </c>
      <c r="BX397">
        <f>SQRT(($R$1025-R397)^2)</f>
        <v/>
      </c>
      <c r="BY397" s="125" t="inlineStr">
        <is>
          <t>HM340</t>
        </is>
      </c>
      <c r="CD397">
        <f>SQRT(($J$1026-J397)^2)</f>
        <v/>
      </c>
      <c r="CE397">
        <f>SQRT(($R$1026-R397)^2)</f>
        <v/>
      </c>
      <c r="CF397" s="125" t="inlineStr">
        <is>
          <t>HM340</t>
        </is>
      </c>
    </row>
    <row r="398">
      <c r="A398" s="125" t="inlineStr">
        <is>
          <t>HM390</t>
        </is>
      </c>
      <c r="B398" s="129" t="inlineStr">
        <is>
          <t>GB</t>
        </is>
      </c>
      <c r="C398" s="125" t="inlineStr">
        <is>
          <t>104.6</t>
        </is>
      </c>
      <c r="D398" s="125" t="n">
        <v>390</v>
      </c>
      <c r="E398" s="125" t="n">
        <v>300</v>
      </c>
      <c r="F398" s="125" t="n">
        <v>16</v>
      </c>
      <c r="G398" s="125" t="n">
        <v>10</v>
      </c>
      <c r="H398" s="125" t="n">
        <v>13</v>
      </c>
      <c r="I398" s="125">
        <f>D398-(2*(H398+F398))</f>
        <v/>
      </c>
      <c r="J398" s="125" t="n">
        <v>133.25</v>
      </c>
      <c r="K398" s="125">
        <f>((E398-G398)/2)/F398</f>
        <v/>
      </c>
      <c r="L398" s="125">
        <f>I398/G398</f>
        <v/>
      </c>
      <c r="M398" s="125">
        <f>(E398*2+F398*4+((E398-G398)/2-H398)*4+2*PI()*H398+(D398-2*F398-2*H398)*2)/1000</f>
        <v/>
      </c>
      <c r="N398" s="5" t="n">
        <v>37363</v>
      </c>
      <c r="O398" s="5" t="n">
        <v>7203</v>
      </c>
      <c r="P398" s="125" t="n">
        <v>16.75</v>
      </c>
      <c r="Q398" s="125" t="n">
        <v>7.35</v>
      </c>
      <c r="R398" s="5" t="n">
        <v>1916</v>
      </c>
      <c r="S398" s="125" t="n">
        <v>480.2</v>
      </c>
      <c r="T398" s="125">
        <f>(((E398*D398*D398)/4)-(((E398-G398)*(D398-F398-F398)*(D398-F398-F398))/4)+(4*(H398*H398*(D398/2-F398-(H398/2))-((PI()*H398*H398)/4*((D398/2)-F398-(H398-((4*H398)/(3*PI()))))))))/1000</f>
        <v/>
      </c>
      <c r="U398" s="125">
        <f>(((D398*E398*E398)/4)-(2*((D398-F398-F398)*(E398/2-(G398/2))*(((E398/2-(G398/2))/2)+(G398/2))))+(4*(((H398*H398)-(((PI()*H398*H398)/4)))*((H398-((4*H398)/(3*PI())))+(G398/2)))))/1000</f>
        <v/>
      </c>
      <c r="X398" s="129">
        <f t="array" ref="X398">_xlfn.IFS((D398/F398) &lt;= (640/SQRT($AT$32)), "Compact", L398 &lt;= ($AT$32*(0.79-(0.002*((E398-G398/2)/(2*F398))*SQRT($AT$32)))), "Non-Compact", L398 &gt; ($AT$32*(0.79-(0.002*((E398-G398/2)/(2*F398))*SQRT($AT$32)))), "Slender")</f>
        <v/>
      </c>
      <c r="Y398" s="129">
        <f t="array" ref="Y398">_xlfn.IFS(K398 &lt;= (65/SQRT($AT$32)), "Compact", K398 &lt;= (95/SQRT($AT$32)), "Non-Compact", K398 &gt; (95/SQRT($AT$32)), "Slender")</f>
        <v/>
      </c>
      <c r="Z398" s="125">
        <f>E398/F398</f>
        <v/>
      </c>
      <c r="AA398" s="125">
        <f>D398/G398</f>
        <v/>
      </c>
      <c r="AB398" s="125">
        <f t="array" ref="AB398">_xlfn.IFS(Z398 &lt;= 9, "1", Z398 &lt;= 12, "2", Z398 &lt;= 15, "3", Z398 &gt; 15, "4")</f>
        <v/>
      </c>
      <c r="AC398" s="125">
        <f t="array" ref="AC398">_xlfn.IFS(AA398 &lt;= 200, "1", L398 &lt;= 300, "2", L398 &lt;= 400, "3", L398 &gt; 400, "4")</f>
        <v/>
      </c>
      <c r="AE398" s="129">
        <f>SQRT((((VLOOKUP($AT$4,$A$4:$D$1021,4,FALSE))-D398)^2)+(((VLOOKUP($AT$4,$A$4:$E$1021,5,FALSE))-E398)^2)+(((VLOOKUP($AT$4,$A$4:$N$1021,14,FALSE))-N398)^2)+(((VLOOKUP($AT$4,$A$4:$O$1021,15,FALSE))-O398)^2))</f>
        <v/>
      </c>
      <c r="AG398" s="129" t="n"/>
      <c r="AH398" s="129">
        <f>SQRT((((VLOOKUP($AT$4,$A$4:$D$1021,4,FALSE))-D398)^2)+(((VLOOKUP($AT$4,$A$4:$E$1021,5,FALSE))-E398)^2)+(((VLOOKUP($AT$4,$A$4:$R$1021,18,FALSE))-R398)^2)+(((VLOOKUP($AT$4,$A$4:$S$1021,19,FALSE))-S398)^2))</f>
        <v/>
      </c>
      <c r="AJ398" s="125" t="inlineStr">
        <is>
          <t>HM400X104.6</t>
        </is>
      </c>
      <c r="AK398" s="125" t="n"/>
      <c r="AL398" s="125">
        <f>SQRT(((VLOOKUP($AT$4,$A$4:$J$1021,10,FALSE))-J398)^2)</f>
        <v/>
      </c>
      <c r="AM398" s="125" t="n"/>
      <c r="AN398" s="125" t="n"/>
      <c r="AO398" s="125">
        <f>SQRT(((VLOOKUP($AT$4,$A$4:$R$1021,18,FALSE))-R398)^2)</f>
        <v/>
      </c>
      <c r="AP398" s="125" t="n"/>
      <c r="AQ398" s="125" t="inlineStr">
        <is>
          <t>HM390</t>
        </is>
      </c>
      <c r="BB398" s="125">
        <f>SQRT(($J$1022-J398)^2)</f>
        <v/>
      </c>
      <c r="BC398" s="125">
        <f>SQRT(($R$1022-R398)^2)</f>
        <v/>
      </c>
      <c r="BD398" s="125" t="inlineStr">
        <is>
          <t>HM390</t>
        </is>
      </c>
      <c r="BI398">
        <f>SQRT(($J$1023-J398)^2)</f>
        <v/>
      </c>
      <c r="BJ398">
        <f>SQRT(($R$1023-R398)^2)</f>
        <v/>
      </c>
      <c r="BK398" s="125" t="inlineStr">
        <is>
          <t>HM390</t>
        </is>
      </c>
      <c r="BP398">
        <f>SQRT(($J$1024-J398)^2)</f>
        <v/>
      </c>
      <c r="BQ398">
        <f>SQRT(($R$1024-R398)^2)</f>
        <v/>
      </c>
      <c r="BR398" s="125" t="inlineStr">
        <is>
          <t>HM390</t>
        </is>
      </c>
      <c r="BW398">
        <f>SQRT(($J$1025-J398)^2)</f>
        <v/>
      </c>
      <c r="BX398">
        <f>SQRT(($R$1025-R398)^2)</f>
        <v/>
      </c>
      <c r="BY398" s="125" t="inlineStr">
        <is>
          <t>HM390</t>
        </is>
      </c>
      <c r="CD398">
        <f>SQRT(($J$1026-J398)^2)</f>
        <v/>
      </c>
      <c r="CE398">
        <f>SQRT(($R$1026-R398)^2)</f>
        <v/>
      </c>
      <c r="CF398" s="125" t="inlineStr">
        <is>
          <t>HM390</t>
        </is>
      </c>
    </row>
    <row r="399">
      <c r="A399" s="125" t="inlineStr">
        <is>
          <t>HM440</t>
        </is>
      </c>
      <c r="B399" s="129" t="inlineStr">
        <is>
          <t>GB</t>
        </is>
      </c>
      <c r="C399" s="125" t="inlineStr">
        <is>
          <t>120.8</t>
        </is>
      </c>
      <c r="D399" s="125" t="n">
        <v>440</v>
      </c>
      <c r="E399" s="125" t="n">
        <v>300</v>
      </c>
      <c r="F399" s="125" t="n">
        <v>18</v>
      </c>
      <c r="G399" s="125" t="n">
        <v>11</v>
      </c>
      <c r="H399" s="125" t="n">
        <v>13</v>
      </c>
      <c r="I399" s="125">
        <f>D399-(2*(H399+F399))</f>
        <v/>
      </c>
      <c r="J399" s="125" t="n">
        <v>153.89</v>
      </c>
      <c r="K399" s="125">
        <f>((E399-G399)/2)/F399</f>
        <v/>
      </c>
      <c r="L399" s="125">
        <f>I399/G399</f>
        <v/>
      </c>
      <c r="M399" s="125">
        <f>(E399*2+F399*4+((E399-G399)/2-H399)*4+2*PI()*H399+(D399-2*F399-2*H399)*2)/1000</f>
        <v/>
      </c>
      <c r="N399" s="5" t="n">
        <v>54067</v>
      </c>
      <c r="O399" s="5" t="n">
        <v>8105</v>
      </c>
      <c r="P399" s="125" t="n">
        <v>18.74</v>
      </c>
      <c r="Q399" s="125" t="n">
        <v>7.26</v>
      </c>
      <c r="R399" s="5" t="n">
        <v>2458</v>
      </c>
      <c r="S399" s="125" t="n">
        <v>540.3</v>
      </c>
      <c r="T399" s="125">
        <f>(((E399*D399*D399)/4)-(((E399-G399)*(D399-F399-F399)*(D399-F399-F399))/4)+(4*(H399*H399*(D399/2-F399-(H399/2))-((PI()*H399*H399)/4*((D399/2)-F399-(H399-((4*H399)/(3*PI()))))))))/1000</f>
        <v/>
      </c>
      <c r="U399" s="125">
        <f>(((D399*E399*E399)/4)-(2*((D399-F399-F399)*(E399/2-(G399/2))*(((E399/2-(G399/2))/2)+(G399/2))))+(4*(((H399*H399)-(((PI()*H399*H399)/4)))*((H399-((4*H399)/(3*PI())))+(G399/2)))))/1000</f>
        <v/>
      </c>
      <c r="X399" s="129">
        <f t="array" ref="X399">_xlfn.IFS((D399/F399) &lt;= (640/SQRT($AT$32)), "Compact", L399 &lt;= ($AT$32*(0.79-(0.002*((E399-G399/2)/(2*F399))*SQRT($AT$32)))), "Non-Compact", L399 &gt; ($AT$32*(0.79-(0.002*((E399-G399/2)/(2*F399))*SQRT($AT$32)))), "Slender")</f>
        <v/>
      </c>
      <c r="Y399" s="129">
        <f t="array" ref="Y399">_xlfn.IFS(K399 &lt;= (65/SQRT($AT$32)), "Compact", K399 &lt;= (95/SQRT($AT$32)), "Non-Compact", K399 &gt; (95/SQRT($AT$32)), "Slender")</f>
        <v/>
      </c>
      <c r="Z399" s="125">
        <f>E399/F399</f>
        <v/>
      </c>
      <c r="AA399" s="125">
        <f>D399/G399</f>
        <v/>
      </c>
      <c r="AB399" s="125">
        <f t="array" ref="AB399">_xlfn.IFS(Z399 &lt;= 9, "1", Z399 &lt;= 12, "2", Z399 &lt;= 15, "3", Z399 &gt; 15, "4")</f>
        <v/>
      </c>
      <c r="AC399" s="125">
        <f t="array" ref="AC399">_xlfn.IFS(AA399 &lt;= 200, "1", L399 &lt;= 300, "2", L399 &lt;= 400, "3", L399 &gt; 400, "4")</f>
        <v/>
      </c>
      <c r="AE399" s="129">
        <f>SQRT((((VLOOKUP($AT$4,$A$4:$D$1021,4,FALSE))-D399)^2)+(((VLOOKUP($AT$4,$A$4:$E$1021,5,FALSE))-E399)^2)+(((VLOOKUP($AT$4,$A$4:$N$1021,14,FALSE))-N399)^2)+(((VLOOKUP($AT$4,$A$4:$O$1021,15,FALSE))-O399)^2))</f>
        <v/>
      </c>
      <c r="AG399" s="129" t="n"/>
      <c r="AH399" s="129">
        <f>SQRT((((VLOOKUP($AT$4,$A$4:$D$1021,4,FALSE))-D399)^2)+(((VLOOKUP($AT$4,$A$4:$E$1021,5,FALSE))-E399)^2)+(((VLOOKUP($AT$4,$A$4:$R$1021,18,FALSE))-R399)^2)+(((VLOOKUP($AT$4,$A$4:$S$1021,19,FALSE))-S399)^2))</f>
        <v/>
      </c>
      <c r="AJ399" s="125" t="inlineStr">
        <is>
          <t>HM450X120.8</t>
        </is>
      </c>
      <c r="AK399" s="125" t="n"/>
      <c r="AL399" s="125">
        <f>SQRT(((VLOOKUP($AT$4,$A$4:$J$1021,10,FALSE))-J399)^2)</f>
        <v/>
      </c>
      <c r="AM399" s="125" t="n"/>
      <c r="AN399" s="125" t="n"/>
      <c r="AO399" s="125">
        <f>SQRT(((VLOOKUP($AT$4,$A$4:$R$1021,18,FALSE))-R399)^2)</f>
        <v/>
      </c>
      <c r="AP399" s="125" t="n"/>
      <c r="AQ399" s="125" t="inlineStr">
        <is>
          <t>HM440</t>
        </is>
      </c>
      <c r="BB399" s="125">
        <f>SQRT(($J$1022-J399)^2)</f>
        <v/>
      </c>
      <c r="BC399" s="125">
        <f>SQRT(($R$1022-R399)^2)</f>
        <v/>
      </c>
      <c r="BD399" s="125" t="inlineStr">
        <is>
          <t>HM440</t>
        </is>
      </c>
      <c r="BI399">
        <f>SQRT(($J$1023-J399)^2)</f>
        <v/>
      </c>
      <c r="BJ399">
        <f>SQRT(($R$1023-R399)^2)</f>
        <v/>
      </c>
      <c r="BK399" s="125" t="inlineStr">
        <is>
          <t>HM440</t>
        </is>
      </c>
      <c r="BP399">
        <f>SQRT(($J$1024-J399)^2)</f>
        <v/>
      </c>
      <c r="BQ399">
        <f>SQRT(($R$1024-R399)^2)</f>
        <v/>
      </c>
      <c r="BR399" s="125" t="inlineStr">
        <is>
          <t>HM440</t>
        </is>
      </c>
      <c r="BW399">
        <f>SQRT(($J$1025-J399)^2)</f>
        <v/>
      </c>
      <c r="BX399">
        <f>SQRT(($R$1025-R399)^2)</f>
        <v/>
      </c>
      <c r="BY399" s="125" t="inlineStr">
        <is>
          <t>HM440</t>
        </is>
      </c>
      <c r="CD399">
        <f>SQRT(($J$1026-J399)^2)</f>
        <v/>
      </c>
      <c r="CE399">
        <f>SQRT(($R$1026-R399)^2)</f>
        <v/>
      </c>
      <c r="CF399" s="125" t="inlineStr">
        <is>
          <t>HM440</t>
        </is>
      </c>
    </row>
    <row r="400">
      <c r="A400" s="125" t="inlineStr">
        <is>
          <t>HM482</t>
        </is>
      </c>
      <c r="B400" s="129" t="inlineStr">
        <is>
          <t>GB</t>
        </is>
      </c>
      <c r="C400" s="125" t="inlineStr">
        <is>
          <t>110.8</t>
        </is>
      </c>
      <c r="D400" s="125" t="n">
        <v>482</v>
      </c>
      <c r="E400" s="125" t="n">
        <v>300</v>
      </c>
      <c r="F400" s="125" t="n">
        <v>15</v>
      </c>
      <c r="G400" s="125" t="n">
        <v>11</v>
      </c>
      <c r="H400" s="125" t="n">
        <v>13</v>
      </c>
      <c r="I400" s="125">
        <f>D400-(2*(H400+F400))</f>
        <v/>
      </c>
      <c r="J400" s="125" t="n">
        <v>141.17</v>
      </c>
      <c r="K400" s="125">
        <f>((E400-G400)/2)/F400</f>
        <v/>
      </c>
      <c r="L400" s="125">
        <f>I400/G400</f>
        <v/>
      </c>
      <c r="M400" s="125">
        <f>(E400*2+F400*4+((E400-G400)/2-H400)*4+2*PI()*H400+(D400-2*F400-2*H400)*2)/1000</f>
        <v/>
      </c>
      <c r="N400" s="5" t="n">
        <v>57212</v>
      </c>
      <c r="O400" s="5" t="n">
        <v>6756</v>
      </c>
      <c r="P400" s="125" t="n">
        <v>20.13</v>
      </c>
      <c r="Q400" s="125" t="n">
        <v>6.92</v>
      </c>
      <c r="R400" s="5" t="n">
        <v>2374</v>
      </c>
      <c r="S400" s="125" t="n">
        <v>450.4</v>
      </c>
      <c r="T400" s="125">
        <f>(((E400*D400*D400)/4)-(((E400-G400)*(D400-F400-F400)*(D400-F400-F400))/4)+(4*(H400*H400*(D400/2-F400-(H400/2))-((PI()*H400*H400)/4*((D400/2)-F400-(H400-((4*H400)/(3*PI()))))))))/1000</f>
        <v/>
      </c>
      <c r="U400" s="125">
        <f>(((D400*E400*E400)/4)-(2*((D400-F400-F400)*(E400/2-(G400/2))*(((E400/2-(G400/2))/2)+(G400/2))))+(4*(((H400*H400)-(((PI()*H400*H400)/4)))*((H400-((4*H400)/(3*PI())))+(G400/2)))))/1000</f>
        <v/>
      </c>
      <c r="X400" s="129">
        <f t="array" ref="X400">_xlfn.IFS((D400/F400) &lt;= (640/SQRT($AT$32)), "Compact", L400 &lt;= ($AT$32*(0.79-(0.002*((E400-G400/2)/(2*F400))*SQRT($AT$32)))), "Non-Compact", L400 &gt; ($AT$32*(0.79-(0.002*((E400-G400/2)/(2*F400))*SQRT($AT$32)))), "Slender")</f>
        <v/>
      </c>
      <c r="Y400" s="129">
        <f t="array" ref="Y400">_xlfn.IFS(K400 &lt;= (65/SQRT($AT$32)), "Compact", K400 &lt;= (95/SQRT($AT$32)), "Non-Compact", K400 &gt; (95/SQRT($AT$32)), "Slender")</f>
        <v/>
      </c>
      <c r="Z400" s="125">
        <f>E400/F400</f>
        <v/>
      </c>
      <c r="AA400" s="125">
        <f>D400/G400</f>
        <v/>
      </c>
      <c r="AB400" s="125">
        <f t="array" ref="AB400">_xlfn.IFS(Z400 &lt;= 9, "1", Z400 &lt;= 12, "2", Z400 &lt;= 15, "3", Z400 &gt; 15, "4")</f>
        <v/>
      </c>
      <c r="AC400" s="125">
        <f t="array" ref="AC400">_xlfn.IFS(AA400 &lt;= 200, "1", L400 &lt;= 300, "2", L400 &lt;= 400, "3", L400 &gt; 400, "4")</f>
        <v/>
      </c>
      <c r="AE400" s="129">
        <f>SQRT((((VLOOKUP($AT$4,$A$4:$D$1021,4,FALSE))-D400)^2)+(((VLOOKUP($AT$4,$A$4:$E$1021,5,FALSE))-E400)^2)+(((VLOOKUP($AT$4,$A$4:$N$1021,14,FALSE))-N400)^2)+(((VLOOKUP($AT$4,$A$4:$O$1021,15,FALSE))-O400)^2))</f>
        <v/>
      </c>
      <c r="AG400" s="129" t="n"/>
      <c r="AH400" s="129">
        <f>SQRT((((VLOOKUP($AT$4,$A$4:$D$1021,4,FALSE))-D400)^2)+(((VLOOKUP($AT$4,$A$4:$E$1021,5,FALSE))-E400)^2)+(((VLOOKUP($AT$4,$A$4:$R$1021,18,FALSE))-R400)^2)+(((VLOOKUP($AT$4,$A$4:$S$1021,19,FALSE))-S400)^2))</f>
        <v/>
      </c>
      <c r="AJ400" s="125" t="inlineStr">
        <is>
          <t>HM500X110.8</t>
        </is>
      </c>
      <c r="AK400" s="125" t="n"/>
      <c r="AL400" s="125">
        <f>SQRT(((VLOOKUP($AT$4,$A$4:$J$1021,10,FALSE))-J400)^2)</f>
        <v/>
      </c>
      <c r="AM400" s="125" t="n"/>
      <c r="AN400" s="125" t="n"/>
      <c r="AO400" s="125">
        <f>SQRT(((VLOOKUP($AT$4,$A$4:$R$1021,18,FALSE))-R400)^2)</f>
        <v/>
      </c>
      <c r="AP400" s="125" t="n"/>
      <c r="AQ400" s="125" t="inlineStr">
        <is>
          <t>HM482</t>
        </is>
      </c>
      <c r="BB400" s="125">
        <f>SQRT(($J$1022-J400)^2)</f>
        <v/>
      </c>
      <c r="BC400" s="125">
        <f>SQRT(($R$1022-R400)^2)</f>
        <v/>
      </c>
      <c r="BD400" s="125" t="inlineStr">
        <is>
          <t>HM482</t>
        </is>
      </c>
      <c r="BI400">
        <f>SQRT(($J$1023-J400)^2)</f>
        <v/>
      </c>
      <c r="BJ400">
        <f>SQRT(($R$1023-R400)^2)</f>
        <v/>
      </c>
      <c r="BK400" s="125" t="inlineStr">
        <is>
          <t>HM482</t>
        </is>
      </c>
      <c r="BP400">
        <f>SQRT(($J$1024-J400)^2)</f>
        <v/>
      </c>
      <c r="BQ400">
        <f>SQRT(($R$1024-R400)^2)</f>
        <v/>
      </c>
      <c r="BR400" s="125" t="inlineStr">
        <is>
          <t>HM482</t>
        </is>
      </c>
      <c r="BW400">
        <f>SQRT(($J$1025-J400)^2)</f>
        <v/>
      </c>
      <c r="BX400">
        <f>SQRT(($R$1025-R400)^2)</f>
        <v/>
      </c>
      <c r="BY400" s="125" t="inlineStr">
        <is>
          <t>HM482</t>
        </is>
      </c>
      <c r="CD400">
        <f>SQRT(($J$1026-J400)^2)</f>
        <v/>
      </c>
      <c r="CE400">
        <f>SQRT(($R$1026-R400)^2)</f>
        <v/>
      </c>
      <c r="CF400" s="125" t="inlineStr">
        <is>
          <t>HM482</t>
        </is>
      </c>
    </row>
    <row r="401">
      <c r="A401" s="125" t="inlineStr">
        <is>
          <t>HM488</t>
        </is>
      </c>
      <c r="B401" s="129" t="inlineStr">
        <is>
          <t>GB</t>
        </is>
      </c>
      <c r="C401" s="125" t="inlineStr">
        <is>
          <t>124.9</t>
        </is>
      </c>
      <c r="D401" s="125" t="n">
        <v>488</v>
      </c>
      <c r="E401" s="125" t="n">
        <v>300</v>
      </c>
      <c r="F401" s="125" t="n">
        <v>18</v>
      </c>
      <c r="G401" s="125" t="n">
        <v>11</v>
      </c>
      <c r="H401" s="125" t="n">
        <v>13</v>
      </c>
      <c r="I401" s="125">
        <f>D401-(2*(H401+F401))</f>
        <v/>
      </c>
      <c r="J401" s="125" t="n">
        <v>159.17</v>
      </c>
      <c r="K401" s="125">
        <f>((E401-G401)/2)/F401</f>
        <v/>
      </c>
      <c r="L401" s="125">
        <f>I401/G401</f>
        <v/>
      </c>
      <c r="M401" s="125">
        <f>(E401*2+F401*4+((E401-G401)/2-H401)*4+2*PI()*H401+(D401-2*F401-2*H401)*2)/1000</f>
        <v/>
      </c>
      <c r="N401" s="5" t="n">
        <v>67916</v>
      </c>
      <c r="O401" s="5" t="n">
        <v>8106</v>
      </c>
      <c r="P401" s="125" t="n">
        <v>20.66</v>
      </c>
      <c r="Q401" s="125" t="n">
        <v>7.14</v>
      </c>
      <c r="R401" s="5" t="n">
        <v>2783</v>
      </c>
      <c r="S401" s="125" t="n">
        <v>540.4</v>
      </c>
      <c r="T401" s="125">
        <f>(((E401*D401*D401)/4)-(((E401-G401)*(D401-F401-F401)*(D401-F401-F401))/4)+(4*(H401*H401*(D401/2-F401-(H401/2))-((PI()*H401*H401)/4*((D401/2)-F401-(H401-((4*H401)/(3*PI()))))))))/1000</f>
        <v/>
      </c>
      <c r="U401" s="125">
        <f>(((D401*E401*E401)/4)-(2*((D401-F401-F401)*(E401/2-(G401/2))*(((E401/2-(G401/2))/2)+(G401/2))))+(4*(((H401*H401)-(((PI()*H401*H401)/4)))*((H401-((4*H401)/(3*PI())))+(G401/2)))))/1000</f>
        <v/>
      </c>
      <c r="X401" s="129">
        <f t="array" ref="X401">_xlfn.IFS((D401/F401) &lt;= (640/SQRT($AT$32)), "Compact", L401 &lt;= ($AT$32*(0.79-(0.002*((E401-G401/2)/(2*F401))*SQRT($AT$32)))), "Non-Compact", L401 &gt; ($AT$32*(0.79-(0.002*((E401-G401/2)/(2*F401))*SQRT($AT$32)))), "Slender")</f>
        <v/>
      </c>
      <c r="Y401" s="129">
        <f t="array" ref="Y401">_xlfn.IFS(K401 &lt;= (65/SQRT($AT$32)), "Compact", K401 &lt;= (95/SQRT($AT$32)), "Non-Compact", K401 &gt; (95/SQRT($AT$32)), "Slender")</f>
        <v/>
      </c>
      <c r="Z401" s="125">
        <f>E401/F401</f>
        <v/>
      </c>
      <c r="AA401" s="125">
        <f>D401/G401</f>
        <v/>
      </c>
      <c r="AB401" s="125">
        <f t="array" ref="AB401">_xlfn.IFS(Z401 &lt;= 9, "1", Z401 &lt;= 12, "2", Z401 &lt;= 15, "3", Z401 &gt; 15, "4")</f>
        <v/>
      </c>
      <c r="AC401" s="125">
        <f t="array" ref="AC401">_xlfn.IFS(AA401 &lt;= 200, "1", L401 &lt;= 300, "2", L401 &lt;= 400, "3", L401 &gt; 400, "4")</f>
        <v/>
      </c>
      <c r="AE401" s="129">
        <f>SQRT((((VLOOKUP($AT$4,$A$4:$D$1021,4,FALSE))-D401)^2)+(((VLOOKUP($AT$4,$A$4:$E$1021,5,FALSE))-E401)^2)+(((VLOOKUP($AT$4,$A$4:$N$1021,14,FALSE))-N401)^2)+(((VLOOKUP($AT$4,$A$4:$O$1021,15,FALSE))-O401)^2))</f>
        <v/>
      </c>
      <c r="AG401" s="129" t="n"/>
      <c r="AH401" s="129">
        <f>SQRT((((VLOOKUP($AT$4,$A$4:$D$1021,4,FALSE))-D401)^2)+(((VLOOKUP($AT$4,$A$4:$E$1021,5,FALSE))-E401)^2)+(((VLOOKUP($AT$4,$A$4:$R$1021,18,FALSE))-R401)^2)+(((VLOOKUP($AT$4,$A$4:$S$1021,19,FALSE))-S401)^2))</f>
        <v/>
      </c>
      <c r="AJ401" s="125" t="inlineStr">
        <is>
          <t>HM500X124.9</t>
        </is>
      </c>
      <c r="AK401" s="125" t="n"/>
      <c r="AL401" s="125">
        <f>SQRT(((VLOOKUP($AT$4,$A$4:$J$1021,10,FALSE))-J401)^2)</f>
        <v/>
      </c>
      <c r="AM401" s="125" t="n"/>
      <c r="AN401" s="125" t="n"/>
      <c r="AO401" s="125">
        <f>SQRT(((VLOOKUP($AT$4,$A$4:$R$1021,18,FALSE))-R401)^2)</f>
        <v/>
      </c>
      <c r="AP401" s="125" t="n"/>
      <c r="AQ401" s="125" t="inlineStr">
        <is>
          <t>HM488</t>
        </is>
      </c>
      <c r="BB401" s="125">
        <f>SQRT(($J$1022-J401)^2)</f>
        <v/>
      </c>
      <c r="BC401" s="125">
        <f>SQRT(($R$1022-R401)^2)</f>
        <v/>
      </c>
      <c r="BD401" s="125" t="inlineStr">
        <is>
          <t>HM488</t>
        </is>
      </c>
      <c r="BI401">
        <f>SQRT(($J$1023-J401)^2)</f>
        <v/>
      </c>
      <c r="BJ401">
        <f>SQRT(($R$1023-R401)^2)</f>
        <v/>
      </c>
      <c r="BK401" s="125" t="inlineStr">
        <is>
          <t>HM488</t>
        </is>
      </c>
      <c r="BP401">
        <f>SQRT(($J$1024-J401)^2)</f>
        <v/>
      </c>
      <c r="BQ401">
        <f>SQRT(($R$1024-R401)^2)</f>
        <v/>
      </c>
      <c r="BR401" s="125" t="inlineStr">
        <is>
          <t>HM488</t>
        </is>
      </c>
      <c r="BW401">
        <f>SQRT(($J$1025-J401)^2)</f>
        <v/>
      </c>
      <c r="BX401">
        <f>SQRT(($R$1025-R401)^2)</f>
        <v/>
      </c>
      <c r="BY401" s="125" t="inlineStr">
        <is>
          <t>HM488</t>
        </is>
      </c>
      <c r="CD401">
        <f>SQRT(($J$1026-J401)^2)</f>
        <v/>
      </c>
      <c r="CE401">
        <f>SQRT(($R$1026-R401)^2)</f>
        <v/>
      </c>
      <c r="CF401" s="125" t="inlineStr">
        <is>
          <t>HM488</t>
        </is>
      </c>
    </row>
    <row r="402">
      <c r="A402" s="125" t="inlineStr">
        <is>
          <t>HM544</t>
        </is>
      </c>
      <c r="B402" s="129" t="inlineStr">
        <is>
          <t>GB</t>
        </is>
      </c>
      <c r="C402" s="125" t="inlineStr">
        <is>
          <t>116.2</t>
        </is>
      </c>
      <c r="D402" s="125" t="n">
        <v>544</v>
      </c>
      <c r="E402" s="125" t="n">
        <v>300</v>
      </c>
      <c r="F402" s="125" t="n">
        <v>15</v>
      </c>
      <c r="G402" s="125" t="n">
        <v>11</v>
      </c>
      <c r="H402" s="125" t="n">
        <v>13</v>
      </c>
      <c r="I402" s="125">
        <f>D402-(2*(H402+F402))</f>
        <v/>
      </c>
      <c r="J402" s="125" t="n">
        <v>147.99</v>
      </c>
      <c r="K402" s="125">
        <f>((E402-G402)/2)/F402</f>
        <v/>
      </c>
      <c r="L402" s="125">
        <f>I402/G402</f>
        <v/>
      </c>
      <c r="M402" s="125">
        <f>(E402*2+F402*4+((E402-G402)/2-H402)*4+2*PI()*H402+(D402-2*F402-2*H402)*2)/1000</f>
        <v/>
      </c>
      <c r="N402" s="5" t="n">
        <v>74874</v>
      </c>
      <c r="O402" s="5" t="n">
        <v>6756</v>
      </c>
      <c r="P402" s="125" t="n">
        <v>22.49</v>
      </c>
      <c r="Q402" s="125" t="n">
        <v>6.76</v>
      </c>
      <c r="R402" s="5" t="n">
        <v>2753</v>
      </c>
      <c r="S402" s="125" t="n">
        <v>450.4</v>
      </c>
      <c r="T402" s="125">
        <f>(((E402*D402*D402)/4)-(((E402-G402)*(D402-F402-F402)*(D402-F402-F402))/4)+(4*(H402*H402*(D402/2-F402-(H402/2))-((PI()*H402*H402)/4*((D402/2)-F402-(H402-((4*H402)/(3*PI()))))))))/1000</f>
        <v/>
      </c>
      <c r="U402" s="125">
        <f>(((D402*E402*E402)/4)-(2*((D402-F402-F402)*(E402/2-(G402/2))*(((E402/2-(G402/2))/2)+(G402/2))))+(4*(((H402*H402)-(((PI()*H402*H402)/4)))*((H402-((4*H402)/(3*PI())))+(G402/2)))))/1000</f>
        <v/>
      </c>
      <c r="X402" s="129">
        <f t="array" ref="X402">_xlfn.IFS((D402/F402) &lt;= (640/SQRT($AT$32)), "Compact", L402 &lt;= ($AT$32*(0.79-(0.002*((E402-G402/2)/(2*F402))*SQRT($AT$32)))), "Non-Compact", L402 &gt; ($AT$32*(0.79-(0.002*((E402-G402/2)/(2*F402))*SQRT($AT$32)))), "Slender")</f>
        <v/>
      </c>
      <c r="Y402" s="129">
        <f t="array" ref="Y402">_xlfn.IFS(K402 &lt;= (65/SQRT($AT$32)), "Compact", K402 &lt;= (95/SQRT($AT$32)), "Non-Compact", K402 &gt; (95/SQRT($AT$32)), "Slender")</f>
        <v/>
      </c>
      <c r="Z402" s="125">
        <f>E402/F402</f>
        <v/>
      </c>
      <c r="AA402" s="125">
        <f>D402/G402</f>
        <v/>
      </c>
      <c r="AB402" s="125">
        <f t="array" ref="AB402">_xlfn.IFS(Z402 &lt;= 9, "1", Z402 &lt;= 12, "2", Z402 &lt;= 15, "3", Z402 &gt; 15, "4")</f>
        <v/>
      </c>
      <c r="AC402" s="125">
        <f t="array" ref="AC402">_xlfn.IFS(AA402 &lt;= 200, "1", L402 &lt;= 300, "2", L402 &lt;= 400, "3", L402 &gt; 400, "4")</f>
        <v/>
      </c>
      <c r="AE402" s="129">
        <f>SQRT((((VLOOKUP($AT$4,$A$4:$D$1021,4,FALSE))-D402)^2)+(((VLOOKUP($AT$4,$A$4:$E$1021,5,FALSE))-E402)^2)+(((VLOOKUP($AT$4,$A$4:$N$1021,14,FALSE))-N402)^2)+(((VLOOKUP($AT$4,$A$4:$O$1021,15,FALSE))-O402)^2))</f>
        <v/>
      </c>
      <c r="AG402" s="129" t="n"/>
      <c r="AH402" s="129">
        <f>SQRT((((VLOOKUP($AT$4,$A$4:$D$1021,4,FALSE))-D402)^2)+(((VLOOKUP($AT$4,$A$4:$E$1021,5,FALSE))-E402)^2)+(((VLOOKUP($AT$4,$A$4:$R$1021,18,FALSE))-R402)^2)+(((VLOOKUP($AT$4,$A$4:$S$1021,19,FALSE))-S402)^2))</f>
        <v/>
      </c>
      <c r="AJ402" s="125" t="inlineStr">
        <is>
          <t>HM550X116.2</t>
        </is>
      </c>
      <c r="AK402" s="125" t="n"/>
      <c r="AL402" s="125">
        <f>SQRT(((VLOOKUP($AT$4,$A$4:$J$1021,10,FALSE))-J402)^2)</f>
        <v/>
      </c>
      <c r="AM402" s="125" t="n"/>
      <c r="AN402" s="125" t="n"/>
      <c r="AO402" s="125">
        <f>SQRT(((VLOOKUP($AT$4,$A$4:$R$1021,18,FALSE))-R402)^2)</f>
        <v/>
      </c>
      <c r="AP402" s="125" t="n"/>
      <c r="AQ402" s="125" t="inlineStr">
        <is>
          <t>HM544</t>
        </is>
      </c>
      <c r="BB402" s="125">
        <f>SQRT(($J$1022-J402)^2)</f>
        <v/>
      </c>
      <c r="BC402" s="125">
        <f>SQRT(($R$1022-R402)^2)</f>
        <v/>
      </c>
      <c r="BD402" s="125" t="inlineStr">
        <is>
          <t>HM544</t>
        </is>
      </c>
      <c r="BI402">
        <f>SQRT(($J$1023-J402)^2)</f>
        <v/>
      </c>
      <c r="BJ402">
        <f>SQRT(($R$1023-R402)^2)</f>
        <v/>
      </c>
      <c r="BK402" s="125" t="inlineStr">
        <is>
          <t>HM544</t>
        </is>
      </c>
      <c r="BP402">
        <f>SQRT(($J$1024-J402)^2)</f>
        <v/>
      </c>
      <c r="BQ402">
        <f>SQRT(($R$1024-R402)^2)</f>
        <v/>
      </c>
      <c r="BR402" s="125" t="inlineStr">
        <is>
          <t>HM544</t>
        </is>
      </c>
      <c r="BW402">
        <f>SQRT(($J$1025-J402)^2)</f>
        <v/>
      </c>
      <c r="BX402">
        <f>SQRT(($R$1025-R402)^2)</f>
        <v/>
      </c>
      <c r="BY402" s="125" t="inlineStr">
        <is>
          <t>HM544</t>
        </is>
      </c>
      <c r="CD402">
        <f>SQRT(($J$1026-J402)^2)</f>
        <v/>
      </c>
      <c r="CE402">
        <f>SQRT(($R$1026-R402)^2)</f>
        <v/>
      </c>
      <c r="CF402" s="125" t="inlineStr">
        <is>
          <t>HM544</t>
        </is>
      </c>
    </row>
    <row r="403">
      <c r="A403" s="125" t="inlineStr">
        <is>
          <t>HM550</t>
        </is>
      </c>
      <c r="B403" s="129" t="inlineStr">
        <is>
          <t>GB</t>
        </is>
      </c>
      <c r="C403" s="125" t="inlineStr">
        <is>
          <t>130.3</t>
        </is>
      </c>
      <c r="D403" s="125" t="n">
        <v>550</v>
      </c>
      <c r="E403" s="125" t="n">
        <v>300</v>
      </c>
      <c r="F403" s="125" t="n">
        <v>18</v>
      </c>
      <c r="G403" s="125" t="n">
        <v>11</v>
      </c>
      <c r="H403" s="125" t="n">
        <v>13</v>
      </c>
      <c r="I403" s="125">
        <f>D403-(2*(H403+F403))</f>
        <v/>
      </c>
      <c r="J403" s="125" t="n">
        <v>165.99</v>
      </c>
      <c r="K403" s="125">
        <f>((E403-G403)/2)/F403</f>
        <v/>
      </c>
      <c r="L403" s="125">
        <f>I403/G403</f>
        <v/>
      </c>
      <c r="M403" s="125">
        <f>(E403*2+F403*4+((E403-G403)/2-H403)*4+2*PI()*H403+(D403-2*F403-2*H403)*2)/1000</f>
        <v/>
      </c>
      <c r="N403" s="5" t="n">
        <v>88470</v>
      </c>
      <c r="O403" s="5" t="n">
        <v>8106</v>
      </c>
      <c r="P403" s="125" t="n">
        <v>23.09</v>
      </c>
      <c r="Q403" s="125" t="n">
        <v>6.99</v>
      </c>
      <c r="R403" s="5" t="n">
        <v>3217</v>
      </c>
      <c r="S403" s="125" t="n">
        <v>540.4</v>
      </c>
      <c r="T403" s="125">
        <f>(((E403*D403*D403)/4)-(((E403-G403)*(D403-F403-F403)*(D403-F403-F403))/4)+(4*(H403*H403*(D403/2-F403-(H403/2))-((PI()*H403*H403)/4*((D403/2)-F403-(H403-((4*H403)/(3*PI()))))))))/1000</f>
        <v/>
      </c>
      <c r="U403" s="125">
        <f>(((D403*E403*E403)/4)-(2*((D403-F403-F403)*(E403/2-(G403/2))*(((E403/2-(G403/2))/2)+(G403/2))))+(4*(((H403*H403)-(((PI()*H403*H403)/4)))*((H403-((4*H403)/(3*PI())))+(G403/2)))))/1000</f>
        <v/>
      </c>
      <c r="X403" s="129">
        <f t="array" ref="X403">_xlfn.IFS((D403/F403) &lt;= (640/SQRT($AT$32)), "Compact", L403 &lt;= ($AT$32*(0.79-(0.002*((E403-G403/2)/(2*F403))*SQRT($AT$32)))), "Non-Compact", L403 &gt; ($AT$32*(0.79-(0.002*((E403-G403/2)/(2*F403))*SQRT($AT$32)))), "Slender")</f>
        <v/>
      </c>
      <c r="Y403" s="129">
        <f t="array" ref="Y403">_xlfn.IFS(K403 &lt;= (65/SQRT($AT$32)), "Compact", K403 &lt;= (95/SQRT($AT$32)), "Non-Compact", K403 &gt; (95/SQRT($AT$32)), "Slender")</f>
        <v/>
      </c>
      <c r="Z403" s="125">
        <f>E403/F403</f>
        <v/>
      </c>
      <c r="AA403" s="125">
        <f>D403/G403</f>
        <v/>
      </c>
      <c r="AB403" s="125">
        <f t="array" ref="AB403">_xlfn.IFS(Z403 &lt;= 9, "1", Z403 &lt;= 12, "2", Z403 &lt;= 15, "3", Z403 &gt; 15, "4")</f>
        <v/>
      </c>
      <c r="AC403" s="125">
        <f t="array" ref="AC403">_xlfn.IFS(AA403 &lt;= 200, "1", L403 &lt;= 300, "2", L403 &lt;= 400, "3", L403 &gt; 400, "4")</f>
        <v/>
      </c>
      <c r="AE403" s="129">
        <f>SQRT((((VLOOKUP($AT$4,$A$4:$D$1021,4,FALSE))-D403)^2)+(((VLOOKUP($AT$4,$A$4:$E$1021,5,FALSE))-E403)^2)+(((VLOOKUP($AT$4,$A$4:$N$1021,14,FALSE))-N403)^2)+(((VLOOKUP($AT$4,$A$4:$O$1021,15,FALSE))-O403)^2))</f>
        <v/>
      </c>
      <c r="AG403" s="129" t="n"/>
      <c r="AH403" s="129">
        <f>SQRT((((VLOOKUP($AT$4,$A$4:$D$1021,4,FALSE))-D403)^2)+(((VLOOKUP($AT$4,$A$4:$E$1021,5,FALSE))-E403)^2)+(((VLOOKUP($AT$4,$A$4:$R$1021,18,FALSE))-R403)^2)+(((VLOOKUP($AT$4,$A$4:$S$1021,19,FALSE))-S403)^2))</f>
        <v/>
      </c>
      <c r="AJ403" s="125" t="inlineStr">
        <is>
          <t>HM550X130.3</t>
        </is>
      </c>
      <c r="AK403" s="125" t="n"/>
      <c r="AL403" s="125">
        <f>SQRT(((VLOOKUP($AT$4,$A$4:$J$1021,10,FALSE))-J403)^2)</f>
        <v/>
      </c>
      <c r="AM403" s="125" t="n"/>
      <c r="AN403" s="125" t="n"/>
      <c r="AO403" s="125">
        <f>SQRT(((VLOOKUP($AT$4,$A$4:$R$1021,18,FALSE))-R403)^2)</f>
        <v/>
      </c>
      <c r="AP403" s="125" t="n"/>
      <c r="AQ403" s="125" t="inlineStr">
        <is>
          <t>HM550</t>
        </is>
      </c>
      <c r="BB403" s="125">
        <f>SQRT(($J$1022-J403)^2)</f>
        <v/>
      </c>
      <c r="BC403" s="125">
        <f>SQRT(($R$1022-R403)^2)</f>
        <v/>
      </c>
      <c r="BD403" s="125" t="inlineStr">
        <is>
          <t>HM550</t>
        </is>
      </c>
      <c r="BI403">
        <f>SQRT(($J$1023-J403)^2)</f>
        <v/>
      </c>
      <c r="BJ403">
        <f>SQRT(($R$1023-R403)^2)</f>
        <v/>
      </c>
      <c r="BK403" s="125" t="inlineStr">
        <is>
          <t>HM550</t>
        </is>
      </c>
      <c r="BP403">
        <f>SQRT(($J$1024-J403)^2)</f>
        <v/>
      </c>
      <c r="BQ403">
        <f>SQRT(($R$1024-R403)^2)</f>
        <v/>
      </c>
      <c r="BR403" s="125" t="inlineStr">
        <is>
          <t>HM550</t>
        </is>
      </c>
      <c r="BW403">
        <f>SQRT(($J$1025-J403)^2)</f>
        <v/>
      </c>
      <c r="BX403">
        <f>SQRT(($R$1025-R403)^2)</f>
        <v/>
      </c>
      <c r="BY403" s="125" t="inlineStr">
        <is>
          <t>HM550</t>
        </is>
      </c>
      <c r="CD403">
        <f>SQRT(($J$1026-J403)^2)</f>
        <v/>
      </c>
      <c r="CE403">
        <f>SQRT(($R$1026-R403)^2)</f>
        <v/>
      </c>
      <c r="CF403" s="125" t="inlineStr">
        <is>
          <t>HM550</t>
        </is>
      </c>
    </row>
    <row r="404">
      <c r="A404" s="125" t="inlineStr">
        <is>
          <t>HM582</t>
        </is>
      </c>
      <c r="B404" s="129" t="inlineStr">
        <is>
          <t>GB</t>
        </is>
      </c>
      <c r="C404" s="125" t="inlineStr">
        <is>
          <t>132.8</t>
        </is>
      </c>
      <c r="D404" s="125" t="n">
        <v>582</v>
      </c>
      <c r="E404" s="125" t="n">
        <v>300</v>
      </c>
      <c r="F404" s="125" t="n">
        <v>17</v>
      </c>
      <c r="G404" s="125" t="n">
        <v>12</v>
      </c>
      <c r="H404" s="125" t="n">
        <v>13</v>
      </c>
      <c r="I404" s="125">
        <f>D404-(2*(H404+F404))</f>
        <v/>
      </c>
      <c r="J404" s="125" t="n">
        <v>169.21</v>
      </c>
      <c r="K404" s="125">
        <f>((E404-G404)/2)/F404</f>
        <v/>
      </c>
      <c r="L404" s="125">
        <f>I404/G404</f>
        <v/>
      </c>
      <c r="M404" s="125">
        <f>(E404*2+F404*4+((E404-G404)/2-H404)*4+2*PI()*H404+(D404-2*F404-2*H404)*2)/1000</f>
        <v/>
      </c>
      <c r="N404" s="5" t="n">
        <v>97287</v>
      </c>
      <c r="O404" s="5" t="n">
        <v>7659</v>
      </c>
      <c r="P404" s="125" t="n">
        <v>23.98</v>
      </c>
      <c r="Q404" s="125" t="n">
        <v>6.73</v>
      </c>
      <c r="R404" s="5" t="n">
        <v>3343</v>
      </c>
      <c r="S404" s="125" t="n">
        <v>510.6</v>
      </c>
      <c r="T404" s="125">
        <f>(((E404*D404*D404)/4)-(((E404-G404)*(D404-F404-F404)*(D404-F404-F404))/4)+(4*(H404*H404*(D404/2-F404-(H404/2))-((PI()*H404*H404)/4*((D404/2)-F404-(H404-((4*H404)/(3*PI()))))))))/1000</f>
        <v/>
      </c>
      <c r="U404" s="125">
        <f>(((D404*E404*E404)/4)-(2*((D404-F404-F404)*(E404/2-(G404/2))*(((E404/2-(G404/2))/2)+(G404/2))))+(4*(((H404*H404)-(((PI()*H404*H404)/4)))*((H404-((4*H404)/(3*PI())))+(G404/2)))))/1000</f>
        <v/>
      </c>
      <c r="X404" s="129">
        <f t="array" ref="X404">_xlfn.IFS((D404/F404) &lt;= (640/SQRT($AT$32)), "Compact", L404 &lt;= ($AT$32*(0.79-(0.002*((E404-G404/2)/(2*F404))*SQRT($AT$32)))), "Non-Compact", L404 &gt; ($AT$32*(0.79-(0.002*((E404-G404/2)/(2*F404))*SQRT($AT$32)))), "Slender")</f>
        <v/>
      </c>
      <c r="Y404" s="129">
        <f t="array" ref="Y404">_xlfn.IFS(K404 &lt;= (65/SQRT($AT$32)), "Compact", K404 &lt;= (95/SQRT($AT$32)), "Non-Compact", K404 &gt; (95/SQRT($AT$32)), "Slender")</f>
        <v/>
      </c>
      <c r="Z404" s="125">
        <f>E404/F404</f>
        <v/>
      </c>
      <c r="AA404" s="125">
        <f>D404/G404</f>
        <v/>
      </c>
      <c r="AB404" s="125">
        <f t="array" ref="AB404">_xlfn.IFS(Z404 &lt;= 9, "1", Z404 &lt;= 12, "2", Z404 &lt;= 15, "3", Z404 &gt; 15, "4")</f>
        <v/>
      </c>
      <c r="AC404" s="125">
        <f t="array" ref="AC404">_xlfn.IFS(AA404 &lt;= 200, "1", L404 &lt;= 300, "2", L404 &lt;= 400, "3", L404 &gt; 400, "4")</f>
        <v/>
      </c>
      <c r="AE404" s="129">
        <f>SQRT((((VLOOKUP($AT$4,$A$4:$D$1021,4,FALSE))-D404)^2)+(((VLOOKUP($AT$4,$A$4:$E$1021,5,FALSE))-E404)^2)+(((VLOOKUP($AT$4,$A$4:$N$1021,14,FALSE))-N404)^2)+(((VLOOKUP($AT$4,$A$4:$O$1021,15,FALSE))-O404)^2))</f>
        <v/>
      </c>
      <c r="AG404" s="129" t="n"/>
      <c r="AH404" s="129">
        <f>SQRT((((VLOOKUP($AT$4,$A$4:$D$1021,4,FALSE))-D404)^2)+(((VLOOKUP($AT$4,$A$4:$E$1021,5,FALSE))-E404)^2)+(((VLOOKUP($AT$4,$A$4:$R$1021,18,FALSE))-R404)^2)+(((VLOOKUP($AT$4,$A$4:$S$1021,19,FALSE))-S404)^2))</f>
        <v/>
      </c>
      <c r="AJ404" s="125" t="inlineStr">
        <is>
          <t>HM600X132.8</t>
        </is>
      </c>
      <c r="AK404" s="125" t="n"/>
      <c r="AL404" s="125">
        <f>SQRT(((VLOOKUP($AT$4,$A$4:$J$1021,10,FALSE))-J404)^2)</f>
        <v/>
      </c>
      <c r="AM404" s="125" t="n"/>
      <c r="AN404" s="125" t="n"/>
      <c r="AO404" s="125">
        <f>SQRT(((VLOOKUP($AT$4,$A$4:$R$1021,18,FALSE))-R404)^2)</f>
        <v/>
      </c>
      <c r="AP404" s="125" t="n"/>
      <c r="AQ404" s="125" t="inlineStr">
        <is>
          <t>HM582</t>
        </is>
      </c>
      <c r="BB404" s="125">
        <f>SQRT(($J$1022-J404)^2)</f>
        <v/>
      </c>
      <c r="BC404" s="125">
        <f>SQRT(($R$1022-R404)^2)</f>
        <v/>
      </c>
      <c r="BD404" s="125" t="inlineStr">
        <is>
          <t>HM582</t>
        </is>
      </c>
      <c r="BI404">
        <f>SQRT(($J$1023-J404)^2)</f>
        <v/>
      </c>
      <c r="BJ404">
        <f>SQRT(($R$1023-R404)^2)</f>
        <v/>
      </c>
      <c r="BK404" s="125" t="inlineStr">
        <is>
          <t>HM582</t>
        </is>
      </c>
      <c r="BP404">
        <f>SQRT(($J$1024-J404)^2)</f>
        <v/>
      </c>
      <c r="BQ404">
        <f>SQRT(($R$1024-R404)^2)</f>
        <v/>
      </c>
      <c r="BR404" s="125" t="inlineStr">
        <is>
          <t>HM582</t>
        </is>
      </c>
      <c r="BW404">
        <f>SQRT(($J$1025-J404)^2)</f>
        <v/>
      </c>
      <c r="BX404">
        <f>SQRT(($R$1025-R404)^2)</f>
        <v/>
      </c>
      <c r="BY404" s="125" t="inlineStr">
        <is>
          <t>HM582</t>
        </is>
      </c>
      <c r="CD404">
        <f>SQRT(($J$1026-J404)^2)</f>
        <v/>
      </c>
      <c r="CE404">
        <f>SQRT(($R$1026-R404)^2)</f>
        <v/>
      </c>
      <c r="CF404" s="125" t="inlineStr">
        <is>
          <t>HM582</t>
        </is>
      </c>
    </row>
    <row r="405">
      <c r="A405" s="125" t="inlineStr">
        <is>
          <t>HM588</t>
        </is>
      </c>
      <c r="B405" s="129" t="inlineStr">
        <is>
          <t>GB</t>
        </is>
      </c>
      <c r="C405" s="125" t="inlineStr">
        <is>
          <t>147</t>
        </is>
      </c>
      <c r="D405" s="125" t="n">
        <v>588</v>
      </c>
      <c r="E405" s="125" t="n">
        <v>300</v>
      </c>
      <c r="F405" s="125" t="n">
        <v>20</v>
      </c>
      <c r="G405" s="125" t="n">
        <v>12</v>
      </c>
      <c r="H405" s="125" t="n">
        <v>13</v>
      </c>
      <c r="I405" s="125">
        <f>D405-(2*(H405+F405))</f>
        <v/>
      </c>
      <c r="J405" s="125" t="n">
        <v>187.21</v>
      </c>
      <c r="K405" s="125">
        <f>((E405-G405)/2)/F405</f>
        <v/>
      </c>
      <c r="L405" s="125">
        <f>I405/G405</f>
        <v/>
      </c>
      <c r="M405" s="125">
        <f>(E405*2+F405*4+((E405-G405)/2-H405)*4+2*PI()*H405+(D405-2*F405-2*H405)*2)/1000</f>
        <v/>
      </c>
      <c r="N405" s="5" t="n">
        <v>112827</v>
      </c>
      <c r="O405" s="5" t="n">
        <v>9009</v>
      </c>
      <c r="P405" s="125" t="n">
        <v>24.55</v>
      </c>
      <c r="Q405" s="125" t="n">
        <v>6.94</v>
      </c>
      <c r="R405" s="5" t="n">
        <v>3838</v>
      </c>
      <c r="S405" s="125" t="n">
        <v>600.6</v>
      </c>
      <c r="T405" s="125">
        <f>(((E405*D405*D405)/4)-(((E405-G405)*(D405-F405-F405)*(D405-F405-F405))/4)+(4*(H405*H405*(D405/2-F405-(H405/2))-((PI()*H405*H405)/4*((D405/2)-F405-(H405-((4*H405)/(3*PI()))))))))/1000</f>
        <v/>
      </c>
      <c r="U405" s="125">
        <f>(((D405*E405*E405)/4)-(2*((D405-F405-F405)*(E405/2-(G405/2))*(((E405/2-(G405/2))/2)+(G405/2))))+(4*(((H405*H405)-(((PI()*H405*H405)/4)))*((H405-((4*H405)/(3*PI())))+(G405/2)))))/1000</f>
        <v/>
      </c>
      <c r="X405" s="129">
        <f t="array" ref="X405">_xlfn.IFS((D405/F405) &lt;= (640/SQRT($AT$32)), "Compact", L405 &lt;= ($AT$32*(0.79-(0.002*((E405-G405/2)/(2*F405))*SQRT($AT$32)))), "Non-Compact", L405 &gt; ($AT$32*(0.79-(0.002*((E405-G405/2)/(2*F405))*SQRT($AT$32)))), "Slender")</f>
        <v/>
      </c>
      <c r="Y405" s="129">
        <f t="array" ref="Y405">_xlfn.IFS(K405 &lt;= (65/SQRT($AT$32)), "Compact", K405 &lt;= (95/SQRT($AT$32)), "Non-Compact", K405 &gt; (95/SQRT($AT$32)), "Slender")</f>
        <v/>
      </c>
      <c r="Z405" s="125">
        <f>E405/F405</f>
        <v/>
      </c>
      <c r="AA405" s="125">
        <f>D405/G405</f>
        <v/>
      </c>
      <c r="AB405" s="125">
        <f t="array" ref="AB405">_xlfn.IFS(Z405 &lt;= 9, "1", Z405 &lt;= 12, "2", Z405 &lt;= 15, "3", Z405 &gt; 15, "4")</f>
        <v/>
      </c>
      <c r="AC405" s="125">
        <f t="array" ref="AC405">_xlfn.IFS(AA405 &lt;= 200, "1", L405 &lt;= 300, "2", L405 &lt;= 400, "3", L405 &gt; 400, "4")</f>
        <v/>
      </c>
      <c r="AE405" s="129">
        <f>SQRT((((VLOOKUP($AT$4,$A$4:$D$1021,4,FALSE))-D405)^2)+(((VLOOKUP($AT$4,$A$4:$E$1021,5,FALSE))-E405)^2)+(((VLOOKUP($AT$4,$A$4:$N$1021,14,FALSE))-N405)^2)+(((VLOOKUP($AT$4,$A$4:$O$1021,15,FALSE))-O405)^2))</f>
        <v/>
      </c>
      <c r="AG405" s="129" t="n"/>
      <c r="AH405" s="129">
        <f>SQRT((((VLOOKUP($AT$4,$A$4:$D$1021,4,FALSE))-D405)^2)+(((VLOOKUP($AT$4,$A$4:$E$1021,5,FALSE))-E405)^2)+(((VLOOKUP($AT$4,$A$4:$R$1021,18,FALSE))-R405)^2)+(((VLOOKUP($AT$4,$A$4:$S$1021,19,FALSE))-S405)^2))</f>
        <v/>
      </c>
      <c r="AJ405" s="125" t="inlineStr">
        <is>
          <t>HM600X147</t>
        </is>
      </c>
      <c r="AK405" s="125" t="n"/>
      <c r="AL405" s="125">
        <f>SQRT(((VLOOKUP($AT$4,$A$4:$J$1021,10,FALSE))-J405)^2)</f>
        <v/>
      </c>
      <c r="AM405" s="125" t="n"/>
      <c r="AN405" s="125" t="n"/>
      <c r="AO405" s="125">
        <f>SQRT(((VLOOKUP($AT$4,$A$4:$R$1021,18,FALSE))-R405)^2)</f>
        <v/>
      </c>
      <c r="AP405" s="125" t="n"/>
      <c r="AQ405" s="125" t="inlineStr">
        <is>
          <t>HM588</t>
        </is>
      </c>
      <c r="BB405" s="125">
        <f>SQRT(($J$1022-J405)^2)</f>
        <v/>
      </c>
      <c r="BC405" s="125">
        <f>SQRT(($R$1022-R405)^2)</f>
        <v/>
      </c>
      <c r="BD405" s="125" t="inlineStr">
        <is>
          <t>HM588</t>
        </is>
      </c>
      <c r="BI405">
        <f>SQRT(($J$1023-J405)^2)</f>
        <v/>
      </c>
      <c r="BJ405">
        <f>SQRT(($R$1023-R405)^2)</f>
        <v/>
      </c>
      <c r="BK405" s="125" t="inlineStr">
        <is>
          <t>HM588</t>
        </is>
      </c>
      <c r="BP405">
        <f>SQRT(($J$1024-J405)^2)</f>
        <v/>
      </c>
      <c r="BQ405">
        <f>SQRT(($R$1024-R405)^2)</f>
        <v/>
      </c>
      <c r="BR405" s="125" t="inlineStr">
        <is>
          <t>HM588</t>
        </is>
      </c>
      <c r="BW405">
        <f>SQRT(($J$1025-J405)^2)</f>
        <v/>
      </c>
      <c r="BX405">
        <f>SQRT(($R$1025-R405)^2)</f>
        <v/>
      </c>
      <c r="BY405" s="125" t="inlineStr">
        <is>
          <t>HM588</t>
        </is>
      </c>
      <c r="CD405">
        <f>SQRT(($J$1026-J405)^2)</f>
        <v/>
      </c>
      <c r="CE405">
        <f>SQRT(($R$1026-R405)^2)</f>
        <v/>
      </c>
      <c r="CF405" s="125" t="inlineStr">
        <is>
          <t>HM588</t>
        </is>
      </c>
    </row>
    <row r="406">
      <c r="A406" s="125" t="inlineStr">
        <is>
          <t>HM594</t>
        </is>
      </c>
      <c r="B406" s="129" t="inlineStr">
        <is>
          <t>GB</t>
        </is>
      </c>
      <c r="C406" s="125" t="inlineStr">
        <is>
          <t>170.4</t>
        </is>
      </c>
      <c r="D406" s="125" t="n">
        <v>594</v>
      </c>
      <c r="E406" s="125" t="n">
        <v>302</v>
      </c>
      <c r="F406" s="125" t="n">
        <v>23</v>
      </c>
      <c r="G406" s="125" t="n">
        <v>14</v>
      </c>
      <c r="H406" s="125" t="n">
        <v>13</v>
      </c>
      <c r="I406" s="125">
        <f>D406-(2*(H406+F406))</f>
        <v/>
      </c>
      <c r="J406" s="125" t="n">
        <v>217.09</v>
      </c>
      <c r="K406" s="125">
        <f>((E406-G406)/2)/F406</f>
        <v/>
      </c>
      <c r="L406" s="125">
        <f>I406/G406</f>
        <v/>
      </c>
      <c r="M406" s="125">
        <f>(E406*2+F406*4+((E406-G406)/2-H406)*4+2*PI()*H406+(D406-2*F406-2*H406)*2)/1000</f>
        <v/>
      </c>
      <c r="N406" s="5" t="n">
        <v>132179</v>
      </c>
      <c r="O406" s="5" t="n">
        <v>10572</v>
      </c>
      <c r="P406" s="125" t="n">
        <v>24.68</v>
      </c>
      <c r="Q406" s="125" t="n">
        <v>6.98</v>
      </c>
      <c r="R406" s="5" t="n">
        <v>4450</v>
      </c>
      <c r="S406" s="125" t="n">
        <v>700.1</v>
      </c>
      <c r="T406" s="125">
        <f>(((E406*D406*D406)/4)-(((E406-G406)*(D406-F406-F406)*(D406-F406-F406))/4)+(4*(H406*H406*(D406/2-F406-(H406/2))-((PI()*H406*H406)/4*((D406/2)-F406-(H406-((4*H406)/(3*PI()))))))))/1000</f>
        <v/>
      </c>
      <c r="U406" s="125">
        <f>(((D406*E406*E406)/4)-(2*((D406-F406-F406)*(E406/2-(G406/2))*(((E406/2-(G406/2))/2)+(G406/2))))+(4*(((H406*H406)-(((PI()*H406*H406)/4)))*((H406-((4*H406)/(3*PI())))+(G406/2)))))/1000</f>
        <v/>
      </c>
      <c r="X406" s="129">
        <f t="array" ref="X406">_xlfn.IFS((D406/F406) &lt;= (640/SQRT($AT$32)), "Compact", L406 &lt;= ($AT$32*(0.79-(0.002*((E406-G406/2)/(2*F406))*SQRT($AT$32)))), "Non-Compact", L406 &gt; ($AT$32*(0.79-(0.002*((E406-G406/2)/(2*F406))*SQRT($AT$32)))), "Slender")</f>
        <v/>
      </c>
      <c r="Y406" s="129">
        <f t="array" ref="Y406">_xlfn.IFS(K406 &lt;= (65/SQRT($AT$32)), "Compact", K406 &lt;= (95/SQRT($AT$32)), "Non-Compact", K406 &gt; (95/SQRT($AT$32)), "Slender")</f>
        <v/>
      </c>
      <c r="Z406" s="125">
        <f>E406/F406</f>
        <v/>
      </c>
      <c r="AA406" s="125">
        <f>D406/G406</f>
        <v/>
      </c>
      <c r="AB406" s="125">
        <f t="array" ref="AB406">_xlfn.IFS(Z406 &lt;= 9, "1", Z406 &lt;= 12, "2", Z406 &lt;= 15, "3", Z406 &gt; 15, "4")</f>
        <v/>
      </c>
      <c r="AC406" s="125">
        <f t="array" ref="AC406">_xlfn.IFS(AA406 &lt;= 200, "1", L406 &lt;= 300, "2", L406 &lt;= 400, "3", L406 &gt; 400, "4")</f>
        <v/>
      </c>
      <c r="AE406" s="129">
        <f>SQRT((((VLOOKUP($AT$4,$A$4:$D$1021,4,FALSE))-D406)^2)+(((VLOOKUP($AT$4,$A$4:$E$1021,5,FALSE))-E406)^2)+(((VLOOKUP($AT$4,$A$4:$N$1021,14,FALSE))-N406)^2)+(((VLOOKUP($AT$4,$A$4:$O$1021,15,FALSE))-O406)^2))</f>
        <v/>
      </c>
      <c r="AG406" s="129" t="n"/>
      <c r="AH406" s="129">
        <f>SQRT((((VLOOKUP($AT$4,$A$4:$D$1021,4,FALSE))-D406)^2)+(((VLOOKUP($AT$4,$A$4:$E$1021,5,FALSE))-E406)^2)+(((VLOOKUP($AT$4,$A$4:$R$1021,18,FALSE))-R406)^2)+(((VLOOKUP($AT$4,$A$4:$S$1021,19,FALSE))-S406)^2))</f>
        <v/>
      </c>
      <c r="AJ406" s="125" t="inlineStr">
        <is>
          <t>HM600X170.4</t>
        </is>
      </c>
      <c r="AK406" s="125" t="n"/>
      <c r="AL406" s="125">
        <f>SQRT(((VLOOKUP($AT$4,$A$4:$J$1021,10,FALSE))-J406)^2)</f>
        <v/>
      </c>
      <c r="AM406" s="125" t="n"/>
      <c r="AN406" s="125" t="n"/>
      <c r="AO406" s="125">
        <f>SQRT(((VLOOKUP($AT$4,$A$4:$R$1021,18,FALSE))-R406)^2)</f>
        <v/>
      </c>
      <c r="AP406" s="125" t="n"/>
      <c r="AQ406" s="125" t="inlineStr">
        <is>
          <t>HM594</t>
        </is>
      </c>
      <c r="BB406" s="125">
        <f>SQRT(($J$1022-J406)^2)</f>
        <v/>
      </c>
      <c r="BC406" s="125">
        <f>SQRT(($R$1022-R406)^2)</f>
        <v/>
      </c>
      <c r="BD406" s="125" t="inlineStr">
        <is>
          <t>HM594</t>
        </is>
      </c>
      <c r="BI406">
        <f>SQRT(($J$1023-J406)^2)</f>
        <v/>
      </c>
      <c r="BJ406">
        <f>SQRT(($R$1023-R406)^2)</f>
        <v/>
      </c>
      <c r="BK406" s="125" t="inlineStr">
        <is>
          <t>HM594</t>
        </is>
      </c>
      <c r="BP406">
        <f>SQRT(($J$1024-J406)^2)</f>
        <v/>
      </c>
      <c r="BQ406">
        <f>SQRT(($R$1024-R406)^2)</f>
        <v/>
      </c>
      <c r="BR406" s="125" t="inlineStr">
        <is>
          <t>HM594</t>
        </is>
      </c>
      <c r="BW406">
        <f>SQRT(($J$1025-J406)^2)</f>
        <v/>
      </c>
      <c r="BX406">
        <f>SQRT(($R$1025-R406)^2)</f>
        <v/>
      </c>
      <c r="BY406" s="125" t="inlineStr">
        <is>
          <t>HM594</t>
        </is>
      </c>
      <c r="CD406">
        <f>SQRT(($J$1026-J406)^2)</f>
        <v/>
      </c>
      <c r="CE406">
        <f>SQRT(($R$1026-R406)^2)</f>
        <v/>
      </c>
      <c r="CF406" s="125" t="inlineStr">
        <is>
          <t>HM594</t>
        </is>
      </c>
    </row>
    <row r="407">
      <c r="A407" s="125" t="inlineStr">
        <is>
          <t>HN100</t>
        </is>
      </c>
      <c r="B407" s="129" t="inlineStr">
        <is>
          <t>GB</t>
        </is>
      </c>
      <c r="C407" s="125" t="inlineStr">
        <is>
          <t>9.3</t>
        </is>
      </c>
      <c r="D407" s="125" t="n">
        <v>100</v>
      </c>
      <c r="E407" s="125" t="n">
        <v>50</v>
      </c>
      <c r="F407" s="125" t="n">
        <v>7</v>
      </c>
      <c r="G407" s="125" t="n">
        <v>5</v>
      </c>
      <c r="H407" s="125" t="n">
        <v>8</v>
      </c>
      <c r="I407" s="125">
        <f>D407-(2*(H407+F407))</f>
        <v/>
      </c>
      <c r="J407" s="125" t="n">
        <v>11.85</v>
      </c>
      <c r="K407" s="125">
        <f>((E407-G407)/2)/F407</f>
        <v/>
      </c>
      <c r="L407" s="125">
        <f>I407/G407</f>
        <v/>
      </c>
      <c r="M407" s="125">
        <f>(E407*2+F407*4+((E407-G407)/2-H407)*4+2*PI()*H407+(D407-2*F407-2*H407)*2)/1000</f>
        <v/>
      </c>
      <c r="N407" s="125" t="n">
        <v>191</v>
      </c>
      <c r="O407" s="125" t="n">
        <v>14.7</v>
      </c>
      <c r="P407" s="125" t="n">
        <v>4.02</v>
      </c>
      <c r="Q407" s="125" t="n">
        <v>1.11</v>
      </c>
      <c r="R407" s="125" t="n">
        <v>38.2</v>
      </c>
      <c r="S407" s="125" t="n">
        <v>5.9</v>
      </c>
      <c r="T407" s="125">
        <f>(((E407*D407*D407)/4)-(((E407-G407)*(D407-F407-F407)*(D407-F407-F407))/4)+(4*(H407*H407*(D407/2-F407-(H407/2))-((PI()*H407*H407)/4*((D407/2)-F407-(H407-((4*H407)/(3*PI()))))))))/1000</f>
        <v/>
      </c>
      <c r="U407" s="125">
        <f>(((D407*E407*E407)/4)-(2*((D407-F407-F407)*(E407/2-(G407/2))*(((E407/2-(G407/2))/2)+(G407/2))))+(4*(((H407*H407)-(((PI()*H407*H407)/4)))*((H407-((4*H407)/(3*PI())))+(G407/2)))))/1000</f>
        <v/>
      </c>
      <c r="X407" s="129">
        <f t="array" ref="X407">_xlfn.IFS((D407/F407) &lt;= (640/SQRT($AT$32)), "Compact", L407 &lt;= ($AT$32*(0.79-(0.002*((E407-G407/2)/(2*F407))*SQRT($AT$32)))), "Non-Compact", L407 &gt; ($AT$32*(0.79-(0.002*((E407-G407/2)/(2*F407))*SQRT($AT$32)))), "Slender")</f>
        <v/>
      </c>
      <c r="Y407" s="129">
        <f t="array" ref="Y407">_xlfn.IFS(K407 &lt;= (65/SQRT($AT$32)), "Compact", K407 &lt;= (95/SQRT($AT$32)), "Non-Compact", K407 &gt; (95/SQRT($AT$32)), "Slender")</f>
        <v/>
      </c>
      <c r="Z407" s="125">
        <f>E407/F407</f>
        <v/>
      </c>
      <c r="AA407" s="125">
        <f>D407/G407</f>
        <v/>
      </c>
      <c r="AB407" s="125">
        <f t="array" ref="AB407">_xlfn.IFS(Z407 &lt;= 9, "1", Z407 &lt;= 12, "2", Z407 &lt;= 15, "3", Z407 &gt; 15, "4")</f>
        <v/>
      </c>
      <c r="AC407" s="125">
        <f t="array" ref="AC407">_xlfn.IFS(AA407 &lt;= 200, "1", L407 &lt;= 300, "2", L407 &lt;= 400, "3", L407 &gt; 400, "4")</f>
        <v/>
      </c>
      <c r="AE407" s="129">
        <f>SQRT((((VLOOKUP($AT$4,$A$4:$D$1021,4,FALSE))-D407)^2)+(((VLOOKUP($AT$4,$A$4:$E$1021,5,FALSE))-E407)^2)+(((VLOOKUP($AT$4,$A$4:$N$1021,14,FALSE))-N407)^2)+(((VLOOKUP($AT$4,$A$4:$O$1021,15,FALSE))-O407)^2))</f>
        <v/>
      </c>
      <c r="AG407" s="129" t="n"/>
      <c r="AH407" s="129">
        <f>SQRT((((VLOOKUP($AT$4,$A$4:$D$1021,4,FALSE))-D407)^2)+(((VLOOKUP($AT$4,$A$4:$E$1021,5,FALSE))-E407)^2)+(((VLOOKUP($AT$4,$A$4:$R$1021,18,FALSE))-R407)^2)+(((VLOOKUP($AT$4,$A$4:$S$1021,19,FALSE))-S407)^2))</f>
        <v/>
      </c>
      <c r="AJ407" s="125" t="inlineStr">
        <is>
          <t>HN100X9.3</t>
        </is>
      </c>
      <c r="AK407" s="125" t="n"/>
      <c r="AL407" s="125">
        <f>SQRT(((VLOOKUP($AT$4,$A$4:$J$1021,10,FALSE))-J407)^2)</f>
        <v/>
      </c>
      <c r="AM407" s="125" t="n"/>
      <c r="AN407" s="125" t="n"/>
      <c r="AO407" s="125">
        <f>SQRT(((VLOOKUP($AT$4,$A$4:$R$1021,18,FALSE))-R407)^2)</f>
        <v/>
      </c>
      <c r="AP407" s="125" t="n"/>
      <c r="AQ407" s="125" t="inlineStr">
        <is>
          <t>HN100</t>
        </is>
      </c>
      <c r="BB407" s="125">
        <f>SQRT(($J$1022-J407)^2)</f>
        <v/>
      </c>
      <c r="BC407" s="125">
        <f>SQRT(($R$1022-R407)^2)</f>
        <v/>
      </c>
      <c r="BD407" s="125" t="inlineStr">
        <is>
          <t>HN100</t>
        </is>
      </c>
      <c r="BI407">
        <f>SQRT(($J$1023-J407)^2)</f>
        <v/>
      </c>
      <c r="BJ407">
        <f>SQRT(($R$1023-R407)^2)</f>
        <v/>
      </c>
      <c r="BK407" s="125" t="inlineStr">
        <is>
          <t>HN100</t>
        </is>
      </c>
      <c r="BP407">
        <f>SQRT(($J$1024-J407)^2)</f>
        <v/>
      </c>
      <c r="BQ407">
        <f>SQRT(($R$1024-R407)^2)</f>
        <v/>
      </c>
      <c r="BR407" s="125" t="inlineStr">
        <is>
          <t>HN100</t>
        </is>
      </c>
      <c r="BW407">
        <f>SQRT(($J$1025-J407)^2)</f>
        <v/>
      </c>
      <c r="BX407">
        <f>SQRT(($R$1025-R407)^2)</f>
        <v/>
      </c>
      <c r="BY407" s="125" t="inlineStr">
        <is>
          <t>HN100</t>
        </is>
      </c>
      <c r="CD407">
        <f>SQRT(($J$1026-J407)^2)</f>
        <v/>
      </c>
      <c r="CE407">
        <f>SQRT(($R$1026-R407)^2)</f>
        <v/>
      </c>
      <c r="CF407" s="125" t="inlineStr">
        <is>
          <t>HN100</t>
        </is>
      </c>
    </row>
    <row r="408">
      <c r="A408" s="125" t="inlineStr">
        <is>
          <t>HN125</t>
        </is>
      </c>
      <c r="B408" s="129" t="inlineStr">
        <is>
          <t>GB</t>
        </is>
      </c>
      <c r="C408" s="125" t="inlineStr">
        <is>
          <t>13.1</t>
        </is>
      </c>
      <c r="D408" s="125" t="n">
        <v>125</v>
      </c>
      <c r="E408" s="125" t="n">
        <v>60</v>
      </c>
      <c r="F408" s="125" t="n">
        <v>8</v>
      </c>
      <c r="G408" s="125" t="n">
        <v>6</v>
      </c>
      <c r="H408" s="125" t="n">
        <v>8</v>
      </c>
      <c r="I408" s="125">
        <f>D408-(2*(H408+F408))</f>
        <v/>
      </c>
      <c r="J408" s="125" t="n">
        <v>16.69</v>
      </c>
      <c r="K408" s="125">
        <f>((E408-G408)/2)/F408</f>
        <v/>
      </c>
      <c r="L408" s="125">
        <f>I408/G408</f>
        <v/>
      </c>
      <c r="M408" s="125">
        <f>(E408*2+F408*4+((E408-G408)/2-H408)*4+2*PI()*H408+(D408-2*F408-2*H408)*2)/1000</f>
        <v/>
      </c>
      <c r="N408" s="125" t="n">
        <v>407.7</v>
      </c>
      <c r="O408" s="125" t="n">
        <v>29.1</v>
      </c>
      <c r="P408" s="125" t="n">
        <v>4.94</v>
      </c>
      <c r="Q408" s="125" t="n">
        <v>1.32</v>
      </c>
      <c r="R408" s="125" t="n">
        <v>65.2</v>
      </c>
      <c r="S408" s="125" t="n">
        <v>9.699999999999999</v>
      </c>
      <c r="T408" s="125">
        <f>(((E408*D408*D408)/4)-(((E408-G408)*(D408-F408-F408)*(D408-F408-F408))/4)+(4*(H408*H408*(D408/2-F408-(H408/2))-((PI()*H408*H408)/4*((D408/2)-F408-(H408-((4*H408)/(3*PI()))))))))/1000</f>
        <v/>
      </c>
      <c r="U408" s="125">
        <f>(((D408*E408*E408)/4)-(2*((D408-F408-F408)*(E408/2-(G408/2))*(((E408/2-(G408/2))/2)+(G408/2))))+(4*(((H408*H408)-(((PI()*H408*H408)/4)))*((H408-((4*H408)/(3*PI())))+(G408/2)))))/1000</f>
        <v/>
      </c>
      <c r="X408" s="129">
        <f t="array" ref="X408">_xlfn.IFS((D408/F408) &lt;= (640/SQRT($AT$32)), "Compact", L408 &lt;= ($AT$32*(0.79-(0.002*((E408-G408/2)/(2*F408))*SQRT($AT$32)))), "Non-Compact", L408 &gt; ($AT$32*(0.79-(0.002*((E408-G408/2)/(2*F408))*SQRT($AT$32)))), "Slender")</f>
        <v/>
      </c>
      <c r="Y408" s="129">
        <f t="array" ref="Y408">_xlfn.IFS(K408 &lt;= (65/SQRT($AT$32)), "Compact", K408 &lt;= (95/SQRT($AT$32)), "Non-Compact", K408 &gt; (95/SQRT($AT$32)), "Slender")</f>
        <v/>
      </c>
      <c r="Z408" s="125">
        <f>E408/F408</f>
        <v/>
      </c>
      <c r="AA408" s="125">
        <f>D408/G408</f>
        <v/>
      </c>
      <c r="AB408" s="125">
        <f t="array" ref="AB408">_xlfn.IFS(Z408 &lt;= 9, "1", Z408 &lt;= 12, "2", Z408 &lt;= 15, "3", Z408 &gt; 15, "4")</f>
        <v/>
      </c>
      <c r="AC408" s="125">
        <f t="array" ref="AC408">_xlfn.IFS(AA408 &lt;= 200, "1", L408 &lt;= 300, "2", L408 &lt;= 400, "3", L408 &gt; 400, "4")</f>
        <v/>
      </c>
      <c r="AE408" s="129">
        <f>SQRT((((VLOOKUP($AT$4,$A$4:$D$1021,4,FALSE))-D408)^2)+(((VLOOKUP($AT$4,$A$4:$E$1021,5,FALSE))-E408)^2)+(((VLOOKUP($AT$4,$A$4:$N$1021,14,FALSE))-N408)^2)+(((VLOOKUP($AT$4,$A$4:$O$1021,15,FALSE))-O408)^2))</f>
        <v/>
      </c>
      <c r="AG408" s="129" t="n"/>
      <c r="AH408" s="129">
        <f>SQRT((((VLOOKUP($AT$4,$A$4:$D$1021,4,FALSE))-D408)^2)+(((VLOOKUP($AT$4,$A$4:$E$1021,5,FALSE))-E408)^2)+(((VLOOKUP($AT$4,$A$4:$R$1021,18,FALSE))-R408)^2)+(((VLOOKUP($AT$4,$A$4:$S$1021,19,FALSE))-S408)^2))</f>
        <v/>
      </c>
      <c r="AJ408" s="125" t="inlineStr">
        <is>
          <t>HN125X13.1</t>
        </is>
      </c>
      <c r="AK408" s="125" t="n"/>
      <c r="AL408" s="125">
        <f>SQRT(((VLOOKUP($AT$4,$A$4:$J$1021,10,FALSE))-J408)^2)</f>
        <v/>
      </c>
      <c r="AM408" s="125" t="n"/>
      <c r="AN408" s="125" t="n"/>
      <c r="AO408" s="125">
        <f>SQRT(((VLOOKUP($AT$4,$A$4:$R$1021,18,FALSE))-R408)^2)</f>
        <v/>
      </c>
      <c r="AP408" s="125" t="n"/>
      <c r="AQ408" s="125" t="inlineStr">
        <is>
          <t>HN125</t>
        </is>
      </c>
      <c r="BB408" s="125">
        <f>SQRT(($J$1022-J408)^2)</f>
        <v/>
      </c>
      <c r="BC408" s="125">
        <f>SQRT(($R$1022-R408)^2)</f>
        <v/>
      </c>
      <c r="BD408" s="125" t="inlineStr">
        <is>
          <t>HN125</t>
        </is>
      </c>
      <c r="BI408">
        <f>SQRT(($J$1023-J408)^2)</f>
        <v/>
      </c>
      <c r="BJ408">
        <f>SQRT(($R$1023-R408)^2)</f>
        <v/>
      </c>
      <c r="BK408" s="125" t="inlineStr">
        <is>
          <t>HN125</t>
        </is>
      </c>
      <c r="BP408">
        <f>SQRT(($J$1024-J408)^2)</f>
        <v/>
      </c>
      <c r="BQ408">
        <f>SQRT(($R$1024-R408)^2)</f>
        <v/>
      </c>
      <c r="BR408" s="125" t="inlineStr">
        <is>
          <t>HN125</t>
        </is>
      </c>
      <c r="BW408">
        <f>SQRT(($J$1025-J408)^2)</f>
        <v/>
      </c>
      <c r="BX408">
        <f>SQRT(($R$1025-R408)^2)</f>
        <v/>
      </c>
      <c r="BY408" s="125" t="inlineStr">
        <is>
          <t>HN125</t>
        </is>
      </c>
      <c r="CD408">
        <f>SQRT(($J$1026-J408)^2)</f>
        <v/>
      </c>
      <c r="CE408">
        <f>SQRT(($R$1026-R408)^2)</f>
        <v/>
      </c>
      <c r="CF408" s="125" t="inlineStr">
        <is>
          <t>HN125</t>
        </is>
      </c>
    </row>
    <row r="409">
      <c r="A409" s="125" t="inlineStr">
        <is>
          <t>HN150</t>
        </is>
      </c>
      <c r="B409" s="129" t="inlineStr">
        <is>
          <t>GB</t>
        </is>
      </c>
      <c r="C409" s="125" t="inlineStr">
        <is>
          <t>14</t>
        </is>
      </c>
      <c r="D409" s="125" t="n">
        <v>150</v>
      </c>
      <c r="E409" s="125" t="n">
        <v>75</v>
      </c>
      <c r="F409" s="125" t="n">
        <v>7</v>
      </c>
      <c r="G409" s="125" t="n">
        <v>5</v>
      </c>
      <c r="H409" s="125" t="n">
        <v>8</v>
      </c>
      <c r="I409" s="125">
        <f>D409-(2*(H409+F409))</f>
        <v/>
      </c>
      <c r="J409" s="125" t="n">
        <v>17.85</v>
      </c>
      <c r="K409" s="125">
        <f>((E409-G409)/2)/F409</f>
        <v/>
      </c>
      <c r="L409" s="125">
        <f>I409/G409</f>
        <v/>
      </c>
      <c r="M409" s="125">
        <f>(E409*2+F409*4+((E409-G409)/2-H409)*4+2*PI()*H409+(D409-2*F409-2*H409)*2)/1000</f>
        <v/>
      </c>
      <c r="N409" s="125" t="n">
        <v>645.7</v>
      </c>
      <c r="O409" s="125" t="n">
        <v>49.4</v>
      </c>
      <c r="P409" s="125" t="n">
        <v>6.01</v>
      </c>
      <c r="Q409" s="125" t="n">
        <v>1.66</v>
      </c>
      <c r="R409" s="125" t="n">
        <v>86.09999999999999</v>
      </c>
      <c r="S409" s="125" t="n">
        <v>13.2</v>
      </c>
      <c r="T409" s="125">
        <f>(((E409*D409*D409)/4)-(((E409-G409)*(D409-F409-F409)*(D409-F409-F409))/4)+(4*(H409*H409*(D409/2-F409-(H409/2))-((PI()*H409*H409)/4*((D409/2)-F409-(H409-((4*H409)/(3*PI()))))))))/1000</f>
        <v/>
      </c>
      <c r="U409" s="125">
        <f>(((D409*E409*E409)/4)-(2*((D409-F409-F409)*(E409/2-(G409/2))*(((E409/2-(G409/2))/2)+(G409/2))))+(4*(((H409*H409)-(((PI()*H409*H409)/4)))*((H409-((4*H409)/(3*PI())))+(G409/2)))))/1000</f>
        <v/>
      </c>
      <c r="X409" s="129">
        <f t="array" ref="X409">_xlfn.IFS((D409/F409) &lt;= (640/SQRT($AT$32)), "Compact", L409 &lt;= ($AT$32*(0.79-(0.002*((E409-G409/2)/(2*F409))*SQRT($AT$32)))), "Non-Compact", L409 &gt; ($AT$32*(0.79-(0.002*((E409-G409/2)/(2*F409))*SQRT($AT$32)))), "Slender")</f>
        <v/>
      </c>
      <c r="Y409" s="129">
        <f t="array" ref="Y409">_xlfn.IFS(K409 &lt;= (65/SQRT($AT$32)), "Compact", K409 &lt;= (95/SQRT($AT$32)), "Non-Compact", K409 &gt; (95/SQRT($AT$32)), "Slender")</f>
        <v/>
      </c>
      <c r="Z409" s="125">
        <f>E409/F409</f>
        <v/>
      </c>
      <c r="AA409" s="125">
        <f>D409/G409</f>
        <v/>
      </c>
      <c r="AB409" s="125">
        <f t="array" ref="AB409">_xlfn.IFS(Z409 &lt;= 9, "1", Z409 &lt;= 12, "2", Z409 &lt;= 15, "3", Z409 &gt; 15, "4")</f>
        <v/>
      </c>
      <c r="AC409" s="125">
        <f t="array" ref="AC409">_xlfn.IFS(AA409 &lt;= 200, "1", L409 &lt;= 300, "2", L409 &lt;= 400, "3", L409 &gt; 400, "4")</f>
        <v/>
      </c>
      <c r="AE409" s="129">
        <f>SQRT((((VLOOKUP($AT$4,$A$4:$D$1021,4,FALSE))-D409)^2)+(((VLOOKUP($AT$4,$A$4:$E$1021,5,FALSE))-E409)^2)+(((VLOOKUP($AT$4,$A$4:$N$1021,14,FALSE))-N409)^2)+(((VLOOKUP($AT$4,$A$4:$O$1021,15,FALSE))-O409)^2))</f>
        <v/>
      </c>
      <c r="AG409" s="129" t="n"/>
      <c r="AH409" s="129">
        <f>SQRT((((VLOOKUP($AT$4,$A$4:$D$1021,4,FALSE))-D409)^2)+(((VLOOKUP($AT$4,$A$4:$E$1021,5,FALSE))-E409)^2)+(((VLOOKUP($AT$4,$A$4:$R$1021,18,FALSE))-R409)^2)+(((VLOOKUP($AT$4,$A$4:$S$1021,19,FALSE))-S409)^2))</f>
        <v/>
      </c>
      <c r="AJ409" s="125" t="inlineStr">
        <is>
          <t>HN150X14</t>
        </is>
      </c>
      <c r="AK409" s="125" t="n"/>
      <c r="AL409" s="125">
        <f>SQRT(((VLOOKUP($AT$4,$A$4:$J$1021,10,FALSE))-J409)^2)</f>
        <v/>
      </c>
      <c r="AM409" s="125" t="n"/>
      <c r="AN409" s="125" t="n"/>
      <c r="AO409" s="125">
        <f>SQRT(((VLOOKUP($AT$4,$A$4:$R$1021,18,FALSE))-R409)^2)</f>
        <v/>
      </c>
      <c r="AP409" s="125" t="n"/>
      <c r="AQ409" s="125" t="inlineStr">
        <is>
          <t>HN150</t>
        </is>
      </c>
      <c r="BB409" s="125">
        <f>SQRT(($J$1022-J409)^2)</f>
        <v/>
      </c>
      <c r="BC409" s="125">
        <f>SQRT(($R$1022-R409)^2)</f>
        <v/>
      </c>
      <c r="BD409" s="125" t="inlineStr">
        <is>
          <t>HN150</t>
        </is>
      </c>
      <c r="BI409">
        <f>SQRT(($J$1023-J409)^2)</f>
        <v/>
      </c>
      <c r="BJ409">
        <f>SQRT(($R$1023-R409)^2)</f>
        <v/>
      </c>
      <c r="BK409" s="125" t="inlineStr">
        <is>
          <t>HN150</t>
        </is>
      </c>
      <c r="BP409">
        <f>SQRT(($J$1024-J409)^2)</f>
        <v/>
      </c>
      <c r="BQ409">
        <f>SQRT(($R$1024-R409)^2)</f>
        <v/>
      </c>
      <c r="BR409" s="125" t="inlineStr">
        <is>
          <t>HN150</t>
        </is>
      </c>
      <c r="BW409">
        <f>SQRT(($J$1025-J409)^2)</f>
        <v/>
      </c>
      <c r="BX409">
        <f>SQRT(($R$1025-R409)^2)</f>
        <v/>
      </c>
      <c r="BY409" s="125" t="inlineStr">
        <is>
          <t>HN150</t>
        </is>
      </c>
      <c r="CD409">
        <f>SQRT(($J$1026-J409)^2)</f>
        <v/>
      </c>
      <c r="CE409">
        <f>SQRT(($R$1026-R409)^2)</f>
        <v/>
      </c>
      <c r="CF409" s="125" t="inlineStr">
        <is>
          <t>HN150</t>
        </is>
      </c>
    </row>
    <row r="410">
      <c r="A410" s="125" t="inlineStr">
        <is>
          <t>HN175</t>
        </is>
      </c>
      <c r="B410" s="129" t="inlineStr">
        <is>
          <t>GB</t>
        </is>
      </c>
      <c r="C410" s="125" t="inlineStr">
        <is>
          <t>18</t>
        </is>
      </c>
      <c r="D410" s="125" t="n">
        <v>175</v>
      </c>
      <c r="E410" s="125" t="n">
        <v>90</v>
      </c>
      <c r="F410" s="125" t="n">
        <v>8</v>
      </c>
      <c r="G410" s="125" t="n">
        <v>5</v>
      </c>
      <c r="H410" s="125" t="n">
        <v>8</v>
      </c>
      <c r="I410" s="125">
        <f>D410-(2*(H410+F410))</f>
        <v/>
      </c>
      <c r="J410" s="125" t="n">
        <v>22.9</v>
      </c>
      <c r="K410" s="125">
        <f>((E410-G410)/2)/F410</f>
        <v/>
      </c>
      <c r="L410" s="125">
        <f>I410/G410</f>
        <v/>
      </c>
      <c r="M410" s="125">
        <f>(E410*2+F410*4+((E410-G410)/2-H410)*4+2*PI()*H410+(D410-2*F410-2*H410)*2)/1000</f>
        <v/>
      </c>
      <c r="N410" s="5" t="n">
        <v>1174</v>
      </c>
      <c r="O410" s="125" t="n">
        <v>97.40000000000001</v>
      </c>
      <c r="P410" s="125" t="n">
        <v>7.16</v>
      </c>
      <c r="Q410" s="125" t="n">
        <v>2.06</v>
      </c>
      <c r="R410" s="125" t="n">
        <v>134.2</v>
      </c>
      <c r="S410" s="125" t="n">
        <v>21.6</v>
      </c>
      <c r="T410" s="125">
        <f>(((E410*D410*D410)/4)-(((E410-G410)*(D410-F410-F410)*(D410-F410-F410))/4)+(4*(H410*H410*(D410/2-F410-(H410/2))-((PI()*H410*H410)/4*((D410/2)-F410-(H410-((4*H410)/(3*PI()))))))))/1000</f>
        <v/>
      </c>
      <c r="U410" s="125">
        <f>(((D410*E410*E410)/4)-(2*((D410-F410-F410)*(E410/2-(G410/2))*(((E410/2-(G410/2))/2)+(G410/2))))+(4*(((H410*H410)-(((PI()*H410*H410)/4)))*((H410-((4*H410)/(3*PI())))+(G410/2)))))/1000</f>
        <v/>
      </c>
      <c r="X410" s="129">
        <f t="array" ref="X410">_xlfn.IFS((D410/F410) &lt;= (640/SQRT($AT$32)), "Compact", L410 &lt;= ($AT$32*(0.79-(0.002*((E410-G410/2)/(2*F410))*SQRT($AT$32)))), "Non-Compact", L410 &gt; ($AT$32*(0.79-(0.002*((E410-G410/2)/(2*F410))*SQRT($AT$32)))), "Slender")</f>
        <v/>
      </c>
      <c r="Y410" s="129">
        <f t="array" ref="Y410">_xlfn.IFS(K410 &lt;= (65/SQRT($AT$32)), "Compact", K410 &lt;= (95/SQRT($AT$32)), "Non-Compact", K410 &gt; (95/SQRT($AT$32)), "Slender")</f>
        <v/>
      </c>
      <c r="Z410" s="125">
        <f>E410/F410</f>
        <v/>
      </c>
      <c r="AA410" s="125">
        <f>D410/G410</f>
        <v/>
      </c>
      <c r="AB410" s="125">
        <f t="array" ref="AB410">_xlfn.IFS(Z410 &lt;= 9, "1", Z410 &lt;= 12, "2", Z410 &lt;= 15, "3", Z410 &gt; 15, "4")</f>
        <v/>
      </c>
      <c r="AC410" s="125">
        <f t="array" ref="AC410">_xlfn.IFS(AA410 &lt;= 200, "1", L410 &lt;= 300, "2", L410 &lt;= 400, "3", L410 &gt; 400, "4")</f>
        <v/>
      </c>
      <c r="AE410" s="129">
        <f>SQRT((((VLOOKUP($AT$4,$A$4:$D$1021,4,FALSE))-D410)^2)+(((VLOOKUP($AT$4,$A$4:$E$1021,5,FALSE))-E410)^2)+(((VLOOKUP($AT$4,$A$4:$N$1021,14,FALSE))-N410)^2)+(((VLOOKUP($AT$4,$A$4:$O$1021,15,FALSE))-O410)^2))</f>
        <v/>
      </c>
      <c r="AG410" s="129" t="n"/>
      <c r="AH410" s="129">
        <f>SQRT((((VLOOKUP($AT$4,$A$4:$D$1021,4,FALSE))-D410)^2)+(((VLOOKUP($AT$4,$A$4:$E$1021,5,FALSE))-E410)^2)+(((VLOOKUP($AT$4,$A$4:$R$1021,18,FALSE))-R410)^2)+(((VLOOKUP($AT$4,$A$4:$S$1021,19,FALSE))-S410)^2))</f>
        <v/>
      </c>
      <c r="AJ410" s="125" t="inlineStr">
        <is>
          <t>HN175X18</t>
        </is>
      </c>
      <c r="AK410" s="125" t="n"/>
      <c r="AL410" s="125">
        <f>SQRT(((VLOOKUP($AT$4,$A$4:$J$1021,10,FALSE))-J410)^2)</f>
        <v/>
      </c>
      <c r="AM410" s="125" t="n"/>
      <c r="AN410" s="125" t="n"/>
      <c r="AO410" s="125">
        <f>SQRT(((VLOOKUP($AT$4,$A$4:$R$1021,18,FALSE))-R410)^2)</f>
        <v/>
      </c>
      <c r="AP410" s="125" t="n"/>
      <c r="AQ410" s="125" t="inlineStr">
        <is>
          <t>HN175</t>
        </is>
      </c>
      <c r="BB410" s="125">
        <f>SQRT(($J$1022-J410)^2)</f>
        <v/>
      </c>
      <c r="BC410" s="125">
        <f>SQRT(($R$1022-R410)^2)</f>
        <v/>
      </c>
      <c r="BD410" s="125" t="inlineStr">
        <is>
          <t>HN175</t>
        </is>
      </c>
      <c r="BI410">
        <f>SQRT(($J$1023-J410)^2)</f>
        <v/>
      </c>
      <c r="BJ410">
        <f>SQRT(($R$1023-R410)^2)</f>
        <v/>
      </c>
      <c r="BK410" s="125" t="inlineStr">
        <is>
          <t>HN175</t>
        </is>
      </c>
      <c r="BP410">
        <f>SQRT(($J$1024-J410)^2)</f>
        <v/>
      </c>
      <c r="BQ410">
        <f>SQRT(($R$1024-R410)^2)</f>
        <v/>
      </c>
      <c r="BR410" s="125" t="inlineStr">
        <is>
          <t>HN175</t>
        </is>
      </c>
      <c r="BW410">
        <f>SQRT(($J$1025-J410)^2)</f>
        <v/>
      </c>
      <c r="BX410">
        <f>SQRT(($R$1025-R410)^2)</f>
        <v/>
      </c>
      <c r="BY410" s="125" t="inlineStr">
        <is>
          <t>HN175</t>
        </is>
      </c>
      <c r="CD410">
        <f>SQRT(($J$1026-J410)^2)</f>
        <v/>
      </c>
      <c r="CE410">
        <f>SQRT(($R$1026-R410)^2)</f>
        <v/>
      </c>
      <c r="CF410" s="125" t="inlineStr">
        <is>
          <t>HN175</t>
        </is>
      </c>
    </row>
    <row r="411">
      <c r="A411" s="125" t="inlineStr">
        <is>
          <t>HN198</t>
        </is>
      </c>
      <c r="B411" s="129" t="inlineStr">
        <is>
          <t>GB</t>
        </is>
      </c>
      <c r="C411" s="125" t="inlineStr">
        <is>
          <t>17.8</t>
        </is>
      </c>
      <c r="D411" s="125" t="n">
        <v>198</v>
      </c>
      <c r="E411" s="125" t="n">
        <v>99</v>
      </c>
      <c r="F411" s="125" t="n">
        <v>7</v>
      </c>
      <c r="G411" s="125" t="n">
        <v>4.5</v>
      </c>
      <c r="H411" s="125" t="n">
        <v>8</v>
      </c>
      <c r="I411" s="125">
        <f>D411-(2*(H411+F411))</f>
        <v/>
      </c>
      <c r="J411" s="125" t="n">
        <v>22.69</v>
      </c>
      <c r="K411" s="125">
        <f>((E411-G411)/2)/F411</f>
        <v/>
      </c>
      <c r="L411" s="125">
        <f>I411/G411</f>
        <v/>
      </c>
      <c r="M411" s="125">
        <f>(E411*2+F411*4+((E411-G411)/2-H411)*4+2*PI()*H411+(D411-2*F411-2*H411)*2)/1000</f>
        <v/>
      </c>
      <c r="N411" s="5" t="n">
        <v>1484</v>
      </c>
      <c r="O411" s="125" t="n">
        <v>113.4</v>
      </c>
      <c r="P411" s="125" t="n">
        <v>8.09</v>
      </c>
      <c r="Q411" s="125" t="n">
        <v>2.24</v>
      </c>
      <c r="R411" s="125" t="n">
        <v>149.9</v>
      </c>
      <c r="S411" s="125" t="n">
        <v>22.9</v>
      </c>
      <c r="T411" s="125">
        <f>(((E411*D411*D411)/4)-(((E411-G411)*(D411-F411-F411)*(D411-F411-F411))/4)+(4*(H411*H411*(D411/2-F411-(H411/2))-((PI()*H411*H411)/4*((D411/2)-F411-(H411-((4*H411)/(3*PI()))))))))/1000</f>
        <v/>
      </c>
      <c r="U411" s="125">
        <f>(((D411*E411*E411)/4)-(2*((D411-F411-F411)*(E411/2-(G411/2))*(((E411/2-(G411/2))/2)+(G411/2))))+(4*(((H411*H411)-(((PI()*H411*H411)/4)))*((H411-((4*H411)/(3*PI())))+(G411/2)))))/1000</f>
        <v/>
      </c>
      <c r="X411" s="129">
        <f t="array" ref="X411">_xlfn.IFS((D411/F411) &lt;= (640/SQRT($AT$32)), "Compact", L411 &lt;= ($AT$32*(0.79-(0.002*((E411-G411/2)/(2*F411))*SQRT($AT$32)))), "Non-Compact", L411 &gt; ($AT$32*(0.79-(0.002*((E411-G411/2)/(2*F411))*SQRT($AT$32)))), "Slender")</f>
        <v/>
      </c>
      <c r="Y411" s="129">
        <f t="array" ref="Y411">_xlfn.IFS(K411 &lt;= (65/SQRT($AT$32)), "Compact", K411 &lt;= (95/SQRT($AT$32)), "Non-Compact", K411 &gt; (95/SQRT($AT$32)), "Slender")</f>
        <v/>
      </c>
      <c r="Z411" s="125">
        <f>E411/F411</f>
        <v/>
      </c>
      <c r="AA411" s="125">
        <f>D411/G411</f>
        <v/>
      </c>
      <c r="AB411" s="125">
        <f t="array" ref="AB411">_xlfn.IFS(Z411 &lt;= 9, "1", Z411 &lt;= 12, "2", Z411 &lt;= 15, "3", Z411 &gt; 15, "4")</f>
        <v/>
      </c>
      <c r="AC411" s="125">
        <f t="array" ref="AC411">_xlfn.IFS(AA411 &lt;= 200, "1", L411 &lt;= 300, "2", L411 &lt;= 400, "3", L411 &gt; 400, "4")</f>
        <v/>
      </c>
      <c r="AE411" s="129">
        <f>SQRT((((VLOOKUP($AT$4,$A$4:$D$1021,4,FALSE))-D411)^2)+(((VLOOKUP($AT$4,$A$4:$E$1021,5,FALSE))-E411)^2)+(((VLOOKUP($AT$4,$A$4:$N$1021,14,FALSE))-N411)^2)+(((VLOOKUP($AT$4,$A$4:$O$1021,15,FALSE))-O411)^2))</f>
        <v/>
      </c>
      <c r="AG411" s="129" t="n"/>
      <c r="AH411" s="129">
        <f>SQRT((((VLOOKUP($AT$4,$A$4:$D$1021,4,FALSE))-D411)^2)+(((VLOOKUP($AT$4,$A$4:$E$1021,5,FALSE))-E411)^2)+(((VLOOKUP($AT$4,$A$4:$R$1021,18,FALSE))-R411)^2)+(((VLOOKUP($AT$4,$A$4:$S$1021,19,FALSE))-S411)^2))</f>
        <v/>
      </c>
      <c r="AJ411" s="125" t="inlineStr">
        <is>
          <t>HN200X17.8</t>
        </is>
      </c>
      <c r="AK411" s="125" t="n"/>
      <c r="AL411" s="125">
        <f>SQRT(((VLOOKUP($AT$4,$A$4:$J$1021,10,FALSE))-J411)^2)</f>
        <v/>
      </c>
      <c r="AM411" s="125" t="n"/>
      <c r="AN411" s="125" t="n"/>
      <c r="AO411" s="125">
        <f>SQRT(((VLOOKUP($AT$4,$A$4:$R$1021,18,FALSE))-R411)^2)</f>
        <v/>
      </c>
      <c r="AP411" s="125" t="n"/>
      <c r="AQ411" s="125" t="inlineStr">
        <is>
          <t>HN198</t>
        </is>
      </c>
      <c r="BB411" s="125">
        <f>SQRT(($J$1022-J411)^2)</f>
        <v/>
      </c>
      <c r="BC411" s="125">
        <f>SQRT(($R$1022-R411)^2)</f>
        <v/>
      </c>
      <c r="BD411" s="125" t="inlineStr">
        <is>
          <t>HN198</t>
        </is>
      </c>
      <c r="BI411">
        <f>SQRT(($J$1023-J411)^2)</f>
        <v/>
      </c>
      <c r="BJ411">
        <f>SQRT(($R$1023-R411)^2)</f>
        <v/>
      </c>
      <c r="BK411" s="125" t="inlineStr">
        <is>
          <t>HN198</t>
        </is>
      </c>
      <c r="BP411">
        <f>SQRT(($J$1024-J411)^2)</f>
        <v/>
      </c>
      <c r="BQ411">
        <f>SQRT(($R$1024-R411)^2)</f>
        <v/>
      </c>
      <c r="BR411" s="125" t="inlineStr">
        <is>
          <t>HN198</t>
        </is>
      </c>
      <c r="BW411">
        <f>SQRT(($J$1025-J411)^2)</f>
        <v/>
      </c>
      <c r="BX411">
        <f>SQRT(($R$1025-R411)^2)</f>
        <v/>
      </c>
      <c r="BY411" s="125" t="inlineStr">
        <is>
          <t>HN198</t>
        </is>
      </c>
      <c r="CD411">
        <f>SQRT(($J$1026-J411)^2)</f>
        <v/>
      </c>
      <c r="CE411">
        <f>SQRT(($R$1026-R411)^2)</f>
        <v/>
      </c>
      <c r="CF411" s="125" t="inlineStr">
        <is>
          <t>HN198</t>
        </is>
      </c>
    </row>
    <row r="412">
      <c r="A412" s="125" t="inlineStr">
        <is>
          <t>HN200</t>
        </is>
      </c>
      <c r="B412" s="129" t="inlineStr">
        <is>
          <t>GB</t>
        </is>
      </c>
      <c r="C412" s="125" t="inlineStr">
        <is>
          <t>20.9</t>
        </is>
      </c>
      <c r="D412" s="125" t="n">
        <v>200</v>
      </c>
      <c r="E412" s="125" t="n">
        <v>100</v>
      </c>
      <c r="F412" s="125" t="n">
        <v>8</v>
      </c>
      <c r="G412" s="125" t="n">
        <v>5.5</v>
      </c>
      <c r="H412" s="125" t="n">
        <v>8</v>
      </c>
      <c r="I412" s="125">
        <f>D412-(2*(H412+F412))</f>
        <v/>
      </c>
      <c r="J412" s="125" t="n">
        <v>26.67</v>
      </c>
      <c r="K412" s="125">
        <f>((E412-G412)/2)/F412</f>
        <v/>
      </c>
      <c r="L412" s="125">
        <f>I412/G412</f>
        <v/>
      </c>
      <c r="M412" s="125">
        <f>(E412*2+F412*4+((E412-G412)/2-H412)*4+2*PI()*H412+(D412-2*F412-2*H412)*2)/1000</f>
        <v/>
      </c>
      <c r="N412" s="5" t="n">
        <v>1753</v>
      </c>
      <c r="O412" s="125" t="n">
        <v>133.7</v>
      </c>
      <c r="P412" s="125" t="n">
        <v>8.109999999999999</v>
      </c>
      <c r="Q412" s="125" t="n">
        <v>2.24</v>
      </c>
      <c r="R412" s="125" t="n">
        <v>175.3</v>
      </c>
      <c r="S412" s="125" t="n">
        <v>26.7</v>
      </c>
      <c r="T412" s="125">
        <f>(((E412*D412*D412)/4)-(((E412-G412)*(D412-F412-F412)*(D412-F412-F412))/4)+(4*(H412*H412*(D412/2-F412-(H412/2))-((PI()*H412*H412)/4*((D412/2)-F412-(H412-((4*H412)/(3*PI()))))))))/1000</f>
        <v/>
      </c>
      <c r="U412" s="125">
        <f>(((D412*E412*E412)/4)-(2*((D412-F412-F412)*(E412/2-(G412/2))*(((E412/2-(G412/2))/2)+(G412/2))))+(4*(((H412*H412)-(((PI()*H412*H412)/4)))*((H412-((4*H412)/(3*PI())))+(G412/2)))))/1000</f>
        <v/>
      </c>
      <c r="X412" s="129">
        <f t="array" ref="X412">_xlfn.IFS((D412/F412) &lt;= (640/SQRT($AT$32)), "Compact", L412 &lt;= ($AT$32*(0.79-(0.002*((E412-G412/2)/(2*F412))*SQRT($AT$32)))), "Non-Compact", L412 &gt; ($AT$32*(0.79-(0.002*((E412-G412/2)/(2*F412))*SQRT($AT$32)))), "Slender")</f>
        <v/>
      </c>
      <c r="Y412" s="129">
        <f t="array" ref="Y412">_xlfn.IFS(K412 &lt;= (65/SQRT($AT$32)), "Compact", K412 &lt;= (95/SQRT($AT$32)), "Non-Compact", K412 &gt; (95/SQRT($AT$32)), "Slender")</f>
        <v/>
      </c>
      <c r="Z412" s="125">
        <f>E412/F412</f>
        <v/>
      </c>
      <c r="AA412" s="125">
        <f>D412/G412</f>
        <v/>
      </c>
      <c r="AB412" s="125">
        <f t="array" ref="AB412">_xlfn.IFS(Z412 &lt;= 9, "1", Z412 &lt;= 12, "2", Z412 &lt;= 15, "3", Z412 &gt; 15, "4")</f>
        <v/>
      </c>
      <c r="AC412" s="125">
        <f t="array" ref="AC412">_xlfn.IFS(AA412 &lt;= 200, "1", L412 &lt;= 300, "2", L412 &lt;= 400, "3", L412 &gt; 400, "4")</f>
        <v/>
      </c>
      <c r="AE412" s="129">
        <f>SQRT((((VLOOKUP($AT$4,$A$4:$D$1021,4,FALSE))-D412)^2)+(((VLOOKUP($AT$4,$A$4:$E$1021,5,FALSE))-E412)^2)+(((VLOOKUP($AT$4,$A$4:$N$1021,14,FALSE))-N412)^2)+(((VLOOKUP($AT$4,$A$4:$O$1021,15,FALSE))-O412)^2))</f>
        <v/>
      </c>
      <c r="AG412" s="129" t="n"/>
      <c r="AH412" s="129">
        <f>SQRT((((VLOOKUP($AT$4,$A$4:$D$1021,4,FALSE))-D412)^2)+(((VLOOKUP($AT$4,$A$4:$E$1021,5,FALSE))-E412)^2)+(((VLOOKUP($AT$4,$A$4:$R$1021,18,FALSE))-R412)^2)+(((VLOOKUP($AT$4,$A$4:$S$1021,19,FALSE))-S412)^2))</f>
        <v/>
      </c>
      <c r="AJ412" s="125" t="inlineStr">
        <is>
          <t>HN200X20.9</t>
        </is>
      </c>
      <c r="AK412" s="125" t="n"/>
      <c r="AL412" s="125">
        <f>SQRT(((VLOOKUP($AT$4,$A$4:$J$1021,10,FALSE))-J412)^2)</f>
        <v/>
      </c>
      <c r="AM412" s="125" t="n"/>
      <c r="AN412" s="125" t="n"/>
      <c r="AO412" s="125">
        <f>SQRT(((VLOOKUP($AT$4,$A$4:$R$1021,18,FALSE))-R412)^2)</f>
        <v/>
      </c>
      <c r="AP412" s="125" t="n"/>
      <c r="AQ412" s="125" t="inlineStr">
        <is>
          <t>HN200</t>
        </is>
      </c>
      <c r="BB412" s="125">
        <f>SQRT(($J$1022-J412)^2)</f>
        <v/>
      </c>
      <c r="BC412" s="125">
        <f>SQRT(($R$1022-R412)^2)</f>
        <v/>
      </c>
      <c r="BD412" s="125" t="inlineStr">
        <is>
          <t>HN200</t>
        </is>
      </c>
      <c r="BI412">
        <f>SQRT(($J$1023-J412)^2)</f>
        <v/>
      </c>
      <c r="BJ412">
        <f>SQRT(($R$1023-R412)^2)</f>
        <v/>
      </c>
      <c r="BK412" s="125" t="inlineStr">
        <is>
          <t>HN200</t>
        </is>
      </c>
      <c r="BP412">
        <f>SQRT(($J$1024-J412)^2)</f>
        <v/>
      </c>
      <c r="BQ412">
        <f>SQRT(($R$1024-R412)^2)</f>
        <v/>
      </c>
      <c r="BR412" s="125" t="inlineStr">
        <is>
          <t>HN200</t>
        </is>
      </c>
      <c r="BW412">
        <f>SQRT(($J$1025-J412)^2)</f>
        <v/>
      </c>
      <c r="BX412">
        <f>SQRT(($R$1025-R412)^2)</f>
        <v/>
      </c>
      <c r="BY412" s="125" t="inlineStr">
        <is>
          <t>HN200</t>
        </is>
      </c>
      <c r="CD412">
        <f>SQRT(($J$1026-J412)^2)</f>
        <v/>
      </c>
      <c r="CE412">
        <f>SQRT(($R$1026-R412)^2)</f>
        <v/>
      </c>
      <c r="CF412" s="125" t="inlineStr">
        <is>
          <t>HN200</t>
        </is>
      </c>
    </row>
    <row r="413">
      <c r="A413" s="125" t="inlineStr">
        <is>
          <t>HN248</t>
        </is>
      </c>
      <c r="B413" s="129" t="inlineStr">
        <is>
          <t>GB</t>
        </is>
      </c>
      <c r="C413" s="125" t="inlineStr">
        <is>
          <t>25.1</t>
        </is>
      </c>
      <c r="D413" s="125" t="n">
        <v>248</v>
      </c>
      <c r="E413" s="125" t="n">
        <v>124</v>
      </c>
      <c r="F413" s="125" t="n">
        <v>8</v>
      </c>
      <c r="G413" s="125" t="n">
        <v>5</v>
      </c>
      <c r="H413" s="125" t="n">
        <v>8</v>
      </c>
      <c r="I413" s="125">
        <f>D413-(2*(H413+F413))</f>
        <v/>
      </c>
      <c r="J413" s="125" t="n">
        <v>31.99</v>
      </c>
      <c r="K413" s="125">
        <f>((E413-G413)/2)/F413</f>
        <v/>
      </c>
      <c r="L413" s="125">
        <f>I413/G413</f>
        <v/>
      </c>
      <c r="M413" s="125">
        <f>(E413*2+F413*4+((E413-G413)/2-H413)*4+2*PI()*H413+(D413-2*F413-2*H413)*2)/1000</f>
        <v/>
      </c>
      <c r="N413" s="5" t="n">
        <v>3346</v>
      </c>
      <c r="O413" s="125" t="n">
        <v>254.5</v>
      </c>
      <c r="P413" s="125" t="n">
        <v>10.23</v>
      </c>
      <c r="Q413" s="125" t="n">
        <v>2.82</v>
      </c>
      <c r="R413" s="125" t="n">
        <v>269.8</v>
      </c>
      <c r="S413" s="125" t="n">
        <v>41.1</v>
      </c>
      <c r="T413" s="125">
        <f>(((E413*D413*D413)/4)-(((E413-G413)*(D413-F413-F413)*(D413-F413-F413))/4)+(4*(H413*H413*(D413/2-F413-(H413/2))-((PI()*H413*H413)/4*((D413/2)-F413-(H413-((4*H413)/(3*PI()))))))))/1000</f>
        <v/>
      </c>
      <c r="U413" s="125">
        <f>(((D413*E413*E413)/4)-(2*((D413-F413-F413)*(E413/2-(G413/2))*(((E413/2-(G413/2))/2)+(G413/2))))+(4*(((H413*H413)-(((PI()*H413*H413)/4)))*((H413-((4*H413)/(3*PI())))+(G413/2)))))/1000</f>
        <v/>
      </c>
      <c r="X413" s="129">
        <f t="array" ref="X413">_xlfn.IFS((D413/F413) &lt;= (640/SQRT($AT$32)), "Compact", L413 &lt;= ($AT$32*(0.79-(0.002*((E413-G413/2)/(2*F413))*SQRT($AT$32)))), "Non-Compact", L413 &gt; ($AT$32*(0.79-(0.002*((E413-G413/2)/(2*F413))*SQRT($AT$32)))), "Slender")</f>
        <v/>
      </c>
      <c r="Y413" s="129">
        <f t="array" ref="Y413">_xlfn.IFS(K413 &lt;= (65/SQRT($AT$32)), "Compact", K413 &lt;= (95/SQRT($AT$32)), "Non-Compact", K413 &gt; (95/SQRT($AT$32)), "Slender")</f>
        <v/>
      </c>
      <c r="Z413" s="125">
        <f>E413/F413</f>
        <v/>
      </c>
      <c r="AA413" s="125">
        <f>D413/G413</f>
        <v/>
      </c>
      <c r="AB413" s="125">
        <f t="array" ref="AB413">_xlfn.IFS(Z413 &lt;= 9, "1", Z413 &lt;= 12, "2", Z413 &lt;= 15, "3", Z413 &gt; 15, "4")</f>
        <v/>
      </c>
      <c r="AC413" s="125">
        <f t="array" ref="AC413">_xlfn.IFS(AA413 &lt;= 200, "1", L413 &lt;= 300, "2", L413 &lt;= 400, "3", L413 &gt; 400, "4")</f>
        <v/>
      </c>
      <c r="AE413" s="129">
        <f>SQRT((((VLOOKUP($AT$4,$A$4:$D$1021,4,FALSE))-D413)^2)+(((VLOOKUP($AT$4,$A$4:$E$1021,5,FALSE))-E413)^2)+(((VLOOKUP($AT$4,$A$4:$N$1021,14,FALSE))-N413)^2)+(((VLOOKUP($AT$4,$A$4:$O$1021,15,FALSE))-O413)^2))</f>
        <v/>
      </c>
      <c r="AG413" s="129" t="n"/>
      <c r="AH413" s="129">
        <f>SQRT((((VLOOKUP($AT$4,$A$4:$D$1021,4,FALSE))-D413)^2)+(((VLOOKUP($AT$4,$A$4:$E$1021,5,FALSE))-E413)^2)+(((VLOOKUP($AT$4,$A$4:$R$1021,18,FALSE))-R413)^2)+(((VLOOKUP($AT$4,$A$4:$S$1021,19,FALSE))-S413)^2))</f>
        <v/>
      </c>
      <c r="AJ413" s="125" t="inlineStr">
        <is>
          <t>HN250X25.1</t>
        </is>
      </c>
      <c r="AK413" s="125" t="n"/>
      <c r="AL413" s="125">
        <f>SQRT(((VLOOKUP($AT$4,$A$4:$J$1021,10,FALSE))-J413)^2)</f>
        <v/>
      </c>
      <c r="AM413" s="125" t="n"/>
      <c r="AN413" s="125" t="n"/>
      <c r="AO413" s="125">
        <f>SQRT(((VLOOKUP($AT$4,$A$4:$R$1021,18,FALSE))-R413)^2)</f>
        <v/>
      </c>
      <c r="AP413" s="125" t="n"/>
      <c r="AQ413" s="125" t="inlineStr">
        <is>
          <t>HN248</t>
        </is>
      </c>
      <c r="BB413" s="125">
        <f>SQRT(($J$1022-J413)^2)</f>
        <v/>
      </c>
      <c r="BC413" s="125">
        <f>SQRT(($R$1022-R413)^2)</f>
        <v/>
      </c>
      <c r="BD413" s="125" t="inlineStr">
        <is>
          <t>HN248</t>
        </is>
      </c>
      <c r="BI413">
        <f>SQRT(($J$1023-J413)^2)</f>
        <v/>
      </c>
      <c r="BJ413">
        <f>SQRT(($R$1023-R413)^2)</f>
        <v/>
      </c>
      <c r="BK413" s="125" t="inlineStr">
        <is>
          <t>HN248</t>
        </is>
      </c>
      <c r="BP413">
        <f>SQRT(($J$1024-J413)^2)</f>
        <v/>
      </c>
      <c r="BQ413">
        <f>SQRT(($R$1024-R413)^2)</f>
        <v/>
      </c>
      <c r="BR413" s="125" t="inlineStr">
        <is>
          <t>HN248</t>
        </is>
      </c>
      <c r="BW413">
        <f>SQRT(($J$1025-J413)^2)</f>
        <v/>
      </c>
      <c r="BX413">
        <f>SQRT(($R$1025-R413)^2)</f>
        <v/>
      </c>
      <c r="BY413" s="125" t="inlineStr">
        <is>
          <t>HN248</t>
        </is>
      </c>
      <c r="CD413">
        <f>SQRT(($J$1026-J413)^2)</f>
        <v/>
      </c>
      <c r="CE413">
        <f>SQRT(($R$1026-R413)^2)</f>
        <v/>
      </c>
      <c r="CF413" s="125" t="inlineStr">
        <is>
          <t>HN248</t>
        </is>
      </c>
    </row>
    <row r="414">
      <c r="A414" s="125" t="inlineStr">
        <is>
          <t>HN250</t>
        </is>
      </c>
      <c r="B414" s="129" t="inlineStr">
        <is>
          <t>GB</t>
        </is>
      </c>
      <c r="C414" s="125" t="inlineStr">
        <is>
          <t>29</t>
        </is>
      </c>
      <c r="D414" s="125" t="n">
        <v>250</v>
      </c>
      <c r="E414" s="125" t="n">
        <v>125</v>
      </c>
      <c r="F414" s="125" t="n">
        <v>9</v>
      </c>
      <c r="G414" s="125" t="n">
        <v>6</v>
      </c>
      <c r="H414" s="125" t="n">
        <v>8</v>
      </c>
      <c r="I414" s="125">
        <f>D414-(2*(H414+F414))</f>
        <v/>
      </c>
      <c r="J414" s="125" t="n">
        <v>36.97</v>
      </c>
      <c r="K414" s="125">
        <f>((E414-G414)/2)/F414</f>
        <v/>
      </c>
      <c r="L414" s="125">
        <f>I414/G414</f>
        <v/>
      </c>
      <c r="M414" s="125">
        <f>(E414*2+F414*4+((E414-G414)/2-H414)*4+2*PI()*H414+(D414-2*F414-2*H414)*2)/1000</f>
        <v/>
      </c>
      <c r="N414" s="5" t="n">
        <v>3868</v>
      </c>
      <c r="O414" s="125" t="n">
        <v>293.5</v>
      </c>
      <c r="P414" s="125" t="n">
        <v>10.23</v>
      </c>
      <c r="Q414" s="125" t="n">
        <v>2.82</v>
      </c>
      <c r="R414" s="125" t="n">
        <v>309.4</v>
      </c>
      <c r="S414" s="125" t="n">
        <v>47</v>
      </c>
      <c r="T414" s="125">
        <f>(((E414*D414*D414)/4)-(((E414-G414)*(D414-F414-F414)*(D414-F414-F414))/4)+(4*(H414*H414*(D414/2-F414-(H414/2))-((PI()*H414*H414)/4*((D414/2)-F414-(H414-((4*H414)/(3*PI()))))))))/1000</f>
        <v/>
      </c>
      <c r="U414" s="125">
        <f>(((D414*E414*E414)/4)-(2*((D414-F414-F414)*(E414/2-(G414/2))*(((E414/2-(G414/2))/2)+(G414/2))))+(4*(((H414*H414)-(((PI()*H414*H414)/4)))*((H414-((4*H414)/(3*PI())))+(G414/2)))))/1000</f>
        <v/>
      </c>
      <c r="X414" s="129">
        <f t="array" ref="X414">_xlfn.IFS((D414/F414) &lt;= (640/SQRT($AT$32)), "Compact", L414 &lt;= ($AT$32*(0.79-(0.002*((E414-G414/2)/(2*F414))*SQRT($AT$32)))), "Non-Compact", L414 &gt; ($AT$32*(0.79-(0.002*((E414-G414/2)/(2*F414))*SQRT($AT$32)))), "Slender")</f>
        <v/>
      </c>
      <c r="Y414" s="129">
        <f t="array" ref="Y414">_xlfn.IFS(K414 &lt;= (65/SQRT($AT$32)), "Compact", K414 &lt;= (95/SQRT($AT$32)), "Non-Compact", K414 &gt; (95/SQRT($AT$32)), "Slender")</f>
        <v/>
      </c>
      <c r="Z414" s="125">
        <f>E414/F414</f>
        <v/>
      </c>
      <c r="AA414" s="125">
        <f>D414/G414</f>
        <v/>
      </c>
      <c r="AB414" s="125">
        <f t="array" ref="AB414">_xlfn.IFS(Z414 &lt;= 9, "1", Z414 &lt;= 12, "2", Z414 &lt;= 15, "3", Z414 &gt; 15, "4")</f>
        <v/>
      </c>
      <c r="AC414" s="125">
        <f t="array" ref="AC414">_xlfn.IFS(AA414 &lt;= 200, "1", L414 &lt;= 300, "2", L414 &lt;= 400, "3", L414 &gt; 400, "4")</f>
        <v/>
      </c>
      <c r="AE414" s="129">
        <f>SQRT((((VLOOKUP($AT$4,$A$4:$D$1021,4,FALSE))-D414)^2)+(((VLOOKUP($AT$4,$A$4:$E$1021,5,FALSE))-E414)^2)+(((VLOOKUP($AT$4,$A$4:$N$1021,14,FALSE))-N414)^2)+(((VLOOKUP($AT$4,$A$4:$O$1021,15,FALSE))-O414)^2))</f>
        <v/>
      </c>
      <c r="AG414" s="129" t="n"/>
      <c r="AH414" s="129">
        <f>SQRT((((VLOOKUP($AT$4,$A$4:$D$1021,4,FALSE))-D414)^2)+(((VLOOKUP($AT$4,$A$4:$E$1021,5,FALSE))-E414)^2)+(((VLOOKUP($AT$4,$A$4:$R$1021,18,FALSE))-R414)^2)+(((VLOOKUP($AT$4,$A$4:$S$1021,19,FALSE))-S414)^2))</f>
        <v/>
      </c>
      <c r="AJ414" s="125" t="inlineStr">
        <is>
          <t>HN250X29</t>
        </is>
      </c>
      <c r="AK414" s="125" t="n"/>
      <c r="AL414" s="125">
        <f>SQRT(((VLOOKUP($AT$4,$A$4:$J$1021,10,FALSE))-J414)^2)</f>
        <v/>
      </c>
      <c r="AM414" s="125" t="n"/>
      <c r="AN414" s="125" t="n"/>
      <c r="AO414" s="125">
        <f>SQRT(((VLOOKUP($AT$4,$A$4:$R$1021,18,FALSE))-R414)^2)</f>
        <v/>
      </c>
      <c r="AP414" s="125" t="n"/>
      <c r="AQ414" s="125" t="inlineStr">
        <is>
          <t>HN250</t>
        </is>
      </c>
      <c r="BB414" s="125">
        <f>SQRT(($J$1022-J414)^2)</f>
        <v/>
      </c>
      <c r="BC414" s="125">
        <f>SQRT(($R$1022-R414)^2)</f>
        <v/>
      </c>
      <c r="BD414" s="125" t="inlineStr">
        <is>
          <t>HN250</t>
        </is>
      </c>
      <c r="BI414">
        <f>SQRT(($J$1023-J414)^2)</f>
        <v/>
      </c>
      <c r="BJ414">
        <f>SQRT(($R$1023-R414)^2)</f>
        <v/>
      </c>
      <c r="BK414" s="125" t="inlineStr">
        <is>
          <t>HN250</t>
        </is>
      </c>
      <c r="BP414">
        <f>SQRT(($J$1024-J414)^2)</f>
        <v/>
      </c>
      <c r="BQ414">
        <f>SQRT(($R$1024-R414)^2)</f>
        <v/>
      </c>
      <c r="BR414" s="125" t="inlineStr">
        <is>
          <t>HN250</t>
        </is>
      </c>
      <c r="BW414">
        <f>SQRT(($J$1025-J414)^2)</f>
        <v/>
      </c>
      <c r="BX414">
        <f>SQRT(($R$1025-R414)^2)</f>
        <v/>
      </c>
      <c r="BY414" s="125" t="inlineStr">
        <is>
          <t>HN250</t>
        </is>
      </c>
      <c r="CD414">
        <f>SQRT(($J$1026-J414)^2)</f>
        <v/>
      </c>
      <c r="CE414">
        <f>SQRT(($R$1026-R414)^2)</f>
        <v/>
      </c>
      <c r="CF414" s="125" t="inlineStr">
        <is>
          <t>HN250</t>
        </is>
      </c>
    </row>
    <row r="415">
      <c r="A415" s="125" t="inlineStr">
        <is>
          <t>HN298</t>
        </is>
      </c>
      <c r="B415" s="129" t="inlineStr">
        <is>
          <t>GB</t>
        </is>
      </c>
      <c r="C415" s="125" t="inlineStr">
        <is>
          <t>32</t>
        </is>
      </c>
      <c r="D415" s="125" t="n">
        <v>298</v>
      </c>
      <c r="E415" s="125" t="n">
        <v>149</v>
      </c>
      <c r="F415" s="125" t="n">
        <v>8</v>
      </c>
      <c r="G415" s="125" t="n">
        <v>5.5</v>
      </c>
      <c r="H415" s="125" t="n">
        <v>13</v>
      </c>
      <c r="I415" s="125">
        <f>D415-(2*(H415+F415))</f>
        <v/>
      </c>
      <c r="J415" s="125" t="n">
        <v>40.8</v>
      </c>
      <c r="K415" s="125">
        <f>((E415-G415)/2)/F415</f>
        <v/>
      </c>
      <c r="L415" s="125">
        <f>I415/G415</f>
        <v/>
      </c>
      <c r="M415" s="125">
        <f>(E415*2+F415*4+((E415-G415)/2-H415)*4+2*PI()*H415+(D415-2*F415-2*H415)*2)/1000</f>
        <v/>
      </c>
      <c r="N415" s="5" t="n">
        <v>5911</v>
      </c>
      <c r="O415" s="125" t="n">
        <v>441.7</v>
      </c>
      <c r="P415" s="125" t="n">
        <v>12.04</v>
      </c>
      <c r="Q415" s="125" t="n">
        <v>3.29</v>
      </c>
      <c r="R415" s="125" t="n">
        <v>396.7</v>
      </c>
      <c r="S415" s="125" t="n">
        <v>59.3</v>
      </c>
      <c r="T415" s="125">
        <f>(((E415*D415*D415)/4)-(((E415-G415)*(D415-F415-F415)*(D415-F415-F415))/4)+(4*(H415*H415*(D415/2-F415-(H415/2))-((PI()*H415*H415)/4*((D415/2)-F415-(H415-((4*H415)/(3*PI()))))))))/1000</f>
        <v/>
      </c>
      <c r="U415" s="125">
        <f>(((D415*E415*E415)/4)-(2*((D415-F415-F415)*(E415/2-(G415/2))*(((E415/2-(G415/2))/2)+(G415/2))))+(4*(((H415*H415)-(((PI()*H415*H415)/4)))*((H415-((4*H415)/(3*PI())))+(G415/2)))))/1000</f>
        <v/>
      </c>
      <c r="X415" s="129">
        <f t="array" ref="X415">_xlfn.IFS((D415/F415) &lt;= (640/SQRT($AT$32)), "Compact", L415 &lt;= ($AT$32*(0.79-(0.002*((E415-G415/2)/(2*F415))*SQRT($AT$32)))), "Non-Compact", L415 &gt; ($AT$32*(0.79-(0.002*((E415-G415/2)/(2*F415))*SQRT($AT$32)))), "Slender")</f>
        <v/>
      </c>
      <c r="Y415" s="129">
        <f t="array" ref="Y415">_xlfn.IFS(K415 &lt;= (65/SQRT($AT$32)), "Compact", K415 &lt;= (95/SQRT($AT$32)), "Non-Compact", K415 &gt; (95/SQRT($AT$32)), "Slender")</f>
        <v/>
      </c>
      <c r="Z415" s="125">
        <f>E415/F415</f>
        <v/>
      </c>
      <c r="AA415" s="125">
        <f>D415/G415</f>
        <v/>
      </c>
      <c r="AB415" s="125">
        <f t="array" ref="AB415">_xlfn.IFS(Z415 &lt;= 9, "1", Z415 &lt;= 12, "2", Z415 &lt;= 15, "3", Z415 &gt; 15, "4")</f>
        <v/>
      </c>
      <c r="AC415" s="125">
        <f t="array" ref="AC415">_xlfn.IFS(AA415 &lt;= 200, "1", L415 &lt;= 300, "2", L415 &lt;= 400, "3", L415 &gt; 400, "4")</f>
        <v/>
      </c>
      <c r="AE415" s="129">
        <f>SQRT((((VLOOKUP($AT$4,$A$4:$D$1021,4,FALSE))-D415)^2)+(((VLOOKUP($AT$4,$A$4:$E$1021,5,FALSE))-E415)^2)+(((VLOOKUP($AT$4,$A$4:$N$1021,14,FALSE))-N415)^2)+(((VLOOKUP($AT$4,$A$4:$O$1021,15,FALSE))-O415)^2))</f>
        <v/>
      </c>
      <c r="AG415" s="129" t="n"/>
      <c r="AH415" s="129">
        <f>SQRT((((VLOOKUP($AT$4,$A$4:$D$1021,4,FALSE))-D415)^2)+(((VLOOKUP($AT$4,$A$4:$E$1021,5,FALSE))-E415)^2)+(((VLOOKUP($AT$4,$A$4:$R$1021,18,FALSE))-R415)^2)+(((VLOOKUP($AT$4,$A$4:$S$1021,19,FALSE))-S415)^2))</f>
        <v/>
      </c>
      <c r="AJ415" s="125" t="inlineStr">
        <is>
          <t>HN300X32</t>
        </is>
      </c>
      <c r="AK415" s="125" t="n"/>
      <c r="AL415" s="125">
        <f>SQRT(((VLOOKUP($AT$4,$A$4:$J$1021,10,FALSE))-J415)^2)</f>
        <v/>
      </c>
      <c r="AM415" s="125" t="n"/>
      <c r="AN415" s="125" t="n"/>
      <c r="AO415" s="125">
        <f>SQRT(((VLOOKUP($AT$4,$A$4:$R$1021,18,FALSE))-R415)^2)</f>
        <v/>
      </c>
      <c r="AP415" s="125" t="n"/>
      <c r="AQ415" s="125" t="inlineStr">
        <is>
          <t>HN298</t>
        </is>
      </c>
      <c r="BB415" s="125">
        <f>SQRT(($J$1022-J415)^2)</f>
        <v/>
      </c>
      <c r="BC415" s="125">
        <f>SQRT(($R$1022-R415)^2)</f>
        <v/>
      </c>
      <c r="BD415" s="125" t="inlineStr">
        <is>
          <t>HN298</t>
        </is>
      </c>
      <c r="BI415">
        <f>SQRT(($J$1023-J415)^2)</f>
        <v/>
      </c>
      <c r="BJ415">
        <f>SQRT(($R$1023-R415)^2)</f>
        <v/>
      </c>
      <c r="BK415" s="125" t="inlineStr">
        <is>
          <t>HN298</t>
        </is>
      </c>
      <c r="BP415">
        <f>SQRT(($J$1024-J415)^2)</f>
        <v/>
      </c>
      <c r="BQ415">
        <f>SQRT(($R$1024-R415)^2)</f>
        <v/>
      </c>
      <c r="BR415" s="125" t="inlineStr">
        <is>
          <t>HN298</t>
        </is>
      </c>
      <c r="BW415">
        <f>SQRT(($J$1025-J415)^2)</f>
        <v/>
      </c>
      <c r="BX415">
        <f>SQRT(($R$1025-R415)^2)</f>
        <v/>
      </c>
      <c r="BY415" s="125" t="inlineStr">
        <is>
          <t>HN298</t>
        </is>
      </c>
      <c r="CD415">
        <f>SQRT(($J$1026-J415)^2)</f>
        <v/>
      </c>
      <c r="CE415">
        <f>SQRT(($R$1026-R415)^2)</f>
        <v/>
      </c>
      <c r="CF415" s="125" t="inlineStr">
        <is>
          <t>HN298</t>
        </is>
      </c>
    </row>
    <row r="416">
      <c r="A416" s="125" t="inlineStr">
        <is>
          <t>HN300</t>
        </is>
      </c>
      <c r="B416" s="129" t="inlineStr">
        <is>
          <t>GB</t>
        </is>
      </c>
      <c r="C416" s="125" t="inlineStr">
        <is>
          <t>36.7</t>
        </is>
      </c>
      <c r="D416" s="125" t="n">
        <v>300</v>
      </c>
      <c r="E416" s="125" t="n">
        <v>150</v>
      </c>
      <c r="F416" s="125" t="n">
        <v>9</v>
      </c>
      <c r="G416" s="125" t="n">
        <v>6.5</v>
      </c>
      <c r="H416" s="125" t="n">
        <v>13</v>
      </c>
      <c r="I416" s="125">
        <f>D416-(2*(H416+F416))</f>
        <v/>
      </c>
      <c r="J416" s="125" t="n">
        <v>46.78</v>
      </c>
      <c r="K416" s="125">
        <f>((E416-G416)/2)/F416</f>
        <v/>
      </c>
      <c r="L416" s="125">
        <f>I416/G416</f>
        <v/>
      </c>
      <c r="M416" s="125">
        <f>(E416*2+F416*4+((E416-G416)/2-H416)*4+2*PI()*H416+(D416-2*F416-2*H416)*2)/1000</f>
        <v/>
      </c>
      <c r="N416" s="5" t="n">
        <v>6829</v>
      </c>
      <c r="O416" s="125" t="n">
        <v>507.2</v>
      </c>
      <c r="P416" s="125" t="n">
        <v>12.08</v>
      </c>
      <c r="Q416" s="125" t="n">
        <v>3.29</v>
      </c>
      <c r="R416" s="125" t="n">
        <v>455.3</v>
      </c>
      <c r="S416" s="125" t="n">
        <v>67.59999999999999</v>
      </c>
      <c r="T416" s="125">
        <f>(((E416*D416*D416)/4)-(((E416-G416)*(D416-F416-F416)*(D416-F416-F416))/4)+(4*(H416*H416*(D416/2-F416-(H416/2))-((PI()*H416*H416)/4*((D416/2)-F416-(H416-((4*H416)/(3*PI()))))))))/1000</f>
        <v/>
      </c>
      <c r="U416" s="125">
        <f>(((D416*E416*E416)/4)-(2*((D416-F416-F416)*(E416/2-(G416/2))*(((E416/2-(G416/2))/2)+(G416/2))))+(4*(((H416*H416)-(((PI()*H416*H416)/4)))*((H416-((4*H416)/(3*PI())))+(G416/2)))))/1000</f>
        <v/>
      </c>
      <c r="X416" s="129">
        <f t="array" ref="X416">_xlfn.IFS((D416/F416) &lt;= (640/SQRT($AT$32)), "Compact", L416 &lt;= ($AT$32*(0.79-(0.002*((E416-G416/2)/(2*F416))*SQRT($AT$32)))), "Non-Compact", L416 &gt; ($AT$32*(0.79-(0.002*((E416-G416/2)/(2*F416))*SQRT($AT$32)))), "Slender")</f>
        <v/>
      </c>
      <c r="Y416" s="129">
        <f t="array" ref="Y416">_xlfn.IFS(K416 &lt;= (65/SQRT($AT$32)), "Compact", K416 &lt;= (95/SQRT($AT$32)), "Non-Compact", K416 &gt; (95/SQRT($AT$32)), "Slender")</f>
        <v/>
      </c>
      <c r="Z416" s="125">
        <f>E416/F416</f>
        <v/>
      </c>
      <c r="AA416" s="125">
        <f>D416/G416</f>
        <v/>
      </c>
      <c r="AB416" s="125">
        <f t="array" ref="AB416">_xlfn.IFS(Z416 &lt;= 9, "1", Z416 &lt;= 12, "2", Z416 &lt;= 15, "3", Z416 &gt; 15, "4")</f>
        <v/>
      </c>
      <c r="AC416" s="125">
        <f t="array" ref="AC416">_xlfn.IFS(AA416 &lt;= 200, "1", L416 &lt;= 300, "2", L416 &lt;= 400, "3", L416 &gt; 400, "4")</f>
        <v/>
      </c>
      <c r="AE416" s="129">
        <f>SQRT((((VLOOKUP($AT$4,$A$4:$D$1021,4,FALSE))-D416)^2)+(((VLOOKUP($AT$4,$A$4:$E$1021,5,FALSE))-E416)^2)+(((VLOOKUP($AT$4,$A$4:$N$1021,14,FALSE))-N416)^2)+(((VLOOKUP($AT$4,$A$4:$O$1021,15,FALSE))-O416)^2))</f>
        <v/>
      </c>
      <c r="AG416" s="129" t="n"/>
      <c r="AH416" s="129">
        <f>SQRT((((VLOOKUP($AT$4,$A$4:$D$1021,4,FALSE))-D416)^2)+(((VLOOKUP($AT$4,$A$4:$E$1021,5,FALSE))-E416)^2)+(((VLOOKUP($AT$4,$A$4:$R$1021,18,FALSE))-R416)^2)+(((VLOOKUP($AT$4,$A$4:$S$1021,19,FALSE))-S416)^2))</f>
        <v/>
      </c>
      <c r="AJ416" s="125" t="inlineStr">
        <is>
          <t>HN300X36.7</t>
        </is>
      </c>
      <c r="AK416" s="125" t="n"/>
      <c r="AL416" s="125">
        <f>SQRT(((VLOOKUP($AT$4,$A$4:$J$1021,10,FALSE))-J416)^2)</f>
        <v/>
      </c>
      <c r="AM416" s="125" t="n"/>
      <c r="AN416" s="125" t="n"/>
      <c r="AO416" s="125">
        <f>SQRT(((VLOOKUP($AT$4,$A$4:$R$1021,18,FALSE))-R416)^2)</f>
        <v/>
      </c>
      <c r="AP416" s="125" t="n"/>
      <c r="AQ416" s="125" t="inlineStr">
        <is>
          <t>HN300</t>
        </is>
      </c>
      <c r="BB416" s="125">
        <f>SQRT(($J$1022-J416)^2)</f>
        <v/>
      </c>
      <c r="BC416" s="125">
        <f>SQRT(($R$1022-R416)^2)</f>
        <v/>
      </c>
      <c r="BD416" s="125" t="inlineStr">
        <is>
          <t>HN300</t>
        </is>
      </c>
      <c r="BI416">
        <f>SQRT(($J$1023-J416)^2)</f>
        <v/>
      </c>
      <c r="BJ416">
        <f>SQRT(($R$1023-R416)^2)</f>
        <v/>
      </c>
      <c r="BK416" s="125" t="inlineStr">
        <is>
          <t>HN300</t>
        </is>
      </c>
      <c r="BP416">
        <f>SQRT(($J$1024-J416)^2)</f>
        <v/>
      </c>
      <c r="BQ416">
        <f>SQRT(($R$1024-R416)^2)</f>
        <v/>
      </c>
      <c r="BR416" s="125" t="inlineStr">
        <is>
          <t>HN300</t>
        </is>
      </c>
      <c r="BW416">
        <f>SQRT(($J$1025-J416)^2)</f>
        <v/>
      </c>
      <c r="BX416">
        <f>SQRT(($R$1025-R416)^2)</f>
        <v/>
      </c>
      <c r="BY416" s="125" t="inlineStr">
        <is>
          <t>HN300</t>
        </is>
      </c>
      <c r="CD416">
        <f>SQRT(($J$1026-J416)^2)</f>
        <v/>
      </c>
      <c r="CE416">
        <f>SQRT(($R$1026-R416)^2)</f>
        <v/>
      </c>
      <c r="CF416" s="125" t="inlineStr">
        <is>
          <t>HN300</t>
        </is>
      </c>
    </row>
    <row r="417">
      <c r="A417" s="125" t="inlineStr">
        <is>
          <t>HN346</t>
        </is>
      </c>
      <c r="B417" s="129" t="inlineStr">
        <is>
          <t>GB</t>
        </is>
      </c>
      <c r="C417" s="125" t="inlineStr">
        <is>
          <t>41.2</t>
        </is>
      </c>
      <c r="D417" s="125" t="n">
        <v>346</v>
      </c>
      <c r="E417" s="125" t="n">
        <v>174</v>
      </c>
      <c r="F417" s="125" t="n">
        <v>9</v>
      </c>
      <c r="G417" s="125" t="n">
        <v>6</v>
      </c>
      <c r="H417" s="125" t="n">
        <v>13</v>
      </c>
      <c r="I417" s="125">
        <f>D417-(2*(H417+F417))</f>
        <v/>
      </c>
      <c r="J417" s="125" t="n">
        <v>52.45</v>
      </c>
      <c r="K417" s="125">
        <f>((E417-G417)/2)/F417</f>
        <v/>
      </c>
      <c r="L417" s="125">
        <f>I417/G417</f>
        <v/>
      </c>
      <c r="M417" s="125">
        <f>(E417*2+F417*4+((E417-G417)/2-H417)*4+2*PI()*H417+(D417-2*F417-2*H417)*2)/1000</f>
        <v/>
      </c>
      <c r="N417" s="5" t="n">
        <v>10456</v>
      </c>
      <c r="O417" s="125" t="n">
        <v>791.1</v>
      </c>
      <c r="P417" s="125" t="n">
        <v>14.12</v>
      </c>
      <c r="Q417" s="125" t="n">
        <v>3.88</v>
      </c>
      <c r="R417" s="125" t="n">
        <v>604.4</v>
      </c>
      <c r="S417" s="125" t="n">
        <v>90.90000000000001</v>
      </c>
      <c r="T417" s="125">
        <f>(((E417*D417*D417)/4)-(((E417-G417)*(D417-F417-F417)*(D417-F417-F417))/4)+(4*(H417*H417*(D417/2-F417-(H417/2))-((PI()*H417*H417)/4*((D417/2)-F417-(H417-((4*H417)/(3*PI()))))))))/1000</f>
        <v/>
      </c>
      <c r="U417" s="125">
        <f>(((D417*E417*E417)/4)-(2*((D417-F417-F417)*(E417/2-(G417/2))*(((E417/2-(G417/2))/2)+(G417/2))))+(4*(((H417*H417)-(((PI()*H417*H417)/4)))*((H417-((4*H417)/(3*PI())))+(G417/2)))))/1000</f>
        <v/>
      </c>
      <c r="X417" s="129">
        <f t="array" ref="X417">_xlfn.IFS((D417/F417) &lt;= (640/SQRT($AT$32)), "Compact", L417 &lt;= ($AT$32*(0.79-(0.002*((E417-G417/2)/(2*F417))*SQRT($AT$32)))), "Non-Compact", L417 &gt; ($AT$32*(0.79-(0.002*((E417-G417/2)/(2*F417))*SQRT($AT$32)))), "Slender")</f>
        <v/>
      </c>
      <c r="Y417" s="129">
        <f t="array" ref="Y417">_xlfn.IFS(K417 &lt;= (65/SQRT($AT$32)), "Compact", K417 &lt;= (95/SQRT($AT$32)), "Non-Compact", K417 &gt; (95/SQRT($AT$32)), "Slender")</f>
        <v/>
      </c>
      <c r="Z417" s="125">
        <f>E417/F417</f>
        <v/>
      </c>
      <c r="AA417" s="125">
        <f>D417/G417</f>
        <v/>
      </c>
      <c r="AB417" s="125">
        <f t="array" ref="AB417">_xlfn.IFS(Z417 &lt;= 9, "1", Z417 &lt;= 12, "2", Z417 &lt;= 15, "3", Z417 &gt; 15, "4")</f>
        <v/>
      </c>
      <c r="AC417" s="125">
        <f t="array" ref="AC417">_xlfn.IFS(AA417 &lt;= 200, "1", L417 &lt;= 300, "2", L417 &lt;= 400, "3", L417 &gt; 400, "4")</f>
        <v/>
      </c>
      <c r="AE417" s="129">
        <f>SQRT((((VLOOKUP($AT$4,$A$4:$D$1021,4,FALSE))-D417)^2)+(((VLOOKUP($AT$4,$A$4:$E$1021,5,FALSE))-E417)^2)+(((VLOOKUP($AT$4,$A$4:$N$1021,14,FALSE))-N417)^2)+(((VLOOKUP($AT$4,$A$4:$O$1021,15,FALSE))-O417)^2))</f>
        <v/>
      </c>
      <c r="AG417" s="129" t="n"/>
      <c r="AH417" s="129">
        <f>SQRT((((VLOOKUP($AT$4,$A$4:$D$1021,4,FALSE))-D417)^2)+(((VLOOKUP($AT$4,$A$4:$E$1021,5,FALSE))-E417)^2)+(((VLOOKUP($AT$4,$A$4:$R$1021,18,FALSE))-R417)^2)+(((VLOOKUP($AT$4,$A$4:$S$1021,19,FALSE))-S417)^2))</f>
        <v/>
      </c>
      <c r="AJ417" s="125" t="inlineStr">
        <is>
          <t>HN350X41.2</t>
        </is>
      </c>
      <c r="AK417" s="125" t="n"/>
      <c r="AL417" s="125">
        <f>SQRT(((VLOOKUP($AT$4,$A$4:$J$1021,10,FALSE))-J417)^2)</f>
        <v/>
      </c>
      <c r="AM417" s="125" t="n"/>
      <c r="AN417" s="125" t="n"/>
      <c r="AO417" s="125">
        <f>SQRT(((VLOOKUP($AT$4,$A$4:$R$1021,18,FALSE))-R417)^2)</f>
        <v/>
      </c>
      <c r="AP417" s="125" t="n"/>
      <c r="AQ417" s="125" t="inlineStr">
        <is>
          <t>HN346</t>
        </is>
      </c>
      <c r="BB417" s="125">
        <f>SQRT(($J$1022-J417)^2)</f>
        <v/>
      </c>
      <c r="BC417" s="125">
        <f>SQRT(($R$1022-R417)^2)</f>
        <v/>
      </c>
      <c r="BD417" s="125" t="inlineStr">
        <is>
          <t>HN346</t>
        </is>
      </c>
      <c r="BI417">
        <f>SQRT(($J$1023-J417)^2)</f>
        <v/>
      </c>
      <c r="BJ417">
        <f>SQRT(($R$1023-R417)^2)</f>
        <v/>
      </c>
      <c r="BK417" s="125" t="inlineStr">
        <is>
          <t>HN346</t>
        </is>
      </c>
      <c r="BP417">
        <f>SQRT(($J$1024-J417)^2)</f>
        <v/>
      </c>
      <c r="BQ417">
        <f>SQRT(($R$1024-R417)^2)</f>
        <v/>
      </c>
      <c r="BR417" s="125" t="inlineStr">
        <is>
          <t>HN346</t>
        </is>
      </c>
      <c r="BW417">
        <f>SQRT(($J$1025-J417)^2)</f>
        <v/>
      </c>
      <c r="BX417">
        <f>SQRT(($R$1025-R417)^2)</f>
        <v/>
      </c>
      <c r="BY417" s="125" t="inlineStr">
        <is>
          <t>HN346</t>
        </is>
      </c>
      <c r="CD417">
        <f>SQRT(($J$1026-J417)^2)</f>
        <v/>
      </c>
      <c r="CE417">
        <f>SQRT(($R$1026-R417)^2)</f>
        <v/>
      </c>
      <c r="CF417" s="125" t="inlineStr">
        <is>
          <t>HN346</t>
        </is>
      </c>
    </row>
    <row r="418">
      <c r="A418" s="125" t="inlineStr">
        <is>
          <t>HN350</t>
        </is>
      </c>
      <c r="B418" s="129" t="inlineStr">
        <is>
          <t>GB</t>
        </is>
      </c>
      <c r="C418" s="125" t="inlineStr">
        <is>
          <t>49.4</t>
        </is>
      </c>
      <c r="D418" s="125" t="n">
        <v>350</v>
      </c>
      <c r="E418" s="125" t="n">
        <v>175</v>
      </c>
      <c r="F418" s="125" t="n">
        <v>11</v>
      </c>
      <c r="G418" s="125" t="n">
        <v>7</v>
      </c>
      <c r="H418" s="125" t="n">
        <v>13</v>
      </c>
      <c r="I418" s="125">
        <f>D418-(2*(H418+F418))</f>
        <v/>
      </c>
      <c r="J418" s="125" t="n">
        <v>62.91</v>
      </c>
      <c r="K418" s="125">
        <f>((E418-G418)/2)/F418</f>
        <v/>
      </c>
      <c r="L418" s="125">
        <f>I418/G418</f>
        <v/>
      </c>
      <c r="M418" s="125">
        <f>(E418*2+F418*4+((E418-G418)/2-H418)*4+2*PI()*H418+(D418-2*F418-2*H418)*2)/1000</f>
        <v/>
      </c>
      <c r="N418" s="5" t="n">
        <v>12980</v>
      </c>
      <c r="O418" s="125" t="n">
        <v>983.8</v>
      </c>
      <c r="P418" s="125" t="n">
        <v>14.36</v>
      </c>
      <c r="Q418" s="125" t="n">
        <v>3.95</v>
      </c>
      <c r="R418" s="125" t="n">
        <v>741.7</v>
      </c>
      <c r="S418" s="125" t="n">
        <v>112.4</v>
      </c>
      <c r="T418" s="125">
        <f>(((E418*D418*D418)/4)-(((E418-G418)*(D418-F418-F418)*(D418-F418-F418))/4)+(4*(H418*H418*(D418/2-F418-(H418/2))-((PI()*H418*H418)/4*((D418/2)-F418-(H418-((4*H418)/(3*PI()))))))))/1000</f>
        <v/>
      </c>
      <c r="U418" s="125">
        <f>(((D418*E418*E418)/4)-(2*((D418-F418-F418)*(E418/2-(G418/2))*(((E418/2-(G418/2))/2)+(G418/2))))+(4*(((H418*H418)-(((PI()*H418*H418)/4)))*((H418-((4*H418)/(3*PI())))+(G418/2)))))/1000</f>
        <v/>
      </c>
      <c r="X418" s="129">
        <f t="array" ref="X418">_xlfn.IFS((D418/F418) &lt;= (640/SQRT($AT$32)), "Compact", L418 &lt;= ($AT$32*(0.79-(0.002*((E418-G418/2)/(2*F418))*SQRT($AT$32)))), "Non-Compact", L418 &gt; ($AT$32*(0.79-(0.002*((E418-G418/2)/(2*F418))*SQRT($AT$32)))), "Slender")</f>
        <v/>
      </c>
      <c r="Y418" s="129">
        <f t="array" ref="Y418">_xlfn.IFS(K418 &lt;= (65/SQRT($AT$32)), "Compact", K418 &lt;= (95/SQRT($AT$32)), "Non-Compact", K418 &gt; (95/SQRT($AT$32)), "Slender")</f>
        <v/>
      </c>
      <c r="Z418" s="125">
        <f>E418/F418</f>
        <v/>
      </c>
      <c r="AA418" s="125">
        <f>D418/G418</f>
        <v/>
      </c>
      <c r="AB418" s="125">
        <f t="array" ref="AB418">_xlfn.IFS(Z418 &lt;= 9, "1", Z418 &lt;= 12, "2", Z418 &lt;= 15, "3", Z418 &gt; 15, "4")</f>
        <v/>
      </c>
      <c r="AC418" s="125">
        <f t="array" ref="AC418">_xlfn.IFS(AA418 &lt;= 200, "1", L418 &lt;= 300, "2", L418 &lt;= 400, "3", L418 &gt; 400, "4")</f>
        <v/>
      </c>
      <c r="AE418" s="129">
        <f>SQRT((((VLOOKUP($AT$4,$A$4:$D$1021,4,FALSE))-D418)^2)+(((VLOOKUP($AT$4,$A$4:$E$1021,5,FALSE))-E418)^2)+(((VLOOKUP($AT$4,$A$4:$N$1021,14,FALSE))-N418)^2)+(((VLOOKUP($AT$4,$A$4:$O$1021,15,FALSE))-O418)^2))</f>
        <v/>
      </c>
      <c r="AG418" s="129" t="n"/>
      <c r="AH418" s="129">
        <f>SQRT((((VLOOKUP($AT$4,$A$4:$D$1021,4,FALSE))-D418)^2)+(((VLOOKUP($AT$4,$A$4:$E$1021,5,FALSE))-E418)^2)+(((VLOOKUP($AT$4,$A$4:$R$1021,18,FALSE))-R418)^2)+(((VLOOKUP($AT$4,$A$4:$S$1021,19,FALSE))-S418)^2))</f>
        <v/>
      </c>
      <c r="AJ418" s="125" t="inlineStr">
        <is>
          <t>HN350X49.4</t>
        </is>
      </c>
      <c r="AK418" s="125" t="n"/>
      <c r="AL418" s="125">
        <f>SQRT(((VLOOKUP($AT$4,$A$4:$J$1021,10,FALSE))-J418)^2)</f>
        <v/>
      </c>
      <c r="AM418" s="125" t="n"/>
      <c r="AN418" s="125" t="n"/>
      <c r="AO418" s="125">
        <f>SQRT(((VLOOKUP($AT$4,$A$4:$R$1021,18,FALSE))-R418)^2)</f>
        <v/>
      </c>
      <c r="AP418" s="125" t="n"/>
      <c r="AQ418" s="125" t="inlineStr">
        <is>
          <t>HN350</t>
        </is>
      </c>
      <c r="BB418" s="125">
        <f>SQRT(($J$1022-J418)^2)</f>
        <v/>
      </c>
      <c r="BC418" s="125">
        <f>SQRT(($R$1022-R418)^2)</f>
        <v/>
      </c>
      <c r="BD418" s="125" t="inlineStr">
        <is>
          <t>HN350</t>
        </is>
      </c>
      <c r="BI418">
        <f>SQRT(($J$1023-J418)^2)</f>
        <v/>
      </c>
      <c r="BJ418">
        <f>SQRT(($R$1023-R418)^2)</f>
        <v/>
      </c>
      <c r="BK418" s="125" t="inlineStr">
        <is>
          <t>HN350</t>
        </is>
      </c>
      <c r="BP418">
        <f>SQRT(($J$1024-J418)^2)</f>
        <v/>
      </c>
      <c r="BQ418">
        <f>SQRT(($R$1024-R418)^2)</f>
        <v/>
      </c>
      <c r="BR418" s="125" t="inlineStr">
        <is>
          <t>HN350</t>
        </is>
      </c>
      <c r="BW418">
        <f>SQRT(($J$1025-J418)^2)</f>
        <v/>
      </c>
      <c r="BX418">
        <f>SQRT(($R$1025-R418)^2)</f>
        <v/>
      </c>
      <c r="BY418" s="125" t="inlineStr">
        <is>
          <t>HN350</t>
        </is>
      </c>
      <c r="CD418">
        <f>SQRT(($J$1026-J418)^2)</f>
        <v/>
      </c>
      <c r="CE418">
        <f>SQRT(($R$1026-R418)^2)</f>
        <v/>
      </c>
      <c r="CF418" s="125" t="inlineStr">
        <is>
          <t>HN350</t>
        </is>
      </c>
    </row>
    <row r="419">
      <c r="A419" s="125" t="inlineStr">
        <is>
          <t>HN400X150</t>
        </is>
      </c>
      <c r="B419" s="129" t="inlineStr">
        <is>
          <t>GB</t>
        </is>
      </c>
      <c r="C419" s="125" t="inlineStr">
        <is>
          <t>55.2</t>
        </is>
      </c>
      <c r="D419" s="125" t="n">
        <v>400</v>
      </c>
      <c r="E419" s="125" t="n">
        <v>150</v>
      </c>
      <c r="F419" s="125" t="n">
        <v>13</v>
      </c>
      <c r="G419" s="125" t="n">
        <v>8</v>
      </c>
      <c r="H419" s="125" t="n">
        <v>13</v>
      </c>
      <c r="I419" s="125">
        <f>D419-(2*(H419+F419))</f>
        <v/>
      </c>
      <c r="J419" s="125" t="n">
        <v>70.37</v>
      </c>
      <c r="K419" s="125">
        <f>((E419-G419)/2)/F419</f>
        <v/>
      </c>
      <c r="L419" s="125">
        <f>I419/G419</f>
        <v/>
      </c>
      <c r="M419" s="125">
        <f>(E419*2+F419*4+((E419-G419)/2-H419)*4+2*PI()*H419+(D419-2*F419-2*H419)*2)/1000</f>
        <v/>
      </c>
      <c r="N419" s="5" t="n">
        <v>17906</v>
      </c>
      <c r="O419" s="125" t="n">
        <v>733.2</v>
      </c>
      <c r="P419" s="125" t="n">
        <v>15.95</v>
      </c>
      <c r="Q419" s="125" t="n">
        <v>3.23</v>
      </c>
      <c r="R419" s="125" t="n">
        <v>895.3</v>
      </c>
      <c r="S419" s="125" t="n">
        <v>97.8</v>
      </c>
      <c r="T419" s="125">
        <f>(((E419*D419*D419)/4)-(((E419-G419)*(D419-F419-F419)*(D419-F419-F419))/4)+(4*(H419*H419*(D419/2-F419-(H419/2))-((PI()*H419*H419)/4*((D419/2)-F419-(H419-((4*H419)/(3*PI()))))))))/1000</f>
        <v/>
      </c>
      <c r="U419" s="125">
        <f>(((D419*E419*E419)/4)-(2*((D419-F419-F419)*(E419/2-(G419/2))*(((E419/2-(G419/2))/2)+(G419/2))))+(4*(((H419*H419)-(((PI()*H419*H419)/4)))*((H419-((4*H419)/(3*PI())))+(G419/2)))))/1000</f>
        <v/>
      </c>
      <c r="X419" s="129">
        <f t="array" ref="X419">_xlfn.IFS((D419/F419) &lt;= (640/SQRT($AT$32)), "Compact", L419 &lt;= ($AT$32*(0.79-(0.002*((E419-G419/2)/(2*F419))*SQRT($AT$32)))), "Non-Compact", L419 &gt; ($AT$32*(0.79-(0.002*((E419-G419/2)/(2*F419))*SQRT($AT$32)))), "Slender")</f>
        <v/>
      </c>
      <c r="Y419" s="129">
        <f t="array" ref="Y419">_xlfn.IFS(K419 &lt;= (65/SQRT($AT$32)), "Compact", K419 &lt;= (95/SQRT($AT$32)), "Non-Compact", K419 &gt; (95/SQRT($AT$32)), "Slender")</f>
        <v/>
      </c>
      <c r="Z419" s="125">
        <f>E419/F419</f>
        <v/>
      </c>
      <c r="AA419" s="125">
        <f>D419/G419</f>
        <v/>
      </c>
      <c r="AB419" s="125">
        <f t="array" ref="AB419">_xlfn.IFS(Z419 &lt;= 9, "1", Z419 &lt;= 12, "2", Z419 &lt;= 15, "3", Z419 &gt; 15, "4")</f>
        <v/>
      </c>
      <c r="AC419" s="125">
        <f t="array" ref="AC419">_xlfn.IFS(AA419 &lt;= 200, "1", L419 &lt;= 300, "2", L419 &lt;= 400, "3", L419 &gt; 400, "4")</f>
        <v/>
      </c>
      <c r="AE419" s="129">
        <f>SQRT((((VLOOKUP($AT$4,$A$4:$D$1021,4,FALSE))-D419)^2)+(((VLOOKUP($AT$4,$A$4:$E$1021,5,FALSE))-E419)^2)+(((VLOOKUP($AT$4,$A$4:$N$1021,14,FALSE))-N419)^2)+(((VLOOKUP($AT$4,$A$4:$O$1021,15,FALSE))-O419)^2))</f>
        <v/>
      </c>
      <c r="AG419" s="129" t="n"/>
      <c r="AH419" s="129">
        <f>SQRT((((VLOOKUP($AT$4,$A$4:$D$1021,4,FALSE))-D419)^2)+(((VLOOKUP($AT$4,$A$4:$E$1021,5,FALSE))-E419)^2)+(((VLOOKUP($AT$4,$A$4:$R$1021,18,FALSE))-R419)^2)+(((VLOOKUP($AT$4,$A$4:$S$1021,19,FALSE))-S419)^2))</f>
        <v/>
      </c>
      <c r="AJ419" s="125" t="inlineStr">
        <is>
          <t>HN400X55.2</t>
        </is>
      </c>
      <c r="AK419" s="125" t="n"/>
      <c r="AL419" s="125">
        <f>SQRT(((VLOOKUP($AT$4,$A$4:$J$1021,10,FALSE))-J419)^2)</f>
        <v/>
      </c>
      <c r="AM419" s="125" t="n"/>
      <c r="AN419" s="125" t="n"/>
      <c r="AO419" s="125">
        <f>SQRT(((VLOOKUP($AT$4,$A$4:$R$1021,18,FALSE))-R419)^2)</f>
        <v/>
      </c>
      <c r="AP419" s="125" t="n"/>
      <c r="AQ419" s="125" t="inlineStr">
        <is>
          <t>HN400X150</t>
        </is>
      </c>
      <c r="BB419" s="125">
        <f>SQRT(($J$1022-J419)^2)</f>
        <v/>
      </c>
      <c r="BC419" s="125">
        <f>SQRT(($R$1022-R419)^2)</f>
        <v/>
      </c>
      <c r="BD419" s="125" t="inlineStr">
        <is>
          <t>HN400X150</t>
        </is>
      </c>
      <c r="BI419">
        <f>SQRT(($J$1023-J419)^2)</f>
        <v/>
      </c>
      <c r="BJ419">
        <f>SQRT(($R$1023-R419)^2)</f>
        <v/>
      </c>
      <c r="BK419" s="125" t="inlineStr">
        <is>
          <t>HN400X150</t>
        </is>
      </c>
      <c r="BP419">
        <f>SQRT(($J$1024-J419)^2)</f>
        <v/>
      </c>
      <c r="BQ419">
        <f>SQRT(($R$1024-R419)^2)</f>
        <v/>
      </c>
      <c r="BR419" s="125" t="inlineStr">
        <is>
          <t>HN400X150</t>
        </is>
      </c>
      <c r="BW419">
        <f>SQRT(($J$1025-J419)^2)</f>
        <v/>
      </c>
      <c r="BX419">
        <f>SQRT(($R$1025-R419)^2)</f>
        <v/>
      </c>
      <c r="BY419" s="125" t="inlineStr">
        <is>
          <t>HN400X150</t>
        </is>
      </c>
      <c r="CD419">
        <f>SQRT(($J$1026-J419)^2)</f>
        <v/>
      </c>
      <c r="CE419">
        <f>SQRT(($R$1026-R419)^2)</f>
        <v/>
      </c>
      <c r="CF419" s="125" t="inlineStr">
        <is>
          <t>HN400X150</t>
        </is>
      </c>
    </row>
    <row r="420">
      <c r="A420" s="125" t="inlineStr">
        <is>
          <t>HN396</t>
        </is>
      </c>
      <c r="B420" s="129" t="inlineStr">
        <is>
          <t>GB</t>
        </is>
      </c>
      <c r="C420" s="125" t="inlineStr">
        <is>
          <t>56.1</t>
        </is>
      </c>
      <c r="D420" s="125" t="n">
        <v>396</v>
      </c>
      <c r="E420" s="125" t="n">
        <v>199</v>
      </c>
      <c r="F420" s="125" t="n">
        <v>11</v>
      </c>
      <c r="G420" s="125" t="n">
        <v>7</v>
      </c>
      <c r="H420" s="125" t="n">
        <v>13</v>
      </c>
      <c r="I420" s="125">
        <f>D420-(2*(H420+F420))</f>
        <v/>
      </c>
      <c r="J420" s="125" t="n">
        <v>71.41</v>
      </c>
      <c r="K420" s="125">
        <f>((E420-G420)/2)/F420</f>
        <v/>
      </c>
      <c r="L420" s="125">
        <f>I420/G420</f>
        <v/>
      </c>
      <c r="M420" s="125">
        <f>(E420*2+F420*4+((E420-G420)/2-H420)*4+2*PI()*H420+(D420-2*F420-2*H420)*2)/1000</f>
        <v/>
      </c>
      <c r="N420" s="5" t="n">
        <v>19023</v>
      </c>
      <c r="O420" s="5" t="n">
        <v>1446</v>
      </c>
      <c r="P420" s="125" t="n">
        <v>16.32</v>
      </c>
      <c r="Q420" s="125" t="n">
        <v>4.5</v>
      </c>
      <c r="R420" s="125" t="n">
        <v>960.8</v>
      </c>
      <c r="S420" s="125" t="n">
        <v>145.3</v>
      </c>
      <c r="T420" s="125">
        <f>(((E420*D420*D420)/4)-(((E420-G420)*(D420-F420-F420)*(D420-F420-F420))/4)+(4*(H420*H420*(D420/2-F420-(H420/2))-((PI()*H420*H420)/4*((D420/2)-F420-(H420-((4*H420)/(3*PI()))))))))/1000</f>
        <v/>
      </c>
      <c r="U420" s="125">
        <f>(((D420*E420*E420)/4)-(2*((D420-F420-F420)*(E420/2-(G420/2))*(((E420/2-(G420/2))/2)+(G420/2))))+(4*(((H420*H420)-(((PI()*H420*H420)/4)))*((H420-((4*H420)/(3*PI())))+(G420/2)))))/1000</f>
        <v/>
      </c>
      <c r="X420" s="129">
        <f t="array" ref="X420">_xlfn.IFS((D420/F420) &lt;= (640/SQRT($AT$32)), "Compact", L420 &lt;= ($AT$32*(0.79-(0.002*((E420-G420/2)/(2*F420))*SQRT($AT$32)))), "Non-Compact", L420 &gt; ($AT$32*(0.79-(0.002*((E420-G420/2)/(2*F420))*SQRT($AT$32)))), "Slender")</f>
        <v/>
      </c>
      <c r="Y420" s="129">
        <f t="array" ref="Y420">_xlfn.IFS(K420 &lt;= (65/SQRT($AT$32)), "Compact", K420 &lt;= (95/SQRT($AT$32)), "Non-Compact", K420 &gt; (95/SQRT($AT$32)), "Slender")</f>
        <v/>
      </c>
      <c r="Z420" s="125">
        <f>E420/F420</f>
        <v/>
      </c>
      <c r="AA420" s="125">
        <f>D420/G420</f>
        <v/>
      </c>
      <c r="AB420" s="125">
        <f t="array" ref="AB420">_xlfn.IFS(Z420 &lt;= 9, "1", Z420 &lt;= 12, "2", Z420 &lt;= 15, "3", Z420 &gt; 15, "4")</f>
        <v/>
      </c>
      <c r="AC420" s="125">
        <f t="array" ref="AC420">_xlfn.IFS(AA420 &lt;= 200, "1", L420 &lt;= 300, "2", L420 &lt;= 400, "3", L420 &gt; 400, "4")</f>
        <v/>
      </c>
      <c r="AE420" s="129">
        <f>SQRT((((VLOOKUP($AT$4,$A$4:$D$1021,4,FALSE))-D420)^2)+(((VLOOKUP($AT$4,$A$4:$E$1021,5,FALSE))-E420)^2)+(((VLOOKUP($AT$4,$A$4:$N$1021,14,FALSE))-N420)^2)+(((VLOOKUP($AT$4,$A$4:$O$1021,15,FALSE))-O420)^2))</f>
        <v/>
      </c>
      <c r="AG420" s="129" t="n"/>
      <c r="AH420" s="129">
        <f>SQRT((((VLOOKUP($AT$4,$A$4:$D$1021,4,FALSE))-D420)^2)+(((VLOOKUP($AT$4,$A$4:$E$1021,5,FALSE))-E420)^2)+(((VLOOKUP($AT$4,$A$4:$R$1021,18,FALSE))-R420)^2)+(((VLOOKUP($AT$4,$A$4:$S$1021,19,FALSE))-S420)^2))</f>
        <v/>
      </c>
      <c r="AJ420" s="125" t="inlineStr">
        <is>
          <t>HN400X56.1</t>
        </is>
      </c>
      <c r="AK420" s="125" t="n"/>
      <c r="AL420" s="125">
        <f>SQRT(((VLOOKUP($AT$4,$A$4:$J$1021,10,FALSE))-J420)^2)</f>
        <v/>
      </c>
      <c r="AM420" s="125" t="n"/>
      <c r="AN420" s="125" t="n"/>
      <c r="AO420" s="125">
        <f>SQRT(((VLOOKUP($AT$4,$A$4:$R$1021,18,FALSE))-R420)^2)</f>
        <v/>
      </c>
      <c r="AP420" s="125" t="n"/>
      <c r="AQ420" s="125" t="inlineStr">
        <is>
          <t>HN396</t>
        </is>
      </c>
      <c r="BB420" s="125">
        <f>SQRT(($J$1022-J420)^2)</f>
        <v/>
      </c>
      <c r="BC420" s="125">
        <f>SQRT(($R$1022-R420)^2)</f>
        <v/>
      </c>
      <c r="BD420" s="125" t="inlineStr">
        <is>
          <t>HN396</t>
        </is>
      </c>
      <c r="BI420">
        <f>SQRT(($J$1023-J420)^2)</f>
        <v/>
      </c>
      <c r="BJ420">
        <f>SQRT(($R$1023-R420)^2)</f>
        <v/>
      </c>
      <c r="BK420" s="125" t="inlineStr">
        <is>
          <t>HN396</t>
        </is>
      </c>
      <c r="BP420">
        <f>SQRT(($J$1024-J420)^2)</f>
        <v/>
      </c>
      <c r="BQ420">
        <f>SQRT(($R$1024-R420)^2)</f>
        <v/>
      </c>
      <c r="BR420" s="125" t="inlineStr">
        <is>
          <t>HN396</t>
        </is>
      </c>
      <c r="BW420">
        <f>SQRT(($J$1025-J420)^2)</f>
        <v/>
      </c>
      <c r="BX420">
        <f>SQRT(($R$1025-R420)^2)</f>
        <v/>
      </c>
      <c r="BY420" s="125" t="inlineStr">
        <is>
          <t>HN396</t>
        </is>
      </c>
      <c r="CD420">
        <f>SQRT(($J$1026-J420)^2)</f>
        <v/>
      </c>
      <c r="CE420">
        <f>SQRT(($R$1026-R420)^2)</f>
        <v/>
      </c>
      <c r="CF420" s="125" t="inlineStr">
        <is>
          <t>HN396</t>
        </is>
      </c>
    </row>
    <row r="421">
      <c r="A421" s="125" t="inlineStr">
        <is>
          <t>HN400X200</t>
        </is>
      </c>
      <c r="B421" s="129" t="inlineStr">
        <is>
          <t>GB</t>
        </is>
      </c>
      <c r="C421" s="125" t="inlineStr">
        <is>
          <t>65.4</t>
        </is>
      </c>
      <c r="D421" s="125" t="n">
        <v>400</v>
      </c>
      <c r="E421" s="125" t="n">
        <v>200</v>
      </c>
      <c r="F421" s="125" t="n">
        <v>13</v>
      </c>
      <c r="G421" s="125" t="n">
        <v>8</v>
      </c>
      <c r="H421" s="125" t="n">
        <v>13</v>
      </c>
      <c r="I421" s="125">
        <f>D421-(2*(H421+F421))</f>
        <v/>
      </c>
      <c r="J421" s="125" t="n">
        <v>83.37</v>
      </c>
      <c r="K421" s="125">
        <f>((E421-G421)/2)/F421</f>
        <v/>
      </c>
      <c r="L421" s="125">
        <f>I421/G421</f>
        <v/>
      </c>
      <c r="M421" s="125">
        <f>(E421*2+F421*4+((E421-G421)/2-H421)*4+2*PI()*H421+(D421-2*F421-2*H421)*2)/1000</f>
        <v/>
      </c>
      <c r="N421" s="5" t="n">
        <v>22775</v>
      </c>
      <c r="O421" s="5" t="n">
        <v>1735</v>
      </c>
      <c r="P421" s="125" t="n">
        <v>16.53</v>
      </c>
      <c r="Q421" s="125" t="n">
        <v>4.56</v>
      </c>
      <c r="R421" s="5" t="n">
        <v>1139</v>
      </c>
      <c r="S421" s="125" t="n">
        <v>173.5</v>
      </c>
      <c r="T421" s="125">
        <f>(((E421*D421*D421)/4)-(((E421-G421)*(D421-F421-F421)*(D421-F421-F421))/4)+(4*(H421*H421*(D421/2-F421-(H421/2))-((PI()*H421*H421)/4*((D421/2)-F421-(H421-((4*H421)/(3*PI()))))))))/1000</f>
        <v/>
      </c>
      <c r="U421" s="125">
        <f>(((D421*E421*E421)/4)-(2*((D421-F421-F421)*(E421/2-(G421/2))*(((E421/2-(G421/2))/2)+(G421/2))))+(4*(((H421*H421)-(((PI()*H421*H421)/4)))*((H421-((4*H421)/(3*PI())))+(G421/2)))))/1000</f>
        <v/>
      </c>
      <c r="X421" s="129">
        <f t="array" ref="X421">_xlfn.IFS((D421/F421) &lt;= (640/SQRT($AT$32)), "Compact", L421 &lt;= ($AT$32*(0.79-(0.002*((E421-G421/2)/(2*F421))*SQRT($AT$32)))), "Non-Compact", L421 &gt; ($AT$32*(0.79-(0.002*((E421-G421/2)/(2*F421))*SQRT($AT$32)))), "Slender")</f>
        <v/>
      </c>
      <c r="Y421" s="129">
        <f t="array" ref="Y421">_xlfn.IFS(K421 &lt;= (65/SQRT($AT$32)), "Compact", K421 &lt;= (95/SQRT($AT$32)), "Non-Compact", K421 &gt; (95/SQRT($AT$32)), "Slender")</f>
        <v/>
      </c>
      <c r="Z421" s="125">
        <f>E421/F421</f>
        <v/>
      </c>
      <c r="AA421" s="125">
        <f>D421/G421</f>
        <v/>
      </c>
      <c r="AB421" s="125">
        <f t="array" ref="AB421">_xlfn.IFS(Z421 &lt;= 9, "1", Z421 &lt;= 12, "2", Z421 &lt;= 15, "3", Z421 &gt; 15, "4")</f>
        <v/>
      </c>
      <c r="AC421" s="125">
        <f t="array" ref="AC421">_xlfn.IFS(AA421 &lt;= 200, "1", L421 &lt;= 300, "2", L421 &lt;= 400, "3", L421 &gt; 400, "4")</f>
        <v/>
      </c>
      <c r="AE421" s="129">
        <f>SQRT((((VLOOKUP($AT$4,$A$4:$D$1021,4,FALSE))-D421)^2)+(((VLOOKUP($AT$4,$A$4:$E$1021,5,FALSE))-E421)^2)+(((VLOOKUP($AT$4,$A$4:$N$1021,14,FALSE))-N421)^2)+(((VLOOKUP($AT$4,$A$4:$O$1021,15,FALSE))-O421)^2))</f>
        <v/>
      </c>
      <c r="AG421" s="129" t="n"/>
      <c r="AH421" s="129">
        <f>SQRT((((VLOOKUP($AT$4,$A$4:$D$1021,4,FALSE))-D421)^2)+(((VLOOKUP($AT$4,$A$4:$E$1021,5,FALSE))-E421)^2)+(((VLOOKUP($AT$4,$A$4:$R$1021,18,FALSE))-R421)^2)+(((VLOOKUP($AT$4,$A$4:$S$1021,19,FALSE))-S421)^2))</f>
        <v/>
      </c>
      <c r="AJ421" s="125" t="inlineStr">
        <is>
          <t>HN400X65.4</t>
        </is>
      </c>
      <c r="AK421" s="125" t="n"/>
      <c r="AL421" s="125">
        <f>SQRT(((VLOOKUP($AT$4,$A$4:$J$1021,10,FALSE))-J421)^2)</f>
        <v/>
      </c>
      <c r="AM421" s="125" t="n"/>
      <c r="AN421" s="125" t="n"/>
      <c r="AO421" s="125">
        <f>SQRT(((VLOOKUP($AT$4,$A$4:$R$1021,18,FALSE))-R421)^2)</f>
        <v/>
      </c>
      <c r="AP421" s="125" t="n"/>
      <c r="AQ421" s="125" t="inlineStr">
        <is>
          <t>HN400X200</t>
        </is>
      </c>
      <c r="BB421" s="125">
        <f>SQRT(($J$1022-J421)^2)</f>
        <v/>
      </c>
      <c r="BC421" s="125">
        <f>SQRT(($R$1022-R421)^2)</f>
        <v/>
      </c>
      <c r="BD421" s="125" t="inlineStr">
        <is>
          <t>HN400X200</t>
        </is>
      </c>
      <c r="BI421">
        <f>SQRT(($J$1023-J421)^2)</f>
        <v/>
      </c>
      <c r="BJ421">
        <f>SQRT(($R$1023-R421)^2)</f>
        <v/>
      </c>
      <c r="BK421" s="125" t="inlineStr">
        <is>
          <t>HN400X200</t>
        </is>
      </c>
      <c r="BP421">
        <f>SQRT(($J$1024-J421)^2)</f>
        <v/>
      </c>
      <c r="BQ421">
        <f>SQRT(($R$1024-R421)^2)</f>
        <v/>
      </c>
      <c r="BR421" s="125" t="inlineStr">
        <is>
          <t>HN400X200</t>
        </is>
      </c>
      <c r="BW421">
        <f>SQRT(($J$1025-J421)^2)</f>
        <v/>
      </c>
      <c r="BX421">
        <f>SQRT(($R$1025-R421)^2)</f>
        <v/>
      </c>
      <c r="BY421" s="125" t="inlineStr">
        <is>
          <t>HN400X200</t>
        </is>
      </c>
      <c r="CD421">
        <f>SQRT(($J$1026-J421)^2)</f>
        <v/>
      </c>
      <c r="CE421">
        <f>SQRT(($R$1026-R421)^2)</f>
        <v/>
      </c>
      <c r="CF421" s="125" t="inlineStr">
        <is>
          <t>HN400X200</t>
        </is>
      </c>
    </row>
    <row r="422">
      <c r="A422" s="125" t="inlineStr">
        <is>
          <t>HN446</t>
        </is>
      </c>
      <c r="B422" s="129" t="inlineStr">
        <is>
          <t>GB</t>
        </is>
      </c>
      <c r="C422" s="125" t="inlineStr">
        <is>
          <t>65.1</t>
        </is>
      </c>
      <c r="D422" s="125" t="n">
        <v>446</v>
      </c>
      <c r="E422" s="125" t="n">
        <v>199</v>
      </c>
      <c r="F422" s="125" t="n">
        <v>12</v>
      </c>
      <c r="G422" s="125" t="n">
        <v>8</v>
      </c>
      <c r="H422" s="125" t="n">
        <v>13</v>
      </c>
      <c r="I422" s="125">
        <f>D422-(2*(H422+F422))</f>
        <v/>
      </c>
      <c r="J422" s="125" t="n">
        <v>82.97</v>
      </c>
      <c r="K422" s="125">
        <f>((E422-G422)/2)/F422</f>
        <v/>
      </c>
      <c r="L422" s="125">
        <f>I422/G422</f>
        <v/>
      </c>
      <c r="M422" s="125">
        <f>(E422*2+F422*4+((E422-G422)/2-H422)*4+2*PI()*H422+(D422-2*F422-2*H422)*2)/1000</f>
        <v/>
      </c>
      <c r="N422" s="5" t="n">
        <v>27146</v>
      </c>
      <c r="O422" s="5" t="n">
        <v>1578</v>
      </c>
      <c r="P422" s="125" t="n">
        <v>18.09</v>
      </c>
      <c r="Q422" s="125" t="n">
        <v>4.36</v>
      </c>
      <c r="R422" s="5" t="n">
        <v>1217</v>
      </c>
      <c r="S422" s="125" t="n">
        <v>158.6</v>
      </c>
      <c r="T422" s="125">
        <f>(((E422*D422*D422)/4)-(((E422-G422)*(D422-F422-F422)*(D422-F422-F422))/4)+(4*(H422*H422*(D422/2-F422-(H422/2))-((PI()*H422*H422)/4*((D422/2)-F422-(H422-((4*H422)/(3*PI()))))))))/1000</f>
        <v/>
      </c>
      <c r="U422" s="125">
        <f>(((D422*E422*E422)/4)-(2*((D422-F422-F422)*(E422/2-(G422/2))*(((E422/2-(G422/2))/2)+(G422/2))))+(4*(((H422*H422)-(((PI()*H422*H422)/4)))*((H422-((4*H422)/(3*PI())))+(G422/2)))))/1000</f>
        <v/>
      </c>
      <c r="X422" s="129">
        <f t="array" ref="X422">_xlfn.IFS((D422/F422) &lt;= (640/SQRT($AT$32)), "Compact", L422 &lt;= ($AT$32*(0.79-(0.002*((E422-G422/2)/(2*F422))*SQRT($AT$32)))), "Non-Compact", L422 &gt; ($AT$32*(0.79-(0.002*((E422-G422/2)/(2*F422))*SQRT($AT$32)))), "Slender")</f>
        <v/>
      </c>
      <c r="Y422" s="129">
        <f t="array" ref="Y422">_xlfn.IFS(K422 &lt;= (65/SQRT($AT$32)), "Compact", K422 &lt;= (95/SQRT($AT$32)), "Non-Compact", K422 &gt; (95/SQRT($AT$32)), "Slender")</f>
        <v/>
      </c>
      <c r="Z422" s="125">
        <f>E422/F422</f>
        <v/>
      </c>
      <c r="AA422" s="125">
        <f>D422/G422</f>
        <v/>
      </c>
      <c r="AB422" s="125">
        <f t="array" ref="AB422">_xlfn.IFS(Z422 &lt;= 9, "1", Z422 &lt;= 12, "2", Z422 &lt;= 15, "3", Z422 &gt; 15, "4")</f>
        <v/>
      </c>
      <c r="AC422" s="125">
        <f t="array" ref="AC422">_xlfn.IFS(AA422 &lt;= 200, "1", L422 &lt;= 300, "2", L422 &lt;= 400, "3", L422 &gt; 400, "4")</f>
        <v/>
      </c>
      <c r="AE422" s="129">
        <f>SQRT((((VLOOKUP($AT$4,$A$4:$D$1021,4,FALSE))-D422)^2)+(((VLOOKUP($AT$4,$A$4:$E$1021,5,FALSE))-E422)^2)+(((VLOOKUP($AT$4,$A$4:$N$1021,14,FALSE))-N422)^2)+(((VLOOKUP($AT$4,$A$4:$O$1021,15,FALSE))-O422)^2))</f>
        <v/>
      </c>
      <c r="AG422" s="129" t="n"/>
      <c r="AH422" s="129">
        <f>SQRT((((VLOOKUP($AT$4,$A$4:$D$1021,4,FALSE))-D422)^2)+(((VLOOKUP($AT$4,$A$4:$E$1021,5,FALSE))-E422)^2)+(((VLOOKUP($AT$4,$A$4:$R$1021,18,FALSE))-R422)^2)+(((VLOOKUP($AT$4,$A$4:$S$1021,19,FALSE))-S422)^2))</f>
        <v/>
      </c>
      <c r="AJ422" s="125" t="inlineStr">
        <is>
          <t>HN450X65.1</t>
        </is>
      </c>
      <c r="AK422" s="125" t="n"/>
      <c r="AL422" s="125">
        <f>SQRT(((VLOOKUP($AT$4,$A$4:$J$1021,10,FALSE))-J422)^2)</f>
        <v/>
      </c>
      <c r="AM422" s="125" t="n"/>
      <c r="AN422" s="125" t="n"/>
      <c r="AO422" s="125">
        <f>SQRT(((VLOOKUP($AT$4,$A$4:$R$1021,18,FALSE))-R422)^2)</f>
        <v/>
      </c>
      <c r="AP422" s="125" t="n"/>
      <c r="AQ422" s="125" t="inlineStr">
        <is>
          <t>HN446</t>
        </is>
      </c>
      <c r="BB422" s="125">
        <f>SQRT(($J$1022-J422)^2)</f>
        <v/>
      </c>
      <c r="BC422" s="125">
        <f>SQRT(($R$1022-R422)^2)</f>
        <v/>
      </c>
      <c r="BD422" s="125" t="inlineStr">
        <is>
          <t>HN446</t>
        </is>
      </c>
      <c r="BI422">
        <f>SQRT(($J$1023-J422)^2)</f>
        <v/>
      </c>
      <c r="BJ422">
        <f>SQRT(($R$1023-R422)^2)</f>
        <v/>
      </c>
      <c r="BK422" s="125" t="inlineStr">
        <is>
          <t>HN446</t>
        </is>
      </c>
      <c r="BP422">
        <f>SQRT(($J$1024-J422)^2)</f>
        <v/>
      </c>
      <c r="BQ422">
        <f>SQRT(($R$1024-R422)^2)</f>
        <v/>
      </c>
      <c r="BR422" s="125" t="inlineStr">
        <is>
          <t>HN446</t>
        </is>
      </c>
      <c r="BW422">
        <f>SQRT(($J$1025-J422)^2)</f>
        <v/>
      </c>
      <c r="BX422">
        <f>SQRT(($R$1025-R422)^2)</f>
        <v/>
      </c>
      <c r="BY422" s="125" t="inlineStr">
        <is>
          <t>HN446</t>
        </is>
      </c>
      <c r="CD422">
        <f>SQRT(($J$1026-J422)^2)</f>
        <v/>
      </c>
      <c r="CE422">
        <f>SQRT(($R$1026-R422)^2)</f>
        <v/>
      </c>
      <c r="CF422" s="125" t="inlineStr">
        <is>
          <t>HN446</t>
        </is>
      </c>
    </row>
    <row r="423">
      <c r="A423" s="125" t="inlineStr">
        <is>
          <t>HN450</t>
        </is>
      </c>
      <c r="B423" s="129" t="inlineStr">
        <is>
          <t>GB</t>
        </is>
      </c>
      <c r="C423" s="125" t="inlineStr">
        <is>
          <t>74.9</t>
        </is>
      </c>
      <c r="D423" s="125" t="n">
        <v>450</v>
      </c>
      <c r="E423" s="125" t="n">
        <v>200</v>
      </c>
      <c r="F423" s="125" t="n">
        <v>14</v>
      </c>
      <c r="G423" s="125" t="n">
        <v>9</v>
      </c>
      <c r="H423" s="125" t="n">
        <v>13</v>
      </c>
      <c r="I423" s="125">
        <f>D423-(2*(H423+F423))</f>
        <v/>
      </c>
      <c r="J423" s="125" t="n">
        <v>95.43000000000001</v>
      </c>
      <c r="K423" s="125">
        <f>((E423-G423)/2)/F423</f>
        <v/>
      </c>
      <c r="L423" s="125">
        <f>I423/G423</f>
        <v/>
      </c>
      <c r="M423" s="125">
        <f>(E423*2+F423*4+((E423-G423)/2-H423)*4+2*PI()*H423+(D423-2*F423-2*H423)*2)/1000</f>
        <v/>
      </c>
      <c r="N423" s="5" t="n">
        <v>31973</v>
      </c>
      <c r="O423" s="5" t="n">
        <v>1870</v>
      </c>
      <c r="P423" s="125" t="n">
        <v>18.3</v>
      </c>
      <c r="Q423" s="125" t="n">
        <v>4.43</v>
      </c>
      <c r="R423" s="5" t="n">
        <v>1421</v>
      </c>
      <c r="S423" s="125" t="n">
        <v>187</v>
      </c>
      <c r="T423" s="125">
        <f>(((E423*D423*D423)/4)-(((E423-G423)*(D423-F423-F423)*(D423-F423-F423))/4)+(4*(H423*H423*(D423/2-F423-(H423/2))-((PI()*H423*H423)/4*((D423/2)-F423-(H423-((4*H423)/(3*PI()))))))))/1000</f>
        <v/>
      </c>
      <c r="U423" s="125">
        <f>(((D423*E423*E423)/4)-(2*((D423-F423-F423)*(E423/2-(G423/2))*(((E423/2-(G423/2))/2)+(G423/2))))+(4*(((H423*H423)-(((PI()*H423*H423)/4)))*((H423-((4*H423)/(3*PI())))+(G423/2)))))/1000</f>
        <v/>
      </c>
      <c r="X423" s="129">
        <f t="array" ref="X423">_xlfn.IFS((D423/F423) &lt;= (640/SQRT($AT$32)), "Compact", L423 &lt;= ($AT$32*(0.79-(0.002*((E423-G423/2)/(2*F423))*SQRT($AT$32)))), "Non-Compact", L423 &gt; ($AT$32*(0.79-(0.002*((E423-G423/2)/(2*F423))*SQRT($AT$32)))), "Slender")</f>
        <v/>
      </c>
      <c r="Y423" s="129">
        <f t="array" ref="Y423">_xlfn.IFS(K423 &lt;= (65/SQRT($AT$32)), "Compact", K423 &lt;= (95/SQRT($AT$32)), "Non-Compact", K423 &gt; (95/SQRT($AT$32)), "Slender")</f>
        <v/>
      </c>
      <c r="Z423" s="125">
        <f>E423/F423</f>
        <v/>
      </c>
      <c r="AA423" s="125">
        <f>D423/G423</f>
        <v/>
      </c>
      <c r="AB423" s="125">
        <f t="array" ref="AB423">_xlfn.IFS(Z423 &lt;= 9, "1", Z423 &lt;= 12, "2", Z423 &lt;= 15, "3", Z423 &gt; 15, "4")</f>
        <v/>
      </c>
      <c r="AC423" s="125">
        <f t="array" ref="AC423">_xlfn.IFS(AA423 &lt;= 200, "1", L423 &lt;= 300, "2", L423 &lt;= 400, "3", L423 &gt; 400, "4")</f>
        <v/>
      </c>
      <c r="AE423" s="129">
        <f>SQRT((((VLOOKUP($AT$4,$A$4:$D$1021,4,FALSE))-D423)^2)+(((VLOOKUP($AT$4,$A$4:$E$1021,5,FALSE))-E423)^2)+(((VLOOKUP($AT$4,$A$4:$N$1021,14,FALSE))-N423)^2)+(((VLOOKUP($AT$4,$A$4:$O$1021,15,FALSE))-O423)^2))</f>
        <v/>
      </c>
      <c r="AG423" s="129" t="n"/>
      <c r="AH423" s="129">
        <f>SQRT((((VLOOKUP($AT$4,$A$4:$D$1021,4,FALSE))-D423)^2)+(((VLOOKUP($AT$4,$A$4:$E$1021,5,FALSE))-E423)^2)+(((VLOOKUP($AT$4,$A$4:$R$1021,18,FALSE))-R423)^2)+(((VLOOKUP($AT$4,$A$4:$S$1021,19,FALSE))-S423)^2))</f>
        <v/>
      </c>
      <c r="AJ423" s="125" t="inlineStr">
        <is>
          <t>HN450X74.9</t>
        </is>
      </c>
      <c r="AK423" s="125" t="n"/>
      <c r="AL423" s="125">
        <f>SQRT(((VLOOKUP($AT$4,$A$4:$J$1021,10,FALSE))-J423)^2)</f>
        <v/>
      </c>
      <c r="AM423" s="125" t="n"/>
      <c r="AN423" s="125" t="n"/>
      <c r="AO423" s="125">
        <f>SQRT(((VLOOKUP($AT$4,$A$4:$R$1021,18,FALSE))-R423)^2)</f>
        <v/>
      </c>
      <c r="AP423" s="125" t="n"/>
      <c r="AQ423" s="125" t="inlineStr">
        <is>
          <t>HN450</t>
        </is>
      </c>
      <c r="BB423" s="125">
        <f>SQRT(($J$1022-J423)^2)</f>
        <v/>
      </c>
      <c r="BC423" s="125">
        <f>SQRT(($R$1022-R423)^2)</f>
        <v/>
      </c>
      <c r="BD423" s="125" t="inlineStr">
        <is>
          <t>HN450</t>
        </is>
      </c>
      <c r="BI423">
        <f>SQRT(($J$1023-J423)^2)</f>
        <v/>
      </c>
      <c r="BJ423">
        <f>SQRT(($R$1023-R423)^2)</f>
        <v/>
      </c>
      <c r="BK423" s="125" t="inlineStr">
        <is>
          <t>HN450</t>
        </is>
      </c>
      <c r="BP423">
        <f>SQRT(($J$1024-J423)^2)</f>
        <v/>
      </c>
      <c r="BQ423">
        <f>SQRT(($R$1024-R423)^2)</f>
        <v/>
      </c>
      <c r="BR423" s="125" t="inlineStr">
        <is>
          <t>HN450</t>
        </is>
      </c>
      <c r="BW423">
        <f>SQRT(($J$1025-J423)^2)</f>
        <v/>
      </c>
      <c r="BX423">
        <f>SQRT(($R$1025-R423)^2)</f>
        <v/>
      </c>
      <c r="BY423" s="125" t="inlineStr">
        <is>
          <t>HN450</t>
        </is>
      </c>
      <c r="CD423">
        <f>SQRT(($J$1026-J423)^2)</f>
        <v/>
      </c>
      <c r="CE423">
        <f>SQRT(($R$1026-R423)^2)</f>
        <v/>
      </c>
      <c r="CF423" s="125" t="inlineStr">
        <is>
          <t>HN450</t>
        </is>
      </c>
    </row>
    <row r="424">
      <c r="A424" s="125" t="inlineStr">
        <is>
          <t>HN496</t>
        </is>
      </c>
      <c r="B424" s="129" t="inlineStr">
        <is>
          <t>GB</t>
        </is>
      </c>
      <c r="C424" s="125" t="inlineStr">
        <is>
          <t>77.9</t>
        </is>
      </c>
      <c r="D424" s="125" t="n">
        <v>496</v>
      </c>
      <c r="E424" s="125" t="n">
        <v>199</v>
      </c>
      <c r="F424" s="125" t="n">
        <v>14</v>
      </c>
      <c r="G424" s="125" t="n">
        <v>9</v>
      </c>
      <c r="H424" s="125" t="n">
        <v>13</v>
      </c>
      <c r="I424" s="125">
        <f>D424-(2*(H424+F424))</f>
        <v/>
      </c>
      <c r="J424" s="125" t="n">
        <v>99.29000000000001</v>
      </c>
      <c r="K424" s="125">
        <f>((E424-G424)/2)/F424</f>
        <v/>
      </c>
      <c r="L424" s="125">
        <f>I424/G424</f>
        <v/>
      </c>
      <c r="M424" s="125">
        <f>(E424*2+F424*4+((E424-G424)/2-H424)*4+2*PI()*H424+(D424-2*F424-2*H424)*2)/1000</f>
        <v/>
      </c>
      <c r="N424" s="5" t="n">
        <v>39628</v>
      </c>
      <c r="O424" s="5" t="n">
        <v>1842</v>
      </c>
      <c r="P424" s="125" t="n">
        <v>19.98</v>
      </c>
      <c r="Q424" s="125" t="n">
        <v>4.31</v>
      </c>
      <c r="R424" s="5" t="n">
        <v>1598</v>
      </c>
      <c r="S424" s="125" t="n">
        <v>185.1</v>
      </c>
      <c r="T424" s="125">
        <f>(((E424*D424*D424)/4)-(((E424-G424)*(D424-F424-F424)*(D424-F424-F424))/4)+(4*(H424*H424*(D424/2-F424-(H424/2))-((PI()*H424*H424)/4*((D424/2)-F424-(H424-((4*H424)/(3*PI()))))))))/1000</f>
        <v/>
      </c>
      <c r="U424" s="125">
        <f>(((D424*E424*E424)/4)-(2*((D424-F424-F424)*(E424/2-(G424/2))*(((E424/2-(G424/2))/2)+(G424/2))))+(4*(((H424*H424)-(((PI()*H424*H424)/4)))*((H424-((4*H424)/(3*PI())))+(G424/2)))))/1000</f>
        <v/>
      </c>
      <c r="X424" s="129">
        <f t="array" ref="X424">_xlfn.IFS((D424/F424) &lt;= (640/SQRT($AT$32)), "Compact", L424 &lt;= ($AT$32*(0.79-(0.002*((E424-G424/2)/(2*F424))*SQRT($AT$32)))), "Non-Compact", L424 &gt; ($AT$32*(0.79-(0.002*((E424-G424/2)/(2*F424))*SQRT($AT$32)))), "Slender")</f>
        <v/>
      </c>
      <c r="Y424" s="129">
        <f t="array" ref="Y424">_xlfn.IFS(K424 &lt;= (65/SQRT($AT$32)), "Compact", K424 &lt;= (95/SQRT($AT$32)), "Non-Compact", K424 &gt; (95/SQRT($AT$32)), "Slender")</f>
        <v/>
      </c>
      <c r="Z424" s="125">
        <f>E424/F424</f>
        <v/>
      </c>
      <c r="AA424" s="125">
        <f>D424/G424</f>
        <v/>
      </c>
      <c r="AB424" s="125">
        <f t="array" ref="AB424">_xlfn.IFS(Z424 &lt;= 9, "1", Z424 &lt;= 12, "2", Z424 &lt;= 15, "3", Z424 &gt; 15, "4")</f>
        <v/>
      </c>
      <c r="AC424" s="125">
        <f t="array" ref="AC424">_xlfn.IFS(AA424 &lt;= 200, "1", L424 &lt;= 300, "2", L424 &lt;= 400, "3", L424 &gt; 400, "4")</f>
        <v/>
      </c>
      <c r="AE424" s="129">
        <f>SQRT((((VLOOKUP($AT$4,$A$4:$D$1021,4,FALSE))-D424)^2)+(((VLOOKUP($AT$4,$A$4:$E$1021,5,FALSE))-E424)^2)+(((VLOOKUP($AT$4,$A$4:$N$1021,14,FALSE))-N424)^2)+(((VLOOKUP($AT$4,$A$4:$O$1021,15,FALSE))-O424)^2))</f>
        <v/>
      </c>
      <c r="AG424" s="129" t="n"/>
      <c r="AH424" s="129">
        <f>SQRT((((VLOOKUP($AT$4,$A$4:$D$1021,4,FALSE))-D424)^2)+(((VLOOKUP($AT$4,$A$4:$E$1021,5,FALSE))-E424)^2)+(((VLOOKUP($AT$4,$A$4:$R$1021,18,FALSE))-R424)^2)+(((VLOOKUP($AT$4,$A$4:$S$1021,19,FALSE))-S424)^2))</f>
        <v/>
      </c>
      <c r="AJ424" s="125" t="inlineStr">
        <is>
          <t>HN500X77.9</t>
        </is>
      </c>
      <c r="AK424" s="125" t="n"/>
      <c r="AL424" s="125">
        <f>SQRT(((VLOOKUP($AT$4,$A$4:$J$1021,10,FALSE))-J424)^2)</f>
        <v/>
      </c>
      <c r="AM424" s="125" t="n"/>
      <c r="AN424" s="125" t="n"/>
      <c r="AO424" s="125">
        <f>SQRT(((VLOOKUP($AT$4,$A$4:$R$1021,18,FALSE))-R424)^2)</f>
        <v/>
      </c>
      <c r="AP424" s="125" t="n"/>
      <c r="AQ424" s="125" t="inlineStr">
        <is>
          <t>HN496</t>
        </is>
      </c>
      <c r="BB424" s="125">
        <f>SQRT(($J$1022-J424)^2)</f>
        <v/>
      </c>
      <c r="BC424" s="125">
        <f>SQRT(($R$1022-R424)^2)</f>
        <v/>
      </c>
      <c r="BD424" s="125" t="inlineStr">
        <is>
          <t>HN496</t>
        </is>
      </c>
      <c r="BI424">
        <f>SQRT(($J$1023-J424)^2)</f>
        <v/>
      </c>
      <c r="BJ424">
        <f>SQRT(($R$1023-R424)^2)</f>
        <v/>
      </c>
      <c r="BK424" s="125" t="inlineStr">
        <is>
          <t>HN496</t>
        </is>
      </c>
      <c r="BP424">
        <f>SQRT(($J$1024-J424)^2)</f>
        <v/>
      </c>
      <c r="BQ424">
        <f>SQRT(($R$1024-R424)^2)</f>
        <v/>
      </c>
      <c r="BR424" s="125" t="inlineStr">
        <is>
          <t>HN496</t>
        </is>
      </c>
      <c r="BW424">
        <f>SQRT(($J$1025-J424)^2)</f>
        <v/>
      </c>
      <c r="BX424">
        <f>SQRT(($R$1025-R424)^2)</f>
        <v/>
      </c>
      <c r="BY424" s="125" t="inlineStr">
        <is>
          <t>HN496</t>
        </is>
      </c>
      <c r="CD424">
        <f>SQRT(($J$1026-J424)^2)</f>
        <v/>
      </c>
      <c r="CE424">
        <f>SQRT(($R$1026-R424)^2)</f>
        <v/>
      </c>
      <c r="CF424" s="125" t="inlineStr">
        <is>
          <t>HN496</t>
        </is>
      </c>
    </row>
    <row r="425">
      <c r="A425" s="125" t="inlineStr">
        <is>
          <t>HN500</t>
        </is>
      </c>
      <c r="B425" s="129" t="inlineStr">
        <is>
          <t>GB</t>
        </is>
      </c>
      <c r="C425" s="125" t="inlineStr">
        <is>
          <t>88.1</t>
        </is>
      </c>
      <c r="D425" s="125" t="n">
        <v>500</v>
      </c>
      <c r="E425" s="125" t="n">
        <v>200</v>
      </c>
      <c r="F425" s="125" t="n">
        <v>16</v>
      </c>
      <c r="G425" s="125" t="n">
        <v>10</v>
      </c>
      <c r="H425" s="125" t="n">
        <v>13</v>
      </c>
      <c r="I425" s="125">
        <f>D425-(2*(H425+F425))</f>
        <v/>
      </c>
      <c r="J425" s="125" t="n">
        <v>112.25</v>
      </c>
      <c r="K425" s="125">
        <f>((E425-G425)/2)/F425</f>
        <v/>
      </c>
      <c r="L425" s="125">
        <f>I425/G425</f>
        <v/>
      </c>
      <c r="M425" s="125">
        <f>(E425*2+F425*4+((E425-G425)/2-H425)*4+2*PI()*H425+(D425-2*F425-2*H425)*2)/1000</f>
        <v/>
      </c>
      <c r="N425" s="5" t="n">
        <v>45685</v>
      </c>
      <c r="O425" s="5" t="n">
        <v>2138</v>
      </c>
      <c r="P425" s="125" t="n">
        <v>20.17</v>
      </c>
      <c r="Q425" s="125" t="n">
        <v>4.36</v>
      </c>
      <c r="R425" s="5" t="n">
        <v>1827</v>
      </c>
      <c r="S425" s="125" t="n">
        <v>213.8</v>
      </c>
      <c r="T425" s="125">
        <f>(((E425*D425*D425)/4)-(((E425-G425)*(D425-F425-F425)*(D425-F425-F425))/4)+(4*(H425*H425*(D425/2-F425-(H425/2))-((PI()*H425*H425)/4*((D425/2)-F425-(H425-((4*H425)/(3*PI()))))))))/1000</f>
        <v/>
      </c>
      <c r="U425" s="125">
        <f>(((D425*E425*E425)/4)-(2*((D425-F425-F425)*(E425/2-(G425/2))*(((E425/2-(G425/2))/2)+(G425/2))))+(4*(((H425*H425)-(((PI()*H425*H425)/4)))*((H425-((4*H425)/(3*PI())))+(G425/2)))))/1000</f>
        <v/>
      </c>
      <c r="X425" s="129">
        <f t="array" ref="X425">_xlfn.IFS((D425/F425) &lt;= (640/SQRT($AT$32)), "Compact", L425 &lt;= ($AT$32*(0.79-(0.002*((E425-G425/2)/(2*F425))*SQRT($AT$32)))), "Non-Compact", L425 &gt; ($AT$32*(0.79-(0.002*((E425-G425/2)/(2*F425))*SQRT($AT$32)))), "Slender")</f>
        <v/>
      </c>
      <c r="Y425" s="129">
        <f t="array" ref="Y425">_xlfn.IFS(K425 &lt;= (65/SQRT($AT$32)), "Compact", K425 &lt;= (95/SQRT($AT$32)), "Non-Compact", K425 &gt; (95/SQRT($AT$32)), "Slender")</f>
        <v/>
      </c>
      <c r="Z425" s="125">
        <f>E425/F425</f>
        <v/>
      </c>
      <c r="AA425" s="125">
        <f>D425/G425</f>
        <v/>
      </c>
      <c r="AB425" s="125">
        <f t="array" ref="AB425">_xlfn.IFS(Z425 &lt;= 9, "1", Z425 &lt;= 12, "2", Z425 &lt;= 15, "3", Z425 &gt; 15, "4")</f>
        <v/>
      </c>
      <c r="AC425" s="125">
        <f t="array" ref="AC425">_xlfn.IFS(AA425 &lt;= 200, "1", L425 &lt;= 300, "2", L425 &lt;= 400, "3", L425 &gt; 400, "4")</f>
        <v/>
      </c>
      <c r="AE425" s="129">
        <f>SQRT((((VLOOKUP($AT$4,$A$4:$D$1021,4,FALSE))-D425)^2)+(((VLOOKUP($AT$4,$A$4:$E$1021,5,FALSE))-E425)^2)+(((VLOOKUP($AT$4,$A$4:$N$1021,14,FALSE))-N425)^2)+(((VLOOKUP($AT$4,$A$4:$O$1021,15,FALSE))-O425)^2))</f>
        <v/>
      </c>
      <c r="AG425" s="129" t="n"/>
      <c r="AH425" s="129">
        <f>SQRT((((VLOOKUP($AT$4,$A$4:$D$1021,4,FALSE))-D425)^2)+(((VLOOKUP($AT$4,$A$4:$E$1021,5,FALSE))-E425)^2)+(((VLOOKUP($AT$4,$A$4:$R$1021,18,FALSE))-R425)^2)+(((VLOOKUP($AT$4,$A$4:$S$1021,19,FALSE))-S425)^2))</f>
        <v/>
      </c>
      <c r="AJ425" s="125" t="inlineStr">
        <is>
          <t>HN500X88.1</t>
        </is>
      </c>
      <c r="AK425" s="125" t="n"/>
      <c r="AL425" s="125">
        <f>SQRT(((VLOOKUP($AT$4,$A$4:$J$1021,10,FALSE))-J425)^2)</f>
        <v/>
      </c>
      <c r="AM425" s="125" t="n"/>
      <c r="AN425" s="125" t="n"/>
      <c r="AO425" s="125">
        <f>SQRT(((VLOOKUP($AT$4,$A$4:$R$1021,18,FALSE))-R425)^2)</f>
        <v/>
      </c>
      <c r="AP425" s="125" t="n"/>
      <c r="AQ425" s="125" t="inlineStr">
        <is>
          <t>HN500</t>
        </is>
      </c>
      <c r="BB425" s="125">
        <f>SQRT(($J$1022-J425)^2)</f>
        <v/>
      </c>
      <c r="BC425" s="125">
        <f>SQRT(($R$1022-R425)^2)</f>
        <v/>
      </c>
      <c r="BD425" s="125" t="inlineStr">
        <is>
          <t>HN500</t>
        </is>
      </c>
      <c r="BI425">
        <f>SQRT(($J$1023-J425)^2)</f>
        <v/>
      </c>
      <c r="BJ425">
        <f>SQRT(($R$1023-R425)^2)</f>
        <v/>
      </c>
      <c r="BK425" s="125" t="inlineStr">
        <is>
          <t>HN500</t>
        </is>
      </c>
      <c r="BP425">
        <f>SQRT(($J$1024-J425)^2)</f>
        <v/>
      </c>
      <c r="BQ425">
        <f>SQRT(($R$1024-R425)^2)</f>
        <v/>
      </c>
      <c r="BR425" s="125" t="inlineStr">
        <is>
          <t>HN500</t>
        </is>
      </c>
      <c r="BW425">
        <f>SQRT(($J$1025-J425)^2)</f>
        <v/>
      </c>
      <c r="BX425">
        <f>SQRT(($R$1025-R425)^2)</f>
        <v/>
      </c>
      <c r="BY425" s="125" t="inlineStr">
        <is>
          <t>HN500</t>
        </is>
      </c>
      <c r="CD425">
        <f>SQRT(($J$1026-J425)^2)</f>
        <v/>
      </c>
      <c r="CE425">
        <f>SQRT(($R$1026-R425)^2)</f>
        <v/>
      </c>
      <c r="CF425" s="125" t="inlineStr">
        <is>
          <t>HN500</t>
        </is>
      </c>
    </row>
    <row r="426">
      <c r="A426" s="125" t="inlineStr">
        <is>
          <t>HN506</t>
        </is>
      </c>
      <c r="B426" s="129" t="inlineStr">
        <is>
          <t>GB</t>
        </is>
      </c>
      <c r="C426" s="125" t="inlineStr">
        <is>
          <t>101.5</t>
        </is>
      </c>
      <c r="D426" s="125" t="n">
        <v>506</v>
      </c>
      <c r="E426" s="125" t="n">
        <v>201</v>
      </c>
      <c r="F426" s="125" t="n">
        <v>19</v>
      </c>
      <c r="G426" s="125" t="n">
        <v>11</v>
      </c>
      <c r="H426" s="125" t="n">
        <v>13</v>
      </c>
      <c r="I426" s="125">
        <f>D426-(2*(H426+F426))</f>
        <v/>
      </c>
      <c r="J426" s="125" t="n">
        <v>129.31</v>
      </c>
      <c r="K426" s="125">
        <f>((E426-G426)/2)/F426</f>
        <v/>
      </c>
      <c r="L426" s="125">
        <f>I426/G426</f>
        <v/>
      </c>
      <c r="M426" s="125">
        <f>(E426*2+F426*4+((E426-G426)/2-H426)*4+2*PI()*H426+(D426-2*F426-2*H426)*2)/1000</f>
        <v/>
      </c>
      <c r="N426" s="5" t="n">
        <v>54478</v>
      </c>
      <c r="O426" s="5" t="n">
        <v>2577</v>
      </c>
      <c r="P426" s="125" t="n">
        <v>20.53</v>
      </c>
      <c r="Q426" s="125" t="n">
        <v>4.46</v>
      </c>
      <c r="R426" s="5" t="n">
        <v>2153</v>
      </c>
      <c r="S426" s="125" t="n">
        <v>256.4</v>
      </c>
      <c r="T426" s="125">
        <f>(((E426*D426*D426)/4)-(((E426-G426)*(D426-F426-F426)*(D426-F426-F426))/4)+(4*(H426*H426*(D426/2-F426-(H426/2))-((PI()*H426*H426)/4*((D426/2)-F426-(H426-((4*H426)/(3*PI()))))))))/1000</f>
        <v/>
      </c>
      <c r="U426" s="125">
        <f>(((D426*E426*E426)/4)-(2*((D426-F426-F426)*(E426/2-(G426/2))*(((E426/2-(G426/2))/2)+(G426/2))))+(4*(((H426*H426)-(((PI()*H426*H426)/4)))*((H426-((4*H426)/(3*PI())))+(G426/2)))))/1000</f>
        <v/>
      </c>
      <c r="X426" s="129">
        <f t="array" ref="X426">_xlfn.IFS((D426/F426) &lt;= (640/SQRT($AT$32)), "Compact", L426 &lt;= ($AT$32*(0.79-(0.002*((E426-G426/2)/(2*F426))*SQRT($AT$32)))), "Non-Compact", L426 &gt; ($AT$32*(0.79-(0.002*((E426-G426/2)/(2*F426))*SQRT($AT$32)))), "Slender")</f>
        <v/>
      </c>
      <c r="Y426" s="129">
        <f t="array" ref="Y426">_xlfn.IFS(K426 &lt;= (65/SQRT($AT$32)), "Compact", K426 &lt;= (95/SQRT($AT$32)), "Non-Compact", K426 &gt; (95/SQRT($AT$32)), "Slender")</f>
        <v/>
      </c>
      <c r="Z426" s="125">
        <f>E426/F426</f>
        <v/>
      </c>
      <c r="AA426" s="125">
        <f>D426/G426</f>
        <v/>
      </c>
      <c r="AB426" s="125">
        <f t="array" ref="AB426">_xlfn.IFS(Z426 &lt;= 9, "1", Z426 &lt;= 12, "2", Z426 &lt;= 15, "3", Z426 &gt; 15, "4")</f>
        <v/>
      </c>
      <c r="AC426" s="125">
        <f t="array" ref="AC426">_xlfn.IFS(AA426 &lt;= 200, "1", L426 &lt;= 300, "2", L426 &lt;= 400, "3", L426 &gt; 400, "4")</f>
        <v/>
      </c>
      <c r="AE426" s="129">
        <f>SQRT((((VLOOKUP($AT$4,$A$4:$D$1021,4,FALSE))-D426)^2)+(((VLOOKUP($AT$4,$A$4:$E$1021,5,FALSE))-E426)^2)+(((VLOOKUP($AT$4,$A$4:$N$1021,14,FALSE))-N426)^2)+(((VLOOKUP($AT$4,$A$4:$O$1021,15,FALSE))-O426)^2))</f>
        <v/>
      </c>
      <c r="AG426" s="129" t="n"/>
      <c r="AH426" s="129">
        <f>SQRT((((VLOOKUP($AT$4,$A$4:$D$1021,4,FALSE))-D426)^2)+(((VLOOKUP($AT$4,$A$4:$E$1021,5,FALSE))-E426)^2)+(((VLOOKUP($AT$4,$A$4:$R$1021,18,FALSE))-R426)^2)+(((VLOOKUP($AT$4,$A$4:$S$1021,19,FALSE))-S426)^2))</f>
        <v/>
      </c>
      <c r="AJ426" s="125" t="inlineStr">
        <is>
          <t>HN500X101.5</t>
        </is>
      </c>
      <c r="AK426" s="125" t="n"/>
      <c r="AL426" s="125">
        <f>SQRT(((VLOOKUP($AT$4,$A$4:$J$1021,10,FALSE))-J426)^2)</f>
        <v/>
      </c>
      <c r="AM426" s="125" t="n"/>
      <c r="AN426" s="125" t="n"/>
      <c r="AO426" s="125">
        <f>SQRT(((VLOOKUP($AT$4,$A$4:$R$1021,18,FALSE))-R426)^2)</f>
        <v/>
      </c>
      <c r="AP426" s="125" t="n"/>
      <c r="AQ426" s="125" t="inlineStr">
        <is>
          <t>HN506</t>
        </is>
      </c>
      <c r="BB426" s="125">
        <f>SQRT(($J$1022-J426)^2)</f>
        <v/>
      </c>
      <c r="BC426" s="125">
        <f>SQRT(($R$1022-R426)^2)</f>
        <v/>
      </c>
      <c r="BD426" s="125" t="inlineStr">
        <is>
          <t>HN506</t>
        </is>
      </c>
      <c r="BI426">
        <f>SQRT(($J$1023-J426)^2)</f>
        <v/>
      </c>
      <c r="BJ426">
        <f>SQRT(($R$1023-R426)^2)</f>
        <v/>
      </c>
      <c r="BK426" s="125" t="inlineStr">
        <is>
          <t>HN506</t>
        </is>
      </c>
      <c r="BP426">
        <f>SQRT(($J$1024-J426)^2)</f>
        <v/>
      </c>
      <c r="BQ426">
        <f>SQRT(($R$1024-R426)^2)</f>
        <v/>
      </c>
      <c r="BR426" s="125" t="inlineStr">
        <is>
          <t>HN506</t>
        </is>
      </c>
      <c r="BW426">
        <f>SQRT(($J$1025-J426)^2)</f>
        <v/>
      </c>
      <c r="BX426">
        <f>SQRT(($R$1025-R426)^2)</f>
        <v/>
      </c>
      <c r="BY426" s="125" t="inlineStr">
        <is>
          <t>HN506</t>
        </is>
      </c>
      <c r="CD426">
        <f>SQRT(($J$1026-J426)^2)</f>
        <v/>
      </c>
      <c r="CE426">
        <f>SQRT(($R$1026-R426)^2)</f>
        <v/>
      </c>
      <c r="CF426" s="125" t="inlineStr">
        <is>
          <t>HN506</t>
        </is>
      </c>
    </row>
    <row r="427">
      <c r="A427" s="125" t="inlineStr">
        <is>
          <t>HN546</t>
        </is>
      </c>
      <c r="B427" s="129" t="inlineStr">
        <is>
          <t>GB</t>
        </is>
      </c>
      <c r="C427" s="125" t="inlineStr">
        <is>
          <t>81.5</t>
        </is>
      </c>
      <c r="D427" s="125" t="n">
        <v>546</v>
      </c>
      <c r="E427" s="125" t="n">
        <v>199</v>
      </c>
      <c r="F427" s="125" t="n">
        <v>14</v>
      </c>
      <c r="G427" s="125" t="n">
        <v>9</v>
      </c>
      <c r="H427" s="125" t="n">
        <v>13</v>
      </c>
      <c r="I427" s="125">
        <f>D427-(2*(H427+F427))</f>
        <v/>
      </c>
      <c r="J427" s="125" t="n">
        <v>103.79</v>
      </c>
      <c r="K427" s="125">
        <f>((E427-G427)/2)/F427</f>
        <v/>
      </c>
      <c r="L427" s="125">
        <f>I427/G427</f>
        <v/>
      </c>
      <c r="M427" s="125">
        <f>(E427*2+F427*4+((E427-G427)/2-H427)*4+2*PI()*H427+(D427-2*F427-2*H427)*2)/1000</f>
        <v/>
      </c>
      <c r="N427" s="5" t="n">
        <v>49245</v>
      </c>
      <c r="O427" s="5" t="n">
        <v>1842</v>
      </c>
      <c r="P427" s="125" t="n">
        <v>21.78</v>
      </c>
      <c r="Q427" s="125" t="n">
        <v>4.21</v>
      </c>
      <c r="R427" s="5" t="n">
        <v>1804</v>
      </c>
      <c r="S427" s="125" t="n">
        <v>185.2</v>
      </c>
      <c r="T427" s="125">
        <f>(((E427*D427*D427)/4)-(((E427-G427)*(D427-F427-F427)*(D427-F427-F427))/4)+(4*(H427*H427*(D427/2-F427-(H427/2))-((PI()*H427*H427)/4*((D427/2)-F427-(H427-((4*H427)/(3*PI()))))))))/1000</f>
        <v/>
      </c>
      <c r="U427" s="125">
        <f>(((D427*E427*E427)/4)-(2*((D427-F427-F427)*(E427/2-(G427/2))*(((E427/2-(G427/2))/2)+(G427/2))))+(4*(((H427*H427)-(((PI()*H427*H427)/4)))*((H427-((4*H427)/(3*PI())))+(G427/2)))))/1000</f>
        <v/>
      </c>
      <c r="X427" s="129">
        <f t="array" ref="X427">_xlfn.IFS((D427/F427) &lt;= (640/SQRT($AT$32)), "Compact", L427 &lt;= ($AT$32*(0.79-(0.002*((E427-G427/2)/(2*F427))*SQRT($AT$32)))), "Non-Compact", L427 &gt; ($AT$32*(0.79-(0.002*((E427-G427/2)/(2*F427))*SQRT($AT$32)))), "Slender")</f>
        <v/>
      </c>
      <c r="Y427" s="129">
        <f t="array" ref="Y427">_xlfn.IFS(K427 &lt;= (65/SQRT($AT$32)), "Compact", K427 &lt;= (95/SQRT($AT$32)), "Non-Compact", K427 &gt; (95/SQRT($AT$32)), "Slender")</f>
        <v/>
      </c>
      <c r="Z427" s="125">
        <f>E427/F427</f>
        <v/>
      </c>
      <c r="AA427" s="125">
        <f>D427/G427</f>
        <v/>
      </c>
      <c r="AB427" s="125">
        <f t="array" ref="AB427">_xlfn.IFS(Z427 &lt;= 9, "1", Z427 &lt;= 12, "2", Z427 &lt;= 15, "3", Z427 &gt; 15, "4")</f>
        <v/>
      </c>
      <c r="AC427" s="125">
        <f t="array" ref="AC427">_xlfn.IFS(AA427 &lt;= 200, "1", L427 &lt;= 300, "2", L427 &lt;= 400, "3", L427 &gt; 400, "4")</f>
        <v/>
      </c>
      <c r="AE427" s="129">
        <f>SQRT((((VLOOKUP($AT$4,$A$4:$D$1021,4,FALSE))-D427)^2)+(((VLOOKUP($AT$4,$A$4:$E$1021,5,FALSE))-E427)^2)+(((VLOOKUP($AT$4,$A$4:$N$1021,14,FALSE))-N427)^2)+(((VLOOKUP($AT$4,$A$4:$O$1021,15,FALSE))-O427)^2))</f>
        <v/>
      </c>
      <c r="AG427" s="129" t="n"/>
      <c r="AH427" s="129">
        <f>SQRT((((VLOOKUP($AT$4,$A$4:$D$1021,4,FALSE))-D427)^2)+(((VLOOKUP($AT$4,$A$4:$E$1021,5,FALSE))-E427)^2)+(((VLOOKUP($AT$4,$A$4:$R$1021,18,FALSE))-R427)^2)+(((VLOOKUP($AT$4,$A$4:$S$1021,19,FALSE))-S427)^2))</f>
        <v/>
      </c>
      <c r="AJ427" s="125" t="inlineStr">
        <is>
          <t>HN550X81.5</t>
        </is>
      </c>
      <c r="AK427" s="125" t="n"/>
      <c r="AL427" s="125">
        <f>SQRT(((VLOOKUP($AT$4,$A$4:$J$1021,10,FALSE))-J427)^2)</f>
        <v/>
      </c>
      <c r="AM427" s="125" t="n"/>
      <c r="AN427" s="125" t="n"/>
      <c r="AO427" s="125">
        <f>SQRT(((VLOOKUP($AT$4,$A$4:$R$1021,18,FALSE))-R427)^2)</f>
        <v/>
      </c>
      <c r="AP427" s="125" t="n"/>
      <c r="AQ427" s="125" t="inlineStr">
        <is>
          <t>HN546</t>
        </is>
      </c>
      <c r="BB427" s="125">
        <f>SQRT(($J$1022-J427)^2)</f>
        <v/>
      </c>
      <c r="BC427" s="125">
        <f>SQRT(($R$1022-R427)^2)</f>
        <v/>
      </c>
      <c r="BD427" s="125" t="inlineStr">
        <is>
          <t>HN546</t>
        </is>
      </c>
      <c r="BI427">
        <f>SQRT(($J$1023-J427)^2)</f>
        <v/>
      </c>
      <c r="BJ427">
        <f>SQRT(($R$1023-R427)^2)</f>
        <v/>
      </c>
      <c r="BK427" s="125" t="inlineStr">
        <is>
          <t>HN546</t>
        </is>
      </c>
      <c r="BP427">
        <f>SQRT(($J$1024-J427)^2)</f>
        <v/>
      </c>
      <c r="BQ427">
        <f>SQRT(($R$1024-R427)^2)</f>
        <v/>
      </c>
      <c r="BR427" s="125" t="inlineStr">
        <is>
          <t>HN546</t>
        </is>
      </c>
      <c r="BW427">
        <f>SQRT(($J$1025-J427)^2)</f>
        <v/>
      </c>
      <c r="BX427">
        <f>SQRT(($R$1025-R427)^2)</f>
        <v/>
      </c>
      <c r="BY427" s="125" t="inlineStr">
        <is>
          <t>HN546</t>
        </is>
      </c>
      <c r="CD427">
        <f>SQRT(($J$1026-J427)^2)</f>
        <v/>
      </c>
      <c r="CE427">
        <f>SQRT(($R$1026-R427)^2)</f>
        <v/>
      </c>
      <c r="CF427" s="125" t="inlineStr">
        <is>
          <t>HN546</t>
        </is>
      </c>
    </row>
    <row r="428">
      <c r="A428" s="125" t="inlineStr">
        <is>
          <t>HN550</t>
        </is>
      </c>
      <c r="B428" s="129" t="inlineStr">
        <is>
          <t>GB</t>
        </is>
      </c>
      <c r="C428" s="125" t="inlineStr">
        <is>
          <t>117.2</t>
        </is>
      </c>
      <c r="D428" s="125" t="n">
        <v>550</v>
      </c>
      <c r="E428" s="125" t="n">
        <v>200</v>
      </c>
      <c r="F428" s="125" t="n">
        <v>16</v>
      </c>
      <c r="G428" s="125" t="n">
        <v>10</v>
      </c>
      <c r="H428" s="125" t="n">
        <v>13</v>
      </c>
      <c r="I428" s="125">
        <f>D428-(2*(H428+F428))</f>
        <v/>
      </c>
      <c r="J428" s="125" t="n">
        <v>149.25</v>
      </c>
      <c r="K428" s="125">
        <f>((E428-G428)/2)/F428</f>
        <v/>
      </c>
      <c r="L428" s="125">
        <f>I428/G428</f>
        <v/>
      </c>
      <c r="M428" s="125">
        <f>(E428*2+F428*4+((E428-G428)/2-H428)*4+2*PI()*H428+(D428-2*F428-2*H428)*2)/1000</f>
        <v/>
      </c>
      <c r="N428" s="5" t="n">
        <v>79515</v>
      </c>
      <c r="O428" s="5" t="n">
        <v>7205</v>
      </c>
      <c r="P428" s="125" t="n">
        <v>23.08</v>
      </c>
      <c r="Q428" s="125" t="n">
        <v>6.95</v>
      </c>
      <c r="R428" s="5" t="n">
        <v>2891</v>
      </c>
      <c r="S428" s="125" t="n">
        <v>480.3</v>
      </c>
      <c r="T428" s="125">
        <f>(((E428*D428*D428)/4)-(((E428-G428)*(D428-F428-F428)*(D428-F428-F428))/4)+(4*(H428*H428*(D428/2-F428-(H428/2))-((PI()*H428*H428)/4*((D428/2)-F428-(H428-((4*H428)/(3*PI()))))))))/1000</f>
        <v/>
      </c>
      <c r="U428" s="125">
        <f>(((D428*E428*E428)/4)-(2*((D428-F428-F428)*(E428/2-(G428/2))*(((E428/2-(G428/2))/2)+(G428/2))))+(4*(((H428*H428)-(((PI()*H428*H428)/4)))*((H428-((4*H428)/(3*PI())))+(G428/2)))))/1000</f>
        <v/>
      </c>
      <c r="X428" s="129">
        <f t="array" ref="X428">_xlfn.IFS((D428/F428) &lt;= (640/SQRT($AT$32)), "Compact", L428 &lt;= ($AT$32*(0.79-(0.002*((E428-G428/2)/(2*F428))*SQRT($AT$32)))), "Non-Compact", L428 &gt; ($AT$32*(0.79-(0.002*((E428-G428/2)/(2*F428))*SQRT($AT$32)))), "Slender")</f>
        <v/>
      </c>
      <c r="Y428" s="129">
        <f t="array" ref="Y428">_xlfn.IFS(K428 &lt;= (65/SQRT($AT$32)), "Compact", K428 &lt;= (95/SQRT($AT$32)), "Non-Compact", K428 &gt; (95/SQRT($AT$32)), "Slender")</f>
        <v/>
      </c>
      <c r="Z428" s="125">
        <f>E428/F428</f>
        <v/>
      </c>
      <c r="AA428" s="125">
        <f>D428/G428</f>
        <v/>
      </c>
      <c r="AB428" s="125">
        <f t="array" ref="AB428">_xlfn.IFS(Z428 &lt;= 9, "1", Z428 &lt;= 12, "2", Z428 &lt;= 15, "3", Z428 &gt; 15, "4")</f>
        <v/>
      </c>
      <c r="AC428" s="125">
        <f t="array" ref="AC428">_xlfn.IFS(AA428 &lt;= 200, "1", L428 &lt;= 300, "2", L428 &lt;= 400, "3", L428 &gt; 400, "4")</f>
        <v/>
      </c>
      <c r="AE428" s="129">
        <f>SQRT((((VLOOKUP($AT$4,$A$4:$D$1021,4,FALSE))-D428)^2)+(((VLOOKUP($AT$4,$A$4:$E$1021,5,FALSE))-E428)^2)+(((VLOOKUP($AT$4,$A$4:$N$1021,14,FALSE))-N428)^2)+(((VLOOKUP($AT$4,$A$4:$O$1021,15,FALSE))-O428)^2))</f>
        <v/>
      </c>
      <c r="AG428" s="129" t="n"/>
      <c r="AH428" s="129">
        <f>SQRT((((VLOOKUP($AT$4,$A$4:$D$1021,4,FALSE))-D428)^2)+(((VLOOKUP($AT$4,$A$4:$E$1021,5,FALSE))-E428)^2)+(((VLOOKUP($AT$4,$A$4:$R$1021,18,FALSE))-R428)^2)+(((VLOOKUP($AT$4,$A$4:$S$1021,19,FALSE))-S428)^2))</f>
        <v/>
      </c>
      <c r="AJ428" s="125" t="inlineStr">
        <is>
          <t>HN550X117.2</t>
        </is>
      </c>
      <c r="AK428" s="125" t="n"/>
      <c r="AL428" s="125">
        <f>SQRT(((VLOOKUP($AT$4,$A$4:$J$1021,10,FALSE))-J428)^2)</f>
        <v/>
      </c>
      <c r="AM428" s="125" t="n"/>
      <c r="AN428" s="125" t="n"/>
      <c r="AO428" s="125">
        <f>SQRT(((VLOOKUP($AT$4,$A$4:$R$1021,18,FALSE))-R428)^2)</f>
        <v/>
      </c>
      <c r="AP428" s="125" t="n"/>
      <c r="AQ428" s="125" t="inlineStr">
        <is>
          <t>HN550</t>
        </is>
      </c>
      <c r="BB428" s="125">
        <f>SQRT(($J$1022-J428)^2)</f>
        <v/>
      </c>
      <c r="BC428" s="125">
        <f>SQRT(($R$1022-R428)^2)</f>
        <v/>
      </c>
      <c r="BD428" s="125" t="inlineStr">
        <is>
          <t>HN550</t>
        </is>
      </c>
      <c r="BI428">
        <f>SQRT(($J$1023-J428)^2)</f>
        <v/>
      </c>
      <c r="BJ428">
        <f>SQRT(($R$1023-R428)^2)</f>
        <v/>
      </c>
      <c r="BK428" s="125" t="inlineStr">
        <is>
          <t>HN550</t>
        </is>
      </c>
      <c r="BP428">
        <f>SQRT(($J$1024-J428)^2)</f>
        <v/>
      </c>
      <c r="BQ428">
        <f>SQRT(($R$1024-R428)^2)</f>
        <v/>
      </c>
      <c r="BR428" s="125" t="inlineStr">
        <is>
          <t>HN550</t>
        </is>
      </c>
      <c r="BW428">
        <f>SQRT(($J$1025-J428)^2)</f>
        <v/>
      </c>
      <c r="BX428">
        <f>SQRT(($R$1025-R428)^2)</f>
        <v/>
      </c>
      <c r="BY428" s="125" t="inlineStr">
        <is>
          <t>HN550</t>
        </is>
      </c>
      <c r="CD428">
        <f>SQRT(($J$1026-J428)^2)</f>
        <v/>
      </c>
      <c r="CE428">
        <f>SQRT(($R$1026-R428)^2)</f>
        <v/>
      </c>
      <c r="CF428" s="125" t="inlineStr">
        <is>
          <t>HN550</t>
        </is>
      </c>
    </row>
    <row r="429">
      <c r="A429" s="125" t="inlineStr">
        <is>
          <t>HN596</t>
        </is>
      </c>
      <c r="B429" s="129" t="inlineStr">
        <is>
          <t>GB</t>
        </is>
      </c>
      <c r="C429" s="125" t="inlineStr">
        <is>
          <t>92.4</t>
        </is>
      </c>
      <c r="D429" s="125" t="n">
        <v>596</v>
      </c>
      <c r="E429" s="125" t="n">
        <v>199</v>
      </c>
      <c r="F429" s="125" t="n">
        <v>15</v>
      </c>
      <c r="G429" s="125" t="n">
        <v>10</v>
      </c>
      <c r="H429" s="125" t="n">
        <v>13</v>
      </c>
      <c r="I429" s="125">
        <f>D429-(2*(H429+F429))</f>
        <v/>
      </c>
      <c r="J429" s="125" t="n">
        <v>117.75</v>
      </c>
      <c r="K429" s="125">
        <f>((E429-G429)/2)/F429</f>
        <v/>
      </c>
      <c r="L429" s="125">
        <f>I429/G429</f>
        <v/>
      </c>
      <c r="M429" s="125">
        <f>(E429*2+F429*4+((E429-G429)/2-H429)*4+2*PI()*H429+(D429-2*F429-2*H429)*2)/1000</f>
        <v/>
      </c>
      <c r="N429" s="5" t="n">
        <v>64739</v>
      </c>
      <c r="O429" s="5" t="n">
        <v>1975</v>
      </c>
      <c r="P429" s="125" t="n">
        <v>23.45</v>
      </c>
      <c r="Q429" s="125" t="n">
        <v>4.1</v>
      </c>
      <c r="R429" s="5" t="n">
        <v>2172</v>
      </c>
      <c r="S429" s="125" t="n">
        <v>198.5</v>
      </c>
      <c r="T429" s="125">
        <f>(((E429*D429*D429)/4)-(((E429-G429)*(D429-F429-F429)*(D429-F429-F429))/4)+(4*(H429*H429*(D429/2-F429-(H429/2))-((PI()*H429*H429)/4*((D429/2)-F429-(H429-((4*H429)/(3*PI()))))))))/1000</f>
        <v/>
      </c>
      <c r="U429" s="125">
        <f>(((D429*E429*E429)/4)-(2*((D429-F429-F429)*(E429/2-(G429/2))*(((E429/2-(G429/2))/2)+(G429/2))))+(4*(((H429*H429)-(((PI()*H429*H429)/4)))*((H429-((4*H429)/(3*PI())))+(G429/2)))))/1000</f>
        <v/>
      </c>
      <c r="X429" s="129">
        <f t="array" ref="X429">_xlfn.IFS((D429/F429) &lt;= (640/SQRT($AT$32)), "Compact", L429 &lt;= ($AT$32*(0.79-(0.002*((E429-G429/2)/(2*F429))*SQRT($AT$32)))), "Non-Compact", L429 &gt; ($AT$32*(0.79-(0.002*((E429-G429/2)/(2*F429))*SQRT($AT$32)))), "Slender")</f>
        <v/>
      </c>
      <c r="Y429" s="129">
        <f t="array" ref="Y429">_xlfn.IFS(K429 &lt;= (65/SQRT($AT$32)), "Compact", K429 &lt;= (95/SQRT($AT$32)), "Non-Compact", K429 &gt; (95/SQRT($AT$32)), "Slender")</f>
        <v/>
      </c>
      <c r="Z429" s="125">
        <f>E429/F429</f>
        <v/>
      </c>
      <c r="AA429" s="125">
        <f>D429/G429</f>
        <v/>
      </c>
      <c r="AB429" s="125">
        <f t="array" ref="AB429">_xlfn.IFS(Z429 &lt;= 9, "1", Z429 &lt;= 12, "2", Z429 &lt;= 15, "3", Z429 &gt; 15, "4")</f>
        <v/>
      </c>
      <c r="AC429" s="125">
        <f t="array" ref="AC429">_xlfn.IFS(AA429 &lt;= 200, "1", L429 &lt;= 300, "2", L429 &lt;= 400, "3", L429 &gt; 400, "4")</f>
        <v/>
      </c>
      <c r="AE429" s="129">
        <f>SQRT((((VLOOKUP($AT$4,$A$4:$D$1021,4,FALSE))-D429)^2)+(((VLOOKUP($AT$4,$A$4:$E$1021,5,FALSE))-E429)^2)+(((VLOOKUP($AT$4,$A$4:$N$1021,14,FALSE))-N429)^2)+(((VLOOKUP($AT$4,$A$4:$O$1021,15,FALSE))-O429)^2))</f>
        <v/>
      </c>
      <c r="AG429" s="129" t="n"/>
      <c r="AH429" s="129">
        <f>SQRT((((VLOOKUP($AT$4,$A$4:$D$1021,4,FALSE))-D429)^2)+(((VLOOKUP($AT$4,$A$4:$E$1021,5,FALSE))-E429)^2)+(((VLOOKUP($AT$4,$A$4:$R$1021,18,FALSE))-R429)^2)+(((VLOOKUP($AT$4,$A$4:$S$1021,19,FALSE))-S429)^2))</f>
        <v/>
      </c>
      <c r="AJ429" s="125" t="inlineStr">
        <is>
          <t>HN600X92.4</t>
        </is>
      </c>
      <c r="AK429" s="125" t="n"/>
      <c r="AL429" s="125">
        <f>SQRT(((VLOOKUP($AT$4,$A$4:$J$1021,10,FALSE))-J429)^2)</f>
        <v/>
      </c>
      <c r="AM429" s="125" t="n"/>
      <c r="AN429" s="125" t="n"/>
      <c r="AO429" s="125">
        <f>SQRT(((VLOOKUP($AT$4,$A$4:$R$1021,18,FALSE))-R429)^2)</f>
        <v/>
      </c>
      <c r="AP429" s="125" t="n"/>
      <c r="AQ429" s="125" t="inlineStr">
        <is>
          <t>HN596</t>
        </is>
      </c>
      <c r="BB429" s="125">
        <f>SQRT(($J$1022-J429)^2)</f>
        <v/>
      </c>
      <c r="BC429" s="125">
        <f>SQRT(($R$1022-R429)^2)</f>
        <v/>
      </c>
      <c r="BD429" s="125" t="inlineStr">
        <is>
          <t>HN596</t>
        </is>
      </c>
      <c r="BI429">
        <f>SQRT(($J$1023-J429)^2)</f>
        <v/>
      </c>
      <c r="BJ429">
        <f>SQRT(($R$1023-R429)^2)</f>
        <v/>
      </c>
      <c r="BK429" s="125" t="inlineStr">
        <is>
          <t>HN596</t>
        </is>
      </c>
      <c r="BP429">
        <f>SQRT(($J$1024-J429)^2)</f>
        <v/>
      </c>
      <c r="BQ429">
        <f>SQRT(($R$1024-R429)^2)</f>
        <v/>
      </c>
      <c r="BR429" s="125" t="inlineStr">
        <is>
          <t>HN596</t>
        </is>
      </c>
      <c r="BW429">
        <f>SQRT(($J$1025-J429)^2)</f>
        <v/>
      </c>
      <c r="BX429">
        <f>SQRT(($R$1025-R429)^2)</f>
        <v/>
      </c>
      <c r="BY429" s="125" t="inlineStr">
        <is>
          <t>HN596</t>
        </is>
      </c>
      <c r="CD429">
        <f>SQRT(($J$1026-J429)^2)</f>
        <v/>
      </c>
      <c r="CE429">
        <f>SQRT(($R$1026-R429)^2)</f>
        <v/>
      </c>
      <c r="CF429" s="125" t="inlineStr">
        <is>
          <t>HN596</t>
        </is>
      </c>
    </row>
    <row r="430">
      <c r="A430" s="125" t="inlineStr">
        <is>
          <t>HN600</t>
        </is>
      </c>
      <c r="B430" s="129" t="inlineStr">
        <is>
          <t>GB</t>
        </is>
      </c>
      <c r="C430" s="125" t="inlineStr">
        <is>
          <t>103.4</t>
        </is>
      </c>
      <c r="D430" s="125" t="n">
        <v>600</v>
      </c>
      <c r="E430" s="125" t="n">
        <v>200</v>
      </c>
      <c r="F430" s="125" t="n">
        <v>17</v>
      </c>
      <c r="G430" s="125" t="n">
        <v>11</v>
      </c>
      <c r="H430" s="125" t="n">
        <v>13</v>
      </c>
      <c r="I430" s="125">
        <f>D430-(2*(H430+F430))</f>
        <v/>
      </c>
      <c r="J430" s="125" t="n">
        <v>131.71</v>
      </c>
      <c r="K430" s="125">
        <f>((E430-G430)/2)/F430</f>
        <v/>
      </c>
      <c r="L430" s="125">
        <f>I430/G430</f>
        <v/>
      </c>
      <c r="M430" s="125">
        <f>(E430*2+F430*4+((E430-G430)/2-H430)*4+2*PI()*H430+(D430-2*F430-2*H430)*2)/1000</f>
        <v/>
      </c>
      <c r="N430" s="5" t="n">
        <v>73749</v>
      </c>
      <c r="O430" s="5" t="n">
        <v>2273</v>
      </c>
      <c r="P430" s="125" t="n">
        <v>23.66</v>
      </c>
      <c r="Q430" s="125" t="n">
        <v>4.15</v>
      </c>
      <c r="R430" s="5" t="n">
        <v>2458</v>
      </c>
      <c r="S430" s="125" t="n">
        <v>227.3</v>
      </c>
      <c r="T430" s="125">
        <f>(((E430*D430*D430)/4)-(((E430-G430)*(D430-F430-F430)*(D430-F430-F430))/4)+(4*(H430*H430*(D430/2-F430-(H430/2))-((PI()*H430*H430)/4*((D430/2)-F430-(H430-((4*H430)/(3*PI()))))))))/1000</f>
        <v/>
      </c>
      <c r="U430" s="125">
        <f>(((D430*E430*E430)/4)-(2*((D430-F430-F430)*(E430/2-(G430/2))*(((E430/2-(G430/2))/2)+(G430/2))))+(4*(((H430*H430)-(((PI()*H430*H430)/4)))*((H430-((4*H430)/(3*PI())))+(G430/2)))))/1000</f>
        <v/>
      </c>
      <c r="X430" s="129">
        <f t="array" ref="X430">_xlfn.IFS((D430/F430) &lt;= (640/SQRT($AT$32)), "Compact", L430 &lt;= ($AT$32*(0.79-(0.002*((E430-G430/2)/(2*F430))*SQRT($AT$32)))), "Non-Compact", L430 &gt; ($AT$32*(0.79-(0.002*((E430-G430/2)/(2*F430))*SQRT($AT$32)))), "Slender")</f>
        <v/>
      </c>
      <c r="Y430" s="129">
        <f t="array" ref="Y430">_xlfn.IFS(K430 &lt;= (65/SQRT($AT$32)), "Compact", K430 &lt;= (95/SQRT($AT$32)), "Non-Compact", K430 &gt; (95/SQRT($AT$32)), "Slender")</f>
        <v/>
      </c>
      <c r="Z430" s="125">
        <f>E430/F430</f>
        <v/>
      </c>
      <c r="AA430" s="125">
        <f>D430/G430</f>
        <v/>
      </c>
      <c r="AB430" s="125">
        <f t="array" ref="AB430">_xlfn.IFS(Z430 &lt;= 9, "1", Z430 &lt;= 12, "2", Z430 &lt;= 15, "3", Z430 &gt; 15, "4")</f>
        <v/>
      </c>
      <c r="AC430" s="125">
        <f t="array" ref="AC430">_xlfn.IFS(AA430 &lt;= 200, "1", L430 &lt;= 300, "2", L430 &lt;= 400, "3", L430 &gt; 400, "4")</f>
        <v/>
      </c>
      <c r="AE430" s="129">
        <f>SQRT((((VLOOKUP($AT$4,$A$4:$D$1021,4,FALSE))-D430)^2)+(((VLOOKUP($AT$4,$A$4:$E$1021,5,FALSE))-E430)^2)+(((VLOOKUP($AT$4,$A$4:$N$1021,14,FALSE))-N430)^2)+(((VLOOKUP($AT$4,$A$4:$O$1021,15,FALSE))-O430)^2))</f>
        <v/>
      </c>
      <c r="AG430" s="129" t="n"/>
      <c r="AH430" s="129">
        <f>SQRT((((VLOOKUP($AT$4,$A$4:$D$1021,4,FALSE))-D430)^2)+(((VLOOKUP($AT$4,$A$4:$E$1021,5,FALSE))-E430)^2)+(((VLOOKUP($AT$4,$A$4:$R$1021,18,FALSE))-R430)^2)+(((VLOOKUP($AT$4,$A$4:$S$1021,19,FALSE))-S430)^2))</f>
        <v/>
      </c>
      <c r="AJ430" s="125" t="inlineStr">
        <is>
          <t>HN600X103.4</t>
        </is>
      </c>
      <c r="AK430" s="125" t="n"/>
      <c r="AL430" s="125">
        <f>SQRT(((VLOOKUP($AT$4,$A$4:$J$1021,10,FALSE))-J430)^2)</f>
        <v/>
      </c>
      <c r="AM430" s="125" t="n"/>
      <c r="AN430" s="125" t="n"/>
      <c r="AO430" s="125">
        <f>SQRT(((VLOOKUP($AT$4,$A$4:$R$1021,18,FALSE))-R430)^2)</f>
        <v/>
      </c>
      <c r="AP430" s="125" t="n"/>
      <c r="AQ430" s="125" t="inlineStr">
        <is>
          <t>HN600</t>
        </is>
      </c>
      <c r="BB430" s="125">
        <f>SQRT(($J$1022-J430)^2)</f>
        <v/>
      </c>
      <c r="BC430" s="125">
        <f>SQRT(($R$1022-R430)^2)</f>
        <v/>
      </c>
      <c r="BD430" s="125" t="inlineStr">
        <is>
          <t>HN600</t>
        </is>
      </c>
      <c r="BI430">
        <f>SQRT(($J$1023-J430)^2)</f>
        <v/>
      </c>
      <c r="BJ430">
        <f>SQRT(($R$1023-R430)^2)</f>
        <v/>
      </c>
      <c r="BK430" s="125" t="inlineStr">
        <is>
          <t>HN600</t>
        </is>
      </c>
      <c r="BP430">
        <f>SQRT(($J$1024-J430)^2)</f>
        <v/>
      </c>
      <c r="BQ430">
        <f>SQRT(($R$1024-R430)^2)</f>
        <v/>
      </c>
      <c r="BR430" s="125" t="inlineStr">
        <is>
          <t>HN600</t>
        </is>
      </c>
      <c r="BW430">
        <f>SQRT(($J$1025-J430)^2)</f>
        <v/>
      </c>
      <c r="BX430">
        <f>SQRT(($R$1025-R430)^2)</f>
        <v/>
      </c>
      <c r="BY430" s="125" t="inlineStr">
        <is>
          <t>HN600</t>
        </is>
      </c>
      <c r="CD430">
        <f>SQRT(($J$1026-J430)^2)</f>
        <v/>
      </c>
      <c r="CE430">
        <f>SQRT(($R$1026-R430)^2)</f>
        <v/>
      </c>
      <c r="CF430" s="125" t="inlineStr">
        <is>
          <t>HN600</t>
        </is>
      </c>
    </row>
    <row r="431">
      <c r="A431" s="125" t="inlineStr">
        <is>
          <t>HN606</t>
        </is>
      </c>
      <c r="B431" s="129" t="inlineStr">
        <is>
          <t>GB</t>
        </is>
      </c>
      <c r="C431" s="125" t="inlineStr">
        <is>
          <t>117.6</t>
        </is>
      </c>
      <c r="D431" s="125" t="n">
        <v>606</v>
      </c>
      <c r="E431" s="125" t="n">
        <v>201</v>
      </c>
      <c r="F431" s="125" t="n">
        <v>20</v>
      </c>
      <c r="G431" s="125" t="n">
        <v>12</v>
      </c>
      <c r="H431" s="125" t="n">
        <v>13</v>
      </c>
      <c r="I431" s="125">
        <f>D431-(2*(H431+F431))</f>
        <v/>
      </c>
      <c r="J431" s="125" t="n">
        <v>149.77</v>
      </c>
      <c r="K431" s="125">
        <f>((E431-G431)/2)/F431</f>
        <v/>
      </c>
      <c r="L431" s="125">
        <f>I431/G431</f>
        <v/>
      </c>
      <c r="M431" s="125">
        <f>(E431*2+F431*4+((E431-G431)/2-H431)*4+2*PI()*H431+(D431-2*F431-2*H431)*2)/1000</f>
        <v/>
      </c>
      <c r="N431" s="5" t="n">
        <v>86656</v>
      </c>
      <c r="O431" s="5" t="n">
        <v>2716</v>
      </c>
      <c r="P431" s="125" t="n">
        <v>24.05</v>
      </c>
      <c r="Q431" s="125" t="n">
        <v>4.26</v>
      </c>
      <c r="R431" s="5" t="n">
        <v>2860</v>
      </c>
      <c r="S431" s="125" t="n">
        <v>270.2</v>
      </c>
      <c r="T431" s="125">
        <f>(((E431*D431*D431)/4)-(((E431-G431)*(D431-F431-F431)*(D431-F431-F431))/4)+(4*(H431*H431*(D431/2-F431-(H431/2))-((PI()*H431*H431)/4*((D431/2)-F431-(H431-((4*H431)/(3*PI()))))))))/1000</f>
        <v/>
      </c>
      <c r="U431" s="125">
        <f>(((D431*E431*E431)/4)-(2*((D431-F431-F431)*(E431/2-(G431/2))*(((E431/2-(G431/2))/2)+(G431/2))))+(4*(((H431*H431)-(((PI()*H431*H431)/4)))*((H431-((4*H431)/(3*PI())))+(G431/2)))))/1000</f>
        <v/>
      </c>
      <c r="X431" s="129">
        <f t="array" ref="X431">_xlfn.IFS((D431/F431) &lt;= (640/SQRT($AT$32)), "Compact", L431 &lt;= ($AT$32*(0.79-(0.002*((E431-G431/2)/(2*F431))*SQRT($AT$32)))), "Non-Compact", L431 &gt; ($AT$32*(0.79-(0.002*((E431-G431/2)/(2*F431))*SQRT($AT$32)))), "Slender")</f>
        <v/>
      </c>
      <c r="Y431" s="129">
        <f t="array" ref="Y431">_xlfn.IFS(K431 &lt;= (65/SQRT($AT$32)), "Compact", K431 &lt;= (95/SQRT($AT$32)), "Non-Compact", K431 &gt; (95/SQRT($AT$32)), "Slender")</f>
        <v/>
      </c>
      <c r="Z431" s="125">
        <f>E431/F431</f>
        <v/>
      </c>
      <c r="AA431" s="125">
        <f>D431/G431</f>
        <v/>
      </c>
      <c r="AB431" s="125">
        <f t="array" ref="AB431">_xlfn.IFS(Z431 &lt;= 9, "1", Z431 &lt;= 12, "2", Z431 &lt;= 15, "3", Z431 &gt; 15, "4")</f>
        <v/>
      </c>
      <c r="AC431" s="125">
        <f t="array" ref="AC431">_xlfn.IFS(AA431 &lt;= 200, "1", L431 &lt;= 300, "2", L431 &lt;= 400, "3", L431 &gt; 400, "4")</f>
        <v/>
      </c>
      <c r="AE431" s="129">
        <f>SQRT((((VLOOKUP($AT$4,$A$4:$D$1021,4,FALSE))-D431)^2)+(((VLOOKUP($AT$4,$A$4:$E$1021,5,FALSE))-E431)^2)+(((VLOOKUP($AT$4,$A$4:$N$1021,14,FALSE))-N431)^2)+(((VLOOKUP($AT$4,$A$4:$O$1021,15,FALSE))-O431)^2))</f>
        <v/>
      </c>
      <c r="AG431" s="129" t="n"/>
      <c r="AH431" s="129">
        <f>SQRT((((VLOOKUP($AT$4,$A$4:$D$1021,4,FALSE))-D431)^2)+(((VLOOKUP($AT$4,$A$4:$E$1021,5,FALSE))-E431)^2)+(((VLOOKUP($AT$4,$A$4:$R$1021,18,FALSE))-R431)^2)+(((VLOOKUP($AT$4,$A$4:$S$1021,19,FALSE))-S431)^2))</f>
        <v/>
      </c>
      <c r="AJ431" s="125" t="inlineStr">
        <is>
          <t>HN600X117.6</t>
        </is>
      </c>
      <c r="AK431" s="125" t="n"/>
      <c r="AL431" s="125">
        <f>SQRT(((VLOOKUP($AT$4,$A$4:$J$1021,10,FALSE))-J431)^2)</f>
        <v/>
      </c>
      <c r="AM431" s="125" t="n"/>
      <c r="AN431" s="125" t="n"/>
      <c r="AO431" s="125">
        <f>SQRT(((VLOOKUP($AT$4,$A$4:$R$1021,18,FALSE))-R431)^2)</f>
        <v/>
      </c>
      <c r="AP431" s="125" t="n"/>
      <c r="AQ431" s="125" t="inlineStr">
        <is>
          <t>HN606</t>
        </is>
      </c>
      <c r="BB431" s="125">
        <f>SQRT(($J$1022-J431)^2)</f>
        <v/>
      </c>
      <c r="BC431" s="125">
        <f>SQRT(($R$1022-R431)^2)</f>
        <v/>
      </c>
      <c r="BD431" s="125" t="inlineStr">
        <is>
          <t>HN606</t>
        </is>
      </c>
      <c r="BI431">
        <f>SQRT(($J$1023-J431)^2)</f>
        <v/>
      </c>
      <c r="BJ431">
        <f>SQRT(($R$1023-R431)^2)</f>
        <v/>
      </c>
      <c r="BK431" s="125" t="inlineStr">
        <is>
          <t>HN606</t>
        </is>
      </c>
      <c r="BP431">
        <f>SQRT(($J$1024-J431)^2)</f>
        <v/>
      </c>
      <c r="BQ431">
        <f>SQRT(($R$1024-R431)^2)</f>
        <v/>
      </c>
      <c r="BR431" s="125" t="inlineStr">
        <is>
          <t>HN606</t>
        </is>
      </c>
      <c r="BW431">
        <f>SQRT(($J$1025-J431)^2)</f>
        <v/>
      </c>
      <c r="BX431">
        <f>SQRT(($R$1025-R431)^2)</f>
        <v/>
      </c>
      <c r="BY431" s="125" t="inlineStr">
        <is>
          <t>HN606</t>
        </is>
      </c>
      <c r="CD431">
        <f>SQRT(($J$1026-J431)^2)</f>
        <v/>
      </c>
      <c r="CE431">
        <f>SQRT(($R$1026-R431)^2)</f>
        <v/>
      </c>
      <c r="CF431" s="125" t="inlineStr">
        <is>
          <t>HN606</t>
        </is>
      </c>
    </row>
    <row r="432">
      <c r="A432" s="125" t="inlineStr">
        <is>
          <t>HN646</t>
        </is>
      </c>
      <c r="B432" s="129" t="inlineStr">
        <is>
          <t>GB</t>
        </is>
      </c>
      <c r="C432" s="125" t="inlineStr">
        <is>
          <t>119.9</t>
        </is>
      </c>
      <c r="D432" s="125" t="n">
        <v>646</v>
      </c>
      <c r="E432" s="125" t="n">
        <v>299</v>
      </c>
      <c r="F432" s="125" t="n">
        <v>15</v>
      </c>
      <c r="G432" s="125" t="n">
        <v>10</v>
      </c>
      <c r="H432" s="125" t="n">
        <v>13</v>
      </c>
      <c r="I432" s="125">
        <f>D432-(2*(H432+F432))</f>
        <v/>
      </c>
      <c r="J432" s="125" t="n">
        <v>152.75</v>
      </c>
      <c r="K432" s="125">
        <f>((E432-G432)/2)/F432</f>
        <v/>
      </c>
      <c r="L432" s="125">
        <f>I432/G432</f>
        <v/>
      </c>
      <c r="M432" s="125">
        <f>(E432*2+F432*4+((E432-G432)/2-H432)*4+2*PI()*H432+(D432-2*F432-2*H432)*2)/1000</f>
        <v/>
      </c>
      <c r="N432" s="5" t="n">
        <v>107794</v>
      </c>
      <c r="O432" s="5" t="n">
        <v>6688</v>
      </c>
      <c r="P432" s="125" t="n">
        <v>26.56</v>
      </c>
      <c r="Q432" s="125" t="n">
        <v>6.62</v>
      </c>
      <c r="R432" s="5" t="n">
        <v>3337</v>
      </c>
      <c r="S432" s="125" t="n">
        <v>447.4</v>
      </c>
      <c r="T432" s="125">
        <f>(((E432*D432*D432)/4)-(((E432-G432)*(D432-F432-F432)*(D432-F432-F432))/4)+(4*(H432*H432*(D432/2-F432-(H432/2))-((PI()*H432*H432)/4*((D432/2)-F432-(H432-((4*H432)/(3*PI()))))))))/1000</f>
        <v/>
      </c>
      <c r="U432" s="125">
        <f>(((D432*E432*E432)/4)-(2*((D432-F432-F432)*(E432/2-(G432/2))*(((E432/2-(G432/2))/2)+(G432/2))))+(4*(((H432*H432)-(((PI()*H432*H432)/4)))*((H432-((4*H432)/(3*PI())))+(G432/2)))))/1000</f>
        <v/>
      </c>
      <c r="X432" s="129">
        <f t="array" ref="X432">_xlfn.IFS((D432/F432) &lt;= (640/SQRT($AT$32)), "Compact", L432 &lt;= ($AT$32*(0.79-(0.002*((E432-G432/2)/(2*F432))*SQRT($AT$32)))), "Non-Compact", L432 &gt; ($AT$32*(0.79-(0.002*((E432-G432/2)/(2*F432))*SQRT($AT$32)))), "Slender")</f>
        <v/>
      </c>
      <c r="Y432" s="129">
        <f t="array" ref="Y432">_xlfn.IFS(K432 &lt;= (65/SQRT($AT$32)), "Compact", K432 &lt;= (95/SQRT($AT$32)), "Non-Compact", K432 &gt; (95/SQRT($AT$32)), "Slender")</f>
        <v/>
      </c>
      <c r="Z432" s="125">
        <f>E432/F432</f>
        <v/>
      </c>
      <c r="AA432" s="125">
        <f>D432/G432</f>
        <v/>
      </c>
      <c r="AB432" s="125">
        <f t="array" ref="AB432">_xlfn.IFS(Z432 &lt;= 9, "1", Z432 &lt;= 12, "2", Z432 &lt;= 15, "3", Z432 &gt; 15, "4")</f>
        <v/>
      </c>
      <c r="AC432" s="125">
        <f t="array" ref="AC432">_xlfn.IFS(AA432 &lt;= 200, "1", L432 &lt;= 300, "2", L432 &lt;= 400, "3", L432 &gt; 400, "4")</f>
        <v/>
      </c>
      <c r="AE432" s="129">
        <f>SQRT((((VLOOKUP($AT$4,$A$4:$D$1021,4,FALSE))-D432)^2)+(((VLOOKUP($AT$4,$A$4:$E$1021,5,FALSE))-E432)^2)+(((VLOOKUP($AT$4,$A$4:$N$1021,14,FALSE))-N432)^2)+(((VLOOKUP($AT$4,$A$4:$O$1021,15,FALSE))-O432)^2))</f>
        <v/>
      </c>
      <c r="AG432" s="129" t="n"/>
      <c r="AH432" s="129">
        <f>SQRT((((VLOOKUP($AT$4,$A$4:$D$1021,4,FALSE))-D432)^2)+(((VLOOKUP($AT$4,$A$4:$E$1021,5,FALSE))-E432)^2)+(((VLOOKUP($AT$4,$A$4:$R$1021,18,FALSE))-R432)^2)+(((VLOOKUP($AT$4,$A$4:$S$1021,19,FALSE))-S432)^2))</f>
        <v/>
      </c>
      <c r="AJ432" s="125" t="inlineStr">
        <is>
          <t>HN650X119.9</t>
        </is>
      </c>
      <c r="AK432" s="125" t="n"/>
      <c r="AL432" s="125">
        <f>SQRT(((VLOOKUP($AT$4,$A$4:$J$1021,10,FALSE))-J432)^2)</f>
        <v/>
      </c>
      <c r="AM432" s="125" t="n"/>
      <c r="AN432" s="125" t="n"/>
      <c r="AO432" s="125">
        <f>SQRT(((VLOOKUP($AT$4,$A$4:$R$1021,18,FALSE))-R432)^2)</f>
        <v/>
      </c>
      <c r="AP432" s="125" t="n"/>
      <c r="AQ432" s="125" t="inlineStr">
        <is>
          <t>HN646</t>
        </is>
      </c>
      <c r="BB432" s="125">
        <f>SQRT(($J$1022-J432)^2)</f>
        <v/>
      </c>
      <c r="BC432" s="125">
        <f>SQRT(($R$1022-R432)^2)</f>
        <v/>
      </c>
      <c r="BD432" s="125" t="inlineStr">
        <is>
          <t>HN646</t>
        </is>
      </c>
      <c r="BI432">
        <f>SQRT(($J$1023-J432)^2)</f>
        <v/>
      </c>
      <c r="BJ432">
        <f>SQRT(($R$1023-R432)^2)</f>
        <v/>
      </c>
      <c r="BK432" s="125" t="inlineStr">
        <is>
          <t>HN646</t>
        </is>
      </c>
      <c r="BP432">
        <f>SQRT(($J$1024-J432)^2)</f>
        <v/>
      </c>
      <c r="BQ432">
        <f>SQRT(($R$1024-R432)^2)</f>
        <v/>
      </c>
      <c r="BR432" s="125" t="inlineStr">
        <is>
          <t>HN646</t>
        </is>
      </c>
      <c r="BW432">
        <f>SQRT(($J$1025-J432)^2)</f>
        <v/>
      </c>
      <c r="BX432">
        <f>SQRT(($R$1025-R432)^2)</f>
        <v/>
      </c>
      <c r="BY432" s="125" t="inlineStr">
        <is>
          <t>HN646</t>
        </is>
      </c>
      <c r="CD432">
        <f>SQRT(($J$1026-J432)^2)</f>
        <v/>
      </c>
      <c r="CE432">
        <f>SQRT(($R$1026-R432)^2)</f>
        <v/>
      </c>
      <c r="CF432" s="125" t="inlineStr">
        <is>
          <t>HN646</t>
        </is>
      </c>
    </row>
    <row r="433">
      <c r="A433" s="125" t="inlineStr">
        <is>
          <t>HN650</t>
        </is>
      </c>
      <c r="B433" s="129" t="inlineStr">
        <is>
          <t>GB</t>
        </is>
      </c>
      <c r="C433" s="125" t="inlineStr">
        <is>
          <t>134.4</t>
        </is>
      </c>
      <c r="D433" s="125" t="n">
        <v>650</v>
      </c>
      <c r="E433" s="125" t="n">
        <v>300</v>
      </c>
      <c r="F433" s="125" t="n">
        <v>17</v>
      </c>
      <c r="G433" s="125" t="n">
        <v>11</v>
      </c>
      <c r="H433" s="125" t="n">
        <v>13</v>
      </c>
      <c r="I433" s="125">
        <f>D433-(2*(H433+F433))</f>
        <v/>
      </c>
      <c r="J433" s="125" t="n">
        <v>171.21</v>
      </c>
      <c r="K433" s="125">
        <f>((E433-G433)/2)/F433</f>
        <v/>
      </c>
      <c r="L433" s="125">
        <f>I433/G433</f>
        <v/>
      </c>
      <c r="M433" s="125">
        <f>(E433*2+F433*4+((E433-G433)/2-H433)*4+2*PI()*H433+(D433-2*F433-2*H433)*2)/1000</f>
        <v/>
      </c>
      <c r="N433" s="5" t="n">
        <v>122739</v>
      </c>
      <c r="O433" s="5" t="n">
        <v>7657</v>
      </c>
      <c r="P433" s="125" t="n">
        <v>26.77</v>
      </c>
      <c r="Q433" s="125" t="n">
        <v>6.69</v>
      </c>
      <c r="R433" s="5" t="n">
        <v>3777</v>
      </c>
      <c r="S433" s="125" t="n">
        <v>510.5</v>
      </c>
      <c r="T433" s="125">
        <f>(((E433*D433*D433)/4)-(((E433-G433)*(D433-F433-F433)*(D433-F433-F433))/4)+(4*(H433*H433*(D433/2-F433-(H433/2))-((PI()*H433*H433)/4*((D433/2)-F433-(H433-((4*H433)/(3*PI()))))))))/1000</f>
        <v/>
      </c>
      <c r="U433" s="125">
        <f>(((D433*E433*E433)/4)-(2*((D433-F433-F433)*(E433/2-(G433/2))*(((E433/2-(G433/2))/2)+(G433/2))))+(4*(((H433*H433)-(((PI()*H433*H433)/4)))*((H433-((4*H433)/(3*PI())))+(G433/2)))))/1000</f>
        <v/>
      </c>
      <c r="X433" s="129">
        <f t="array" ref="X433">_xlfn.IFS((D433/F433) &lt;= (640/SQRT($AT$32)), "Compact", L433 &lt;= ($AT$32*(0.79-(0.002*((E433-G433/2)/(2*F433))*SQRT($AT$32)))), "Non-Compact", L433 &gt; ($AT$32*(0.79-(0.002*((E433-G433/2)/(2*F433))*SQRT($AT$32)))), "Slender")</f>
        <v/>
      </c>
      <c r="Y433" s="129">
        <f t="array" ref="Y433">_xlfn.IFS(K433 &lt;= (65/SQRT($AT$32)), "Compact", K433 &lt;= (95/SQRT($AT$32)), "Non-Compact", K433 &gt; (95/SQRT($AT$32)), "Slender")</f>
        <v/>
      </c>
      <c r="Z433" s="125">
        <f>E433/F433</f>
        <v/>
      </c>
      <c r="AA433" s="125">
        <f>D433/G433</f>
        <v/>
      </c>
      <c r="AB433" s="125">
        <f t="array" ref="AB433">_xlfn.IFS(Z433 &lt;= 9, "1", Z433 &lt;= 12, "2", Z433 &lt;= 15, "3", Z433 &gt; 15, "4")</f>
        <v/>
      </c>
      <c r="AC433" s="125">
        <f t="array" ref="AC433">_xlfn.IFS(AA433 &lt;= 200, "1", L433 &lt;= 300, "2", L433 &lt;= 400, "3", L433 &gt; 400, "4")</f>
        <v/>
      </c>
      <c r="AE433" s="129">
        <f>SQRT((((VLOOKUP($AT$4,$A$4:$D$1021,4,FALSE))-D433)^2)+(((VLOOKUP($AT$4,$A$4:$E$1021,5,FALSE))-E433)^2)+(((VLOOKUP($AT$4,$A$4:$N$1021,14,FALSE))-N433)^2)+(((VLOOKUP($AT$4,$A$4:$O$1021,15,FALSE))-O433)^2))</f>
        <v/>
      </c>
      <c r="AG433" s="129" t="n"/>
      <c r="AH433" s="129">
        <f>SQRT((((VLOOKUP($AT$4,$A$4:$D$1021,4,FALSE))-D433)^2)+(((VLOOKUP($AT$4,$A$4:$E$1021,5,FALSE))-E433)^2)+(((VLOOKUP($AT$4,$A$4:$R$1021,18,FALSE))-R433)^2)+(((VLOOKUP($AT$4,$A$4:$S$1021,19,FALSE))-S433)^2))</f>
        <v/>
      </c>
      <c r="AJ433" s="125" t="inlineStr">
        <is>
          <t>HN650X134.4</t>
        </is>
      </c>
      <c r="AK433" s="125" t="n"/>
      <c r="AL433" s="125">
        <f>SQRT(((VLOOKUP($AT$4,$A$4:$J$1021,10,FALSE))-J433)^2)</f>
        <v/>
      </c>
      <c r="AM433" s="125" t="n"/>
      <c r="AN433" s="125" t="n"/>
      <c r="AO433" s="125">
        <f>SQRT(((VLOOKUP($AT$4,$A$4:$R$1021,18,FALSE))-R433)^2)</f>
        <v/>
      </c>
      <c r="AP433" s="125" t="n"/>
      <c r="AQ433" s="125" t="inlineStr">
        <is>
          <t>HN650</t>
        </is>
      </c>
      <c r="BB433" s="125">
        <f>SQRT(($J$1022-J433)^2)</f>
        <v/>
      </c>
      <c r="BC433" s="125">
        <f>SQRT(($R$1022-R433)^2)</f>
        <v/>
      </c>
      <c r="BD433" s="125" t="inlineStr">
        <is>
          <t>HN650</t>
        </is>
      </c>
      <c r="BI433">
        <f>SQRT(($J$1023-J433)^2)</f>
        <v/>
      </c>
      <c r="BJ433">
        <f>SQRT(($R$1023-R433)^2)</f>
        <v/>
      </c>
      <c r="BK433" s="125" t="inlineStr">
        <is>
          <t>HN650</t>
        </is>
      </c>
      <c r="BP433">
        <f>SQRT(($J$1024-J433)^2)</f>
        <v/>
      </c>
      <c r="BQ433">
        <f>SQRT(($R$1024-R433)^2)</f>
        <v/>
      </c>
      <c r="BR433" s="125" t="inlineStr">
        <is>
          <t>HN650</t>
        </is>
      </c>
      <c r="BW433">
        <f>SQRT(($J$1025-J433)^2)</f>
        <v/>
      </c>
      <c r="BX433">
        <f>SQRT(($R$1025-R433)^2)</f>
        <v/>
      </c>
      <c r="BY433" s="125" t="inlineStr">
        <is>
          <t>HN650</t>
        </is>
      </c>
      <c r="CD433">
        <f>SQRT(($J$1026-J433)^2)</f>
        <v/>
      </c>
      <c r="CE433">
        <f>SQRT(($R$1026-R433)^2)</f>
        <v/>
      </c>
      <c r="CF433" s="125" t="inlineStr">
        <is>
          <t>HN650</t>
        </is>
      </c>
    </row>
    <row r="434">
      <c r="A434" s="125" t="inlineStr">
        <is>
          <t>HN656</t>
        </is>
      </c>
      <c r="B434" s="129" t="inlineStr">
        <is>
          <t>GB</t>
        </is>
      </c>
      <c r="C434" s="125" t="inlineStr">
        <is>
          <t>153.7</t>
        </is>
      </c>
      <c r="D434" s="125" t="n">
        <v>656</v>
      </c>
      <c r="E434" s="125" t="n">
        <v>301</v>
      </c>
      <c r="F434" s="125" t="n">
        <v>20</v>
      </c>
      <c r="G434" s="125" t="n">
        <v>12</v>
      </c>
      <c r="H434" s="125" t="n">
        <v>13</v>
      </c>
      <c r="I434" s="125">
        <f>D434-(2*(H434+F434))</f>
        <v/>
      </c>
      <c r="J434" s="125" t="n">
        <v>195.77</v>
      </c>
      <c r="K434" s="125">
        <f>((E434-G434)/2)/F434</f>
        <v/>
      </c>
      <c r="L434" s="125">
        <f>I434/G434</f>
        <v/>
      </c>
      <c r="M434" s="125">
        <f>(E434*2+F434*4+((E434-G434)/2-H434)*4+2*PI()*H434+(D434-2*F434-2*H434)*2)/1000</f>
        <v/>
      </c>
      <c r="N434" s="5" t="n">
        <v>144433</v>
      </c>
      <c r="O434" s="5" t="n">
        <v>9100</v>
      </c>
      <c r="P434" s="125" t="n">
        <v>27.16</v>
      </c>
      <c r="Q434" s="125" t="n">
        <v>6.82</v>
      </c>
      <c r="R434" s="5" t="n">
        <v>4403</v>
      </c>
      <c r="S434" s="125" t="n">
        <v>604.6</v>
      </c>
      <c r="T434" s="125">
        <f>(((E434*D434*D434)/4)-(((E434-G434)*(D434-F434-F434)*(D434-F434-F434))/4)+(4*(H434*H434*(D434/2-F434-(H434/2))-((PI()*H434*H434)/4*((D434/2)-F434-(H434-((4*H434)/(3*PI()))))))))/1000</f>
        <v/>
      </c>
      <c r="U434" s="125">
        <f>(((D434*E434*E434)/4)-(2*((D434-F434-F434)*(E434/2-(G434/2))*(((E434/2-(G434/2))/2)+(G434/2))))+(4*(((H434*H434)-(((PI()*H434*H434)/4)))*((H434-((4*H434)/(3*PI())))+(G434/2)))))/1000</f>
        <v/>
      </c>
      <c r="X434" s="129">
        <f t="array" ref="X434">_xlfn.IFS((D434/F434) &lt;= (640/SQRT($AT$32)), "Compact", L434 &lt;= ($AT$32*(0.79-(0.002*((E434-G434/2)/(2*F434))*SQRT($AT$32)))), "Non-Compact", L434 &gt; ($AT$32*(0.79-(0.002*((E434-G434/2)/(2*F434))*SQRT($AT$32)))), "Slender")</f>
        <v/>
      </c>
      <c r="Y434" s="129">
        <f t="array" ref="Y434">_xlfn.IFS(K434 &lt;= (65/SQRT($AT$32)), "Compact", K434 &lt;= (95/SQRT($AT$32)), "Non-Compact", K434 &gt; (95/SQRT($AT$32)), "Slender")</f>
        <v/>
      </c>
      <c r="Z434" s="125">
        <f>E434/F434</f>
        <v/>
      </c>
      <c r="AA434" s="125">
        <f>D434/G434</f>
        <v/>
      </c>
      <c r="AB434" s="125">
        <f t="array" ref="AB434">_xlfn.IFS(Z434 &lt;= 9, "1", Z434 &lt;= 12, "2", Z434 &lt;= 15, "3", Z434 &gt; 15, "4")</f>
        <v/>
      </c>
      <c r="AC434" s="125">
        <f t="array" ref="AC434">_xlfn.IFS(AA434 &lt;= 200, "1", L434 &lt;= 300, "2", L434 &lt;= 400, "3", L434 &gt; 400, "4")</f>
        <v/>
      </c>
      <c r="AE434" s="129">
        <f>SQRT((((VLOOKUP($AT$4,$A$4:$D$1021,4,FALSE))-D434)^2)+(((VLOOKUP($AT$4,$A$4:$E$1021,5,FALSE))-E434)^2)+(((VLOOKUP($AT$4,$A$4:$N$1021,14,FALSE))-N434)^2)+(((VLOOKUP($AT$4,$A$4:$O$1021,15,FALSE))-O434)^2))</f>
        <v/>
      </c>
      <c r="AG434" s="129" t="n"/>
      <c r="AH434" s="129">
        <f>SQRT((((VLOOKUP($AT$4,$A$4:$D$1021,4,FALSE))-D434)^2)+(((VLOOKUP($AT$4,$A$4:$E$1021,5,FALSE))-E434)^2)+(((VLOOKUP($AT$4,$A$4:$R$1021,18,FALSE))-R434)^2)+(((VLOOKUP($AT$4,$A$4:$S$1021,19,FALSE))-S434)^2))</f>
        <v/>
      </c>
      <c r="AJ434" s="125" t="inlineStr">
        <is>
          <t>HN650X153.7</t>
        </is>
      </c>
      <c r="AK434" s="125" t="n"/>
      <c r="AL434" s="125">
        <f>SQRT(((VLOOKUP($AT$4,$A$4:$J$1021,10,FALSE))-J434)^2)</f>
        <v/>
      </c>
      <c r="AM434" s="125" t="n"/>
      <c r="AN434" s="125" t="n"/>
      <c r="AO434" s="125">
        <f>SQRT(((VLOOKUP($AT$4,$A$4:$R$1021,18,FALSE))-R434)^2)</f>
        <v/>
      </c>
      <c r="AP434" s="125" t="n"/>
      <c r="AQ434" s="125" t="inlineStr">
        <is>
          <t>HN656</t>
        </is>
      </c>
      <c r="BB434" s="125">
        <f>SQRT(($J$1022-J434)^2)</f>
        <v/>
      </c>
      <c r="BC434" s="125">
        <f>SQRT(($R$1022-R434)^2)</f>
        <v/>
      </c>
      <c r="BD434" s="125" t="inlineStr">
        <is>
          <t>HN656</t>
        </is>
      </c>
      <c r="BI434">
        <f>SQRT(($J$1023-J434)^2)</f>
        <v/>
      </c>
      <c r="BJ434">
        <f>SQRT(($R$1023-R434)^2)</f>
        <v/>
      </c>
      <c r="BK434" s="125" t="inlineStr">
        <is>
          <t>HN656</t>
        </is>
      </c>
      <c r="BP434">
        <f>SQRT(($J$1024-J434)^2)</f>
        <v/>
      </c>
      <c r="BQ434">
        <f>SQRT(($R$1024-R434)^2)</f>
        <v/>
      </c>
      <c r="BR434" s="125" t="inlineStr">
        <is>
          <t>HN656</t>
        </is>
      </c>
      <c r="BW434">
        <f>SQRT(($J$1025-J434)^2)</f>
        <v/>
      </c>
      <c r="BX434">
        <f>SQRT(($R$1025-R434)^2)</f>
        <v/>
      </c>
      <c r="BY434" s="125" t="inlineStr">
        <is>
          <t>HN656</t>
        </is>
      </c>
      <c r="CD434">
        <f>SQRT(($J$1026-J434)^2)</f>
        <v/>
      </c>
      <c r="CE434">
        <f>SQRT(($R$1026-R434)^2)</f>
        <v/>
      </c>
      <c r="CF434" s="125" t="inlineStr">
        <is>
          <t>HN656</t>
        </is>
      </c>
    </row>
    <row r="435">
      <c r="A435" s="125" t="inlineStr">
        <is>
          <t>HN692</t>
        </is>
      </c>
      <c r="B435" s="129" t="inlineStr">
        <is>
          <t>GB</t>
        </is>
      </c>
      <c r="C435" s="125" t="inlineStr">
        <is>
          <t>162.9</t>
        </is>
      </c>
      <c r="D435" s="125" t="n">
        <v>692</v>
      </c>
      <c r="E435" s="125" t="n">
        <v>300</v>
      </c>
      <c r="F435" s="125" t="n">
        <v>20</v>
      </c>
      <c r="G435" s="125" t="n">
        <v>13</v>
      </c>
      <c r="H435" s="125" t="n">
        <v>18</v>
      </c>
      <c r="I435" s="125">
        <f>D435-(2*(H435+F435))</f>
        <v/>
      </c>
      <c r="J435" s="125" t="n">
        <v>207.54</v>
      </c>
      <c r="K435" s="125">
        <f>((E435-G435)/2)/F435</f>
        <v/>
      </c>
      <c r="L435" s="125">
        <f>I435/G435</f>
        <v/>
      </c>
      <c r="M435" s="125">
        <f>(E435*2+F435*4+((E435-G435)/2-H435)*4+2*PI()*H435+(D435-2*F435-2*H435)*2)/1000</f>
        <v/>
      </c>
      <c r="N435" s="5" t="n">
        <v>164101</v>
      </c>
      <c r="O435" s="5" t="n">
        <v>9014</v>
      </c>
      <c r="P435" s="125" t="n">
        <v>28.12</v>
      </c>
      <c r="Q435" s="125" t="n">
        <v>6.59</v>
      </c>
      <c r="R435" s="5" t="n">
        <v>4743</v>
      </c>
      <c r="S435" s="125" t="n">
        <v>600.9</v>
      </c>
      <c r="T435" s="125">
        <f>(((E435*D435*D435)/4)-(((E435-G435)*(D435-F435-F435)*(D435-F435-F435))/4)+(4*(H435*H435*(D435/2-F435-(H435/2))-((PI()*H435*H435)/4*((D435/2)-F435-(H435-((4*H435)/(3*PI()))))))))/1000</f>
        <v/>
      </c>
      <c r="U435" s="125">
        <f>(((D435*E435*E435)/4)-(2*((D435-F435-F435)*(E435/2-(G435/2))*(((E435/2-(G435/2))/2)+(G435/2))))+(4*(((H435*H435)-(((PI()*H435*H435)/4)))*((H435-((4*H435)/(3*PI())))+(G435/2)))))/1000</f>
        <v/>
      </c>
      <c r="X435" s="129">
        <f t="array" ref="X435">_xlfn.IFS((D435/F435) &lt;= (640/SQRT($AT$32)), "Compact", L435 &lt;= ($AT$32*(0.79-(0.002*((E435-G435/2)/(2*F435))*SQRT($AT$32)))), "Non-Compact", L435 &gt; ($AT$32*(0.79-(0.002*((E435-G435/2)/(2*F435))*SQRT($AT$32)))), "Slender")</f>
        <v/>
      </c>
      <c r="Y435" s="129">
        <f t="array" ref="Y435">_xlfn.IFS(K435 &lt;= (65/SQRT($AT$32)), "Compact", K435 &lt;= (95/SQRT($AT$32)), "Non-Compact", K435 &gt; (95/SQRT($AT$32)), "Slender")</f>
        <v/>
      </c>
      <c r="Z435" s="125">
        <f>E435/F435</f>
        <v/>
      </c>
      <c r="AA435" s="125">
        <f>D435/G435</f>
        <v/>
      </c>
      <c r="AB435" s="125">
        <f t="array" ref="AB435">_xlfn.IFS(Z435 &lt;= 9, "1", Z435 &lt;= 12, "2", Z435 &lt;= 15, "3", Z435 &gt; 15, "4")</f>
        <v/>
      </c>
      <c r="AC435" s="125">
        <f t="array" ref="AC435">_xlfn.IFS(AA435 &lt;= 200, "1", L435 &lt;= 300, "2", L435 &lt;= 400, "3", L435 &gt; 400, "4")</f>
        <v/>
      </c>
      <c r="AE435" s="129">
        <f>SQRT((((VLOOKUP($AT$4,$A$4:$D$1021,4,FALSE))-D435)^2)+(((VLOOKUP($AT$4,$A$4:$E$1021,5,FALSE))-E435)^2)+(((VLOOKUP($AT$4,$A$4:$N$1021,14,FALSE))-N435)^2)+(((VLOOKUP($AT$4,$A$4:$O$1021,15,FALSE))-O435)^2))</f>
        <v/>
      </c>
      <c r="AG435" s="129" t="n"/>
      <c r="AH435" s="129">
        <f>SQRT((((VLOOKUP($AT$4,$A$4:$D$1021,4,FALSE))-D435)^2)+(((VLOOKUP($AT$4,$A$4:$E$1021,5,FALSE))-E435)^2)+(((VLOOKUP($AT$4,$A$4:$R$1021,18,FALSE))-R435)^2)+(((VLOOKUP($AT$4,$A$4:$S$1021,19,FALSE))-S435)^2))</f>
        <v/>
      </c>
      <c r="AJ435" s="125" t="inlineStr">
        <is>
          <t>HN700X162.9</t>
        </is>
      </c>
      <c r="AK435" s="125" t="n"/>
      <c r="AL435" s="125">
        <f>SQRT(((VLOOKUP($AT$4,$A$4:$J$1021,10,FALSE))-J435)^2)</f>
        <v/>
      </c>
      <c r="AM435" s="125" t="n"/>
      <c r="AN435" s="125" t="n"/>
      <c r="AO435" s="125">
        <f>SQRT(((VLOOKUP($AT$4,$A$4:$R$1021,18,FALSE))-R435)^2)</f>
        <v/>
      </c>
      <c r="AP435" s="125" t="n"/>
      <c r="AQ435" s="125" t="inlineStr">
        <is>
          <t>HN692</t>
        </is>
      </c>
      <c r="BB435" s="125">
        <f>SQRT(($J$1022-J435)^2)</f>
        <v/>
      </c>
      <c r="BC435" s="125">
        <f>SQRT(($R$1022-R435)^2)</f>
        <v/>
      </c>
      <c r="BD435" s="125" t="inlineStr">
        <is>
          <t>HN692</t>
        </is>
      </c>
      <c r="BI435">
        <f>SQRT(($J$1023-J435)^2)</f>
        <v/>
      </c>
      <c r="BJ435">
        <f>SQRT(($R$1023-R435)^2)</f>
        <v/>
      </c>
      <c r="BK435" s="125" t="inlineStr">
        <is>
          <t>HN692</t>
        </is>
      </c>
      <c r="BP435">
        <f>SQRT(($J$1024-J435)^2)</f>
        <v/>
      </c>
      <c r="BQ435">
        <f>SQRT(($R$1024-R435)^2)</f>
        <v/>
      </c>
      <c r="BR435" s="125" t="inlineStr">
        <is>
          <t>HN692</t>
        </is>
      </c>
      <c r="BW435">
        <f>SQRT(($J$1025-J435)^2)</f>
        <v/>
      </c>
      <c r="BX435">
        <f>SQRT(($R$1025-R435)^2)</f>
        <v/>
      </c>
      <c r="BY435" s="125" t="inlineStr">
        <is>
          <t>HN692</t>
        </is>
      </c>
      <c r="CD435">
        <f>SQRT(($J$1026-J435)^2)</f>
        <v/>
      </c>
      <c r="CE435">
        <f>SQRT(($R$1026-R435)^2)</f>
        <v/>
      </c>
      <c r="CF435" s="125" t="inlineStr">
        <is>
          <t>HN692</t>
        </is>
      </c>
    </row>
    <row r="436">
      <c r="A436" s="125" t="inlineStr">
        <is>
          <t>HN700</t>
        </is>
      </c>
      <c r="B436" s="129" t="inlineStr">
        <is>
          <t>GB</t>
        </is>
      </c>
      <c r="C436" s="125" t="inlineStr">
        <is>
          <t>181.8</t>
        </is>
      </c>
      <c r="D436" s="125" t="n">
        <v>700</v>
      </c>
      <c r="E436" s="125" t="n">
        <v>300</v>
      </c>
      <c r="F436" s="125" t="n">
        <v>24</v>
      </c>
      <c r="G436" s="125" t="n">
        <v>13</v>
      </c>
      <c r="H436" s="125" t="n">
        <v>18</v>
      </c>
      <c r="I436" s="125">
        <f>D436-(2*(H436+F436))</f>
        <v/>
      </c>
      <c r="J436" s="125" t="n">
        <v>231.54</v>
      </c>
      <c r="K436" s="125">
        <f>((E436-G436)/2)/F436</f>
        <v/>
      </c>
      <c r="L436" s="125">
        <f>I436/G436</f>
        <v/>
      </c>
      <c r="M436" s="125">
        <f>(E436*2+F436*4+((E436-G436)/2-H436)*4+2*PI()*H436+(D436-2*F436-2*H436)*2)/1000</f>
        <v/>
      </c>
      <c r="N436" s="5" t="n">
        <v>193622</v>
      </c>
      <c r="O436" s="5" t="n">
        <v>10814</v>
      </c>
      <c r="P436" s="125" t="n">
        <v>28.92</v>
      </c>
      <c r="Q436" s="125" t="n">
        <v>6.83</v>
      </c>
      <c r="R436" s="5" t="n">
        <v>5532</v>
      </c>
      <c r="S436" s="125" t="n">
        <v>720.9</v>
      </c>
      <c r="T436" s="125">
        <f>(((E436*D436*D436)/4)-(((E436-G436)*(D436-F436-F436)*(D436-F436-F436))/4)+(4*(H436*H436*(D436/2-F436-(H436/2))-((PI()*H436*H436)/4*((D436/2)-F436-(H436-((4*H436)/(3*PI()))))))))/1000</f>
        <v/>
      </c>
      <c r="U436" s="125">
        <f>(((D436*E436*E436)/4)-(2*((D436-F436-F436)*(E436/2-(G436/2))*(((E436/2-(G436/2))/2)+(G436/2))))+(4*(((H436*H436)-(((PI()*H436*H436)/4)))*((H436-((4*H436)/(3*PI())))+(G436/2)))))/1000</f>
        <v/>
      </c>
      <c r="X436" s="129">
        <f t="array" ref="X436">_xlfn.IFS((D436/F436) &lt;= (640/SQRT($AT$32)), "Compact", L436 &lt;= ($AT$32*(0.79-(0.002*((E436-G436/2)/(2*F436))*SQRT($AT$32)))), "Non-Compact", L436 &gt; ($AT$32*(0.79-(0.002*((E436-G436/2)/(2*F436))*SQRT($AT$32)))), "Slender")</f>
        <v/>
      </c>
      <c r="Y436" s="129">
        <f t="array" ref="Y436">_xlfn.IFS(K436 &lt;= (65/SQRT($AT$32)), "Compact", K436 &lt;= (95/SQRT($AT$32)), "Non-Compact", K436 &gt; (95/SQRT($AT$32)), "Slender")</f>
        <v/>
      </c>
      <c r="Z436" s="125">
        <f>E436/F436</f>
        <v/>
      </c>
      <c r="AA436" s="125">
        <f>D436/G436</f>
        <v/>
      </c>
      <c r="AB436" s="125">
        <f t="array" ref="AB436">_xlfn.IFS(Z436 &lt;= 9, "1", Z436 &lt;= 12, "2", Z436 &lt;= 15, "3", Z436 &gt; 15, "4")</f>
        <v/>
      </c>
      <c r="AC436" s="125">
        <f t="array" ref="AC436">_xlfn.IFS(AA436 &lt;= 200, "1", L436 &lt;= 300, "2", L436 &lt;= 400, "3", L436 &gt; 400, "4")</f>
        <v/>
      </c>
      <c r="AE436" s="129">
        <f>SQRT((((VLOOKUP($AT$4,$A$4:$D$1021,4,FALSE))-D436)^2)+(((VLOOKUP($AT$4,$A$4:$E$1021,5,FALSE))-E436)^2)+(((VLOOKUP($AT$4,$A$4:$N$1021,14,FALSE))-N436)^2)+(((VLOOKUP($AT$4,$A$4:$O$1021,15,FALSE))-O436)^2))</f>
        <v/>
      </c>
      <c r="AG436" s="129" t="n"/>
      <c r="AH436" s="129">
        <f>SQRT((((VLOOKUP($AT$4,$A$4:$D$1021,4,FALSE))-D436)^2)+(((VLOOKUP($AT$4,$A$4:$E$1021,5,FALSE))-E436)^2)+(((VLOOKUP($AT$4,$A$4:$R$1021,18,FALSE))-R436)^2)+(((VLOOKUP($AT$4,$A$4:$S$1021,19,FALSE))-S436)^2))</f>
        <v/>
      </c>
      <c r="AJ436" s="125" t="inlineStr">
        <is>
          <t>HN700X181.8</t>
        </is>
      </c>
      <c r="AK436" s="125" t="n"/>
      <c r="AL436" s="125">
        <f>SQRT(((VLOOKUP($AT$4,$A$4:$J$1021,10,FALSE))-J436)^2)</f>
        <v/>
      </c>
      <c r="AM436" s="125" t="n"/>
      <c r="AN436" s="125" t="n"/>
      <c r="AO436" s="125">
        <f>SQRT(((VLOOKUP($AT$4,$A$4:$R$1021,18,FALSE))-R436)^2)</f>
        <v/>
      </c>
      <c r="AP436" s="125" t="n"/>
      <c r="AQ436" s="125" t="inlineStr">
        <is>
          <t>HN700</t>
        </is>
      </c>
      <c r="BB436" s="125">
        <f>SQRT(($J$1022-J436)^2)</f>
        <v/>
      </c>
      <c r="BC436" s="125">
        <f>SQRT(($R$1022-R436)^2)</f>
        <v/>
      </c>
      <c r="BD436" s="125" t="inlineStr">
        <is>
          <t>HN700</t>
        </is>
      </c>
      <c r="BI436">
        <f>SQRT(($J$1023-J436)^2)</f>
        <v/>
      </c>
      <c r="BJ436">
        <f>SQRT(($R$1023-R436)^2)</f>
        <v/>
      </c>
      <c r="BK436" s="125" t="inlineStr">
        <is>
          <t>HN700</t>
        </is>
      </c>
      <c r="BP436">
        <f>SQRT(($J$1024-J436)^2)</f>
        <v/>
      </c>
      <c r="BQ436">
        <f>SQRT(($R$1024-R436)^2)</f>
        <v/>
      </c>
      <c r="BR436" s="125" t="inlineStr">
        <is>
          <t>HN700</t>
        </is>
      </c>
      <c r="BW436">
        <f>SQRT(($J$1025-J436)^2)</f>
        <v/>
      </c>
      <c r="BX436">
        <f>SQRT(($R$1025-R436)^2)</f>
        <v/>
      </c>
      <c r="BY436" s="125" t="inlineStr">
        <is>
          <t>HN700</t>
        </is>
      </c>
      <c r="CD436">
        <f>SQRT(($J$1026-J436)^2)</f>
        <v/>
      </c>
      <c r="CE436">
        <f>SQRT(($R$1026-R436)^2)</f>
        <v/>
      </c>
      <c r="CF436" s="125" t="inlineStr">
        <is>
          <t>HN700</t>
        </is>
      </c>
    </row>
    <row r="437">
      <c r="A437" s="125" t="inlineStr">
        <is>
          <t>HN734</t>
        </is>
      </c>
      <c r="B437" s="129" t="inlineStr">
        <is>
          <t>GB</t>
        </is>
      </c>
      <c r="C437" s="125" t="inlineStr">
        <is>
          <t>143.4</t>
        </is>
      </c>
      <c r="D437" s="125" t="n">
        <v>734</v>
      </c>
      <c r="E437" s="125" t="n">
        <v>299</v>
      </c>
      <c r="F437" s="125" t="n">
        <v>16</v>
      </c>
      <c r="G437" s="125" t="n">
        <v>12</v>
      </c>
      <c r="H437" s="125" t="n">
        <v>18</v>
      </c>
      <c r="I437" s="125">
        <f>D437-(2*(H437+F437))</f>
        <v/>
      </c>
      <c r="J437" s="125" t="n">
        <v>182.7</v>
      </c>
      <c r="K437" s="125">
        <f>((E437-G437)/2)/F437</f>
        <v/>
      </c>
      <c r="L437" s="125">
        <f>I437/G437</f>
        <v/>
      </c>
      <c r="M437" s="125">
        <f>(E437*2+F437*4+((E437-G437)/2-H437)*4+2*PI()*H437+(D437-2*F437-2*H437)*2)/1000</f>
        <v/>
      </c>
      <c r="N437" s="5" t="n">
        <v>155539</v>
      </c>
      <c r="O437" s="5" t="n">
        <v>7140</v>
      </c>
      <c r="P437" s="125" t="n">
        <v>29.18</v>
      </c>
      <c r="Q437" s="125" t="n">
        <v>6.25</v>
      </c>
      <c r="R437" s="5" t="n">
        <v>4238</v>
      </c>
      <c r="S437" s="125" t="n">
        <v>477.6</v>
      </c>
      <c r="T437" s="125">
        <f>(((E437*D437*D437)/4)-(((E437-G437)*(D437-F437-F437)*(D437-F437-F437))/4)+(4*(H437*H437*(D437/2-F437-(H437/2))-((PI()*H437*H437)/4*((D437/2)-F437-(H437-((4*H437)/(3*PI()))))))))/1000</f>
        <v/>
      </c>
      <c r="U437" s="125">
        <f>(((D437*E437*E437)/4)-(2*((D437-F437-F437)*(E437/2-(G437/2))*(((E437/2-(G437/2))/2)+(G437/2))))+(4*(((H437*H437)-(((PI()*H437*H437)/4)))*((H437-((4*H437)/(3*PI())))+(G437/2)))))/1000</f>
        <v/>
      </c>
      <c r="X437" s="129">
        <f t="array" ref="X437">_xlfn.IFS((D437/F437) &lt;= (640/SQRT($AT$32)), "Compact", L437 &lt;= ($AT$32*(0.79-(0.002*((E437-G437/2)/(2*F437))*SQRT($AT$32)))), "Non-Compact", L437 &gt; ($AT$32*(0.79-(0.002*((E437-G437/2)/(2*F437))*SQRT($AT$32)))), "Slender")</f>
        <v/>
      </c>
      <c r="Y437" s="129">
        <f t="array" ref="Y437">_xlfn.IFS(K437 &lt;= (65/SQRT($AT$32)), "Compact", K437 &lt;= (95/SQRT($AT$32)), "Non-Compact", K437 &gt; (95/SQRT($AT$32)), "Slender")</f>
        <v/>
      </c>
      <c r="Z437" s="125">
        <f>E437/F437</f>
        <v/>
      </c>
      <c r="AA437" s="125">
        <f>D437/G437</f>
        <v/>
      </c>
      <c r="AB437" s="125">
        <f t="array" ref="AB437">_xlfn.IFS(Z437 &lt;= 9, "1", Z437 &lt;= 12, "2", Z437 &lt;= 15, "3", Z437 &gt; 15, "4")</f>
        <v/>
      </c>
      <c r="AC437" s="125">
        <f t="array" ref="AC437">_xlfn.IFS(AA437 &lt;= 200, "1", L437 &lt;= 300, "2", L437 &lt;= 400, "3", L437 &gt; 400, "4")</f>
        <v/>
      </c>
      <c r="AE437" s="129">
        <f>SQRT((((VLOOKUP($AT$4,$A$4:$D$1021,4,FALSE))-D437)^2)+(((VLOOKUP($AT$4,$A$4:$E$1021,5,FALSE))-E437)^2)+(((VLOOKUP($AT$4,$A$4:$N$1021,14,FALSE))-N437)^2)+(((VLOOKUP($AT$4,$A$4:$O$1021,15,FALSE))-O437)^2))</f>
        <v/>
      </c>
      <c r="AG437" s="129" t="n"/>
      <c r="AH437" s="129">
        <f>SQRT((((VLOOKUP($AT$4,$A$4:$D$1021,4,FALSE))-D437)^2)+(((VLOOKUP($AT$4,$A$4:$E$1021,5,FALSE))-E437)^2)+(((VLOOKUP($AT$4,$A$4:$R$1021,18,FALSE))-R437)^2)+(((VLOOKUP($AT$4,$A$4:$S$1021,19,FALSE))-S437)^2))</f>
        <v/>
      </c>
      <c r="AJ437" s="125" t="inlineStr">
        <is>
          <t>HN750X143.4</t>
        </is>
      </c>
      <c r="AK437" s="125" t="n"/>
      <c r="AL437" s="125">
        <f>SQRT(((VLOOKUP($AT$4,$A$4:$J$1021,10,FALSE))-J437)^2)</f>
        <v/>
      </c>
      <c r="AM437" s="125" t="n"/>
      <c r="AN437" s="125" t="n"/>
      <c r="AO437" s="125">
        <f>SQRT(((VLOOKUP($AT$4,$A$4:$R$1021,18,FALSE))-R437)^2)</f>
        <v/>
      </c>
      <c r="AP437" s="125" t="n"/>
      <c r="AQ437" s="125" t="inlineStr">
        <is>
          <t>HN734</t>
        </is>
      </c>
      <c r="BB437" s="125">
        <f>SQRT(($J$1022-J437)^2)</f>
        <v/>
      </c>
      <c r="BC437" s="125">
        <f>SQRT(($R$1022-R437)^2)</f>
        <v/>
      </c>
      <c r="BD437" s="125" t="inlineStr">
        <is>
          <t>HN734</t>
        </is>
      </c>
      <c r="BI437">
        <f>SQRT(($J$1023-J437)^2)</f>
        <v/>
      </c>
      <c r="BJ437">
        <f>SQRT(($R$1023-R437)^2)</f>
        <v/>
      </c>
      <c r="BK437" s="125" t="inlineStr">
        <is>
          <t>HN734</t>
        </is>
      </c>
      <c r="BP437">
        <f>SQRT(($J$1024-J437)^2)</f>
        <v/>
      </c>
      <c r="BQ437">
        <f>SQRT(($R$1024-R437)^2)</f>
        <v/>
      </c>
      <c r="BR437" s="125" t="inlineStr">
        <is>
          <t>HN734</t>
        </is>
      </c>
      <c r="BW437">
        <f>SQRT(($J$1025-J437)^2)</f>
        <v/>
      </c>
      <c r="BX437">
        <f>SQRT(($R$1025-R437)^2)</f>
        <v/>
      </c>
      <c r="BY437" s="125" t="inlineStr">
        <is>
          <t>HN734</t>
        </is>
      </c>
      <c r="CD437">
        <f>SQRT(($J$1026-J437)^2)</f>
        <v/>
      </c>
      <c r="CE437">
        <f>SQRT(($R$1026-R437)^2)</f>
        <v/>
      </c>
      <c r="CF437" s="125" t="inlineStr">
        <is>
          <t>HN734</t>
        </is>
      </c>
    </row>
    <row r="438">
      <c r="A438" s="125" t="inlineStr">
        <is>
          <t>HN742</t>
        </is>
      </c>
      <c r="B438" s="129" t="inlineStr">
        <is>
          <t>GB</t>
        </is>
      </c>
      <c r="C438" s="125" t="inlineStr">
        <is>
          <t>168</t>
        </is>
      </c>
      <c r="D438" s="125" t="n">
        <v>742</v>
      </c>
      <c r="E438" s="125" t="n">
        <v>300</v>
      </c>
      <c r="F438" s="125" t="n">
        <v>20</v>
      </c>
      <c r="G438" s="125" t="n">
        <v>13</v>
      </c>
      <c r="H438" s="125" t="n">
        <v>18</v>
      </c>
      <c r="I438" s="125">
        <f>D438-(2*(H438+F438))</f>
        <v/>
      </c>
      <c r="J438" s="125" t="n">
        <v>214.04</v>
      </c>
      <c r="K438" s="125">
        <f>((E438-G438)/2)/F438</f>
        <v/>
      </c>
      <c r="L438" s="125">
        <f>I438/G438</f>
        <v/>
      </c>
      <c r="M438" s="125">
        <f>(E438*2+F438*4+((E438-G438)/2-H438)*4+2*PI()*H438+(D438-2*F438-2*H438)*2)/1000</f>
        <v/>
      </c>
      <c r="N438" s="5" t="n">
        <v>191989</v>
      </c>
      <c r="O438" s="5" t="n">
        <v>9015</v>
      </c>
      <c r="P438" s="125" t="n">
        <v>29.95</v>
      </c>
      <c r="Q438" s="125" t="n">
        <v>6.49</v>
      </c>
      <c r="R438" s="5" t="n">
        <v>5175</v>
      </c>
      <c r="S438" s="125" t="n">
        <v>601</v>
      </c>
      <c r="T438" s="125">
        <f>(((E438*D438*D438)/4)-(((E438-G438)*(D438-F438-F438)*(D438-F438-F438))/4)+(4*(H438*H438*(D438/2-F438-(H438/2))-((PI()*H438*H438)/4*((D438/2)-F438-(H438-((4*H438)/(3*PI()))))))))/1000</f>
        <v/>
      </c>
      <c r="U438" s="125">
        <f>(((D438*E438*E438)/4)-(2*((D438-F438-F438)*(E438/2-(G438/2))*(((E438/2-(G438/2))/2)+(G438/2))))+(4*(((H438*H438)-(((PI()*H438*H438)/4)))*((H438-((4*H438)/(3*PI())))+(G438/2)))))/1000</f>
        <v/>
      </c>
      <c r="X438" s="129">
        <f t="array" ref="X438">_xlfn.IFS((D438/F438) &lt;= (640/SQRT($AT$32)), "Compact", L438 &lt;= ($AT$32*(0.79-(0.002*((E438-G438/2)/(2*F438))*SQRT($AT$32)))), "Non-Compact", L438 &gt; ($AT$32*(0.79-(0.002*((E438-G438/2)/(2*F438))*SQRT($AT$32)))), "Slender")</f>
        <v/>
      </c>
      <c r="Y438" s="129">
        <f t="array" ref="Y438">_xlfn.IFS(K438 &lt;= (65/SQRT($AT$32)), "Compact", K438 &lt;= (95/SQRT($AT$32)), "Non-Compact", K438 &gt; (95/SQRT($AT$32)), "Slender")</f>
        <v/>
      </c>
      <c r="Z438" s="125">
        <f>E438/F438</f>
        <v/>
      </c>
      <c r="AA438" s="125">
        <f>D438/G438</f>
        <v/>
      </c>
      <c r="AB438" s="125">
        <f t="array" ref="AB438">_xlfn.IFS(Z438 &lt;= 9, "1", Z438 &lt;= 12, "2", Z438 &lt;= 15, "3", Z438 &gt; 15, "4")</f>
        <v/>
      </c>
      <c r="AC438" s="125">
        <f t="array" ref="AC438">_xlfn.IFS(AA438 &lt;= 200, "1", L438 &lt;= 300, "2", L438 &lt;= 400, "3", L438 &gt; 400, "4")</f>
        <v/>
      </c>
      <c r="AE438" s="129">
        <f>SQRT((((VLOOKUP($AT$4,$A$4:$D$1021,4,FALSE))-D438)^2)+(((VLOOKUP($AT$4,$A$4:$E$1021,5,FALSE))-E438)^2)+(((VLOOKUP($AT$4,$A$4:$N$1021,14,FALSE))-N438)^2)+(((VLOOKUP($AT$4,$A$4:$O$1021,15,FALSE))-O438)^2))</f>
        <v/>
      </c>
      <c r="AG438" s="129" t="n"/>
      <c r="AH438" s="129">
        <f>SQRT((((VLOOKUP($AT$4,$A$4:$D$1021,4,FALSE))-D438)^2)+(((VLOOKUP($AT$4,$A$4:$E$1021,5,FALSE))-E438)^2)+(((VLOOKUP($AT$4,$A$4:$R$1021,18,FALSE))-R438)^2)+(((VLOOKUP($AT$4,$A$4:$S$1021,19,FALSE))-S438)^2))</f>
        <v/>
      </c>
      <c r="AJ438" s="125" t="inlineStr">
        <is>
          <t>HN750X168</t>
        </is>
      </c>
      <c r="AK438" s="125" t="n"/>
      <c r="AL438" s="125">
        <f>SQRT(((VLOOKUP($AT$4,$A$4:$J$1021,10,FALSE))-J438)^2)</f>
        <v/>
      </c>
      <c r="AM438" s="125" t="n"/>
      <c r="AN438" s="125" t="n"/>
      <c r="AO438" s="125">
        <f>SQRT(((VLOOKUP($AT$4,$A$4:$R$1021,18,FALSE))-R438)^2)</f>
        <v/>
      </c>
      <c r="AP438" s="125" t="n"/>
      <c r="AQ438" s="125" t="inlineStr">
        <is>
          <t>HN742</t>
        </is>
      </c>
      <c r="BB438" s="125">
        <f>SQRT(($J$1022-J438)^2)</f>
        <v/>
      </c>
      <c r="BC438" s="125">
        <f>SQRT(($R$1022-R438)^2)</f>
        <v/>
      </c>
      <c r="BD438" s="125" t="inlineStr">
        <is>
          <t>HN742</t>
        </is>
      </c>
      <c r="BI438">
        <f>SQRT(($J$1023-J438)^2)</f>
        <v/>
      </c>
      <c r="BJ438">
        <f>SQRT(($R$1023-R438)^2)</f>
        <v/>
      </c>
      <c r="BK438" s="125" t="inlineStr">
        <is>
          <t>HN742</t>
        </is>
      </c>
      <c r="BP438">
        <f>SQRT(($J$1024-J438)^2)</f>
        <v/>
      </c>
      <c r="BQ438">
        <f>SQRT(($R$1024-R438)^2)</f>
        <v/>
      </c>
      <c r="BR438" s="125" t="inlineStr">
        <is>
          <t>HN742</t>
        </is>
      </c>
      <c r="BW438">
        <f>SQRT(($J$1025-J438)^2)</f>
        <v/>
      </c>
      <c r="BX438">
        <f>SQRT(($R$1025-R438)^2)</f>
        <v/>
      </c>
      <c r="BY438" s="125" t="inlineStr">
        <is>
          <t>HN742</t>
        </is>
      </c>
      <c r="CD438">
        <f>SQRT(($J$1026-J438)^2)</f>
        <v/>
      </c>
      <c r="CE438">
        <f>SQRT(($R$1026-R438)^2)</f>
        <v/>
      </c>
      <c r="CF438" s="125" t="inlineStr">
        <is>
          <t>HN742</t>
        </is>
      </c>
    </row>
    <row r="439">
      <c r="A439" s="125" t="inlineStr">
        <is>
          <t>HN750</t>
        </is>
      </c>
      <c r="B439" s="129" t="inlineStr">
        <is>
          <t>GB</t>
        </is>
      </c>
      <c r="C439" s="125" t="inlineStr">
        <is>
          <t>186.9</t>
        </is>
      </c>
      <c r="D439" s="125" t="n">
        <v>750</v>
      </c>
      <c r="E439" s="125" t="n">
        <v>300</v>
      </c>
      <c r="F439" s="125" t="n">
        <v>24</v>
      </c>
      <c r="G439" s="125" t="n">
        <v>13</v>
      </c>
      <c r="H439" s="125" t="n">
        <v>18</v>
      </c>
      <c r="I439" s="125">
        <f>D439-(2*(H439+F439))</f>
        <v/>
      </c>
      <c r="J439" s="125" t="n">
        <v>238.04</v>
      </c>
      <c r="K439" s="125">
        <f>((E439-G439)/2)/F439</f>
        <v/>
      </c>
      <c r="L439" s="125">
        <f>I439/G439</f>
        <v/>
      </c>
      <c r="M439" s="125">
        <f>(E439*2+F439*4+((E439-G439)/2-H439)*4+2*PI()*H439+(D439-2*F439-2*H439)*2)/1000</f>
        <v/>
      </c>
      <c r="N439" s="5" t="n">
        <v>225863</v>
      </c>
      <c r="O439" s="5" t="n">
        <v>10815</v>
      </c>
      <c r="P439" s="125" t="n">
        <v>30.8</v>
      </c>
      <c r="Q439" s="125" t="n">
        <v>6.74</v>
      </c>
      <c r="R439" s="5" t="n">
        <v>6023</v>
      </c>
      <c r="S439" s="125" t="n">
        <v>721</v>
      </c>
      <c r="T439" s="125">
        <f>(((E439*D439*D439)/4)-(((E439-G439)*(D439-F439-F439)*(D439-F439-F439))/4)+(4*(H439*H439*(D439/2-F439-(H439/2))-((PI()*H439*H439)/4*((D439/2)-F439-(H439-((4*H439)/(3*PI()))))))))/1000</f>
        <v/>
      </c>
      <c r="U439" s="125">
        <f>(((D439*E439*E439)/4)-(2*((D439-F439-F439)*(E439/2-(G439/2))*(((E439/2-(G439/2))/2)+(G439/2))))+(4*(((H439*H439)-(((PI()*H439*H439)/4)))*((H439-((4*H439)/(3*PI())))+(G439/2)))))/1000</f>
        <v/>
      </c>
      <c r="X439" s="129">
        <f t="array" ref="X439">_xlfn.IFS((D439/F439) &lt;= (640/SQRT($AT$32)), "Compact", L439 &lt;= ($AT$32*(0.79-(0.002*((E439-G439/2)/(2*F439))*SQRT($AT$32)))), "Non-Compact", L439 &gt; ($AT$32*(0.79-(0.002*((E439-G439/2)/(2*F439))*SQRT($AT$32)))), "Slender")</f>
        <v/>
      </c>
      <c r="Y439" s="129">
        <f t="array" ref="Y439">_xlfn.IFS(K439 &lt;= (65/SQRT($AT$32)), "Compact", K439 &lt;= (95/SQRT($AT$32)), "Non-Compact", K439 &gt; (95/SQRT($AT$32)), "Slender")</f>
        <v/>
      </c>
      <c r="Z439" s="125">
        <f>E439/F439</f>
        <v/>
      </c>
      <c r="AA439" s="125">
        <f>D439/G439</f>
        <v/>
      </c>
      <c r="AB439" s="125">
        <f t="array" ref="AB439">_xlfn.IFS(Z439 &lt;= 9, "1", Z439 &lt;= 12, "2", Z439 &lt;= 15, "3", Z439 &gt; 15, "4")</f>
        <v/>
      </c>
      <c r="AC439" s="125">
        <f t="array" ref="AC439">_xlfn.IFS(AA439 &lt;= 200, "1", L439 &lt;= 300, "2", L439 &lt;= 400, "3", L439 &gt; 400, "4")</f>
        <v/>
      </c>
      <c r="AE439" s="129">
        <f>SQRT((((VLOOKUP($AT$4,$A$4:$D$1021,4,FALSE))-D439)^2)+(((VLOOKUP($AT$4,$A$4:$E$1021,5,FALSE))-E439)^2)+(((VLOOKUP($AT$4,$A$4:$N$1021,14,FALSE))-N439)^2)+(((VLOOKUP($AT$4,$A$4:$O$1021,15,FALSE))-O439)^2))</f>
        <v/>
      </c>
      <c r="AG439" s="129" t="n"/>
      <c r="AH439" s="129">
        <f>SQRT((((VLOOKUP($AT$4,$A$4:$D$1021,4,FALSE))-D439)^2)+(((VLOOKUP($AT$4,$A$4:$E$1021,5,FALSE))-E439)^2)+(((VLOOKUP($AT$4,$A$4:$R$1021,18,FALSE))-R439)^2)+(((VLOOKUP($AT$4,$A$4:$S$1021,19,FALSE))-S439)^2))</f>
        <v/>
      </c>
      <c r="AJ439" s="125" t="inlineStr">
        <is>
          <t>HN750X186.9</t>
        </is>
      </c>
      <c r="AK439" s="125" t="n"/>
      <c r="AL439" s="125">
        <f>SQRT(((VLOOKUP($AT$4,$A$4:$J$1021,10,FALSE))-J439)^2)</f>
        <v/>
      </c>
      <c r="AM439" s="125" t="n"/>
      <c r="AN439" s="125" t="n"/>
      <c r="AO439" s="125">
        <f>SQRT(((VLOOKUP($AT$4,$A$4:$R$1021,18,FALSE))-R439)^2)</f>
        <v/>
      </c>
      <c r="AP439" s="125" t="n"/>
      <c r="AQ439" s="125" t="inlineStr">
        <is>
          <t>HN750</t>
        </is>
      </c>
      <c r="BB439" s="125">
        <f>SQRT(($J$1022-J439)^2)</f>
        <v/>
      </c>
      <c r="BC439" s="125">
        <f>SQRT(($R$1022-R439)^2)</f>
        <v/>
      </c>
      <c r="BD439" s="125" t="inlineStr">
        <is>
          <t>HN750</t>
        </is>
      </c>
      <c r="BI439">
        <f>SQRT(($J$1023-J439)^2)</f>
        <v/>
      </c>
      <c r="BJ439">
        <f>SQRT(($R$1023-R439)^2)</f>
        <v/>
      </c>
      <c r="BK439" s="125" t="inlineStr">
        <is>
          <t>HN750</t>
        </is>
      </c>
      <c r="BP439">
        <f>SQRT(($J$1024-J439)^2)</f>
        <v/>
      </c>
      <c r="BQ439">
        <f>SQRT(($R$1024-R439)^2)</f>
        <v/>
      </c>
      <c r="BR439" s="125" t="inlineStr">
        <is>
          <t>HN750</t>
        </is>
      </c>
      <c r="BW439">
        <f>SQRT(($J$1025-J439)^2)</f>
        <v/>
      </c>
      <c r="BX439">
        <f>SQRT(($R$1025-R439)^2)</f>
        <v/>
      </c>
      <c r="BY439" s="125" t="inlineStr">
        <is>
          <t>HN750</t>
        </is>
      </c>
      <c r="CD439">
        <f>SQRT(($J$1026-J439)^2)</f>
        <v/>
      </c>
      <c r="CE439">
        <f>SQRT(($R$1026-R439)^2)</f>
        <v/>
      </c>
      <c r="CF439" s="125" t="inlineStr">
        <is>
          <t>HN750</t>
        </is>
      </c>
    </row>
    <row r="440">
      <c r="A440" s="125" t="inlineStr">
        <is>
          <t>HN758</t>
        </is>
      </c>
      <c r="B440" s="129" t="inlineStr">
        <is>
          <t>GB</t>
        </is>
      </c>
      <c r="C440" s="125" t="inlineStr">
        <is>
          <t>223.6</t>
        </is>
      </c>
      <c r="D440" s="125" t="n">
        <v>758</v>
      </c>
      <c r="E440" s="125" t="n">
        <v>303</v>
      </c>
      <c r="F440" s="125" t="n">
        <v>28</v>
      </c>
      <c r="G440" s="125" t="n">
        <v>16</v>
      </c>
      <c r="H440" s="125" t="n">
        <v>18</v>
      </c>
      <c r="I440" s="125">
        <f>D440-(2*(H440+F440))</f>
        <v/>
      </c>
      <c r="J440" s="125" t="n">
        <v>284.78</v>
      </c>
      <c r="K440" s="125">
        <f>((E440-G440)/2)/F440</f>
        <v/>
      </c>
      <c r="L440" s="125">
        <f>I440/G440</f>
        <v/>
      </c>
      <c r="M440" s="125">
        <f>(E440*2+F440*4+((E440-G440)/2-H440)*4+2*PI()*H440+(D440-2*F440-2*H440)*2)/1000</f>
        <v/>
      </c>
      <c r="N440" s="5" t="n">
        <v>271350</v>
      </c>
      <c r="O440" s="5" t="n">
        <v>13008</v>
      </c>
      <c r="P440" s="125" t="n">
        <v>30.87</v>
      </c>
      <c r="Q440" s="125" t="n">
        <v>6.76</v>
      </c>
      <c r="R440" s="5" t="n">
        <v>7160</v>
      </c>
      <c r="S440" s="125" t="n">
        <v>858.6</v>
      </c>
      <c r="T440" s="125">
        <f>(((E440*D440*D440)/4)-(((E440-G440)*(D440-F440-F440)*(D440-F440-F440))/4)+(4*(H440*H440*(D440/2-F440-(H440/2))-((PI()*H440*H440)/4*((D440/2)-F440-(H440-((4*H440)/(3*PI()))))))))/1000</f>
        <v/>
      </c>
      <c r="U440" s="125">
        <f>(((D440*E440*E440)/4)-(2*((D440-F440-F440)*(E440/2-(G440/2))*(((E440/2-(G440/2))/2)+(G440/2))))+(4*(((H440*H440)-(((PI()*H440*H440)/4)))*((H440-((4*H440)/(3*PI())))+(G440/2)))))/1000</f>
        <v/>
      </c>
      <c r="X440" s="129">
        <f t="array" ref="X440">_xlfn.IFS((D440/F440) &lt;= (640/SQRT($AT$32)), "Compact", L440 &lt;= ($AT$32*(0.79-(0.002*((E440-G440/2)/(2*F440))*SQRT($AT$32)))), "Non-Compact", L440 &gt; ($AT$32*(0.79-(0.002*((E440-G440/2)/(2*F440))*SQRT($AT$32)))), "Slender")</f>
        <v/>
      </c>
      <c r="Y440" s="129">
        <f t="array" ref="Y440">_xlfn.IFS(K440 &lt;= (65/SQRT($AT$32)), "Compact", K440 &lt;= (95/SQRT($AT$32)), "Non-Compact", K440 &gt; (95/SQRT($AT$32)), "Slender")</f>
        <v/>
      </c>
      <c r="Z440" s="125">
        <f>E440/F440</f>
        <v/>
      </c>
      <c r="AA440" s="125">
        <f>D440/G440</f>
        <v/>
      </c>
      <c r="AB440" s="125">
        <f t="array" ref="AB440">_xlfn.IFS(Z440 &lt;= 9, "1", Z440 &lt;= 12, "2", Z440 &lt;= 15, "3", Z440 &gt; 15, "4")</f>
        <v/>
      </c>
      <c r="AC440" s="125">
        <f t="array" ref="AC440">_xlfn.IFS(AA440 &lt;= 200, "1", L440 &lt;= 300, "2", L440 &lt;= 400, "3", L440 &gt; 400, "4")</f>
        <v/>
      </c>
      <c r="AE440" s="129">
        <f>SQRT((((VLOOKUP($AT$4,$A$4:$D$1021,4,FALSE))-D440)^2)+(((VLOOKUP($AT$4,$A$4:$E$1021,5,FALSE))-E440)^2)+(((VLOOKUP($AT$4,$A$4:$N$1021,14,FALSE))-N440)^2)+(((VLOOKUP($AT$4,$A$4:$O$1021,15,FALSE))-O440)^2))</f>
        <v/>
      </c>
      <c r="AG440" s="129" t="n"/>
      <c r="AH440" s="129">
        <f>SQRT((((VLOOKUP($AT$4,$A$4:$D$1021,4,FALSE))-D440)^2)+(((VLOOKUP($AT$4,$A$4:$E$1021,5,FALSE))-E440)^2)+(((VLOOKUP($AT$4,$A$4:$R$1021,18,FALSE))-R440)^2)+(((VLOOKUP($AT$4,$A$4:$S$1021,19,FALSE))-S440)^2))</f>
        <v/>
      </c>
      <c r="AJ440" s="125" t="inlineStr">
        <is>
          <t>HN750X223.6</t>
        </is>
      </c>
      <c r="AK440" s="125" t="n"/>
      <c r="AL440" s="125">
        <f>SQRT(((VLOOKUP($AT$4,$A$4:$J$1021,10,FALSE))-J440)^2)</f>
        <v/>
      </c>
      <c r="AM440" s="125" t="n"/>
      <c r="AN440" s="125" t="n"/>
      <c r="AO440" s="125">
        <f>SQRT(((VLOOKUP($AT$4,$A$4:$R$1021,18,FALSE))-R440)^2)</f>
        <v/>
      </c>
      <c r="AP440" s="125" t="n"/>
      <c r="AQ440" s="125" t="inlineStr">
        <is>
          <t>HN758</t>
        </is>
      </c>
      <c r="BB440" s="125">
        <f>SQRT(($J$1022-J440)^2)</f>
        <v/>
      </c>
      <c r="BC440" s="125">
        <f>SQRT(($R$1022-R440)^2)</f>
        <v/>
      </c>
      <c r="BD440" s="125" t="inlineStr">
        <is>
          <t>HN758</t>
        </is>
      </c>
      <c r="BI440">
        <f>SQRT(($J$1023-J440)^2)</f>
        <v/>
      </c>
      <c r="BJ440">
        <f>SQRT(($R$1023-R440)^2)</f>
        <v/>
      </c>
      <c r="BK440" s="125" t="inlineStr">
        <is>
          <t>HN758</t>
        </is>
      </c>
      <c r="BP440">
        <f>SQRT(($J$1024-J440)^2)</f>
        <v/>
      </c>
      <c r="BQ440">
        <f>SQRT(($R$1024-R440)^2)</f>
        <v/>
      </c>
      <c r="BR440" s="125" t="inlineStr">
        <is>
          <t>HN758</t>
        </is>
      </c>
      <c r="BW440">
        <f>SQRT(($J$1025-J440)^2)</f>
        <v/>
      </c>
      <c r="BX440">
        <f>SQRT(($R$1025-R440)^2)</f>
        <v/>
      </c>
      <c r="BY440" s="125" t="inlineStr">
        <is>
          <t>HN758</t>
        </is>
      </c>
      <c r="CD440">
        <f>SQRT(($J$1026-J440)^2)</f>
        <v/>
      </c>
      <c r="CE440">
        <f>SQRT(($R$1026-R440)^2)</f>
        <v/>
      </c>
      <c r="CF440" s="125" t="inlineStr">
        <is>
          <t>HN758</t>
        </is>
      </c>
    </row>
    <row r="441">
      <c r="A441" s="125" t="inlineStr">
        <is>
          <t>HN792</t>
        </is>
      </c>
      <c r="B441" s="129" t="inlineStr">
        <is>
          <t>GB</t>
        </is>
      </c>
      <c r="C441" s="125" t="inlineStr">
        <is>
          <t>188</t>
        </is>
      </c>
      <c r="D441" s="125" t="n">
        <v>792</v>
      </c>
      <c r="E441" s="125" t="n">
        <v>300</v>
      </c>
      <c r="F441" s="125" t="n">
        <v>22</v>
      </c>
      <c r="G441" s="125" t="n">
        <v>14</v>
      </c>
      <c r="H441" s="125" t="n">
        <v>18</v>
      </c>
      <c r="I441" s="125">
        <f>D441-(2*(H441+F441))</f>
        <v/>
      </c>
      <c r="J441" s="125" t="n">
        <v>239.5</v>
      </c>
      <c r="K441" s="125">
        <f>((E441-G441)/2)/F441</f>
        <v/>
      </c>
      <c r="L441" s="125">
        <f>I441/G441</f>
        <v/>
      </c>
      <c r="M441" s="125">
        <f>(E441*2+F441*4+((E441-G441)/2-H441)*4+2*PI()*H441+(D441-2*F441-2*H441)*2)/1000</f>
        <v/>
      </c>
      <c r="N441" s="5" t="n">
        <v>242399</v>
      </c>
      <c r="O441" s="5" t="n">
        <v>9919</v>
      </c>
      <c r="P441" s="125" t="n">
        <v>31.81</v>
      </c>
      <c r="Q441" s="125" t="n">
        <v>6.44</v>
      </c>
      <c r="R441" s="5" t="n">
        <v>6121</v>
      </c>
      <c r="S441" s="125" t="n">
        <v>661.3</v>
      </c>
      <c r="T441" s="125">
        <f>(((E441*D441*D441)/4)-(((E441-G441)*(D441-F441-F441)*(D441-F441-F441))/4)+(4*(H441*H441*(D441/2-F441-(H441/2))-((PI()*H441*H441)/4*((D441/2)-F441-(H441-((4*H441)/(3*PI()))))))))/1000</f>
        <v/>
      </c>
      <c r="U441" s="125">
        <f>(((D441*E441*E441)/4)-(2*((D441-F441-F441)*(E441/2-(G441/2))*(((E441/2-(G441/2))/2)+(G441/2))))+(4*(((H441*H441)-(((PI()*H441*H441)/4)))*((H441-((4*H441)/(3*PI())))+(G441/2)))))/1000</f>
        <v/>
      </c>
      <c r="X441" s="129">
        <f t="array" ref="X441">_xlfn.IFS((D441/F441) &lt;= (640/SQRT($AT$32)), "Compact", L441 &lt;= ($AT$32*(0.79-(0.002*((E441-G441/2)/(2*F441))*SQRT($AT$32)))), "Non-Compact", L441 &gt; ($AT$32*(0.79-(0.002*((E441-G441/2)/(2*F441))*SQRT($AT$32)))), "Slender")</f>
        <v/>
      </c>
      <c r="Y441" s="129">
        <f t="array" ref="Y441">_xlfn.IFS(K441 &lt;= (65/SQRT($AT$32)), "Compact", K441 &lt;= (95/SQRT($AT$32)), "Non-Compact", K441 &gt; (95/SQRT($AT$32)), "Slender")</f>
        <v/>
      </c>
      <c r="Z441" s="125">
        <f>E441/F441</f>
        <v/>
      </c>
      <c r="AA441" s="125">
        <f>D441/G441</f>
        <v/>
      </c>
      <c r="AB441" s="125">
        <f t="array" ref="AB441">_xlfn.IFS(Z441 &lt;= 9, "1", Z441 &lt;= 12, "2", Z441 &lt;= 15, "3", Z441 &gt; 15, "4")</f>
        <v/>
      </c>
      <c r="AC441" s="125">
        <f t="array" ref="AC441">_xlfn.IFS(AA441 &lt;= 200, "1", L441 &lt;= 300, "2", L441 &lt;= 400, "3", L441 &gt; 400, "4")</f>
        <v/>
      </c>
      <c r="AE441" s="129">
        <f>SQRT((((VLOOKUP($AT$4,$A$4:$D$1021,4,FALSE))-D441)^2)+(((VLOOKUP($AT$4,$A$4:$E$1021,5,FALSE))-E441)^2)+(((VLOOKUP($AT$4,$A$4:$N$1021,14,FALSE))-N441)^2)+(((VLOOKUP($AT$4,$A$4:$O$1021,15,FALSE))-O441)^2))</f>
        <v/>
      </c>
      <c r="AG441" s="129" t="n"/>
      <c r="AH441" s="129">
        <f>SQRT((((VLOOKUP($AT$4,$A$4:$D$1021,4,FALSE))-D441)^2)+(((VLOOKUP($AT$4,$A$4:$E$1021,5,FALSE))-E441)^2)+(((VLOOKUP($AT$4,$A$4:$R$1021,18,FALSE))-R441)^2)+(((VLOOKUP($AT$4,$A$4:$S$1021,19,FALSE))-S441)^2))</f>
        <v/>
      </c>
      <c r="AJ441" s="125" t="inlineStr">
        <is>
          <t>HN800X188</t>
        </is>
      </c>
      <c r="AK441" s="125" t="n"/>
      <c r="AL441" s="125">
        <f>SQRT(((VLOOKUP($AT$4,$A$4:$J$1021,10,FALSE))-J441)^2)</f>
        <v/>
      </c>
      <c r="AM441" s="125" t="n"/>
      <c r="AN441" s="125" t="n"/>
      <c r="AO441" s="125">
        <f>SQRT(((VLOOKUP($AT$4,$A$4:$R$1021,18,FALSE))-R441)^2)</f>
        <v/>
      </c>
      <c r="AP441" s="125" t="n"/>
      <c r="AQ441" s="125" t="inlineStr">
        <is>
          <t>HN792</t>
        </is>
      </c>
      <c r="BB441" s="125">
        <f>SQRT(($J$1022-J441)^2)</f>
        <v/>
      </c>
      <c r="BC441" s="125">
        <f>SQRT(($R$1022-R441)^2)</f>
        <v/>
      </c>
      <c r="BD441" s="125" t="inlineStr">
        <is>
          <t>HN792</t>
        </is>
      </c>
      <c r="BI441">
        <f>SQRT(($J$1023-J441)^2)</f>
        <v/>
      </c>
      <c r="BJ441">
        <f>SQRT(($R$1023-R441)^2)</f>
        <v/>
      </c>
      <c r="BK441" s="125" t="inlineStr">
        <is>
          <t>HN792</t>
        </is>
      </c>
      <c r="BP441">
        <f>SQRT(($J$1024-J441)^2)</f>
        <v/>
      </c>
      <c r="BQ441">
        <f>SQRT(($R$1024-R441)^2)</f>
        <v/>
      </c>
      <c r="BR441" s="125" t="inlineStr">
        <is>
          <t>HN792</t>
        </is>
      </c>
      <c r="BW441">
        <f>SQRT(($J$1025-J441)^2)</f>
        <v/>
      </c>
      <c r="BX441">
        <f>SQRT(($R$1025-R441)^2)</f>
        <v/>
      </c>
      <c r="BY441" s="125" t="inlineStr">
        <is>
          <t>HN792</t>
        </is>
      </c>
      <c r="CD441">
        <f>SQRT(($J$1026-J441)^2)</f>
        <v/>
      </c>
      <c r="CE441">
        <f>SQRT(($R$1026-R441)^2)</f>
        <v/>
      </c>
      <c r="CF441" s="125" t="inlineStr">
        <is>
          <t>HN792</t>
        </is>
      </c>
    </row>
    <row r="442">
      <c r="A442" s="125" t="inlineStr">
        <is>
          <t>HN800</t>
        </is>
      </c>
      <c r="B442" s="129" t="inlineStr">
        <is>
          <t>GB</t>
        </is>
      </c>
      <c r="C442" s="125" t="inlineStr">
        <is>
          <t>206.8</t>
        </is>
      </c>
      <c r="D442" s="125" t="n">
        <v>800</v>
      </c>
      <c r="E442" s="125" t="n">
        <v>300</v>
      </c>
      <c r="F442" s="125" t="n">
        <v>26</v>
      </c>
      <c r="G442" s="125" t="n">
        <v>14</v>
      </c>
      <c r="H442" s="125" t="n">
        <v>18</v>
      </c>
      <c r="I442" s="125">
        <f>D442-(2*(H442+F442))</f>
        <v/>
      </c>
      <c r="J442" s="125" t="n">
        <v>263.5</v>
      </c>
      <c r="K442" s="125">
        <f>((E442-G442)/2)/F442</f>
        <v/>
      </c>
      <c r="L442" s="125">
        <f>I442/G442</f>
        <v/>
      </c>
      <c r="M442" s="125">
        <f>(E442*2+F442*4+((E442-G442)/2-H442)*4+2*PI()*H442+(D442-2*F442-2*H442)*2)/1000</f>
        <v/>
      </c>
      <c r="N442" s="5" t="n">
        <v>280925</v>
      </c>
      <c r="O442" s="5" t="n">
        <v>11719</v>
      </c>
      <c r="P442" s="125" t="n">
        <v>32.65</v>
      </c>
      <c r="Q442" s="125" t="n">
        <v>6.67</v>
      </c>
      <c r="R442" s="5" t="n">
        <v>7023</v>
      </c>
      <c r="S442" s="125" t="n">
        <v>781.3</v>
      </c>
      <c r="T442" s="125">
        <f>(((E442*D442*D442)/4)-(((E442-G442)*(D442-F442-F442)*(D442-F442-F442))/4)+(4*(H442*H442*(D442/2-F442-(H442/2))-((PI()*H442*H442)/4*((D442/2)-F442-(H442-((4*H442)/(3*PI()))))))))/1000</f>
        <v/>
      </c>
      <c r="U442" s="125">
        <f>(((D442*E442*E442)/4)-(2*((D442-F442-F442)*(E442/2-(G442/2))*(((E442/2-(G442/2))/2)+(G442/2))))+(4*(((H442*H442)-(((PI()*H442*H442)/4)))*((H442-((4*H442)/(3*PI())))+(G442/2)))))/1000</f>
        <v/>
      </c>
      <c r="X442" s="129">
        <f t="array" ref="X442">_xlfn.IFS((D442/F442) &lt;= (640/SQRT($AT$32)), "Compact", L442 &lt;= ($AT$32*(0.79-(0.002*((E442-G442/2)/(2*F442))*SQRT($AT$32)))), "Non-Compact", L442 &gt; ($AT$32*(0.79-(0.002*((E442-G442/2)/(2*F442))*SQRT($AT$32)))), "Slender")</f>
        <v/>
      </c>
      <c r="Y442" s="129">
        <f t="array" ref="Y442">_xlfn.IFS(K442 &lt;= (65/SQRT($AT$32)), "Compact", K442 &lt;= (95/SQRT($AT$32)), "Non-Compact", K442 &gt; (95/SQRT($AT$32)), "Slender")</f>
        <v/>
      </c>
      <c r="Z442" s="125">
        <f>E442/F442</f>
        <v/>
      </c>
      <c r="AA442" s="125">
        <f>D442/G442</f>
        <v/>
      </c>
      <c r="AB442" s="125">
        <f t="array" ref="AB442">_xlfn.IFS(Z442 &lt;= 9, "1", Z442 &lt;= 12, "2", Z442 &lt;= 15, "3", Z442 &gt; 15, "4")</f>
        <v/>
      </c>
      <c r="AC442" s="125">
        <f t="array" ref="AC442">_xlfn.IFS(AA442 &lt;= 200, "1", L442 &lt;= 300, "2", L442 &lt;= 400, "3", L442 &gt; 400, "4")</f>
        <v/>
      </c>
      <c r="AE442" s="129">
        <f>SQRT((((VLOOKUP($AT$4,$A$4:$D$1021,4,FALSE))-D442)^2)+(((VLOOKUP($AT$4,$A$4:$E$1021,5,FALSE))-E442)^2)+(((VLOOKUP($AT$4,$A$4:$N$1021,14,FALSE))-N442)^2)+(((VLOOKUP($AT$4,$A$4:$O$1021,15,FALSE))-O442)^2))</f>
        <v/>
      </c>
      <c r="AG442" s="129" t="n"/>
      <c r="AH442" s="129">
        <f>SQRT((((VLOOKUP($AT$4,$A$4:$D$1021,4,FALSE))-D442)^2)+(((VLOOKUP($AT$4,$A$4:$E$1021,5,FALSE))-E442)^2)+(((VLOOKUP($AT$4,$A$4:$R$1021,18,FALSE))-R442)^2)+(((VLOOKUP($AT$4,$A$4:$S$1021,19,FALSE))-S442)^2))</f>
        <v/>
      </c>
      <c r="AJ442" s="125" t="inlineStr">
        <is>
          <t>HN800X206.8</t>
        </is>
      </c>
      <c r="AK442" s="125" t="n"/>
      <c r="AL442" s="125">
        <f>SQRT(((VLOOKUP($AT$4,$A$4:$J$1021,10,FALSE))-J442)^2)</f>
        <v/>
      </c>
      <c r="AM442" s="125" t="n"/>
      <c r="AN442" s="125" t="n"/>
      <c r="AO442" s="125">
        <f>SQRT(((VLOOKUP($AT$4,$A$4:$R$1021,18,FALSE))-R442)^2)</f>
        <v/>
      </c>
      <c r="AP442" s="125" t="n"/>
      <c r="AQ442" s="125" t="inlineStr">
        <is>
          <t>HN800</t>
        </is>
      </c>
      <c r="BB442" s="125">
        <f>SQRT(($J$1022-J442)^2)</f>
        <v/>
      </c>
      <c r="BC442" s="125">
        <f>SQRT(($R$1022-R442)^2)</f>
        <v/>
      </c>
      <c r="BD442" s="125" t="inlineStr">
        <is>
          <t>HN800</t>
        </is>
      </c>
      <c r="BI442">
        <f>SQRT(($J$1023-J442)^2)</f>
        <v/>
      </c>
      <c r="BJ442">
        <f>SQRT(($R$1023-R442)^2)</f>
        <v/>
      </c>
      <c r="BK442" s="125" t="inlineStr">
        <is>
          <t>HN800</t>
        </is>
      </c>
      <c r="BP442">
        <f>SQRT(($J$1024-J442)^2)</f>
        <v/>
      </c>
      <c r="BQ442">
        <f>SQRT(($R$1024-R442)^2)</f>
        <v/>
      </c>
      <c r="BR442" s="125" t="inlineStr">
        <is>
          <t>HN800</t>
        </is>
      </c>
      <c r="BW442">
        <f>SQRT(($J$1025-J442)^2)</f>
        <v/>
      </c>
      <c r="BX442">
        <f>SQRT(($R$1025-R442)^2)</f>
        <v/>
      </c>
      <c r="BY442" s="125" t="inlineStr">
        <is>
          <t>HN800</t>
        </is>
      </c>
      <c r="CD442">
        <f>SQRT(($J$1026-J442)^2)</f>
        <v/>
      </c>
      <c r="CE442">
        <f>SQRT(($R$1026-R442)^2)</f>
        <v/>
      </c>
      <c r="CF442" s="125" t="inlineStr">
        <is>
          <t>HN800</t>
        </is>
      </c>
    </row>
    <row r="443">
      <c r="A443" s="125" t="inlineStr">
        <is>
          <t>HN834</t>
        </is>
      </c>
      <c r="B443" s="129" t="inlineStr">
        <is>
          <t>GB</t>
        </is>
      </c>
      <c r="C443" s="125" t="inlineStr">
        <is>
          <t>178.6</t>
        </is>
      </c>
      <c r="D443" s="125" t="n">
        <v>834</v>
      </c>
      <c r="E443" s="125" t="n">
        <v>298</v>
      </c>
      <c r="F443" s="125" t="n">
        <v>19</v>
      </c>
      <c r="G443" s="125" t="n">
        <v>14</v>
      </c>
      <c r="H443" s="125" t="n">
        <v>18</v>
      </c>
      <c r="I443" s="125">
        <f>D443-(2*(H443+F443))</f>
        <v/>
      </c>
      <c r="J443" s="125" t="n">
        <v>227.46</v>
      </c>
      <c r="K443" s="125">
        <f>((E443-G443)/2)/F443</f>
        <v/>
      </c>
      <c r="L443" s="125">
        <f>I443/G443</f>
        <v/>
      </c>
      <c r="M443" s="125">
        <f>(E443*2+F443*4+((E443-G443)/2-H443)*4+2*PI()*H443+(D443-2*F443-2*H443)*2)/1000</f>
        <v/>
      </c>
      <c r="N443" s="5" t="n">
        <v>243858</v>
      </c>
      <c r="O443" s="5" t="n">
        <v>8400</v>
      </c>
      <c r="P443" s="125" t="n">
        <v>32.74</v>
      </c>
      <c r="Q443" s="125" t="n">
        <v>6.08</v>
      </c>
      <c r="R443" s="5" t="n">
        <v>5848</v>
      </c>
      <c r="S443" s="125" t="n">
        <v>563.8</v>
      </c>
      <c r="T443" s="125">
        <f>(((E443*D443*D443)/4)-(((E443-G443)*(D443-F443-F443)*(D443-F443-F443))/4)+(4*(H443*H443*(D443/2-F443-(H443/2))-((PI()*H443*H443)/4*((D443/2)-F443-(H443-((4*H443)/(3*PI()))))))))/1000</f>
        <v/>
      </c>
      <c r="U443" s="125">
        <f>(((D443*E443*E443)/4)-(2*((D443-F443-F443)*(E443/2-(G443/2))*(((E443/2-(G443/2))/2)+(G443/2))))+(4*(((H443*H443)-(((PI()*H443*H443)/4)))*((H443-((4*H443)/(3*PI())))+(G443/2)))))/1000</f>
        <v/>
      </c>
      <c r="X443" s="129">
        <f t="array" ref="X443">_xlfn.IFS((D443/F443) &lt;= (640/SQRT($AT$32)), "Compact", L443 &lt;= ($AT$32*(0.79-(0.002*((E443-G443/2)/(2*F443))*SQRT($AT$32)))), "Non-Compact", L443 &gt; ($AT$32*(0.79-(0.002*((E443-G443/2)/(2*F443))*SQRT($AT$32)))), "Slender")</f>
        <v/>
      </c>
      <c r="Y443" s="129">
        <f t="array" ref="Y443">_xlfn.IFS(K443 &lt;= (65/SQRT($AT$32)), "Compact", K443 &lt;= (95/SQRT($AT$32)), "Non-Compact", K443 &gt; (95/SQRT($AT$32)), "Slender")</f>
        <v/>
      </c>
      <c r="Z443" s="125">
        <f>E443/F443</f>
        <v/>
      </c>
      <c r="AA443" s="125">
        <f>D443/G443</f>
        <v/>
      </c>
      <c r="AB443" s="125">
        <f t="array" ref="AB443">_xlfn.IFS(Z443 &lt;= 9, "1", Z443 &lt;= 12, "2", Z443 &lt;= 15, "3", Z443 &gt; 15, "4")</f>
        <v/>
      </c>
      <c r="AC443" s="125">
        <f t="array" ref="AC443">_xlfn.IFS(AA443 &lt;= 200, "1", L443 &lt;= 300, "2", L443 &lt;= 400, "3", L443 &gt; 400, "4")</f>
        <v/>
      </c>
      <c r="AE443" s="129">
        <f>SQRT((((VLOOKUP($AT$4,$A$4:$D$1021,4,FALSE))-D443)^2)+(((VLOOKUP($AT$4,$A$4:$E$1021,5,FALSE))-E443)^2)+(((VLOOKUP($AT$4,$A$4:$N$1021,14,FALSE))-N443)^2)+(((VLOOKUP($AT$4,$A$4:$O$1021,15,FALSE))-O443)^2))</f>
        <v/>
      </c>
      <c r="AG443" s="129" t="n"/>
      <c r="AH443" s="129">
        <f>SQRT((((VLOOKUP($AT$4,$A$4:$D$1021,4,FALSE))-D443)^2)+(((VLOOKUP($AT$4,$A$4:$E$1021,5,FALSE))-E443)^2)+(((VLOOKUP($AT$4,$A$4:$R$1021,18,FALSE))-R443)^2)+(((VLOOKUP($AT$4,$A$4:$S$1021,19,FALSE))-S443)^2))</f>
        <v/>
      </c>
      <c r="AJ443" s="125" t="inlineStr">
        <is>
          <t>HN850X178.6</t>
        </is>
      </c>
      <c r="AK443" s="125" t="n"/>
      <c r="AL443" s="125">
        <f>SQRT(((VLOOKUP($AT$4,$A$4:$J$1021,10,FALSE))-J443)^2)</f>
        <v/>
      </c>
      <c r="AM443" s="125" t="n"/>
      <c r="AN443" s="125" t="n"/>
      <c r="AO443" s="125">
        <f>SQRT(((VLOOKUP($AT$4,$A$4:$R$1021,18,FALSE))-R443)^2)</f>
        <v/>
      </c>
      <c r="AP443" s="125" t="n"/>
      <c r="AQ443" s="125" t="inlineStr">
        <is>
          <t>HN834</t>
        </is>
      </c>
      <c r="BB443" s="125">
        <f>SQRT(($J$1022-J443)^2)</f>
        <v/>
      </c>
      <c r="BC443" s="125">
        <f>SQRT(($R$1022-R443)^2)</f>
        <v/>
      </c>
      <c r="BD443" s="125" t="inlineStr">
        <is>
          <t>HN834</t>
        </is>
      </c>
      <c r="BI443">
        <f>SQRT(($J$1023-J443)^2)</f>
        <v/>
      </c>
      <c r="BJ443">
        <f>SQRT(($R$1023-R443)^2)</f>
        <v/>
      </c>
      <c r="BK443" s="125" t="inlineStr">
        <is>
          <t>HN834</t>
        </is>
      </c>
      <c r="BP443">
        <f>SQRT(($J$1024-J443)^2)</f>
        <v/>
      </c>
      <c r="BQ443">
        <f>SQRT(($R$1024-R443)^2)</f>
        <v/>
      </c>
      <c r="BR443" s="125" t="inlineStr">
        <is>
          <t>HN834</t>
        </is>
      </c>
      <c r="BW443">
        <f>SQRT(($J$1025-J443)^2)</f>
        <v/>
      </c>
      <c r="BX443">
        <f>SQRT(($R$1025-R443)^2)</f>
        <v/>
      </c>
      <c r="BY443" s="125" t="inlineStr">
        <is>
          <t>HN834</t>
        </is>
      </c>
      <c r="CD443">
        <f>SQRT(($J$1026-J443)^2)</f>
        <v/>
      </c>
      <c r="CE443">
        <f>SQRT(($R$1026-R443)^2)</f>
        <v/>
      </c>
      <c r="CF443" s="125" t="inlineStr">
        <is>
          <t>HN834</t>
        </is>
      </c>
    </row>
    <row r="444">
      <c r="A444" s="125" t="inlineStr">
        <is>
          <t>HN842</t>
        </is>
      </c>
      <c r="B444" s="129" t="inlineStr">
        <is>
          <t>GB</t>
        </is>
      </c>
      <c r="C444" s="125" t="inlineStr">
        <is>
          <t>203.9</t>
        </is>
      </c>
      <c r="D444" s="125" t="n">
        <v>842</v>
      </c>
      <c r="E444" s="125" t="n">
        <v>299</v>
      </c>
      <c r="F444" s="125" t="n">
        <v>23</v>
      </c>
      <c r="G444" s="125" t="n">
        <v>15</v>
      </c>
      <c r="H444" s="125" t="n">
        <v>18</v>
      </c>
      <c r="I444" s="125">
        <f>D444-(2*(H444+F444))</f>
        <v/>
      </c>
      <c r="J444" s="125" t="n">
        <v>259.72</v>
      </c>
      <c r="K444" s="125">
        <f>((E444-G444)/2)/F444</f>
        <v/>
      </c>
      <c r="L444" s="125">
        <f>I444/G444</f>
        <v/>
      </c>
      <c r="M444" s="125">
        <f>(E444*2+F444*4+((E444-G444)/2-H444)*4+2*PI()*H444+(D444-2*F444-2*H444)*2)/1000</f>
        <v/>
      </c>
      <c r="N444" s="5" t="n">
        <v>291216</v>
      </c>
      <c r="O444" s="5" t="n">
        <v>10271</v>
      </c>
      <c r="P444" s="125" t="n">
        <v>33.49</v>
      </c>
      <c r="Q444" s="125" t="n">
        <v>6.29</v>
      </c>
      <c r="R444" s="5" t="n">
        <v>6917</v>
      </c>
      <c r="S444" s="125" t="n">
        <v>687</v>
      </c>
      <c r="T444" s="125">
        <f>(((E444*D444*D444)/4)-(((E444-G444)*(D444-F444-F444)*(D444-F444-F444))/4)+(4*(H444*H444*(D444/2-F444-(H444/2))-((PI()*H444*H444)/4*((D444/2)-F444-(H444-((4*H444)/(3*PI()))))))))/1000</f>
        <v/>
      </c>
      <c r="U444" s="125">
        <f>(((D444*E444*E444)/4)-(2*((D444-F444-F444)*(E444/2-(G444/2))*(((E444/2-(G444/2))/2)+(G444/2))))+(4*(((H444*H444)-(((PI()*H444*H444)/4)))*((H444-((4*H444)/(3*PI())))+(G444/2)))))/1000</f>
        <v/>
      </c>
      <c r="X444" s="129">
        <f t="array" ref="X444">_xlfn.IFS((D444/F444) &lt;= (640/SQRT($AT$32)), "Compact", L444 &lt;= ($AT$32*(0.79-(0.002*((E444-G444/2)/(2*F444))*SQRT($AT$32)))), "Non-Compact", L444 &gt; ($AT$32*(0.79-(0.002*((E444-G444/2)/(2*F444))*SQRT($AT$32)))), "Slender")</f>
        <v/>
      </c>
      <c r="Y444" s="129">
        <f t="array" ref="Y444">_xlfn.IFS(K444 &lt;= (65/SQRT($AT$32)), "Compact", K444 &lt;= (95/SQRT($AT$32)), "Non-Compact", K444 &gt; (95/SQRT($AT$32)), "Slender")</f>
        <v/>
      </c>
      <c r="Z444" s="125">
        <f>E444/F444</f>
        <v/>
      </c>
      <c r="AA444" s="125">
        <f>D444/G444</f>
        <v/>
      </c>
      <c r="AB444" s="125">
        <f t="array" ref="AB444">_xlfn.IFS(Z444 &lt;= 9, "1", Z444 &lt;= 12, "2", Z444 &lt;= 15, "3", Z444 &gt; 15, "4")</f>
        <v/>
      </c>
      <c r="AC444" s="125">
        <f t="array" ref="AC444">_xlfn.IFS(AA444 &lt;= 200, "1", L444 &lt;= 300, "2", L444 &lt;= 400, "3", L444 &gt; 400, "4")</f>
        <v/>
      </c>
      <c r="AE444" s="129">
        <f>SQRT((((VLOOKUP($AT$4,$A$4:$D$1021,4,FALSE))-D444)^2)+(((VLOOKUP($AT$4,$A$4:$E$1021,5,FALSE))-E444)^2)+(((VLOOKUP($AT$4,$A$4:$N$1021,14,FALSE))-N444)^2)+(((VLOOKUP($AT$4,$A$4:$O$1021,15,FALSE))-O444)^2))</f>
        <v/>
      </c>
      <c r="AG444" s="129" t="n"/>
      <c r="AH444" s="129">
        <f>SQRT((((VLOOKUP($AT$4,$A$4:$D$1021,4,FALSE))-D444)^2)+(((VLOOKUP($AT$4,$A$4:$E$1021,5,FALSE))-E444)^2)+(((VLOOKUP($AT$4,$A$4:$R$1021,18,FALSE))-R444)^2)+(((VLOOKUP($AT$4,$A$4:$S$1021,19,FALSE))-S444)^2))</f>
        <v/>
      </c>
      <c r="AJ444" s="125" t="inlineStr">
        <is>
          <t>HN850X203.9</t>
        </is>
      </c>
      <c r="AK444" s="125" t="n"/>
      <c r="AL444" s="125">
        <f>SQRT(((VLOOKUP($AT$4,$A$4:$J$1021,10,FALSE))-J444)^2)</f>
        <v/>
      </c>
      <c r="AM444" s="125" t="n"/>
      <c r="AN444" s="125" t="n"/>
      <c r="AO444" s="125">
        <f>SQRT(((VLOOKUP($AT$4,$A$4:$R$1021,18,FALSE))-R444)^2)</f>
        <v/>
      </c>
      <c r="AP444" s="125" t="n"/>
      <c r="AQ444" s="125" t="inlineStr">
        <is>
          <t>HN842</t>
        </is>
      </c>
      <c r="BB444" s="125">
        <f>SQRT(($J$1022-J444)^2)</f>
        <v/>
      </c>
      <c r="BC444" s="125">
        <f>SQRT(($R$1022-R444)^2)</f>
        <v/>
      </c>
      <c r="BD444" s="125" t="inlineStr">
        <is>
          <t>HN842</t>
        </is>
      </c>
      <c r="BI444">
        <f>SQRT(($J$1023-J444)^2)</f>
        <v/>
      </c>
      <c r="BJ444">
        <f>SQRT(($R$1023-R444)^2)</f>
        <v/>
      </c>
      <c r="BK444" s="125" t="inlineStr">
        <is>
          <t>HN842</t>
        </is>
      </c>
      <c r="BP444">
        <f>SQRT(($J$1024-J444)^2)</f>
        <v/>
      </c>
      <c r="BQ444">
        <f>SQRT(($R$1024-R444)^2)</f>
        <v/>
      </c>
      <c r="BR444" s="125" t="inlineStr">
        <is>
          <t>HN842</t>
        </is>
      </c>
      <c r="BW444">
        <f>SQRT(($J$1025-J444)^2)</f>
        <v/>
      </c>
      <c r="BX444">
        <f>SQRT(($R$1025-R444)^2)</f>
        <v/>
      </c>
      <c r="BY444" s="125" t="inlineStr">
        <is>
          <t>HN842</t>
        </is>
      </c>
      <c r="CD444">
        <f>SQRT(($J$1026-J444)^2)</f>
        <v/>
      </c>
      <c r="CE444">
        <f>SQRT(($R$1026-R444)^2)</f>
        <v/>
      </c>
      <c r="CF444" s="125" t="inlineStr">
        <is>
          <t>HN842</t>
        </is>
      </c>
    </row>
    <row r="445">
      <c r="A445" s="125" t="inlineStr">
        <is>
          <t>HN850</t>
        </is>
      </c>
      <c r="B445" s="129" t="inlineStr">
        <is>
          <t>GB</t>
        </is>
      </c>
      <c r="C445" s="125" t="inlineStr">
        <is>
          <t>229.3</t>
        </is>
      </c>
      <c r="D445" s="125" t="n">
        <v>850</v>
      </c>
      <c r="E445" s="125" t="n">
        <v>300</v>
      </c>
      <c r="F445" s="125" t="n">
        <v>27</v>
      </c>
      <c r="G445" s="125" t="n">
        <v>16</v>
      </c>
      <c r="H445" s="125" t="n">
        <v>18</v>
      </c>
      <c r="I445" s="125">
        <f>D445-(2*(H445+F445))</f>
        <v/>
      </c>
      <c r="J445" s="125" t="n">
        <v>292.14</v>
      </c>
      <c r="K445" s="125">
        <f>((E445-G445)/2)/F445</f>
        <v/>
      </c>
      <c r="L445" s="125">
        <f>I445/G445</f>
        <v/>
      </c>
      <c r="M445" s="125">
        <f>(E445*2+F445*4+((E445-G445)/2-H445)*4+2*PI()*H445+(D445-2*F445-2*H445)*2)/1000</f>
        <v/>
      </c>
      <c r="N445" s="5" t="n">
        <v>339670</v>
      </c>
      <c r="O445" s="5" t="n">
        <v>12179</v>
      </c>
      <c r="P445" s="125" t="n">
        <v>34.1</v>
      </c>
      <c r="Q445" s="125" t="n">
        <v>6.46</v>
      </c>
      <c r="R445" s="5" t="n">
        <v>7992</v>
      </c>
      <c r="S445" s="125" t="n">
        <v>812</v>
      </c>
      <c r="T445" s="125">
        <f>(((E445*D445*D445)/4)-(((E445-G445)*(D445-F445-F445)*(D445-F445-F445))/4)+(4*(H445*H445*(D445/2-F445-(H445/2))-((PI()*H445*H445)/4*((D445/2)-F445-(H445-((4*H445)/(3*PI()))))))))/1000</f>
        <v/>
      </c>
      <c r="U445" s="125">
        <f>(((D445*E445*E445)/4)-(2*((D445-F445-F445)*(E445/2-(G445/2))*(((E445/2-(G445/2))/2)+(G445/2))))+(4*(((H445*H445)-(((PI()*H445*H445)/4)))*((H445-((4*H445)/(3*PI())))+(G445/2)))))/1000</f>
        <v/>
      </c>
      <c r="X445" s="129">
        <f t="array" ref="X445">_xlfn.IFS((D445/F445) &lt;= (640/SQRT($AT$32)), "Compact", L445 &lt;= ($AT$32*(0.79-(0.002*((E445-G445/2)/(2*F445))*SQRT($AT$32)))), "Non-Compact", L445 &gt; ($AT$32*(0.79-(0.002*((E445-G445/2)/(2*F445))*SQRT($AT$32)))), "Slender")</f>
        <v/>
      </c>
      <c r="Y445" s="129">
        <f t="array" ref="Y445">_xlfn.IFS(K445 &lt;= (65/SQRT($AT$32)), "Compact", K445 &lt;= (95/SQRT($AT$32)), "Non-Compact", K445 &gt; (95/SQRT($AT$32)), "Slender")</f>
        <v/>
      </c>
      <c r="Z445" s="125">
        <f>E445/F445</f>
        <v/>
      </c>
      <c r="AA445" s="125">
        <f>D445/G445</f>
        <v/>
      </c>
      <c r="AB445" s="125">
        <f t="array" ref="AB445">_xlfn.IFS(Z445 &lt;= 9, "1", Z445 &lt;= 12, "2", Z445 &lt;= 15, "3", Z445 &gt; 15, "4")</f>
        <v/>
      </c>
      <c r="AC445" s="125">
        <f t="array" ref="AC445">_xlfn.IFS(AA445 &lt;= 200, "1", L445 &lt;= 300, "2", L445 &lt;= 400, "3", L445 &gt; 400, "4")</f>
        <v/>
      </c>
      <c r="AE445" s="129">
        <f>SQRT((((VLOOKUP($AT$4,$A$4:$D$1021,4,FALSE))-D445)^2)+(((VLOOKUP($AT$4,$A$4:$E$1021,5,FALSE))-E445)^2)+(((VLOOKUP($AT$4,$A$4:$N$1021,14,FALSE))-N445)^2)+(((VLOOKUP($AT$4,$A$4:$O$1021,15,FALSE))-O445)^2))</f>
        <v/>
      </c>
      <c r="AG445" s="129" t="n"/>
      <c r="AH445" s="129">
        <f>SQRT((((VLOOKUP($AT$4,$A$4:$D$1021,4,FALSE))-D445)^2)+(((VLOOKUP($AT$4,$A$4:$E$1021,5,FALSE))-E445)^2)+(((VLOOKUP($AT$4,$A$4:$R$1021,18,FALSE))-R445)^2)+(((VLOOKUP($AT$4,$A$4:$S$1021,19,FALSE))-S445)^2))</f>
        <v/>
      </c>
      <c r="AJ445" s="125" t="inlineStr">
        <is>
          <t>HN850X229.3</t>
        </is>
      </c>
      <c r="AK445" s="125" t="n"/>
      <c r="AL445" s="125">
        <f>SQRT(((VLOOKUP($AT$4,$A$4:$J$1021,10,FALSE))-J445)^2)</f>
        <v/>
      </c>
      <c r="AM445" s="125" t="n"/>
      <c r="AN445" s="125" t="n"/>
      <c r="AO445" s="125">
        <f>SQRT(((VLOOKUP($AT$4,$A$4:$R$1021,18,FALSE))-R445)^2)</f>
        <v/>
      </c>
      <c r="AP445" s="125" t="n"/>
      <c r="AQ445" s="125" t="inlineStr">
        <is>
          <t>HN850</t>
        </is>
      </c>
      <c r="BB445" s="125">
        <f>SQRT(($J$1022-J445)^2)</f>
        <v/>
      </c>
      <c r="BC445" s="125">
        <f>SQRT(($R$1022-R445)^2)</f>
        <v/>
      </c>
      <c r="BD445" s="125" t="inlineStr">
        <is>
          <t>HN850</t>
        </is>
      </c>
      <c r="BI445">
        <f>SQRT(($J$1023-J445)^2)</f>
        <v/>
      </c>
      <c r="BJ445">
        <f>SQRT(($R$1023-R445)^2)</f>
        <v/>
      </c>
      <c r="BK445" s="125" t="inlineStr">
        <is>
          <t>HN850</t>
        </is>
      </c>
      <c r="BP445">
        <f>SQRT(($J$1024-J445)^2)</f>
        <v/>
      </c>
      <c r="BQ445">
        <f>SQRT(($R$1024-R445)^2)</f>
        <v/>
      </c>
      <c r="BR445" s="125" t="inlineStr">
        <is>
          <t>HN850</t>
        </is>
      </c>
      <c r="BW445">
        <f>SQRT(($J$1025-J445)^2)</f>
        <v/>
      </c>
      <c r="BX445">
        <f>SQRT(($R$1025-R445)^2)</f>
        <v/>
      </c>
      <c r="BY445" s="125" t="inlineStr">
        <is>
          <t>HN850</t>
        </is>
      </c>
      <c r="CD445">
        <f>SQRT(($J$1026-J445)^2)</f>
        <v/>
      </c>
      <c r="CE445">
        <f>SQRT(($R$1026-R445)^2)</f>
        <v/>
      </c>
      <c r="CF445" s="125" t="inlineStr">
        <is>
          <t>HN850</t>
        </is>
      </c>
    </row>
    <row r="446">
      <c r="A446" s="125" t="inlineStr">
        <is>
          <t>HN858</t>
        </is>
      </c>
      <c r="B446" s="129" t="inlineStr">
        <is>
          <t>GB</t>
        </is>
      </c>
      <c r="C446" s="125" t="inlineStr">
        <is>
          <t>254.9</t>
        </is>
      </c>
      <c r="D446" s="125" t="n">
        <v>858</v>
      </c>
      <c r="E446" s="125" t="n">
        <v>301</v>
      </c>
      <c r="F446" s="125" t="n">
        <v>31</v>
      </c>
      <c r="G446" s="125" t="n">
        <v>17</v>
      </c>
      <c r="H446" s="125" t="n">
        <v>18</v>
      </c>
      <c r="I446" s="125">
        <f>D446-(2*(H446+F446))</f>
        <v/>
      </c>
      <c r="J446" s="125" t="n">
        <v>324.72</v>
      </c>
      <c r="K446" s="125">
        <f>((E446-G446)/2)/F446</f>
        <v/>
      </c>
      <c r="L446" s="125">
        <f>I446/G446</f>
        <v/>
      </c>
      <c r="M446" s="125">
        <f>(E446*2+F446*4+((E446-G446)/2-H446)*4+2*PI()*H446+(D446-2*F446-2*H446)*2)/1000</f>
        <v/>
      </c>
      <c r="N446" s="5" t="n">
        <v>389234</v>
      </c>
      <c r="O446" s="5" t="n">
        <v>14125</v>
      </c>
      <c r="P446" s="125" t="n">
        <v>34.62</v>
      </c>
      <c r="Q446" s="125" t="n">
        <v>6.6</v>
      </c>
      <c r="R446" s="5" t="n">
        <v>9073</v>
      </c>
      <c r="S446" s="125" t="n">
        <v>938.5</v>
      </c>
      <c r="T446" s="125">
        <f>(((E446*D446*D446)/4)-(((E446-G446)*(D446-F446-F446)*(D446-F446-F446))/4)+(4*(H446*H446*(D446/2-F446-(H446/2))-((PI()*H446*H446)/4*((D446/2)-F446-(H446-((4*H446)/(3*PI()))))))))/1000</f>
        <v/>
      </c>
      <c r="U446" s="125">
        <f>(((D446*E446*E446)/4)-(2*((D446-F446-F446)*(E446/2-(G446/2))*(((E446/2-(G446/2))/2)+(G446/2))))+(4*(((H446*H446)-(((PI()*H446*H446)/4)))*((H446-((4*H446)/(3*PI())))+(G446/2)))))/1000</f>
        <v/>
      </c>
      <c r="X446" s="129">
        <f t="array" ref="X446">_xlfn.IFS((D446/F446) &lt;= (640/SQRT($AT$32)), "Compact", L446 &lt;= ($AT$32*(0.79-(0.002*((E446-G446/2)/(2*F446))*SQRT($AT$32)))), "Non-Compact", L446 &gt; ($AT$32*(0.79-(0.002*((E446-G446/2)/(2*F446))*SQRT($AT$32)))), "Slender")</f>
        <v/>
      </c>
      <c r="Y446" s="129">
        <f t="array" ref="Y446">_xlfn.IFS(K446 &lt;= (65/SQRT($AT$32)), "Compact", K446 &lt;= (95/SQRT($AT$32)), "Non-Compact", K446 &gt; (95/SQRT($AT$32)), "Slender")</f>
        <v/>
      </c>
      <c r="Z446" s="125">
        <f>E446/F446</f>
        <v/>
      </c>
      <c r="AA446" s="125">
        <f>D446/G446</f>
        <v/>
      </c>
      <c r="AB446" s="125">
        <f t="array" ref="AB446">_xlfn.IFS(Z446 &lt;= 9, "1", Z446 &lt;= 12, "2", Z446 &lt;= 15, "3", Z446 &gt; 15, "4")</f>
        <v/>
      </c>
      <c r="AC446" s="125">
        <f t="array" ref="AC446">_xlfn.IFS(AA446 &lt;= 200, "1", L446 &lt;= 300, "2", L446 &lt;= 400, "3", L446 &gt; 400, "4")</f>
        <v/>
      </c>
      <c r="AE446" s="129">
        <f>SQRT((((VLOOKUP($AT$4,$A$4:$D$1021,4,FALSE))-D446)^2)+(((VLOOKUP($AT$4,$A$4:$E$1021,5,FALSE))-E446)^2)+(((VLOOKUP($AT$4,$A$4:$N$1021,14,FALSE))-N446)^2)+(((VLOOKUP($AT$4,$A$4:$O$1021,15,FALSE))-O446)^2))</f>
        <v/>
      </c>
      <c r="AG446" s="129" t="n"/>
      <c r="AH446" s="129">
        <f>SQRT((((VLOOKUP($AT$4,$A$4:$D$1021,4,FALSE))-D446)^2)+(((VLOOKUP($AT$4,$A$4:$E$1021,5,FALSE))-E446)^2)+(((VLOOKUP($AT$4,$A$4:$R$1021,18,FALSE))-R446)^2)+(((VLOOKUP($AT$4,$A$4:$S$1021,19,FALSE))-S446)^2))</f>
        <v/>
      </c>
      <c r="AJ446" s="125" t="inlineStr">
        <is>
          <t>HN850X254.9</t>
        </is>
      </c>
      <c r="AK446" s="125" t="n"/>
      <c r="AL446" s="125">
        <f>SQRT(((VLOOKUP($AT$4,$A$4:$J$1021,10,FALSE))-J446)^2)</f>
        <v/>
      </c>
      <c r="AM446" s="125" t="n"/>
      <c r="AN446" s="125" t="n"/>
      <c r="AO446" s="125">
        <f>SQRT(((VLOOKUP($AT$4,$A$4:$R$1021,18,FALSE))-R446)^2)</f>
        <v/>
      </c>
      <c r="AP446" s="125" t="n"/>
      <c r="AQ446" s="125" t="inlineStr">
        <is>
          <t>HN858</t>
        </is>
      </c>
      <c r="BB446" s="125">
        <f>SQRT(($J$1022-J446)^2)</f>
        <v/>
      </c>
      <c r="BC446" s="125">
        <f>SQRT(($R$1022-R446)^2)</f>
        <v/>
      </c>
      <c r="BD446" s="125" t="inlineStr">
        <is>
          <t>HN858</t>
        </is>
      </c>
      <c r="BI446">
        <f>SQRT(($J$1023-J446)^2)</f>
        <v/>
      </c>
      <c r="BJ446">
        <f>SQRT(($R$1023-R446)^2)</f>
        <v/>
      </c>
      <c r="BK446" s="125" t="inlineStr">
        <is>
          <t>HN858</t>
        </is>
      </c>
      <c r="BP446">
        <f>SQRT(($J$1024-J446)^2)</f>
        <v/>
      </c>
      <c r="BQ446">
        <f>SQRT(($R$1024-R446)^2)</f>
        <v/>
      </c>
      <c r="BR446" s="125" t="inlineStr">
        <is>
          <t>HN858</t>
        </is>
      </c>
      <c r="BW446">
        <f>SQRT(($J$1025-J446)^2)</f>
        <v/>
      </c>
      <c r="BX446">
        <f>SQRT(($R$1025-R446)^2)</f>
        <v/>
      </c>
      <c r="BY446" s="125" t="inlineStr">
        <is>
          <t>HN858</t>
        </is>
      </c>
      <c r="CD446">
        <f>SQRT(($J$1026-J446)^2)</f>
        <v/>
      </c>
      <c r="CE446">
        <f>SQRT(($R$1026-R446)^2)</f>
        <v/>
      </c>
      <c r="CF446" s="125" t="inlineStr">
        <is>
          <t>HN858</t>
        </is>
      </c>
    </row>
    <row r="447">
      <c r="A447" s="125" t="inlineStr">
        <is>
          <t>HN890</t>
        </is>
      </c>
      <c r="B447" s="129" t="inlineStr">
        <is>
          <t>GB</t>
        </is>
      </c>
      <c r="C447" s="125" t="inlineStr">
        <is>
          <t>209.5</t>
        </is>
      </c>
      <c r="D447" s="125" t="n">
        <v>890</v>
      </c>
      <c r="E447" s="125" t="n">
        <v>299</v>
      </c>
      <c r="F447" s="125" t="n">
        <v>23</v>
      </c>
      <c r="G447" s="125" t="n">
        <v>15</v>
      </c>
      <c r="H447" s="125" t="n">
        <v>18</v>
      </c>
      <c r="I447" s="125">
        <f>D447-(2*(H447+F447))</f>
        <v/>
      </c>
      <c r="J447" s="125" t="n">
        <v>266.92</v>
      </c>
      <c r="K447" s="125">
        <f>((E447-G447)/2)/F447</f>
        <v/>
      </c>
      <c r="L447" s="125">
        <f>I447/G447</f>
        <v/>
      </c>
      <c r="M447" s="125">
        <f>(E447*2+F447*4+((E447-G447)/2-H447)*4+2*PI()*H447+(D447-2*F447-2*H447)*2)/1000</f>
        <v/>
      </c>
      <c r="N447" s="5" t="n">
        <v>330588</v>
      </c>
      <c r="O447" s="5" t="n">
        <v>10273</v>
      </c>
      <c r="P447" s="125" t="n">
        <v>35.19</v>
      </c>
      <c r="Q447" s="125" t="n">
        <v>6.2</v>
      </c>
      <c r="R447" s="5" t="n">
        <v>7429</v>
      </c>
      <c r="S447" s="125" t="n">
        <v>687.1</v>
      </c>
      <c r="T447" s="125">
        <f>(((E447*D447*D447)/4)-(((E447-G447)*(D447-F447-F447)*(D447-F447-F447))/4)+(4*(H447*H447*(D447/2-F447-(H447/2))-((PI()*H447*H447)/4*((D447/2)-F447-(H447-((4*H447)/(3*PI()))))))))/1000</f>
        <v/>
      </c>
      <c r="U447" s="125">
        <f>(((D447*E447*E447)/4)-(2*((D447-F447-F447)*(E447/2-(G447/2))*(((E447/2-(G447/2))/2)+(G447/2))))+(4*(((H447*H447)-(((PI()*H447*H447)/4)))*((H447-((4*H447)/(3*PI())))+(G447/2)))))/1000</f>
        <v/>
      </c>
      <c r="X447" s="129">
        <f t="array" ref="X447">_xlfn.IFS((D447/F447) &lt;= (640/SQRT($AT$32)), "Compact", L447 &lt;= ($AT$32*(0.79-(0.002*((E447-G447/2)/(2*F447))*SQRT($AT$32)))), "Non-Compact", L447 &gt; ($AT$32*(0.79-(0.002*((E447-G447/2)/(2*F447))*SQRT($AT$32)))), "Slender")</f>
        <v/>
      </c>
      <c r="Y447" s="129">
        <f t="array" ref="Y447">_xlfn.IFS(K447 &lt;= (65/SQRT($AT$32)), "Compact", K447 &lt;= (95/SQRT($AT$32)), "Non-Compact", K447 &gt; (95/SQRT($AT$32)), "Slender")</f>
        <v/>
      </c>
      <c r="Z447" s="125">
        <f>E447/F447</f>
        <v/>
      </c>
      <c r="AA447" s="125">
        <f>D447/G447</f>
        <v/>
      </c>
      <c r="AB447" s="125">
        <f t="array" ref="AB447">_xlfn.IFS(Z447 &lt;= 9, "1", Z447 &lt;= 12, "2", Z447 &lt;= 15, "3", Z447 &gt; 15, "4")</f>
        <v/>
      </c>
      <c r="AC447" s="125">
        <f t="array" ref="AC447">_xlfn.IFS(AA447 &lt;= 200, "1", L447 &lt;= 300, "2", L447 &lt;= 400, "3", L447 &gt; 400, "4")</f>
        <v/>
      </c>
      <c r="AE447" s="129">
        <f>SQRT((((VLOOKUP($AT$4,$A$4:$D$1021,4,FALSE))-D447)^2)+(((VLOOKUP($AT$4,$A$4:$E$1021,5,FALSE))-E447)^2)+(((VLOOKUP($AT$4,$A$4:$N$1021,14,FALSE))-N447)^2)+(((VLOOKUP($AT$4,$A$4:$O$1021,15,FALSE))-O447)^2))</f>
        <v/>
      </c>
      <c r="AG447" s="129" t="n"/>
      <c r="AH447" s="129">
        <f>SQRT((((VLOOKUP($AT$4,$A$4:$D$1021,4,FALSE))-D447)^2)+(((VLOOKUP($AT$4,$A$4:$E$1021,5,FALSE))-E447)^2)+(((VLOOKUP($AT$4,$A$4:$R$1021,18,FALSE))-R447)^2)+(((VLOOKUP($AT$4,$A$4:$S$1021,19,FALSE))-S447)^2))</f>
        <v/>
      </c>
      <c r="AJ447" s="125" t="inlineStr">
        <is>
          <t>HN900X209.5</t>
        </is>
      </c>
      <c r="AK447" s="125" t="n"/>
      <c r="AL447" s="125">
        <f>SQRT(((VLOOKUP($AT$4,$A$4:$J$1021,10,FALSE))-J447)^2)</f>
        <v/>
      </c>
      <c r="AM447" s="125" t="n"/>
      <c r="AN447" s="125" t="n"/>
      <c r="AO447" s="125">
        <f>SQRT(((VLOOKUP($AT$4,$A$4:$R$1021,18,FALSE))-R447)^2)</f>
        <v/>
      </c>
      <c r="AP447" s="125" t="n"/>
      <c r="AQ447" s="125" t="inlineStr">
        <is>
          <t>HN890</t>
        </is>
      </c>
      <c r="BB447" s="125">
        <f>SQRT(($J$1022-J447)^2)</f>
        <v/>
      </c>
      <c r="BC447" s="125">
        <f>SQRT(($R$1022-R447)^2)</f>
        <v/>
      </c>
      <c r="BD447" s="125" t="inlineStr">
        <is>
          <t>HN890</t>
        </is>
      </c>
      <c r="BI447">
        <f>SQRT(($J$1023-J447)^2)</f>
        <v/>
      </c>
      <c r="BJ447">
        <f>SQRT(($R$1023-R447)^2)</f>
        <v/>
      </c>
      <c r="BK447" s="125" t="inlineStr">
        <is>
          <t>HN890</t>
        </is>
      </c>
      <c r="BP447">
        <f>SQRT(($J$1024-J447)^2)</f>
        <v/>
      </c>
      <c r="BQ447">
        <f>SQRT(($R$1024-R447)^2)</f>
        <v/>
      </c>
      <c r="BR447" s="125" t="inlineStr">
        <is>
          <t>HN890</t>
        </is>
      </c>
      <c r="BW447">
        <f>SQRT(($J$1025-J447)^2)</f>
        <v/>
      </c>
      <c r="BX447">
        <f>SQRT(($R$1025-R447)^2)</f>
        <v/>
      </c>
      <c r="BY447" s="125" t="inlineStr">
        <is>
          <t>HN890</t>
        </is>
      </c>
      <c r="CD447">
        <f>SQRT(($J$1026-J447)^2)</f>
        <v/>
      </c>
      <c r="CE447">
        <f>SQRT(($R$1026-R447)^2)</f>
        <v/>
      </c>
      <c r="CF447" s="125" t="inlineStr">
        <is>
          <t>HN890</t>
        </is>
      </c>
    </row>
    <row r="448">
      <c r="A448" s="125" t="inlineStr">
        <is>
          <t>HN900</t>
        </is>
      </c>
      <c r="B448" s="129" t="inlineStr">
        <is>
          <t>GB</t>
        </is>
      </c>
      <c r="C448" s="125" t="inlineStr">
        <is>
          <t>240.1</t>
        </is>
      </c>
      <c r="D448" s="125" t="n">
        <v>900</v>
      </c>
      <c r="E448" s="125" t="n">
        <v>300</v>
      </c>
      <c r="F448" s="125" t="n">
        <v>28</v>
      </c>
      <c r="G448" s="125" t="n">
        <v>16</v>
      </c>
      <c r="H448" s="125" t="n">
        <v>18</v>
      </c>
      <c r="I448" s="125">
        <f>D448-(2*(H448+F448))</f>
        <v/>
      </c>
      <c r="J448" s="125" t="n">
        <v>305.82</v>
      </c>
      <c r="K448" s="125">
        <f>((E448-G448)/2)/F448</f>
        <v/>
      </c>
      <c r="L448" s="125">
        <f>I448/G448</f>
        <v/>
      </c>
      <c r="M448" s="125">
        <f>(E448*2+F448*4+((E448-G448)/2-H448)*4+2*PI()*H448+(D448-2*F448-2*H448)*2)/1000</f>
        <v/>
      </c>
      <c r="N448" s="5" t="n">
        <v>397241</v>
      </c>
      <c r="O448" s="5" t="n">
        <v>12631</v>
      </c>
      <c r="P448" s="125" t="n">
        <v>36.04</v>
      </c>
      <c r="Q448" s="125" t="n">
        <v>6.43</v>
      </c>
      <c r="R448" s="5" t="n">
        <v>8828</v>
      </c>
      <c r="S448" s="125" t="n">
        <v>842.1</v>
      </c>
      <c r="T448" s="125">
        <f>(((E448*D448*D448)/4)-(((E448-G448)*(D448-F448-F448)*(D448-F448-F448))/4)+(4*(H448*H448*(D448/2-F448-(H448/2))-((PI()*H448*H448)/4*((D448/2)-F448-(H448-((4*H448)/(3*PI()))))))))/1000</f>
        <v/>
      </c>
      <c r="U448" s="125">
        <f>(((D448*E448*E448)/4)-(2*((D448-F448-F448)*(E448/2-(G448/2))*(((E448/2-(G448/2))/2)+(G448/2))))+(4*(((H448*H448)-(((PI()*H448*H448)/4)))*((H448-((4*H448)/(3*PI())))+(G448/2)))))/1000</f>
        <v/>
      </c>
      <c r="X448" s="129">
        <f t="array" ref="X448">_xlfn.IFS((D448/F448) &lt;= (640/SQRT($AT$32)), "Compact", L448 &lt;= ($AT$32*(0.79-(0.002*((E448-G448/2)/(2*F448))*SQRT($AT$32)))), "Non-Compact", L448 &gt; ($AT$32*(0.79-(0.002*((E448-G448/2)/(2*F448))*SQRT($AT$32)))), "Slender")</f>
        <v/>
      </c>
      <c r="Y448" s="129">
        <f t="array" ref="Y448">_xlfn.IFS(K448 &lt;= (65/SQRT($AT$32)), "Compact", K448 &lt;= (95/SQRT($AT$32)), "Non-Compact", K448 &gt; (95/SQRT($AT$32)), "Slender")</f>
        <v/>
      </c>
      <c r="Z448" s="125">
        <f>E448/F448</f>
        <v/>
      </c>
      <c r="AA448" s="125">
        <f>D448/G448</f>
        <v/>
      </c>
      <c r="AB448" s="125">
        <f t="array" ref="AB448">_xlfn.IFS(Z448 &lt;= 9, "1", Z448 &lt;= 12, "2", Z448 &lt;= 15, "3", Z448 &gt; 15, "4")</f>
        <v/>
      </c>
      <c r="AC448" s="125">
        <f t="array" ref="AC448">_xlfn.IFS(AA448 &lt;= 200, "1", L448 &lt;= 300, "2", L448 &lt;= 400, "3", L448 &gt; 400, "4")</f>
        <v/>
      </c>
      <c r="AE448" s="129">
        <f>SQRT((((VLOOKUP($AT$4,$A$4:$D$1021,4,FALSE))-D448)^2)+(((VLOOKUP($AT$4,$A$4:$E$1021,5,FALSE))-E448)^2)+(((VLOOKUP($AT$4,$A$4:$N$1021,14,FALSE))-N448)^2)+(((VLOOKUP($AT$4,$A$4:$O$1021,15,FALSE))-O448)^2))</f>
        <v/>
      </c>
      <c r="AG448" s="129" t="n"/>
      <c r="AH448" s="129">
        <f>SQRT((((VLOOKUP($AT$4,$A$4:$D$1021,4,FALSE))-D448)^2)+(((VLOOKUP($AT$4,$A$4:$E$1021,5,FALSE))-E448)^2)+(((VLOOKUP($AT$4,$A$4:$R$1021,18,FALSE))-R448)^2)+(((VLOOKUP($AT$4,$A$4:$S$1021,19,FALSE))-S448)^2))</f>
        <v/>
      </c>
      <c r="AJ448" s="125" t="inlineStr">
        <is>
          <t>HN900X240.1</t>
        </is>
      </c>
      <c r="AK448" s="125" t="n"/>
      <c r="AL448" s="125">
        <f>SQRT(((VLOOKUP($AT$4,$A$4:$J$1021,10,FALSE))-J448)^2)</f>
        <v/>
      </c>
      <c r="AM448" s="125" t="n"/>
      <c r="AN448" s="125" t="n"/>
      <c r="AO448" s="125">
        <f>SQRT(((VLOOKUP($AT$4,$A$4:$R$1021,18,FALSE))-R448)^2)</f>
        <v/>
      </c>
      <c r="AP448" s="125" t="n"/>
      <c r="AQ448" s="125" t="inlineStr">
        <is>
          <t>HN900</t>
        </is>
      </c>
      <c r="BB448" s="125">
        <f>SQRT(($J$1022-J448)^2)</f>
        <v/>
      </c>
      <c r="BC448" s="125">
        <f>SQRT(($R$1022-R448)^2)</f>
        <v/>
      </c>
      <c r="BD448" s="125" t="inlineStr">
        <is>
          <t>HN900</t>
        </is>
      </c>
      <c r="BI448">
        <f>SQRT(($J$1023-J448)^2)</f>
        <v/>
      </c>
      <c r="BJ448">
        <f>SQRT(($R$1023-R448)^2)</f>
        <v/>
      </c>
      <c r="BK448" s="125" t="inlineStr">
        <is>
          <t>HN900</t>
        </is>
      </c>
      <c r="BP448">
        <f>SQRT(($J$1024-J448)^2)</f>
        <v/>
      </c>
      <c r="BQ448">
        <f>SQRT(($R$1024-R448)^2)</f>
        <v/>
      </c>
      <c r="BR448" s="125" t="inlineStr">
        <is>
          <t>HN900</t>
        </is>
      </c>
      <c r="BW448">
        <f>SQRT(($J$1025-J448)^2)</f>
        <v/>
      </c>
      <c r="BX448">
        <f>SQRT(($R$1025-R448)^2)</f>
        <v/>
      </c>
      <c r="BY448" s="125" t="inlineStr">
        <is>
          <t>HN900</t>
        </is>
      </c>
      <c r="CD448">
        <f>SQRT(($J$1026-J448)^2)</f>
        <v/>
      </c>
      <c r="CE448">
        <f>SQRT(($R$1026-R448)^2)</f>
        <v/>
      </c>
      <c r="CF448" s="125" t="inlineStr">
        <is>
          <t>HN900</t>
        </is>
      </c>
    </row>
    <row r="449">
      <c r="A449" s="125" t="inlineStr">
        <is>
          <t>HN912</t>
        </is>
      </c>
      <c r="B449" s="129" t="inlineStr">
        <is>
          <t>GB</t>
        </is>
      </c>
      <c r="C449" s="125" t="inlineStr">
        <is>
          <t>282.6</t>
        </is>
      </c>
      <c r="D449" s="125" t="n">
        <v>912</v>
      </c>
      <c r="E449" s="125" t="n">
        <v>302</v>
      </c>
      <c r="F449" s="125" t="n">
        <v>34</v>
      </c>
      <c r="G449" s="125" t="n">
        <v>18</v>
      </c>
      <c r="H449" s="125" t="n">
        <v>18</v>
      </c>
      <c r="I449" s="125">
        <f>D449-(2*(H449+F449))</f>
        <v/>
      </c>
      <c r="J449" s="125" t="n">
        <v>360.06</v>
      </c>
      <c r="K449" s="125">
        <f>((E449-G449)/2)/F449</f>
        <v/>
      </c>
      <c r="L449" s="125">
        <f>I449/G449</f>
        <v/>
      </c>
      <c r="M449" s="125">
        <f>(E449*2+F449*4+((E449-G449)/2-H449)*4+2*PI()*H449+(D449-2*F449-2*H449)*2)/1000</f>
        <v/>
      </c>
      <c r="N449" s="5" t="n">
        <v>484615</v>
      </c>
      <c r="O449" s="5" t="n">
        <v>15652</v>
      </c>
      <c r="P449" s="125" t="n">
        <v>36.69</v>
      </c>
      <c r="Q449" s="125" t="n">
        <v>6.59</v>
      </c>
      <c r="R449" s="5" t="n">
        <v>10628</v>
      </c>
      <c r="S449" s="5" t="n">
        <v>1037</v>
      </c>
      <c r="T449" s="125">
        <f>(((E449*D449*D449)/4)-(((E449-G449)*(D449-F449-F449)*(D449-F449-F449))/4)+(4*(H449*H449*(D449/2-F449-(H449/2))-((PI()*H449*H449)/4*((D449/2)-F449-(H449-((4*H449)/(3*PI()))))))))/1000</f>
        <v/>
      </c>
      <c r="U449" s="125">
        <f>(((D449*E449*E449)/4)-(2*((D449-F449-F449)*(E449/2-(G449/2))*(((E449/2-(G449/2))/2)+(G449/2))))+(4*(((H449*H449)-(((PI()*H449*H449)/4)))*((H449-((4*H449)/(3*PI())))+(G449/2)))))/1000</f>
        <v/>
      </c>
      <c r="X449" s="129">
        <f t="array" ref="X449">_xlfn.IFS((D449/F449) &lt;= (640/SQRT($AT$32)), "Compact", L449 &lt;= ($AT$32*(0.79-(0.002*((E449-G449/2)/(2*F449))*SQRT($AT$32)))), "Non-Compact", L449 &gt; ($AT$32*(0.79-(0.002*((E449-G449/2)/(2*F449))*SQRT($AT$32)))), "Slender")</f>
        <v/>
      </c>
      <c r="Y449" s="129">
        <f t="array" ref="Y449">_xlfn.IFS(K449 &lt;= (65/SQRT($AT$32)), "Compact", K449 &lt;= (95/SQRT($AT$32)), "Non-Compact", K449 &gt; (95/SQRT($AT$32)), "Slender")</f>
        <v/>
      </c>
      <c r="Z449" s="125">
        <f>E449/F449</f>
        <v/>
      </c>
      <c r="AA449" s="125">
        <f>D449/G449</f>
        <v/>
      </c>
      <c r="AB449" s="125">
        <f t="array" ref="AB449">_xlfn.IFS(Z449 &lt;= 9, "1", Z449 &lt;= 12, "2", Z449 &lt;= 15, "3", Z449 &gt; 15, "4")</f>
        <v/>
      </c>
      <c r="AC449" s="125">
        <f t="array" ref="AC449">_xlfn.IFS(AA449 &lt;= 200, "1", L449 &lt;= 300, "2", L449 &lt;= 400, "3", L449 &gt; 400, "4")</f>
        <v/>
      </c>
      <c r="AE449" s="129">
        <f>SQRT((((VLOOKUP($AT$4,$A$4:$D$1021,4,FALSE))-D449)^2)+(((VLOOKUP($AT$4,$A$4:$E$1021,5,FALSE))-E449)^2)+(((VLOOKUP($AT$4,$A$4:$N$1021,14,FALSE))-N449)^2)+(((VLOOKUP($AT$4,$A$4:$O$1021,15,FALSE))-O449)^2))</f>
        <v/>
      </c>
      <c r="AG449" s="129" t="n"/>
      <c r="AH449" s="129">
        <f>SQRT((((VLOOKUP($AT$4,$A$4:$D$1021,4,FALSE))-D449)^2)+(((VLOOKUP($AT$4,$A$4:$E$1021,5,FALSE))-E449)^2)+(((VLOOKUP($AT$4,$A$4:$R$1021,18,FALSE))-R449)^2)+(((VLOOKUP($AT$4,$A$4:$S$1021,19,FALSE))-S449)^2))</f>
        <v/>
      </c>
      <c r="AJ449" s="125" t="inlineStr">
        <is>
          <t>HN900X282.6</t>
        </is>
      </c>
      <c r="AK449" s="125" t="n"/>
      <c r="AL449" s="125">
        <f>SQRT(((VLOOKUP($AT$4,$A$4:$J$1021,10,FALSE))-J449)^2)</f>
        <v/>
      </c>
      <c r="AM449" s="125" t="n"/>
      <c r="AN449" s="125" t="n"/>
      <c r="AO449" s="125">
        <f>SQRT(((VLOOKUP($AT$4,$A$4:$R$1021,18,FALSE))-R449)^2)</f>
        <v/>
      </c>
      <c r="AP449" s="125" t="n"/>
      <c r="AQ449" s="125" t="inlineStr">
        <is>
          <t>HN912</t>
        </is>
      </c>
      <c r="BB449" s="125">
        <f>SQRT(($J$1022-J449)^2)</f>
        <v/>
      </c>
      <c r="BC449" s="125">
        <f>SQRT(($R$1022-R449)^2)</f>
        <v/>
      </c>
      <c r="BD449" s="125" t="inlineStr">
        <is>
          <t>HN912</t>
        </is>
      </c>
      <c r="BI449">
        <f>SQRT(($J$1023-J449)^2)</f>
        <v/>
      </c>
      <c r="BJ449">
        <f>SQRT(($R$1023-R449)^2)</f>
        <v/>
      </c>
      <c r="BK449" s="125" t="inlineStr">
        <is>
          <t>HN912</t>
        </is>
      </c>
      <c r="BP449">
        <f>SQRT(($J$1024-J449)^2)</f>
        <v/>
      </c>
      <c r="BQ449">
        <f>SQRT(($R$1024-R449)^2)</f>
        <v/>
      </c>
      <c r="BR449" s="125" t="inlineStr">
        <is>
          <t>HN912</t>
        </is>
      </c>
      <c r="BW449">
        <f>SQRT(($J$1025-J449)^2)</f>
        <v/>
      </c>
      <c r="BX449">
        <f>SQRT(($R$1025-R449)^2)</f>
        <v/>
      </c>
      <c r="BY449" s="125" t="inlineStr">
        <is>
          <t>HN912</t>
        </is>
      </c>
      <c r="CD449">
        <f>SQRT(($J$1026-J449)^2)</f>
        <v/>
      </c>
      <c r="CE449">
        <f>SQRT(($R$1026-R449)^2)</f>
        <v/>
      </c>
      <c r="CF449" s="125" t="inlineStr">
        <is>
          <t>HN912</t>
        </is>
      </c>
    </row>
    <row r="450">
      <c r="A450" s="125" t="inlineStr">
        <is>
          <t>HN970</t>
        </is>
      </c>
      <c r="B450" s="129" t="inlineStr">
        <is>
          <t>GB</t>
        </is>
      </c>
      <c r="C450" s="125" t="inlineStr">
        <is>
          <t>216.7</t>
        </is>
      </c>
      <c r="D450" s="125" t="n">
        <v>970</v>
      </c>
      <c r="E450" s="125" t="n">
        <v>297</v>
      </c>
      <c r="F450" s="125" t="n">
        <v>21</v>
      </c>
      <c r="G450" s="125" t="n">
        <v>16</v>
      </c>
      <c r="H450" s="125" t="n">
        <v>18</v>
      </c>
      <c r="I450" s="125">
        <f>D450-(2*(H450+F450))</f>
        <v/>
      </c>
      <c r="J450" s="125" t="n">
        <v>276</v>
      </c>
      <c r="K450" s="125">
        <f>((E450-G450)/2)/F450</f>
        <v/>
      </c>
      <c r="L450" s="125">
        <f>I450/G450</f>
        <v/>
      </c>
      <c r="M450" s="125">
        <f>(E450*2+F450*4+((E450-G450)/2-H450)*4+2*PI()*H450+(D450-2*F450-2*H450)*2)/1000</f>
        <v/>
      </c>
      <c r="N450" s="5" t="n">
        <v>382977</v>
      </c>
      <c r="O450" s="5" t="n">
        <v>9203</v>
      </c>
      <c r="P450" s="125" t="n">
        <v>37.25</v>
      </c>
      <c r="Q450" s="125" t="n">
        <v>5.77</v>
      </c>
      <c r="R450" s="5" t="n">
        <v>7896</v>
      </c>
      <c r="S450" s="125" t="n">
        <v>619.7</v>
      </c>
      <c r="T450" s="125">
        <f>(((E450*D450*D450)/4)-(((E450-G450)*(D450-F450-F450)*(D450-F450-F450))/4)+(4*(H450*H450*(D450/2-F450-(H450/2))-((PI()*H450*H450)/4*((D450/2)-F450-(H450-((4*H450)/(3*PI()))))))))/1000</f>
        <v/>
      </c>
      <c r="U450" s="125">
        <f>(((D450*E450*E450)/4)-(2*((D450-F450-F450)*(E450/2-(G450/2))*(((E450/2-(G450/2))/2)+(G450/2))))+(4*(((H450*H450)-(((PI()*H450*H450)/4)))*((H450-((4*H450)/(3*PI())))+(G450/2)))))/1000</f>
        <v/>
      </c>
      <c r="X450" s="129">
        <f t="array" ref="X450">_xlfn.IFS((D450/F450) &lt;= (640/SQRT($AT$32)), "Compact", L450 &lt;= ($AT$32*(0.79-(0.002*((E450-G450/2)/(2*F450))*SQRT($AT$32)))), "Non-Compact", L450 &gt; ($AT$32*(0.79-(0.002*((E450-G450/2)/(2*F450))*SQRT($AT$32)))), "Slender")</f>
        <v/>
      </c>
      <c r="Y450" s="129">
        <f t="array" ref="Y450">_xlfn.IFS(K450 &lt;= (65/SQRT($AT$32)), "Compact", K450 &lt;= (95/SQRT($AT$32)), "Non-Compact", K450 &gt; (95/SQRT($AT$32)), "Slender")</f>
        <v/>
      </c>
      <c r="Z450" s="125">
        <f>E450/F450</f>
        <v/>
      </c>
      <c r="AA450" s="125">
        <f>D450/G450</f>
        <v/>
      </c>
      <c r="AB450" s="125">
        <f t="array" ref="AB450">_xlfn.IFS(Z450 &lt;= 9, "1", Z450 &lt;= 12, "2", Z450 &lt;= 15, "3", Z450 &gt; 15, "4")</f>
        <v/>
      </c>
      <c r="AC450" s="125">
        <f t="array" ref="AC450">_xlfn.IFS(AA450 &lt;= 200, "1", L450 &lt;= 300, "2", L450 &lt;= 400, "3", L450 &gt; 400, "4")</f>
        <v/>
      </c>
      <c r="AE450" s="129">
        <f>SQRT((((VLOOKUP($AT$4,$A$4:$D$1021,4,FALSE))-D450)^2)+(((VLOOKUP($AT$4,$A$4:$E$1021,5,FALSE))-E450)^2)+(((VLOOKUP($AT$4,$A$4:$N$1021,14,FALSE))-N450)^2)+(((VLOOKUP($AT$4,$A$4:$O$1021,15,FALSE))-O450)^2))</f>
        <v/>
      </c>
      <c r="AG450" s="129" t="n"/>
      <c r="AH450" s="129">
        <f>SQRT((((VLOOKUP($AT$4,$A$4:$D$1021,4,FALSE))-D450)^2)+(((VLOOKUP($AT$4,$A$4:$E$1021,5,FALSE))-E450)^2)+(((VLOOKUP($AT$4,$A$4:$R$1021,18,FALSE))-R450)^2)+(((VLOOKUP($AT$4,$A$4:$S$1021,19,FALSE))-S450)^2))</f>
        <v/>
      </c>
      <c r="AJ450" s="125" t="inlineStr">
        <is>
          <t>HN1000X216.7</t>
        </is>
      </c>
      <c r="AK450" s="125" t="n"/>
      <c r="AL450" s="125">
        <f>SQRT(((VLOOKUP($AT$4,$A$4:$J$1021,10,FALSE))-J450)^2)</f>
        <v/>
      </c>
      <c r="AM450" s="125" t="n"/>
      <c r="AN450" s="125" t="n"/>
      <c r="AO450" s="125">
        <f>SQRT(((VLOOKUP($AT$4,$A$4:$R$1021,18,FALSE))-R450)^2)</f>
        <v/>
      </c>
      <c r="AP450" s="125" t="n"/>
      <c r="AQ450" s="125" t="inlineStr">
        <is>
          <t>HN970</t>
        </is>
      </c>
      <c r="BB450" s="125">
        <f>SQRT(($J$1022-J450)^2)</f>
        <v/>
      </c>
      <c r="BC450" s="125">
        <f>SQRT(($R$1022-R450)^2)</f>
        <v/>
      </c>
      <c r="BD450" s="125" t="inlineStr">
        <is>
          <t>HN970</t>
        </is>
      </c>
      <c r="BI450">
        <f>SQRT(($J$1023-J450)^2)</f>
        <v/>
      </c>
      <c r="BJ450">
        <f>SQRT(($R$1023-R450)^2)</f>
        <v/>
      </c>
      <c r="BK450" s="125" t="inlineStr">
        <is>
          <t>HN970</t>
        </is>
      </c>
      <c r="BP450">
        <f>SQRT(($J$1024-J450)^2)</f>
        <v/>
      </c>
      <c r="BQ450">
        <f>SQRT(($R$1024-R450)^2)</f>
        <v/>
      </c>
      <c r="BR450" s="125" t="inlineStr">
        <is>
          <t>HN970</t>
        </is>
      </c>
      <c r="BW450">
        <f>SQRT(($J$1025-J450)^2)</f>
        <v/>
      </c>
      <c r="BX450">
        <f>SQRT(($R$1025-R450)^2)</f>
        <v/>
      </c>
      <c r="BY450" s="125" t="inlineStr">
        <is>
          <t>HN970</t>
        </is>
      </c>
      <c r="CD450">
        <f>SQRT(($J$1026-J450)^2)</f>
        <v/>
      </c>
      <c r="CE450">
        <f>SQRT(($R$1026-R450)^2)</f>
        <v/>
      </c>
      <c r="CF450" s="125" t="inlineStr">
        <is>
          <t>HN970</t>
        </is>
      </c>
    </row>
    <row r="451">
      <c r="A451" s="125" t="inlineStr">
        <is>
          <t>HN980</t>
        </is>
      </c>
      <c r="B451" s="129" t="inlineStr">
        <is>
          <t>GB</t>
        </is>
      </c>
      <c r="C451" s="125" t="inlineStr">
        <is>
          <t>247.7</t>
        </is>
      </c>
      <c r="D451" s="125" t="n">
        <v>980</v>
      </c>
      <c r="E451" s="125" t="n">
        <v>298</v>
      </c>
      <c r="F451" s="125" t="n">
        <v>26</v>
      </c>
      <c r="G451" s="125" t="n">
        <v>17</v>
      </c>
      <c r="H451" s="125" t="n">
        <v>18</v>
      </c>
      <c r="I451" s="125">
        <f>D451-(2*(H451+F451))</f>
        <v/>
      </c>
      <c r="J451" s="125" t="n">
        <v>315.5</v>
      </c>
      <c r="K451" s="125">
        <f>((E451-G451)/2)/F451</f>
        <v/>
      </c>
      <c r="L451" s="125">
        <f>I451/G451</f>
        <v/>
      </c>
      <c r="M451" s="125">
        <f>(E451*2+F451*4+((E451-G451)/2-H451)*4+2*PI()*H451+(D451-2*F451-2*H451)*2)/1000</f>
        <v/>
      </c>
      <c r="N451" s="5" t="n">
        <v>462157</v>
      </c>
      <c r="O451" s="5" t="n">
        <v>11508</v>
      </c>
      <c r="P451" s="125" t="n">
        <v>38.27</v>
      </c>
      <c r="Q451" s="125" t="n">
        <v>6.04</v>
      </c>
      <c r="R451" s="5" t="n">
        <v>9432</v>
      </c>
      <c r="S451" s="125" t="n">
        <v>772.3</v>
      </c>
      <c r="T451" s="125">
        <f>(((E451*D451*D451)/4)-(((E451-G451)*(D451-F451-F451)*(D451-F451-F451))/4)+(4*(H451*H451*(D451/2-F451-(H451/2))-((PI()*H451*H451)/4*((D451/2)-F451-(H451-((4*H451)/(3*PI()))))))))/1000</f>
        <v/>
      </c>
      <c r="U451" s="125">
        <f>(((D451*E451*E451)/4)-(2*((D451-F451-F451)*(E451/2-(G451/2))*(((E451/2-(G451/2))/2)+(G451/2))))+(4*(((H451*H451)-(((PI()*H451*H451)/4)))*((H451-((4*H451)/(3*PI())))+(G451/2)))))/1000</f>
        <v/>
      </c>
      <c r="X451" s="129">
        <f t="array" ref="X451">_xlfn.IFS((D451/F451) &lt;= (640/SQRT($AT$32)), "Compact", L451 &lt;= ($AT$32*(0.79-(0.002*((E451-G451/2)/(2*F451))*SQRT($AT$32)))), "Non-Compact", L451 &gt; ($AT$32*(0.79-(0.002*((E451-G451/2)/(2*F451))*SQRT($AT$32)))), "Slender")</f>
        <v/>
      </c>
      <c r="Y451" s="129">
        <f t="array" ref="Y451">_xlfn.IFS(K451 &lt;= (65/SQRT($AT$32)), "Compact", K451 &lt;= (95/SQRT($AT$32)), "Non-Compact", K451 &gt; (95/SQRT($AT$32)), "Slender")</f>
        <v/>
      </c>
      <c r="Z451" s="125">
        <f>E451/F451</f>
        <v/>
      </c>
      <c r="AA451" s="125">
        <f>D451/G451</f>
        <v/>
      </c>
      <c r="AB451" s="125">
        <f t="array" ref="AB451">_xlfn.IFS(Z451 &lt;= 9, "1", Z451 &lt;= 12, "2", Z451 &lt;= 15, "3", Z451 &gt; 15, "4")</f>
        <v/>
      </c>
      <c r="AC451" s="125">
        <f t="array" ref="AC451">_xlfn.IFS(AA451 &lt;= 200, "1", L451 &lt;= 300, "2", L451 &lt;= 400, "3", L451 &gt; 400, "4")</f>
        <v/>
      </c>
      <c r="AE451" s="129">
        <f>SQRT((((VLOOKUP($AT$4,$A$4:$D$1021,4,FALSE))-D451)^2)+(((VLOOKUP($AT$4,$A$4:$E$1021,5,FALSE))-E451)^2)+(((VLOOKUP($AT$4,$A$4:$N$1021,14,FALSE))-N451)^2)+(((VLOOKUP($AT$4,$A$4:$O$1021,15,FALSE))-O451)^2))</f>
        <v/>
      </c>
      <c r="AG451" s="129" t="n"/>
      <c r="AH451" s="129">
        <f>SQRT((((VLOOKUP($AT$4,$A$4:$D$1021,4,FALSE))-D451)^2)+(((VLOOKUP($AT$4,$A$4:$E$1021,5,FALSE))-E451)^2)+(((VLOOKUP($AT$4,$A$4:$R$1021,18,FALSE))-R451)^2)+(((VLOOKUP($AT$4,$A$4:$S$1021,19,FALSE))-S451)^2))</f>
        <v/>
      </c>
      <c r="AJ451" s="125" t="inlineStr">
        <is>
          <t>HN1000X247.7</t>
        </is>
      </c>
      <c r="AK451" s="125" t="n"/>
      <c r="AL451" s="125">
        <f>SQRT(((VLOOKUP($AT$4,$A$4:$J$1021,10,FALSE))-J451)^2)</f>
        <v/>
      </c>
      <c r="AM451" s="125" t="n"/>
      <c r="AN451" s="125" t="n"/>
      <c r="AO451" s="125">
        <f>SQRT(((VLOOKUP($AT$4,$A$4:$R$1021,18,FALSE))-R451)^2)</f>
        <v/>
      </c>
      <c r="AP451" s="125" t="n"/>
      <c r="AQ451" s="125" t="inlineStr">
        <is>
          <t>HN980</t>
        </is>
      </c>
      <c r="BB451" s="125">
        <f>SQRT(($J$1022-J451)^2)</f>
        <v/>
      </c>
      <c r="BC451" s="125">
        <f>SQRT(($R$1022-R451)^2)</f>
        <v/>
      </c>
      <c r="BD451" s="125" t="inlineStr">
        <is>
          <t>HN980</t>
        </is>
      </c>
      <c r="BI451">
        <f>SQRT(($J$1023-J451)^2)</f>
        <v/>
      </c>
      <c r="BJ451">
        <f>SQRT(($R$1023-R451)^2)</f>
        <v/>
      </c>
      <c r="BK451" s="125" t="inlineStr">
        <is>
          <t>HN980</t>
        </is>
      </c>
      <c r="BP451">
        <f>SQRT(($J$1024-J451)^2)</f>
        <v/>
      </c>
      <c r="BQ451">
        <f>SQRT(($R$1024-R451)^2)</f>
        <v/>
      </c>
      <c r="BR451" s="125" t="inlineStr">
        <is>
          <t>HN980</t>
        </is>
      </c>
      <c r="BW451">
        <f>SQRT(($J$1025-J451)^2)</f>
        <v/>
      </c>
      <c r="BX451">
        <f>SQRT(($R$1025-R451)^2)</f>
        <v/>
      </c>
      <c r="BY451" s="125" t="inlineStr">
        <is>
          <t>HN980</t>
        </is>
      </c>
      <c r="CD451">
        <f>SQRT(($J$1026-J451)^2)</f>
        <v/>
      </c>
      <c r="CE451">
        <f>SQRT(($R$1026-R451)^2)</f>
        <v/>
      </c>
      <c r="CF451" s="125" t="inlineStr">
        <is>
          <t>HN980</t>
        </is>
      </c>
    </row>
    <row r="452">
      <c r="A452" s="125" t="inlineStr">
        <is>
          <t>HN990</t>
        </is>
      </c>
      <c r="B452" s="129" t="inlineStr">
        <is>
          <t>GB</t>
        </is>
      </c>
      <c r="C452" s="125" t="inlineStr">
        <is>
          <t>271.1</t>
        </is>
      </c>
      <c r="D452" s="125" t="n">
        <v>990</v>
      </c>
      <c r="E452" s="125" t="n">
        <v>298</v>
      </c>
      <c r="F452" s="125" t="n">
        <v>31</v>
      </c>
      <c r="G452" s="125" t="n">
        <v>17</v>
      </c>
      <c r="H452" s="125" t="n">
        <v>18</v>
      </c>
      <c r="I452" s="125">
        <f>D452-(2*(H452+F452))</f>
        <v/>
      </c>
      <c r="J452" s="125" t="n">
        <v>345.3</v>
      </c>
      <c r="K452" s="125">
        <f>((E452-G452)/2)/F452</f>
        <v/>
      </c>
      <c r="L452" s="125">
        <f>I452/G452</f>
        <v/>
      </c>
      <c r="M452" s="125">
        <f>(E452*2+F452*4+((E452-G452)/2-H452)*4+2*PI()*H452+(D452-2*F452-2*H452)*2)/1000</f>
        <v/>
      </c>
      <c r="N452" s="5" t="n">
        <v>535201</v>
      </c>
      <c r="O452" s="5" t="n">
        <v>13713</v>
      </c>
      <c r="P452" s="125" t="n">
        <v>39.37</v>
      </c>
      <c r="Q452" s="125" t="n">
        <v>6.3</v>
      </c>
      <c r="R452" s="5" t="n">
        <v>10812</v>
      </c>
      <c r="S452" s="125" t="n">
        <v>920.3</v>
      </c>
      <c r="T452" s="125">
        <f>(((E452*D452*D452)/4)-(((E452-G452)*(D452-F452-F452)*(D452-F452-F452))/4)+(4*(H452*H452*(D452/2-F452-(H452/2))-((PI()*H452*H452)/4*((D452/2)-F452-(H452-((4*H452)/(3*PI()))))))))/1000</f>
        <v/>
      </c>
      <c r="U452" s="125">
        <f>(((D452*E452*E452)/4)-(2*((D452-F452-F452)*(E452/2-(G452/2))*(((E452/2-(G452/2))/2)+(G452/2))))+(4*(((H452*H452)-(((PI()*H452*H452)/4)))*((H452-((4*H452)/(3*PI())))+(G452/2)))))/1000</f>
        <v/>
      </c>
      <c r="X452" s="129">
        <f t="array" ref="X452">_xlfn.IFS((D452/F452) &lt;= (640/SQRT($AT$32)), "Compact", L452 &lt;= ($AT$32*(0.79-(0.002*((E452-G452/2)/(2*F452))*SQRT($AT$32)))), "Non-Compact", L452 &gt; ($AT$32*(0.79-(0.002*((E452-G452/2)/(2*F452))*SQRT($AT$32)))), "Slender")</f>
        <v/>
      </c>
      <c r="Y452" s="129">
        <f t="array" ref="Y452">_xlfn.IFS(K452 &lt;= (65/SQRT($AT$32)), "Compact", K452 &lt;= (95/SQRT($AT$32)), "Non-Compact", K452 &gt; (95/SQRT($AT$32)), "Slender")</f>
        <v/>
      </c>
      <c r="Z452" s="125">
        <f>E452/F452</f>
        <v/>
      </c>
      <c r="AA452" s="125">
        <f>D452/G452</f>
        <v/>
      </c>
      <c r="AB452" s="125">
        <f t="array" ref="AB452">_xlfn.IFS(Z452 &lt;= 9, "1", Z452 &lt;= 12, "2", Z452 &lt;= 15, "3", Z452 &gt; 15, "4")</f>
        <v/>
      </c>
      <c r="AC452" s="125">
        <f t="array" ref="AC452">_xlfn.IFS(AA452 &lt;= 200, "1", L452 &lt;= 300, "2", L452 &lt;= 400, "3", L452 &gt; 400, "4")</f>
        <v/>
      </c>
      <c r="AE452" s="129">
        <f>SQRT((((VLOOKUP($AT$4,$A$4:$D$1021,4,FALSE))-D452)^2)+(((VLOOKUP($AT$4,$A$4:$E$1021,5,FALSE))-E452)^2)+(((VLOOKUP($AT$4,$A$4:$N$1021,14,FALSE))-N452)^2)+(((VLOOKUP($AT$4,$A$4:$O$1021,15,FALSE))-O452)^2))</f>
        <v/>
      </c>
      <c r="AG452" s="129" t="n"/>
      <c r="AH452" s="129">
        <f>SQRT((((VLOOKUP($AT$4,$A$4:$D$1021,4,FALSE))-D452)^2)+(((VLOOKUP($AT$4,$A$4:$E$1021,5,FALSE))-E452)^2)+(((VLOOKUP($AT$4,$A$4:$R$1021,18,FALSE))-R452)^2)+(((VLOOKUP($AT$4,$A$4:$S$1021,19,FALSE))-S452)^2))</f>
        <v/>
      </c>
      <c r="AJ452" s="125" t="inlineStr">
        <is>
          <t>HN1000X271.1</t>
        </is>
      </c>
      <c r="AK452" s="125" t="n"/>
      <c r="AL452" s="125">
        <f>SQRT(((VLOOKUP($AT$4,$A$4:$J$1021,10,FALSE))-J452)^2)</f>
        <v/>
      </c>
      <c r="AM452" s="125" t="n"/>
      <c r="AN452" s="125" t="n"/>
      <c r="AO452" s="125">
        <f>SQRT(((VLOOKUP($AT$4,$A$4:$R$1021,18,FALSE))-R452)^2)</f>
        <v/>
      </c>
      <c r="AP452" s="125" t="n"/>
      <c r="AQ452" s="125" t="inlineStr">
        <is>
          <t>HN990</t>
        </is>
      </c>
      <c r="BB452" s="125">
        <f>SQRT(($J$1022-J452)^2)</f>
        <v/>
      </c>
      <c r="BC452" s="125">
        <f>SQRT(($R$1022-R452)^2)</f>
        <v/>
      </c>
      <c r="BD452" s="125" t="inlineStr">
        <is>
          <t>HN990</t>
        </is>
      </c>
      <c r="BI452">
        <f>SQRT(($J$1023-J452)^2)</f>
        <v/>
      </c>
      <c r="BJ452">
        <f>SQRT(($R$1023-R452)^2)</f>
        <v/>
      </c>
      <c r="BK452" s="125" t="inlineStr">
        <is>
          <t>HN990</t>
        </is>
      </c>
      <c r="BP452">
        <f>SQRT(($J$1024-J452)^2)</f>
        <v/>
      </c>
      <c r="BQ452">
        <f>SQRT(($R$1024-R452)^2)</f>
        <v/>
      </c>
      <c r="BR452" s="125" t="inlineStr">
        <is>
          <t>HN990</t>
        </is>
      </c>
      <c r="BW452">
        <f>SQRT(($J$1025-J452)^2)</f>
        <v/>
      </c>
      <c r="BX452">
        <f>SQRT(($R$1025-R452)^2)</f>
        <v/>
      </c>
      <c r="BY452" s="125" t="inlineStr">
        <is>
          <t>HN990</t>
        </is>
      </c>
      <c r="CD452">
        <f>SQRT(($J$1026-J452)^2)</f>
        <v/>
      </c>
      <c r="CE452">
        <f>SQRT(($R$1026-R452)^2)</f>
        <v/>
      </c>
      <c r="CF452" s="125" t="inlineStr">
        <is>
          <t>HN990</t>
        </is>
      </c>
    </row>
    <row r="453">
      <c r="A453" s="125" t="inlineStr">
        <is>
          <t>HN1000</t>
        </is>
      </c>
      <c r="B453" s="129" t="inlineStr">
        <is>
          <t>GB</t>
        </is>
      </c>
      <c r="C453" s="125" t="inlineStr">
        <is>
          <t>310.2</t>
        </is>
      </c>
      <c r="D453" s="5" t="n">
        <v>1000</v>
      </c>
      <c r="E453" s="125" t="n">
        <v>300</v>
      </c>
      <c r="F453" s="125" t="n">
        <v>36</v>
      </c>
      <c r="G453" s="125" t="n">
        <v>19</v>
      </c>
      <c r="H453" s="125" t="n">
        <v>18</v>
      </c>
      <c r="I453" s="125">
        <f>D453-(2*(H453+F453))</f>
        <v/>
      </c>
      <c r="J453" s="125" t="n">
        <v>395.1</v>
      </c>
      <c r="K453" s="125">
        <f>((E453-G453)/2)/F453</f>
        <v/>
      </c>
      <c r="L453" s="125">
        <f>I453/G453</f>
        <v/>
      </c>
      <c r="M453" s="125">
        <f>(E453*2+F453*4+((E453-G453)/2-H453)*4+2*PI()*H453+(D453-2*F453-2*H453)*2)/1000</f>
        <v/>
      </c>
      <c r="N453" s="5" t="n">
        <v>626396</v>
      </c>
      <c r="O453" s="5" t="n">
        <v>16256</v>
      </c>
      <c r="P453" s="125" t="n">
        <v>39.82</v>
      </c>
      <c r="Q453" s="125" t="n">
        <v>6.41</v>
      </c>
      <c r="R453" s="5" t="n">
        <v>12528</v>
      </c>
      <c r="S453" s="5" t="n">
        <v>1084</v>
      </c>
      <c r="T453" s="125">
        <f>(((E453*D453*D453)/4)-(((E453-G453)*(D453-F453-F453)*(D453-F453-F453))/4)+(4*(H453*H453*(D453/2-F453-(H453/2))-((PI()*H453*H453)/4*((D453/2)-F453-(H453-((4*H453)/(3*PI()))))))))/1000</f>
        <v/>
      </c>
      <c r="U453" s="125">
        <f>(((D453*E453*E453)/4)-(2*((D453-F453-F453)*(E453/2-(G453/2))*(((E453/2-(G453/2))/2)+(G453/2))))+(4*(((H453*H453)-(((PI()*H453*H453)/4)))*((H453-((4*H453)/(3*PI())))+(G453/2)))))/1000</f>
        <v/>
      </c>
      <c r="X453" s="129">
        <f t="array" ref="X453">_xlfn.IFS((D453/F453) &lt;= (640/SQRT($AT$32)), "Compact", L453 &lt;= ($AT$32*(0.79-(0.002*((E453-G453/2)/(2*F453))*SQRT($AT$32)))), "Non-Compact", L453 &gt; ($AT$32*(0.79-(0.002*((E453-G453/2)/(2*F453))*SQRT($AT$32)))), "Slender")</f>
        <v/>
      </c>
      <c r="Y453" s="129">
        <f t="array" ref="Y453">_xlfn.IFS(K453 &lt;= (65/SQRT($AT$32)), "Compact", K453 &lt;= (95/SQRT($AT$32)), "Non-Compact", K453 &gt; (95/SQRT($AT$32)), "Slender")</f>
        <v/>
      </c>
      <c r="Z453" s="125">
        <f>E453/F453</f>
        <v/>
      </c>
      <c r="AA453" s="125">
        <f>D453/G453</f>
        <v/>
      </c>
      <c r="AB453" s="125">
        <f t="array" ref="AB453">_xlfn.IFS(Z453 &lt;= 9, "1", Z453 &lt;= 12, "2", Z453 &lt;= 15, "3", Z453 &gt; 15, "4")</f>
        <v/>
      </c>
      <c r="AC453" s="125">
        <f t="array" ref="AC453">_xlfn.IFS(AA453 &lt;= 200, "1", L453 &lt;= 300, "2", L453 &lt;= 400, "3", L453 &gt; 400, "4")</f>
        <v/>
      </c>
      <c r="AE453" s="129">
        <f>SQRT((((VLOOKUP($AT$4,$A$4:$D$1021,4,FALSE))-D453)^2)+(((VLOOKUP($AT$4,$A$4:$E$1021,5,FALSE))-E453)^2)+(((VLOOKUP($AT$4,$A$4:$N$1021,14,FALSE))-N453)^2)+(((VLOOKUP($AT$4,$A$4:$O$1021,15,FALSE))-O453)^2))</f>
        <v/>
      </c>
      <c r="AG453" s="129" t="n"/>
      <c r="AH453" s="129">
        <f>SQRT((((VLOOKUP($AT$4,$A$4:$D$1021,4,FALSE))-D453)^2)+(((VLOOKUP($AT$4,$A$4:$E$1021,5,FALSE))-E453)^2)+(((VLOOKUP($AT$4,$A$4:$R$1021,18,FALSE))-R453)^2)+(((VLOOKUP($AT$4,$A$4:$S$1021,19,FALSE))-S453)^2))</f>
        <v/>
      </c>
      <c r="AJ453" s="125" t="inlineStr">
        <is>
          <t>HN1000X310.2</t>
        </is>
      </c>
      <c r="AK453" s="125" t="n"/>
      <c r="AL453" s="125">
        <f>SQRT(((VLOOKUP($AT$4,$A$4:$J$1021,10,FALSE))-J453)^2)</f>
        <v/>
      </c>
      <c r="AM453" s="125" t="n"/>
      <c r="AN453" s="125" t="n"/>
      <c r="AO453" s="125">
        <f>SQRT(((VLOOKUP($AT$4,$A$4:$R$1021,18,FALSE))-R453)^2)</f>
        <v/>
      </c>
      <c r="AP453" s="125" t="n"/>
      <c r="AQ453" s="125" t="inlineStr">
        <is>
          <t>HN1000</t>
        </is>
      </c>
      <c r="BB453" s="125">
        <f>SQRT(($J$1022-J453)^2)</f>
        <v/>
      </c>
      <c r="BC453" s="125">
        <f>SQRT(($R$1022-R453)^2)</f>
        <v/>
      </c>
      <c r="BD453" s="125" t="inlineStr">
        <is>
          <t>HN1000</t>
        </is>
      </c>
      <c r="BI453">
        <f>SQRT(($J$1023-J453)^2)</f>
        <v/>
      </c>
      <c r="BJ453">
        <f>SQRT(($R$1023-R453)^2)</f>
        <v/>
      </c>
      <c r="BK453" s="125" t="inlineStr">
        <is>
          <t>HN1000</t>
        </is>
      </c>
      <c r="BP453">
        <f>SQRT(($J$1024-J453)^2)</f>
        <v/>
      </c>
      <c r="BQ453">
        <f>SQRT(($R$1024-R453)^2)</f>
        <v/>
      </c>
      <c r="BR453" s="125" t="inlineStr">
        <is>
          <t>HN1000</t>
        </is>
      </c>
      <c r="BW453">
        <f>SQRT(($J$1025-J453)^2)</f>
        <v/>
      </c>
      <c r="BX453">
        <f>SQRT(($R$1025-R453)^2)</f>
        <v/>
      </c>
      <c r="BY453" s="125" t="inlineStr">
        <is>
          <t>HN1000</t>
        </is>
      </c>
      <c r="CD453">
        <f>SQRT(($J$1026-J453)^2)</f>
        <v/>
      </c>
      <c r="CE453">
        <f>SQRT(($R$1026-R453)^2)</f>
        <v/>
      </c>
      <c r="CF453" s="125" t="inlineStr">
        <is>
          <t>HN1000</t>
        </is>
      </c>
    </row>
    <row r="454">
      <c r="A454" s="125" t="inlineStr">
        <is>
          <t>HN1008</t>
        </is>
      </c>
      <c r="B454" s="129" t="inlineStr">
        <is>
          <t>GB</t>
        </is>
      </c>
      <c r="C454" s="125" t="inlineStr">
        <is>
          <t>344.8</t>
        </is>
      </c>
      <c r="D454" s="5" t="n">
        <v>1008</v>
      </c>
      <c r="E454" s="125" t="n">
        <v>302</v>
      </c>
      <c r="F454" s="125" t="n">
        <v>40</v>
      </c>
      <c r="G454" s="125" t="n">
        <v>21</v>
      </c>
      <c r="H454" s="125" t="n">
        <v>18</v>
      </c>
      <c r="I454" s="125">
        <f>D454-(2*(H454+F454))</f>
        <v/>
      </c>
      <c r="J454" s="125" t="n">
        <v>439.26</v>
      </c>
      <c r="K454" s="125">
        <f>((E454-G454)/2)/F454</f>
        <v/>
      </c>
      <c r="L454" s="125">
        <f>I454/G454</f>
        <v/>
      </c>
      <c r="M454" s="125">
        <f>(E454*2+F454*4+((E454-G454)/2-H454)*4+2*PI()*H454+(D454-2*F454-2*H454)*2)/1000</f>
        <v/>
      </c>
      <c r="N454" s="5" t="n">
        <v>704572</v>
      </c>
      <c r="O454" s="5" t="n">
        <v>18437</v>
      </c>
      <c r="P454" s="125" t="n">
        <v>40.05</v>
      </c>
      <c r="Q454" s="125" t="n">
        <v>6.48</v>
      </c>
      <c r="R454" s="5" t="n">
        <v>13980</v>
      </c>
      <c r="S454" s="5" t="n">
        <v>1221</v>
      </c>
      <c r="T454" s="125">
        <f>(((E454*D454*D454)/4)-(((E454-G454)*(D454-F454-F454)*(D454-F454-F454))/4)+(4*(H454*H454*(D454/2-F454-(H454/2))-((PI()*H454*H454)/4*((D454/2)-F454-(H454-((4*H454)/(3*PI()))))))))/1000</f>
        <v/>
      </c>
      <c r="U454" s="125">
        <f>(((D454*E454*E454)/4)-(2*((D454-F454-F454)*(E454/2-(G454/2))*(((E454/2-(G454/2))/2)+(G454/2))))+(4*(((H454*H454)-(((PI()*H454*H454)/4)))*((H454-((4*H454)/(3*PI())))+(G454/2)))))/1000</f>
        <v/>
      </c>
      <c r="X454" s="129">
        <f t="array" ref="X454">_xlfn.IFS((D454/F454) &lt;= (640/SQRT($AT$32)), "Compact", L454 &lt;= ($AT$32*(0.79-(0.002*((E454-G454/2)/(2*F454))*SQRT($AT$32)))), "Non-Compact", L454 &gt; ($AT$32*(0.79-(0.002*((E454-G454/2)/(2*F454))*SQRT($AT$32)))), "Slender")</f>
        <v/>
      </c>
      <c r="Y454" s="129">
        <f t="array" ref="Y454">_xlfn.IFS(K454 &lt;= (65/SQRT($AT$32)), "Compact", K454 &lt;= (95/SQRT($AT$32)), "Non-Compact", K454 &gt; (95/SQRT($AT$32)), "Slender")</f>
        <v/>
      </c>
      <c r="Z454" s="125">
        <f>E454/F454</f>
        <v/>
      </c>
      <c r="AA454" s="125">
        <f>D454/G454</f>
        <v/>
      </c>
      <c r="AB454" s="125">
        <f t="array" ref="AB454">_xlfn.IFS(Z454 &lt;= 9, "1", Z454 &lt;= 12, "2", Z454 &lt;= 15, "3", Z454 &gt; 15, "4")</f>
        <v/>
      </c>
      <c r="AC454" s="125">
        <f t="array" ref="AC454">_xlfn.IFS(AA454 &lt;= 200, "1", L454 &lt;= 300, "2", L454 &lt;= 400, "3", L454 &gt; 400, "4")</f>
        <v/>
      </c>
      <c r="AE454" s="129">
        <f>SQRT((((VLOOKUP($AT$4,$A$4:$D$1021,4,FALSE))-D454)^2)+(((VLOOKUP($AT$4,$A$4:$E$1021,5,FALSE))-E454)^2)+(((VLOOKUP($AT$4,$A$4:$N$1021,14,FALSE))-N454)^2)+(((VLOOKUP($AT$4,$A$4:$O$1021,15,FALSE))-O454)^2))</f>
        <v/>
      </c>
      <c r="AG454" s="129" t="n"/>
      <c r="AH454" s="129">
        <f>SQRT((((VLOOKUP($AT$4,$A$4:$D$1021,4,FALSE))-D454)^2)+(((VLOOKUP($AT$4,$A$4:$E$1021,5,FALSE))-E454)^2)+(((VLOOKUP($AT$4,$A$4:$R$1021,18,FALSE))-R454)^2)+(((VLOOKUP($AT$4,$A$4:$S$1021,19,FALSE))-S454)^2))</f>
        <v/>
      </c>
      <c r="AJ454" s="125" t="inlineStr">
        <is>
          <t>HN1000X344.8</t>
        </is>
      </c>
      <c r="AK454" s="125" t="n"/>
      <c r="AL454" s="125">
        <f>SQRT(((VLOOKUP($AT$4,$A$4:$J$1021,10,FALSE))-J454)^2)</f>
        <v/>
      </c>
      <c r="AM454" s="125" t="n"/>
      <c r="AN454" s="125" t="n"/>
      <c r="AO454" s="125">
        <f>SQRT(((VLOOKUP($AT$4,$A$4:$R$1021,18,FALSE))-R454)^2)</f>
        <v/>
      </c>
      <c r="AP454" s="125" t="n"/>
      <c r="AQ454" s="125" t="inlineStr">
        <is>
          <t>HN1008</t>
        </is>
      </c>
      <c r="BB454" s="125">
        <f>SQRT(($J$1022-J454)^2)</f>
        <v/>
      </c>
      <c r="BC454" s="125">
        <f>SQRT(($R$1022-R454)^2)</f>
        <v/>
      </c>
      <c r="BD454" s="125" t="inlineStr">
        <is>
          <t>HN1008</t>
        </is>
      </c>
      <c r="BI454">
        <f>SQRT(($J$1023-J454)^2)</f>
        <v/>
      </c>
      <c r="BJ454">
        <f>SQRT(($R$1023-R454)^2)</f>
        <v/>
      </c>
      <c r="BK454" s="125" t="inlineStr">
        <is>
          <t>HN1008</t>
        </is>
      </c>
      <c r="BP454">
        <f>SQRT(($J$1024-J454)^2)</f>
        <v/>
      </c>
      <c r="BQ454">
        <f>SQRT(($R$1024-R454)^2)</f>
        <v/>
      </c>
      <c r="BR454" s="125" t="inlineStr">
        <is>
          <t>HN1008</t>
        </is>
      </c>
      <c r="BW454">
        <f>SQRT(($J$1025-J454)^2)</f>
        <v/>
      </c>
      <c r="BX454">
        <f>SQRT(($R$1025-R454)^2)</f>
        <v/>
      </c>
      <c r="BY454" s="125" t="inlineStr">
        <is>
          <t>HN1008</t>
        </is>
      </c>
      <c r="CD454">
        <f>SQRT(($J$1026-J454)^2)</f>
        <v/>
      </c>
      <c r="CE454">
        <f>SQRT(($R$1026-R454)^2)</f>
        <v/>
      </c>
      <c r="CF454" s="125" t="inlineStr">
        <is>
          <t>HN1008</t>
        </is>
      </c>
    </row>
    <row r="455" customFormat="1" s="83">
      <c r="A455" s="81" t="inlineStr">
        <is>
          <t>HY1000X412</t>
        </is>
      </c>
      <c r="B455" s="82" t="inlineStr">
        <is>
          <t>HY</t>
        </is>
      </c>
      <c r="C455" s="81" t="n">
        <v>412</v>
      </c>
      <c r="D455" s="81" t="n">
        <v>1000</v>
      </c>
      <c r="E455" s="81" t="n">
        <v>400</v>
      </c>
      <c r="F455" s="81" t="n">
        <v>40</v>
      </c>
      <c r="G455" s="81" t="n">
        <v>22</v>
      </c>
      <c r="H455" s="81" t="n">
        <v>18</v>
      </c>
      <c r="I455" s="81">
        <f>D455-(2*(H455+F455))</f>
        <v/>
      </c>
      <c r="J455" s="81">
        <f>(2*E455/10*F455/10)+((D455-F455-F455)/10*G455/10)+((H455/10+H455/10)^2)-(PI()*H455/10*H455/10)</f>
        <v/>
      </c>
      <c r="K455" s="81">
        <f>((E455-G455)/2)/F455</f>
        <v/>
      </c>
      <c r="L455" s="81">
        <f>I455/G455</f>
        <v/>
      </c>
      <c r="M455" s="81">
        <f>(E455*2+F455*4+((E455-G455)/2-H455)*4+2*PI()*H455+(D455-2*F455-2*H455)*2)/1000</f>
        <v/>
      </c>
      <c r="N455" s="84" t="n">
        <v>886000</v>
      </c>
      <c r="O455" s="84" t="n">
        <v>42800</v>
      </c>
      <c r="P455" s="81" t="n">
        <v>41.1</v>
      </c>
      <c r="Q455" s="81" t="n">
        <v>9</v>
      </c>
      <c r="R455" s="84" t="n">
        <v>17700</v>
      </c>
      <c r="S455" s="84" t="n">
        <v>2140</v>
      </c>
      <c r="T455" s="84" t="n">
        <v>20100</v>
      </c>
      <c r="U455" s="84" t="n">
        <v>3320</v>
      </c>
      <c r="X455" s="129">
        <f t="array" ref="X455">_xlfn.IFS((D455/F455) &lt;= (640/SQRT($AT$32)), "Compact", L455 &lt;= ($AT$32*(0.79-(0.002*((E455-G455/2)/(2*F455))*SQRT($AT$32)))), "Non-Compact", L455 &gt; ($AT$32*(0.79-(0.002*((E455-G455/2)/(2*F455))*SQRT($AT$32)))), "Slender")</f>
        <v/>
      </c>
      <c r="Y455" s="129">
        <f t="array" ref="Y455">_xlfn.IFS(K455 &lt;= (65/SQRT($AT$32)), "Compact", K455 &lt;= (95/SQRT($AT$32)), "Non-Compact", K455 &gt; (95/SQRT($AT$32)), "Slender")</f>
        <v/>
      </c>
      <c r="Z455" s="81">
        <f>E455/F455</f>
        <v/>
      </c>
      <c r="AA455" s="81">
        <f>D455/G455</f>
        <v/>
      </c>
      <c r="AB455" s="81">
        <f t="array" ref="AB455">_xlfn.IFS(Z455 &lt;= 9, "1", Z455 &lt;= 12, "2", Z455 &lt;= 15, "3", Z455 &gt; 15, "4")</f>
        <v/>
      </c>
      <c r="AC455" s="81">
        <f t="array" ref="AC455">_xlfn.IFS(AA455 &lt;= 200, "1", L455 &lt;= 300, "2", L455 &lt;= 400, "3", L455 &gt; 400, "4")</f>
        <v/>
      </c>
      <c r="AD455" s="82" t="n"/>
      <c r="AF455" s="82">
        <f>SQRT((((VLOOKUP($AT$4,$A$4:$D$1021,4,FALSE))-D455)^2)+(((VLOOKUP($AT$4,$A$4:$E$1021,5,FALSE))-E455)^2)+(((VLOOKUP($AT$4,$A$4:$N$1021,14,FALSE))-N455)^2)+(((VLOOKUP($AT$4,$A$4:$O$1021,15,FALSE))-O455)^2))</f>
        <v/>
      </c>
      <c r="AG455" s="82" t="n"/>
      <c r="AI455" s="82">
        <f>SQRT((((VLOOKUP($AT$4,$A$4:$D$1021,4,FALSE))-D455)^2)+(((VLOOKUP($AT$4,$A$4:$E$1021,5,FALSE))-E455)^2)+(((VLOOKUP($AT$4,$A$4:$R$1021,18,FALSE))-R455)^2)+(((VLOOKUP($AT$4,$A$4:$S$1021,19,FALSE))-S455)^2))</f>
        <v/>
      </c>
      <c r="AJ455" s="81" t="inlineStr">
        <is>
          <t>HY1000X412</t>
        </is>
      </c>
      <c r="AK455" s="81" t="n"/>
      <c r="AL455" s="81" t="n"/>
      <c r="AM455" s="81">
        <f>SQRT(((VLOOKUP($AT$4,$A$4:$J$1021,10,FALSE))-J455)^2)</f>
        <v/>
      </c>
      <c r="AN455" s="81" t="n"/>
      <c r="AO455" s="81" t="n"/>
      <c r="AP455" s="81">
        <f>SQRT(((VLOOKUP($AT$4,$A$4:$R$1021,18,FALSE))-R455)^2)</f>
        <v/>
      </c>
      <c r="AQ455" s="81" t="inlineStr">
        <is>
          <t>HY1000X412</t>
        </is>
      </c>
      <c r="BB455" s="125">
        <f>SQRT(($J$1022-J455)^2)</f>
        <v/>
      </c>
      <c r="BC455" s="125">
        <f>SQRT(($R$1022-R455)^2)</f>
        <v/>
      </c>
      <c r="BD455" s="81" t="inlineStr">
        <is>
          <t>HY1000X412</t>
        </is>
      </c>
      <c r="BH455" s="81" t="n"/>
      <c r="BI455">
        <f>SQRT(($J$1023-J455)^2)</f>
        <v/>
      </c>
      <c r="BJ455">
        <f>SQRT(($R$1023-R455)^2)</f>
        <v/>
      </c>
      <c r="BK455" s="81" t="inlineStr">
        <is>
          <t>HY1000X412</t>
        </is>
      </c>
      <c r="BP455">
        <f>SQRT(($J$1024-J455)^2)</f>
        <v/>
      </c>
      <c r="BQ455">
        <f>SQRT(($R$1024-R455)^2)</f>
        <v/>
      </c>
      <c r="BR455" s="81" t="inlineStr">
        <is>
          <t>HY1000X412</t>
        </is>
      </c>
      <c r="BW455">
        <f>SQRT(($J$1025-J455)^2)</f>
        <v/>
      </c>
      <c r="BX455">
        <f>SQRT(($R$1025-R455)^2)</f>
        <v/>
      </c>
      <c r="BY455" s="81" t="inlineStr">
        <is>
          <t>HY1000X412</t>
        </is>
      </c>
      <c r="CD455">
        <f>SQRT(($J$1026-J455)^2)</f>
        <v/>
      </c>
      <c r="CE455">
        <f>SQRT(($R$1026-R455)^2)</f>
        <v/>
      </c>
      <c r="CF455" s="81" t="inlineStr">
        <is>
          <t>HY1000X412</t>
        </is>
      </c>
    </row>
    <row r="456">
      <c r="A456" s="125" t="inlineStr">
        <is>
          <t>HY1000X389</t>
        </is>
      </c>
      <c r="B456" s="129" t="inlineStr">
        <is>
          <t>HY</t>
        </is>
      </c>
      <c r="C456" s="125" t="n">
        <v>389</v>
      </c>
      <c r="D456" s="125" t="n">
        <v>1000</v>
      </c>
      <c r="E456" s="125" t="n">
        <v>400</v>
      </c>
      <c r="F456" s="125" t="n">
        <v>36</v>
      </c>
      <c r="G456" s="125" t="n">
        <v>22</v>
      </c>
      <c r="H456" s="125" t="n">
        <v>18</v>
      </c>
      <c r="I456" s="125">
        <f>D456-(2*(H456+F456))</f>
        <v/>
      </c>
      <c r="J456" s="125">
        <f>(2*E456/10*F456/10)+((D456-F456-F456)/10*G456/10)+((H456/10+H456/10)^2)-(PI()*H456/10*H456/10)</f>
        <v/>
      </c>
      <c r="K456" s="125">
        <f>((E456-G456)/2)/F456</f>
        <v/>
      </c>
      <c r="L456" s="125">
        <f>I456/G456</f>
        <v/>
      </c>
      <c r="M456" s="125">
        <f>(E456*2+F456*4+((E456-G456)/2-H456)*4+2*PI()*H456+(D456-2*F456-2*H456)*2)/1000</f>
        <v/>
      </c>
      <c r="N456" s="5" t="n">
        <v>822000</v>
      </c>
      <c r="O456" s="5" t="n">
        <v>38500</v>
      </c>
      <c r="P456" s="125" t="n">
        <v>40.7</v>
      </c>
      <c r="Q456" s="125" t="n">
        <v>8.800000000000001</v>
      </c>
      <c r="R456" s="5" t="n">
        <v>16400</v>
      </c>
      <c r="S456" s="5" t="n">
        <v>1920</v>
      </c>
      <c r="T456" s="5" t="n">
        <v>18700</v>
      </c>
      <c r="U456" s="5" t="n">
        <v>3000</v>
      </c>
      <c r="X456" s="129">
        <f t="array" ref="X456">_xlfn.IFS((D456/F456) &lt;= (640/SQRT($AT$32)), "Compact", L456 &lt;= ($AT$32*(0.79-(0.002*((E456-G456/2)/(2*F456))*SQRT($AT$32)))), "Non-Compact", L456 &gt; ($AT$32*(0.79-(0.002*((E456-G456/2)/(2*F456))*SQRT($AT$32)))), "Slender")</f>
        <v/>
      </c>
      <c r="Y456" s="129">
        <f t="array" ref="Y456">_xlfn.IFS(K456 &lt;= (65/SQRT($AT$32)), "Compact", K456 &lt;= (95/SQRT($AT$32)), "Non-Compact", K456 &gt; (95/SQRT($AT$32)), "Slender")</f>
        <v/>
      </c>
      <c r="Z456" s="125">
        <f>E456/F456</f>
        <v/>
      </c>
      <c r="AA456" s="125">
        <f>D456/G456</f>
        <v/>
      </c>
      <c r="AB456" s="125">
        <f t="array" ref="AB456">_xlfn.IFS(Z456 &lt;= 9, "1", Z456 &lt;= 12, "2", Z456 &lt;= 15, "3", Z456 &gt; 15, "4")</f>
        <v/>
      </c>
      <c r="AC456" s="125">
        <f t="array" ref="AC456">_xlfn.IFS(AA456 &lt;= 200, "1", L456 &lt;= 300, "2", L456 &lt;= 400, "3", L456 &gt; 400, "4")</f>
        <v/>
      </c>
      <c r="AF456" s="129">
        <f>SQRT((((VLOOKUP($AT$4,$A$4:$D$1021,4,FALSE))-D456)^2)+(((VLOOKUP($AT$4,$A$4:$E$1021,5,FALSE))-E456)^2)+(((VLOOKUP($AT$4,$A$4:$N$1021,14,FALSE))-N456)^2)+(((VLOOKUP($AT$4,$A$4:$O$1021,15,FALSE))-O456)^2))</f>
        <v/>
      </c>
      <c r="AG456" s="129" t="n"/>
      <c r="AI456" s="129">
        <f>SQRT((((VLOOKUP($AT$4,$A$4:$D$1021,4,FALSE))-D456)^2)+(((VLOOKUP($AT$4,$A$4:$E$1021,5,FALSE))-E456)^2)+(((VLOOKUP($AT$4,$A$4:$R$1021,18,FALSE))-R456)^2)+(((VLOOKUP($AT$4,$A$4:$S$1021,19,FALSE))-S456)^2))</f>
        <v/>
      </c>
      <c r="AJ456" s="125" t="inlineStr">
        <is>
          <t>HY1000X389</t>
        </is>
      </c>
      <c r="AK456" s="125" t="n"/>
      <c r="AL456" s="125" t="n"/>
      <c r="AM456" s="125">
        <f>SQRT(((VLOOKUP($AT$4,$A$4:$J$1021,10,FALSE))-J456)^2)</f>
        <v/>
      </c>
      <c r="AN456" s="125" t="n"/>
      <c r="AO456" s="125" t="n"/>
      <c r="AP456" s="125">
        <f>SQRT(((VLOOKUP($AT$4,$A$4:$R$1021,18,FALSE))-R456)^2)</f>
        <v/>
      </c>
      <c r="AQ456" s="125" t="inlineStr">
        <is>
          <t>HY1000X389</t>
        </is>
      </c>
      <c r="BB456" s="125">
        <f>SQRT(($J$1022-J456)^2)</f>
        <v/>
      </c>
      <c r="BC456" s="125">
        <f>SQRT(($R$1022-R456)^2)</f>
        <v/>
      </c>
      <c r="BD456" s="125" t="inlineStr">
        <is>
          <t>HY1000X389</t>
        </is>
      </c>
      <c r="BI456">
        <f>SQRT(($J$1023-J456)^2)</f>
        <v/>
      </c>
      <c r="BJ456">
        <f>SQRT(($R$1023-R456)^2)</f>
        <v/>
      </c>
      <c r="BK456" s="125" t="inlineStr">
        <is>
          <t>HY1000X389</t>
        </is>
      </c>
      <c r="BP456">
        <f>SQRT(($J$1024-J456)^2)</f>
        <v/>
      </c>
      <c r="BQ456">
        <f>SQRT(($R$1024-R456)^2)</f>
        <v/>
      </c>
      <c r="BR456" s="125" t="inlineStr">
        <is>
          <t>HY1000X389</t>
        </is>
      </c>
      <c r="BW456">
        <f>SQRT(($J$1025-J456)^2)</f>
        <v/>
      </c>
      <c r="BX456">
        <f>SQRT(($R$1025-R456)^2)</f>
        <v/>
      </c>
      <c r="BY456" s="125" t="inlineStr">
        <is>
          <t>HY1000X389</t>
        </is>
      </c>
      <c r="CD456">
        <f>SQRT(($J$1026-J456)^2)</f>
        <v/>
      </c>
      <c r="CE456">
        <f>SQRT(($R$1026-R456)^2)</f>
        <v/>
      </c>
      <c r="CF456" s="125" t="inlineStr">
        <is>
          <t>HY1000X389</t>
        </is>
      </c>
    </row>
    <row r="457">
      <c r="A457" s="125" t="inlineStr">
        <is>
          <t>HY1000X365</t>
        </is>
      </c>
      <c r="B457" s="129" t="inlineStr">
        <is>
          <t>HY</t>
        </is>
      </c>
      <c r="C457" s="125" t="n">
        <v>365</v>
      </c>
      <c r="D457" s="125" t="n">
        <v>1000</v>
      </c>
      <c r="E457" s="125" t="n">
        <v>400</v>
      </c>
      <c r="F457" s="125" t="n">
        <v>32</v>
      </c>
      <c r="G457" s="125" t="n">
        <v>22</v>
      </c>
      <c r="H457" s="125" t="n">
        <v>18</v>
      </c>
      <c r="I457" s="125">
        <f>D457-(2*(H457+F457))</f>
        <v/>
      </c>
      <c r="J457" s="125">
        <f>(2*E457/10*F457/10)+((D457-F457-F457)/10*G457/10)+((H457/10+H457/10)^2)-(PI()*H457/10*H457/10)</f>
        <v/>
      </c>
      <c r="K457" s="125">
        <f>((E457-G457)/2)/F457</f>
        <v/>
      </c>
      <c r="L457" s="125">
        <f>I457/G457</f>
        <v/>
      </c>
      <c r="M457" s="125">
        <f>(E457*2+F457*4+((E457-G457)/2-H457)*4+2*PI()*H457+(D457-2*F457-2*H457)*2)/1000</f>
        <v/>
      </c>
      <c r="N457" s="5" t="n">
        <v>756000</v>
      </c>
      <c r="O457" s="5" t="n">
        <v>34200</v>
      </c>
      <c r="P457" s="125" t="n">
        <v>40.3</v>
      </c>
      <c r="Q457" s="125" t="n">
        <v>8.6</v>
      </c>
      <c r="R457" s="5" t="n">
        <v>15100</v>
      </c>
      <c r="S457" s="5" t="n">
        <v>1710</v>
      </c>
      <c r="T457" s="5" t="n">
        <v>17300</v>
      </c>
      <c r="U457" s="5" t="n">
        <v>2680</v>
      </c>
      <c r="X457" s="129">
        <f t="array" ref="X457">_xlfn.IFS((D457/F457) &lt;= (640/SQRT($AT$32)), "Compact", L457 &lt;= ($AT$32*(0.79-(0.002*((E457-G457/2)/(2*F457))*SQRT($AT$32)))), "Non-Compact", L457 &gt; ($AT$32*(0.79-(0.002*((E457-G457/2)/(2*F457))*SQRT($AT$32)))), "Slender")</f>
        <v/>
      </c>
      <c r="Y457" s="129">
        <f t="array" ref="Y457">_xlfn.IFS(K457 &lt;= (65/SQRT($AT$32)), "Compact", K457 &lt;= (95/SQRT($AT$32)), "Non-Compact", K457 &gt; (95/SQRT($AT$32)), "Slender")</f>
        <v/>
      </c>
      <c r="Z457" s="125">
        <f>E457/F457</f>
        <v/>
      </c>
      <c r="AA457" s="125">
        <f>D457/G457</f>
        <v/>
      </c>
      <c r="AB457" s="125">
        <f t="array" ref="AB457">_xlfn.IFS(Z457 &lt;= 9, "1", Z457 &lt;= 12, "2", Z457 &lt;= 15, "3", Z457 &gt; 15, "4")</f>
        <v/>
      </c>
      <c r="AC457" s="125">
        <f t="array" ref="AC457">_xlfn.IFS(AA457 &lt;= 200, "1", L457 &lt;= 300, "2", L457 &lt;= 400, "3", L457 &gt; 400, "4")</f>
        <v/>
      </c>
      <c r="AF457" s="129">
        <f>SQRT((((VLOOKUP($AT$4,$A$4:$D$1021,4,FALSE))-D457)^2)+(((VLOOKUP($AT$4,$A$4:$E$1021,5,FALSE))-E457)^2)+(((VLOOKUP($AT$4,$A$4:$N$1021,14,FALSE))-N457)^2)+(((VLOOKUP($AT$4,$A$4:$O$1021,15,FALSE))-O457)^2))</f>
        <v/>
      </c>
      <c r="AG457" s="129" t="n"/>
      <c r="AI457" s="129">
        <f>SQRT((((VLOOKUP($AT$4,$A$4:$D$1021,4,FALSE))-D457)^2)+(((VLOOKUP($AT$4,$A$4:$E$1021,5,FALSE))-E457)^2)+(((VLOOKUP($AT$4,$A$4:$R$1021,18,FALSE))-R457)^2)+(((VLOOKUP($AT$4,$A$4:$S$1021,19,FALSE))-S457)^2))</f>
        <v/>
      </c>
      <c r="AJ457" s="125" t="inlineStr">
        <is>
          <t>HY1000X365</t>
        </is>
      </c>
      <c r="AK457" s="125" t="n"/>
      <c r="AL457" s="125" t="n"/>
      <c r="AM457" s="125">
        <f>SQRT(((VLOOKUP($AT$4,$A$4:$J$1021,10,FALSE))-J457)^2)</f>
        <v/>
      </c>
      <c r="AN457" s="125" t="n"/>
      <c r="AO457" s="125" t="n"/>
      <c r="AP457" s="125">
        <f>SQRT(((VLOOKUP($AT$4,$A$4:$R$1021,18,FALSE))-R457)^2)</f>
        <v/>
      </c>
      <c r="AQ457" s="125" t="inlineStr">
        <is>
          <t>HY1000X365</t>
        </is>
      </c>
      <c r="BB457" s="125">
        <f>SQRT(($J$1022-J457)^2)</f>
        <v/>
      </c>
      <c r="BC457" s="125">
        <f>SQRT(($R$1022-R457)^2)</f>
        <v/>
      </c>
      <c r="BD457" s="125" t="inlineStr">
        <is>
          <t>HY1000X365</t>
        </is>
      </c>
      <c r="BI457">
        <f>SQRT(($J$1023-J457)^2)</f>
        <v/>
      </c>
      <c r="BJ457">
        <f>SQRT(($R$1023-R457)^2)</f>
        <v/>
      </c>
      <c r="BK457" s="125" t="inlineStr">
        <is>
          <t>HY1000X365</t>
        </is>
      </c>
      <c r="BP457">
        <f>SQRT(($J$1024-J457)^2)</f>
        <v/>
      </c>
      <c r="BQ457">
        <f>SQRT(($R$1024-R457)^2)</f>
        <v/>
      </c>
      <c r="BR457" s="125" t="inlineStr">
        <is>
          <t>HY1000X365</t>
        </is>
      </c>
      <c r="BW457">
        <f>SQRT(($J$1025-J457)^2)</f>
        <v/>
      </c>
      <c r="BX457">
        <f>SQRT(($R$1025-R457)^2)</f>
        <v/>
      </c>
      <c r="BY457" s="125" t="inlineStr">
        <is>
          <t>HY1000X365</t>
        </is>
      </c>
      <c r="CD457">
        <f>SQRT(($J$1026-J457)^2)</f>
        <v/>
      </c>
      <c r="CE457">
        <f>SQRT(($R$1026-R457)^2)</f>
        <v/>
      </c>
      <c r="CF457" s="125" t="inlineStr">
        <is>
          <t>HY1000X365</t>
        </is>
      </c>
    </row>
    <row r="458">
      <c r="A458" s="125" t="inlineStr">
        <is>
          <t>HY1000X341</t>
        </is>
      </c>
      <c r="B458" s="129" t="inlineStr">
        <is>
          <t>HY</t>
        </is>
      </c>
      <c r="C458" s="125" t="n">
        <v>341</v>
      </c>
      <c r="D458" s="125" t="n">
        <v>1000</v>
      </c>
      <c r="E458" s="125" t="n">
        <v>400</v>
      </c>
      <c r="F458" s="125" t="n">
        <v>28</v>
      </c>
      <c r="G458" s="125" t="n">
        <v>22</v>
      </c>
      <c r="H458" s="125" t="n">
        <v>18</v>
      </c>
      <c r="I458" s="125">
        <f>D458-(2*(H458+F458))</f>
        <v/>
      </c>
      <c r="J458" s="125">
        <f>(2*E458/10*F458/10)+((D458-F458-F458)/10*G458/10)+((H458/10+H458/10)^2)-(PI()*H458/10*H458/10)</f>
        <v/>
      </c>
      <c r="K458" s="125">
        <f>((E458-G458)/2)/F458</f>
        <v/>
      </c>
      <c r="L458" s="125">
        <f>I458/G458</f>
        <v/>
      </c>
      <c r="M458" s="125">
        <f>(E458*2+F458*4+((E458-G458)/2-H458)*4+2*PI()*H458+(D458-2*F458-2*H458)*2)/1000</f>
        <v/>
      </c>
      <c r="N458" s="5" t="n">
        <v>690000</v>
      </c>
      <c r="O458" s="5" t="n">
        <v>30000</v>
      </c>
      <c r="P458" s="125" t="n">
        <v>39.8</v>
      </c>
      <c r="Q458" s="125" t="n">
        <v>8.300000000000001</v>
      </c>
      <c r="R458" s="5" t="n">
        <v>13800</v>
      </c>
      <c r="S458" s="5" t="n">
        <v>1500</v>
      </c>
      <c r="T458" s="5" t="n">
        <v>15900</v>
      </c>
      <c r="U458" s="5" t="n">
        <v>2360</v>
      </c>
      <c r="X458" s="129">
        <f t="array" ref="X458">_xlfn.IFS((D458/F458) &lt;= (640/SQRT($AT$32)), "Compact", L458 &lt;= ($AT$32*(0.79-(0.002*((E458-G458/2)/(2*F458))*SQRT($AT$32)))), "Non-Compact", L458 &gt; ($AT$32*(0.79-(0.002*((E458-G458/2)/(2*F458))*SQRT($AT$32)))), "Slender")</f>
        <v/>
      </c>
      <c r="Y458" s="129">
        <f t="array" ref="Y458">_xlfn.IFS(K458 &lt;= (65/SQRT($AT$32)), "Compact", K458 &lt;= (95/SQRT($AT$32)), "Non-Compact", K458 &gt; (95/SQRT($AT$32)), "Slender")</f>
        <v/>
      </c>
      <c r="Z458" s="125">
        <f>E458/F458</f>
        <v/>
      </c>
      <c r="AA458" s="125">
        <f>D458/G458</f>
        <v/>
      </c>
      <c r="AB458" s="125">
        <f t="array" ref="AB458">_xlfn.IFS(Z458 &lt;= 9, "1", Z458 &lt;= 12, "2", Z458 &lt;= 15, "3", Z458 &gt; 15, "4")</f>
        <v/>
      </c>
      <c r="AC458" s="125">
        <f t="array" ref="AC458">_xlfn.IFS(AA458 &lt;= 200, "1", L458 &lt;= 300, "2", L458 &lt;= 400, "3", L458 &gt; 400, "4")</f>
        <v/>
      </c>
      <c r="AF458" s="129">
        <f>SQRT((((VLOOKUP($AT$4,$A$4:$D$1021,4,FALSE))-D458)^2)+(((VLOOKUP($AT$4,$A$4:$E$1021,5,FALSE))-E458)^2)+(((VLOOKUP($AT$4,$A$4:$N$1021,14,FALSE))-N458)^2)+(((VLOOKUP($AT$4,$A$4:$O$1021,15,FALSE))-O458)^2))</f>
        <v/>
      </c>
      <c r="AG458" s="129" t="n"/>
      <c r="AI458" s="129">
        <f>SQRT((((VLOOKUP($AT$4,$A$4:$D$1021,4,FALSE))-D458)^2)+(((VLOOKUP($AT$4,$A$4:$E$1021,5,FALSE))-E458)^2)+(((VLOOKUP($AT$4,$A$4:$R$1021,18,FALSE))-R458)^2)+(((VLOOKUP($AT$4,$A$4:$S$1021,19,FALSE))-S458)^2))</f>
        <v/>
      </c>
      <c r="AJ458" s="125" t="inlineStr">
        <is>
          <t>HY1000X341</t>
        </is>
      </c>
      <c r="AK458" s="125" t="n"/>
      <c r="AL458" s="125" t="n"/>
      <c r="AM458" s="125">
        <f>SQRT(((VLOOKUP($AT$4,$A$4:$J$1021,10,FALSE))-J458)^2)</f>
        <v/>
      </c>
      <c r="AN458" s="125" t="n"/>
      <c r="AO458" s="125" t="n"/>
      <c r="AP458" s="125">
        <f>SQRT(((VLOOKUP($AT$4,$A$4:$R$1021,18,FALSE))-R458)^2)</f>
        <v/>
      </c>
      <c r="AQ458" s="125" t="inlineStr">
        <is>
          <t>HY1000X341</t>
        </is>
      </c>
      <c r="BB458" s="125">
        <f>SQRT(($J$1022-J458)^2)</f>
        <v/>
      </c>
      <c r="BC458" s="125">
        <f>SQRT(($R$1022-R458)^2)</f>
        <v/>
      </c>
      <c r="BD458" s="125" t="inlineStr">
        <is>
          <t>HY1000X341</t>
        </is>
      </c>
      <c r="BI458">
        <f>SQRT(($J$1023-J458)^2)</f>
        <v/>
      </c>
      <c r="BJ458">
        <f>SQRT(($R$1023-R458)^2)</f>
        <v/>
      </c>
      <c r="BK458" s="125" t="inlineStr">
        <is>
          <t>HY1000X341</t>
        </is>
      </c>
      <c r="BP458">
        <f>SQRT(($J$1024-J458)^2)</f>
        <v/>
      </c>
      <c r="BQ458">
        <f>SQRT(($R$1024-R458)^2)</f>
        <v/>
      </c>
      <c r="BR458" s="125" t="inlineStr">
        <is>
          <t>HY1000X341</t>
        </is>
      </c>
      <c r="BW458">
        <f>SQRT(($J$1025-J458)^2)</f>
        <v/>
      </c>
      <c r="BX458">
        <f>SQRT(($R$1025-R458)^2)</f>
        <v/>
      </c>
      <c r="BY458" s="125" t="inlineStr">
        <is>
          <t>HY1000X341</t>
        </is>
      </c>
      <c r="CD458">
        <f>SQRT(($J$1026-J458)^2)</f>
        <v/>
      </c>
      <c r="CE458">
        <f>SQRT(($R$1026-R458)^2)</f>
        <v/>
      </c>
      <c r="CF458" s="125" t="inlineStr">
        <is>
          <t>HY1000X341</t>
        </is>
      </c>
    </row>
    <row r="459">
      <c r="A459" s="125" t="inlineStr">
        <is>
          <t>HY1000X391</t>
        </is>
      </c>
      <c r="B459" s="129" t="inlineStr">
        <is>
          <t>HY</t>
        </is>
      </c>
      <c r="C459" s="125" t="n">
        <v>391</v>
      </c>
      <c r="D459" s="125" t="n">
        <v>1000</v>
      </c>
      <c r="E459" s="125" t="n">
        <v>400</v>
      </c>
      <c r="F459" s="125" t="n">
        <v>40</v>
      </c>
      <c r="G459" s="125" t="n">
        <v>19</v>
      </c>
      <c r="H459" s="125" t="n">
        <v>18</v>
      </c>
      <c r="I459" s="125">
        <f>D459-(2*(H459+F459))</f>
        <v/>
      </c>
      <c r="J459" s="125">
        <f>(2*E459/10*F459/10)+((D459-F459-F459)/10*G459/10)+((H459/10+H459/10)^2)-(PI()*H459/10*H459/10)</f>
        <v/>
      </c>
      <c r="K459" s="125">
        <f>((E459-G459)/2)/F459</f>
        <v/>
      </c>
      <c r="L459" s="125">
        <f>I459/G459</f>
        <v/>
      </c>
      <c r="M459" s="125">
        <f>(E459*2+F459*4+((E459-G459)/2-H459)*4+2*PI()*H459+(D459-2*F459-2*H459)*2)/1000</f>
        <v/>
      </c>
      <c r="N459" s="5" t="n">
        <v>867000</v>
      </c>
      <c r="O459" s="5" t="n">
        <v>42700</v>
      </c>
      <c r="P459" s="125" t="n">
        <v>41.7</v>
      </c>
      <c r="Q459" s="125" t="n">
        <v>9.300000000000001</v>
      </c>
      <c r="R459" s="5" t="n">
        <v>17300</v>
      </c>
      <c r="S459" s="5" t="n">
        <v>2140</v>
      </c>
      <c r="T459" s="5" t="n">
        <v>19500</v>
      </c>
      <c r="U459" s="5" t="n">
        <v>3290</v>
      </c>
      <c r="X459" s="129">
        <f t="array" ref="X459">_xlfn.IFS((D459/F459) &lt;= (640/SQRT($AT$32)), "Compact", L459 &lt;= ($AT$32*(0.79-(0.002*((E459-G459/2)/(2*F459))*SQRT($AT$32)))), "Non-Compact", L459 &gt; ($AT$32*(0.79-(0.002*((E459-G459/2)/(2*F459))*SQRT($AT$32)))), "Slender")</f>
        <v/>
      </c>
      <c r="Y459" s="129">
        <f t="array" ref="Y459">_xlfn.IFS(K459 &lt;= (65/SQRT($AT$32)), "Compact", K459 &lt;= (95/SQRT($AT$32)), "Non-Compact", K459 &gt; (95/SQRT($AT$32)), "Slender")</f>
        <v/>
      </c>
      <c r="Z459" s="125">
        <f>E459/F459</f>
        <v/>
      </c>
      <c r="AA459" s="125">
        <f>D459/G459</f>
        <v/>
      </c>
      <c r="AB459" s="125">
        <f t="array" ref="AB459">_xlfn.IFS(Z459 &lt;= 9, "1", Z459 &lt;= 12, "2", Z459 &lt;= 15, "3", Z459 &gt; 15, "4")</f>
        <v/>
      </c>
      <c r="AC459" s="125">
        <f t="array" ref="AC459">_xlfn.IFS(AA459 &lt;= 200, "1", L459 &lt;= 300, "2", L459 &lt;= 400, "3", L459 &gt; 400, "4")</f>
        <v/>
      </c>
      <c r="AF459" s="129">
        <f>SQRT((((VLOOKUP($AT$4,$A$4:$D$1021,4,FALSE))-D459)^2)+(((VLOOKUP($AT$4,$A$4:$E$1021,5,FALSE))-E459)^2)+(((VLOOKUP($AT$4,$A$4:$N$1021,14,FALSE))-N459)^2)+(((VLOOKUP($AT$4,$A$4:$O$1021,15,FALSE))-O459)^2))</f>
        <v/>
      </c>
      <c r="AG459" s="129" t="n"/>
      <c r="AI459" s="129">
        <f>SQRT((((VLOOKUP($AT$4,$A$4:$D$1021,4,FALSE))-D459)^2)+(((VLOOKUP($AT$4,$A$4:$E$1021,5,FALSE))-E459)^2)+(((VLOOKUP($AT$4,$A$4:$R$1021,18,FALSE))-R459)^2)+(((VLOOKUP($AT$4,$A$4:$S$1021,19,FALSE))-S459)^2))</f>
        <v/>
      </c>
      <c r="AJ459" s="125" t="inlineStr">
        <is>
          <t>HY1000X391</t>
        </is>
      </c>
      <c r="AK459" s="125" t="n"/>
      <c r="AL459" s="125" t="n"/>
      <c r="AM459" s="125">
        <f>SQRT(((VLOOKUP($AT$4,$A$4:$J$1021,10,FALSE))-J459)^2)</f>
        <v/>
      </c>
      <c r="AN459" s="125" t="n"/>
      <c r="AO459" s="125" t="n"/>
      <c r="AP459" s="125">
        <f>SQRT(((VLOOKUP($AT$4,$A$4:$R$1021,18,FALSE))-R459)^2)</f>
        <v/>
      </c>
      <c r="AQ459" s="125" t="inlineStr">
        <is>
          <t>HY1000X391</t>
        </is>
      </c>
      <c r="BB459" s="125">
        <f>SQRT(($J$1022-J459)^2)</f>
        <v/>
      </c>
      <c r="BC459" s="125">
        <f>SQRT(($R$1022-R459)^2)</f>
        <v/>
      </c>
      <c r="BD459" s="125" t="inlineStr">
        <is>
          <t>HY1000X391</t>
        </is>
      </c>
      <c r="BI459">
        <f>SQRT(($J$1023-J459)^2)</f>
        <v/>
      </c>
      <c r="BJ459">
        <f>SQRT(($R$1023-R459)^2)</f>
        <v/>
      </c>
      <c r="BK459" s="125" t="inlineStr">
        <is>
          <t>HY1000X391</t>
        </is>
      </c>
      <c r="BP459">
        <f>SQRT(($J$1024-J459)^2)</f>
        <v/>
      </c>
      <c r="BQ459">
        <f>SQRT(($R$1024-R459)^2)</f>
        <v/>
      </c>
      <c r="BR459" s="125" t="inlineStr">
        <is>
          <t>HY1000X391</t>
        </is>
      </c>
      <c r="BW459">
        <f>SQRT(($J$1025-J459)^2)</f>
        <v/>
      </c>
      <c r="BX459">
        <f>SQRT(($R$1025-R459)^2)</f>
        <v/>
      </c>
      <c r="BY459" s="125" t="inlineStr">
        <is>
          <t>HY1000X391</t>
        </is>
      </c>
      <c r="CD459">
        <f>SQRT(($J$1026-J459)^2)</f>
        <v/>
      </c>
      <c r="CE459">
        <f>SQRT(($R$1026-R459)^2)</f>
        <v/>
      </c>
      <c r="CF459" s="125" t="inlineStr">
        <is>
          <t>HY1000X391</t>
        </is>
      </c>
    </row>
    <row r="460">
      <c r="A460" s="125" t="inlineStr">
        <is>
          <t>HY1000X367</t>
        </is>
      </c>
      <c r="B460" s="129" t="inlineStr">
        <is>
          <t>HY</t>
        </is>
      </c>
      <c r="C460" s="125" t="n">
        <v>367</v>
      </c>
      <c r="D460" s="125" t="n">
        <v>1000</v>
      </c>
      <c r="E460" s="125" t="n">
        <v>400</v>
      </c>
      <c r="F460" s="125" t="n">
        <v>36</v>
      </c>
      <c r="G460" s="125" t="n">
        <v>19</v>
      </c>
      <c r="H460" s="125" t="n">
        <v>18</v>
      </c>
      <c r="I460" s="125">
        <f>D460-(2*(H460+F460))</f>
        <v/>
      </c>
      <c r="J460" s="125">
        <f>(2*E460/10*F460/10)+((D460-F460-F460)/10*G460/10)+((H460/10+H460/10)^2)-(PI()*H460/10*H460/10)</f>
        <v/>
      </c>
      <c r="K460" s="125">
        <f>((E460-G460)/2)/F460</f>
        <v/>
      </c>
      <c r="L460" s="125">
        <f>I460/G460</f>
        <v/>
      </c>
      <c r="M460" s="125">
        <f>(E460*2+F460*4+((E460-G460)/2-H460)*4+2*PI()*H460+(D460-2*F460-2*H460)*2)/1000</f>
        <v/>
      </c>
      <c r="N460" s="5" t="n">
        <v>802000</v>
      </c>
      <c r="O460" s="5" t="n">
        <v>38500</v>
      </c>
      <c r="P460" s="125" t="n">
        <v>41.4</v>
      </c>
      <c r="Q460" s="125" t="n">
        <v>9.1</v>
      </c>
      <c r="R460" s="5" t="n">
        <v>16000</v>
      </c>
      <c r="S460" s="5" t="n">
        <v>1920</v>
      </c>
      <c r="T460" s="5" t="n">
        <v>18100</v>
      </c>
      <c r="U460" s="5" t="n">
        <v>2970</v>
      </c>
      <c r="X460" s="129">
        <f t="array" ref="X460">_xlfn.IFS((D460/F460) &lt;= (640/SQRT($AT$32)), "Compact", L460 &lt;= ($AT$32*(0.79-(0.002*((E460-G460/2)/(2*F460))*SQRT($AT$32)))), "Non-Compact", L460 &gt; ($AT$32*(0.79-(0.002*((E460-G460/2)/(2*F460))*SQRT($AT$32)))), "Slender")</f>
        <v/>
      </c>
      <c r="Y460" s="129">
        <f t="array" ref="Y460">_xlfn.IFS(K460 &lt;= (65/SQRT($AT$32)), "Compact", K460 &lt;= (95/SQRT($AT$32)), "Non-Compact", K460 &gt; (95/SQRT($AT$32)), "Slender")</f>
        <v/>
      </c>
      <c r="Z460" s="125">
        <f>E460/F460</f>
        <v/>
      </c>
      <c r="AA460" s="125">
        <f>D460/G460</f>
        <v/>
      </c>
      <c r="AB460" s="125">
        <f t="array" ref="AB460">_xlfn.IFS(Z460 &lt;= 9, "1", Z460 &lt;= 12, "2", Z460 &lt;= 15, "3", Z460 &gt; 15, "4")</f>
        <v/>
      </c>
      <c r="AC460" s="125">
        <f t="array" ref="AC460">_xlfn.IFS(AA460 &lt;= 200, "1", L460 &lt;= 300, "2", L460 &lt;= 400, "3", L460 &gt; 400, "4")</f>
        <v/>
      </c>
      <c r="AF460" s="129">
        <f>SQRT((((VLOOKUP($AT$4,$A$4:$D$1021,4,FALSE))-D460)^2)+(((VLOOKUP($AT$4,$A$4:$E$1021,5,FALSE))-E460)^2)+(((VLOOKUP($AT$4,$A$4:$N$1021,14,FALSE))-N460)^2)+(((VLOOKUP($AT$4,$A$4:$O$1021,15,FALSE))-O460)^2))</f>
        <v/>
      </c>
      <c r="AG460" s="129" t="n"/>
      <c r="AI460" s="129">
        <f>SQRT((((VLOOKUP($AT$4,$A$4:$D$1021,4,FALSE))-D460)^2)+(((VLOOKUP($AT$4,$A$4:$E$1021,5,FALSE))-E460)^2)+(((VLOOKUP($AT$4,$A$4:$R$1021,18,FALSE))-R460)^2)+(((VLOOKUP($AT$4,$A$4:$S$1021,19,FALSE))-S460)^2))</f>
        <v/>
      </c>
      <c r="AJ460" s="125" t="inlineStr">
        <is>
          <t>HY1000X367</t>
        </is>
      </c>
      <c r="AK460" s="125" t="n"/>
      <c r="AL460" s="125" t="n"/>
      <c r="AM460" s="125">
        <f>SQRT(((VLOOKUP($AT$4,$A$4:$J$1021,10,FALSE))-J460)^2)</f>
        <v/>
      </c>
      <c r="AN460" s="125" t="n"/>
      <c r="AO460" s="125" t="n"/>
      <c r="AP460" s="125">
        <f>SQRT(((VLOOKUP($AT$4,$A$4:$R$1021,18,FALSE))-R460)^2)</f>
        <v/>
      </c>
      <c r="AQ460" s="125" t="inlineStr">
        <is>
          <t>HY1000X367</t>
        </is>
      </c>
      <c r="BB460" s="125">
        <f>SQRT(($J$1022-J460)^2)</f>
        <v/>
      </c>
      <c r="BC460" s="125">
        <f>SQRT(($R$1022-R460)^2)</f>
        <v/>
      </c>
      <c r="BD460" s="125" t="inlineStr">
        <is>
          <t>HY1000X367</t>
        </is>
      </c>
      <c r="BI460">
        <f>SQRT(($J$1023-J460)^2)</f>
        <v/>
      </c>
      <c r="BJ460">
        <f>SQRT(($R$1023-R460)^2)</f>
        <v/>
      </c>
      <c r="BK460" s="125" t="inlineStr">
        <is>
          <t>HY1000X367</t>
        </is>
      </c>
      <c r="BP460">
        <f>SQRT(($J$1024-J460)^2)</f>
        <v/>
      </c>
      <c r="BQ460">
        <f>SQRT(($R$1024-R460)^2)</f>
        <v/>
      </c>
      <c r="BR460" s="125" t="inlineStr">
        <is>
          <t>HY1000X367</t>
        </is>
      </c>
      <c r="BW460">
        <f>SQRT(($J$1025-J460)^2)</f>
        <v/>
      </c>
      <c r="BX460">
        <f>SQRT(($R$1025-R460)^2)</f>
        <v/>
      </c>
      <c r="BY460" s="125" t="inlineStr">
        <is>
          <t>HY1000X367</t>
        </is>
      </c>
      <c r="CD460">
        <f>SQRT(($J$1026-J460)^2)</f>
        <v/>
      </c>
      <c r="CE460">
        <f>SQRT(($R$1026-R460)^2)</f>
        <v/>
      </c>
      <c r="CF460" s="125" t="inlineStr">
        <is>
          <t>HY1000X367</t>
        </is>
      </c>
    </row>
    <row r="461">
      <c r="A461" s="125" t="inlineStr">
        <is>
          <t>HY1000X343</t>
        </is>
      </c>
      <c r="B461" s="129" t="inlineStr">
        <is>
          <t>HY</t>
        </is>
      </c>
      <c r="C461" s="125" t="n">
        <v>343</v>
      </c>
      <c r="D461" s="125" t="n">
        <v>1000</v>
      </c>
      <c r="E461" s="125" t="n">
        <v>400</v>
      </c>
      <c r="F461" s="125" t="n">
        <v>32</v>
      </c>
      <c r="G461" s="125" t="n">
        <v>19</v>
      </c>
      <c r="H461" s="125" t="n">
        <v>18</v>
      </c>
      <c r="I461" s="125">
        <f>D461-(2*(H461+F461))</f>
        <v/>
      </c>
      <c r="J461" s="125">
        <f>(2*E461/10*F461/10)+((D461-F461-F461)/10*G461/10)+((H461/10+H461/10)^2)-(PI()*H461/10*H461/10)</f>
        <v/>
      </c>
      <c r="K461" s="125">
        <f>((E461-G461)/2)/F461</f>
        <v/>
      </c>
      <c r="L461" s="125">
        <f>I461/G461</f>
        <v/>
      </c>
      <c r="M461" s="125">
        <f>(E461*2+F461*4+((E461-G461)/2-H461)*4+2*PI()*H461+(D461-2*F461-2*H461)*2)/1000</f>
        <v/>
      </c>
      <c r="N461" s="5" t="n">
        <v>736000</v>
      </c>
      <c r="O461" s="5" t="n">
        <v>34200</v>
      </c>
      <c r="P461" s="125" t="n">
        <v>41</v>
      </c>
      <c r="Q461" s="125" t="n">
        <v>8.9</v>
      </c>
      <c r="R461" s="5" t="n">
        <v>14700</v>
      </c>
      <c r="S461" s="5" t="n">
        <v>1710</v>
      </c>
      <c r="T461" s="5" t="n">
        <v>16700</v>
      </c>
      <c r="U461" s="5" t="n">
        <v>2650</v>
      </c>
      <c r="X461" s="129">
        <f t="array" ref="X461">_xlfn.IFS((D461/F461) &lt;= (640/SQRT($AT$32)), "Compact", L461 &lt;= ($AT$32*(0.79-(0.002*((E461-G461/2)/(2*F461))*SQRT($AT$32)))), "Non-Compact", L461 &gt; ($AT$32*(0.79-(0.002*((E461-G461/2)/(2*F461))*SQRT($AT$32)))), "Slender")</f>
        <v/>
      </c>
      <c r="Y461" s="129">
        <f t="array" ref="Y461">_xlfn.IFS(K461 &lt;= (65/SQRT($AT$32)), "Compact", K461 &lt;= (95/SQRT($AT$32)), "Non-Compact", K461 &gt; (95/SQRT($AT$32)), "Slender")</f>
        <v/>
      </c>
      <c r="Z461" s="125">
        <f>E461/F461</f>
        <v/>
      </c>
      <c r="AA461" s="125">
        <f>D461/G461</f>
        <v/>
      </c>
      <c r="AB461" s="125">
        <f t="array" ref="AB461">_xlfn.IFS(Z461 &lt;= 9, "1", Z461 &lt;= 12, "2", Z461 &lt;= 15, "3", Z461 &gt; 15, "4")</f>
        <v/>
      </c>
      <c r="AC461" s="125">
        <f t="array" ref="AC461">_xlfn.IFS(AA461 &lt;= 200, "1", L461 &lt;= 300, "2", L461 &lt;= 400, "3", L461 &gt; 400, "4")</f>
        <v/>
      </c>
      <c r="AF461" s="129">
        <f>SQRT((((VLOOKUP($AT$4,$A$4:$D$1021,4,FALSE))-D461)^2)+(((VLOOKUP($AT$4,$A$4:$E$1021,5,FALSE))-E461)^2)+(((VLOOKUP($AT$4,$A$4:$N$1021,14,FALSE))-N461)^2)+(((VLOOKUP($AT$4,$A$4:$O$1021,15,FALSE))-O461)^2))</f>
        <v/>
      </c>
      <c r="AG461" s="129" t="n"/>
      <c r="AI461" s="129">
        <f>SQRT((((VLOOKUP($AT$4,$A$4:$D$1021,4,FALSE))-D461)^2)+(((VLOOKUP($AT$4,$A$4:$E$1021,5,FALSE))-E461)^2)+(((VLOOKUP($AT$4,$A$4:$R$1021,18,FALSE))-R461)^2)+(((VLOOKUP($AT$4,$A$4:$S$1021,19,FALSE))-S461)^2))</f>
        <v/>
      </c>
      <c r="AJ461" s="125" t="inlineStr">
        <is>
          <t>HY1000X343</t>
        </is>
      </c>
      <c r="AK461" s="125" t="n"/>
      <c r="AL461" s="125" t="n"/>
      <c r="AM461" s="125">
        <f>SQRT(((VLOOKUP($AT$4,$A$4:$J$1021,10,FALSE))-J461)^2)</f>
        <v/>
      </c>
      <c r="AN461" s="125" t="n"/>
      <c r="AO461" s="125" t="n"/>
      <c r="AP461" s="125">
        <f>SQRT(((VLOOKUP($AT$4,$A$4:$R$1021,18,FALSE))-R461)^2)</f>
        <v/>
      </c>
      <c r="AQ461" s="125" t="inlineStr">
        <is>
          <t>HY1000X343</t>
        </is>
      </c>
      <c r="BB461" s="125">
        <f>SQRT(($J$1022-J461)^2)</f>
        <v/>
      </c>
      <c r="BC461" s="125">
        <f>SQRT(($R$1022-R461)^2)</f>
        <v/>
      </c>
      <c r="BD461" s="125" t="inlineStr">
        <is>
          <t>HY1000X343</t>
        </is>
      </c>
      <c r="BI461">
        <f>SQRT(($J$1023-J461)^2)</f>
        <v/>
      </c>
      <c r="BJ461">
        <f>SQRT(($R$1023-R461)^2)</f>
        <v/>
      </c>
      <c r="BK461" s="125" t="inlineStr">
        <is>
          <t>HY1000X343</t>
        </is>
      </c>
      <c r="BP461">
        <f>SQRT(($J$1024-J461)^2)</f>
        <v/>
      </c>
      <c r="BQ461">
        <f>SQRT(($R$1024-R461)^2)</f>
        <v/>
      </c>
      <c r="BR461" s="125" t="inlineStr">
        <is>
          <t>HY1000X343</t>
        </is>
      </c>
      <c r="BW461">
        <f>SQRT(($J$1025-J461)^2)</f>
        <v/>
      </c>
      <c r="BX461">
        <f>SQRT(($R$1025-R461)^2)</f>
        <v/>
      </c>
      <c r="BY461" s="125" t="inlineStr">
        <is>
          <t>HY1000X343</t>
        </is>
      </c>
      <c r="CD461">
        <f>SQRT(($J$1026-J461)^2)</f>
        <v/>
      </c>
      <c r="CE461">
        <f>SQRT(($R$1026-R461)^2)</f>
        <v/>
      </c>
      <c r="CF461" s="125" t="inlineStr">
        <is>
          <t>HY1000X343</t>
        </is>
      </c>
    </row>
    <row r="462">
      <c r="A462" s="125" t="inlineStr">
        <is>
          <t>HY1000X319</t>
        </is>
      </c>
      <c r="B462" s="129" t="inlineStr">
        <is>
          <t>HY</t>
        </is>
      </c>
      <c r="C462" s="125" t="n">
        <v>319</v>
      </c>
      <c r="D462" s="125" t="n">
        <v>1000</v>
      </c>
      <c r="E462" s="125" t="n">
        <v>400</v>
      </c>
      <c r="F462" s="125" t="n">
        <v>28</v>
      </c>
      <c r="G462" s="125" t="n">
        <v>19</v>
      </c>
      <c r="H462" s="125" t="n">
        <v>18</v>
      </c>
      <c r="I462" s="125">
        <f>D462-(2*(H462+F462))</f>
        <v/>
      </c>
      <c r="J462" s="125">
        <f>(2*E462/10*F462/10)+((D462-F462-F462)/10*G462/10)+((H462/10+H462/10)^2)-(PI()*H462/10*H462/10)</f>
        <v/>
      </c>
      <c r="K462" s="125">
        <f>((E462-G462)/2)/F462</f>
        <v/>
      </c>
      <c r="L462" s="125">
        <f>I462/G462</f>
        <v/>
      </c>
      <c r="M462" s="125">
        <f>(E462*2+F462*4+((E462-G462)/2-H462)*4+2*PI()*H462+(D462-2*F462-2*H462)*2)/1000</f>
        <v/>
      </c>
      <c r="N462" s="5" t="n">
        <v>669000</v>
      </c>
      <c r="O462" s="5" t="n">
        <v>29900</v>
      </c>
      <c r="P462" s="125" t="n">
        <v>40.6</v>
      </c>
      <c r="Q462" s="125" t="n">
        <v>8.6</v>
      </c>
      <c r="R462" s="5" t="n">
        <v>13400</v>
      </c>
      <c r="S462" s="5" t="n">
        <v>1500</v>
      </c>
      <c r="T462" s="5" t="n">
        <v>15200</v>
      </c>
      <c r="U462" s="5" t="n">
        <v>2330</v>
      </c>
      <c r="X462" s="129">
        <f t="array" ref="X462">_xlfn.IFS((D462/F462) &lt;= (640/SQRT($AT$32)), "Compact", L462 &lt;= ($AT$32*(0.79-(0.002*((E462-G462/2)/(2*F462))*SQRT($AT$32)))), "Non-Compact", L462 &gt; ($AT$32*(0.79-(0.002*((E462-G462/2)/(2*F462))*SQRT($AT$32)))), "Slender")</f>
        <v/>
      </c>
      <c r="Y462" s="129">
        <f t="array" ref="Y462">_xlfn.IFS(K462 &lt;= (65/SQRT($AT$32)), "Compact", K462 &lt;= (95/SQRT($AT$32)), "Non-Compact", K462 &gt; (95/SQRT($AT$32)), "Slender")</f>
        <v/>
      </c>
      <c r="Z462" s="125">
        <f>E462/F462</f>
        <v/>
      </c>
      <c r="AA462" s="125">
        <f>D462/G462</f>
        <v/>
      </c>
      <c r="AB462" s="125">
        <f t="array" ref="AB462">_xlfn.IFS(Z462 &lt;= 9, "1", Z462 &lt;= 12, "2", Z462 &lt;= 15, "3", Z462 &gt; 15, "4")</f>
        <v/>
      </c>
      <c r="AC462" s="125">
        <f t="array" ref="AC462">_xlfn.IFS(AA462 &lt;= 200, "1", L462 &lt;= 300, "2", L462 &lt;= 400, "3", L462 &gt; 400, "4")</f>
        <v/>
      </c>
      <c r="AF462" s="129">
        <f>SQRT((((VLOOKUP($AT$4,$A$4:$D$1021,4,FALSE))-D462)^2)+(((VLOOKUP($AT$4,$A$4:$E$1021,5,FALSE))-E462)^2)+(((VLOOKUP($AT$4,$A$4:$N$1021,14,FALSE))-N462)^2)+(((VLOOKUP($AT$4,$A$4:$O$1021,15,FALSE))-O462)^2))</f>
        <v/>
      </c>
      <c r="AG462" s="129" t="n"/>
      <c r="AI462" s="129">
        <f>SQRT((((VLOOKUP($AT$4,$A$4:$D$1021,4,FALSE))-D462)^2)+(((VLOOKUP($AT$4,$A$4:$E$1021,5,FALSE))-E462)^2)+(((VLOOKUP($AT$4,$A$4:$R$1021,18,FALSE))-R462)^2)+(((VLOOKUP($AT$4,$A$4:$S$1021,19,FALSE))-S462)^2))</f>
        <v/>
      </c>
      <c r="AJ462" s="125" t="inlineStr">
        <is>
          <t>HY1000X319</t>
        </is>
      </c>
      <c r="AK462" s="125" t="n"/>
      <c r="AL462" s="125" t="n"/>
      <c r="AM462" s="125">
        <f>SQRT(((VLOOKUP($AT$4,$A$4:$J$1021,10,FALSE))-J462)^2)</f>
        <v/>
      </c>
      <c r="AN462" s="125" t="n"/>
      <c r="AO462" s="125" t="n"/>
      <c r="AP462" s="125">
        <f>SQRT(((VLOOKUP($AT$4,$A$4:$R$1021,18,FALSE))-R462)^2)</f>
        <v/>
      </c>
      <c r="AQ462" s="125" t="inlineStr">
        <is>
          <t>HY1000X319</t>
        </is>
      </c>
      <c r="BB462" s="125">
        <f>SQRT(($J$1022-J462)^2)</f>
        <v/>
      </c>
      <c r="BC462" s="125">
        <f>SQRT(($R$1022-R462)^2)</f>
        <v/>
      </c>
      <c r="BD462" s="125" t="inlineStr">
        <is>
          <t>HY1000X319</t>
        </is>
      </c>
      <c r="BI462">
        <f>SQRT(($J$1023-J462)^2)</f>
        <v/>
      </c>
      <c r="BJ462">
        <f>SQRT(($R$1023-R462)^2)</f>
        <v/>
      </c>
      <c r="BK462" s="125" t="inlineStr">
        <is>
          <t>HY1000X319</t>
        </is>
      </c>
      <c r="BP462">
        <f>SQRT(($J$1024-J462)^2)</f>
        <v/>
      </c>
      <c r="BQ462">
        <f>SQRT(($R$1024-R462)^2)</f>
        <v/>
      </c>
      <c r="BR462" s="125" t="inlineStr">
        <is>
          <t>HY1000X319</t>
        </is>
      </c>
      <c r="BW462">
        <f>SQRT(($J$1025-J462)^2)</f>
        <v/>
      </c>
      <c r="BX462">
        <f>SQRT(($R$1025-R462)^2)</f>
        <v/>
      </c>
      <c r="BY462" s="125" t="inlineStr">
        <is>
          <t>HY1000X319</t>
        </is>
      </c>
      <c r="CD462">
        <f>SQRT(($J$1026-J462)^2)</f>
        <v/>
      </c>
      <c r="CE462">
        <f>SQRT(($R$1026-R462)^2)</f>
        <v/>
      </c>
      <c r="CF462" s="125" t="inlineStr">
        <is>
          <t>HY1000X319</t>
        </is>
      </c>
    </row>
    <row r="463">
      <c r="A463" s="125" t="inlineStr">
        <is>
          <t>HY1000X301</t>
        </is>
      </c>
      <c r="B463" s="129" t="inlineStr">
        <is>
          <t>HY</t>
        </is>
      </c>
      <c r="C463" s="125" t="n">
        <v>301</v>
      </c>
      <c r="D463" s="125" t="n">
        <v>1000</v>
      </c>
      <c r="E463" s="125" t="n">
        <v>400</v>
      </c>
      <c r="F463" s="125" t="n">
        <v>25</v>
      </c>
      <c r="G463" s="125" t="n">
        <v>19</v>
      </c>
      <c r="H463" s="125" t="n">
        <v>18</v>
      </c>
      <c r="I463" s="125">
        <f>D463-(2*(H463+F463))</f>
        <v/>
      </c>
      <c r="J463" s="125">
        <f>(2*E463/10*F463/10)+((D463-F463-F463)/10*G463/10)+((H463/10+H463/10)^2)-(PI()*H463/10*H463/10)</f>
        <v/>
      </c>
      <c r="K463" s="125">
        <f>((E463-G463)/2)/F463</f>
        <v/>
      </c>
      <c r="L463" s="125">
        <f>I463/G463</f>
        <v/>
      </c>
      <c r="M463" s="125">
        <f>(E463*2+F463*4+((E463-G463)/2-H463)*4+2*PI()*H463+(D463-2*F463-2*H463)*2)/1000</f>
        <v/>
      </c>
      <c r="N463" s="5" t="n">
        <v>617000</v>
      </c>
      <c r="O463" s="5" t="n">
        <v>26700</v>
      </c>
      <c r="P463" s="125" t="n">
        <v>40.1</v>
      </c>
      <c r="Q463" s="125" t="n">
        <v>8.4</v>
      </c>
      <c r="R463" s="5" t="n">
        <v>12300</v>
      </c>
      <c r="S463" s="5" t="n">
        <v>1340</v>
      </c>
      <c r="T463" s="5" t="n">
        <v>14200</v>
      </c>
      <c r="U463" s="5" t="n">
        <v>2090</v>
      </c>
      <c r="X463" s="129">
        <f t="array" ref="X463">_xlfn.IFS((D463/F463) &lt;= (640/SQRT($AT$32)), "Compact", L463 &lt;= ($AT$32*(0.79-(0.002*((E463-G463/2)/(2*F463))*SQRT($AT$32)))), "Non-Compact", L463 &gt; ($AT$32*(0.79-(0.002*((E463-G463/2)/(2*F463))*SQRT($AT$32)))), "Slender")</f>
        <v/>
      </c>
      <c r="Y463" s="129">
        <f t="array" ref="Y463">_xlfn.IFS(K463 &lt;= (65/SQRT($AT$32)), "Compact", K463 &lt;= (95/SQRT($AT$32)), "Non-Compact", K463 &gt; (95/SQRT($AT$32)), "Slender")</f>
        <v/>
      </c>
      <c r="Z463" s="125">
        <f>E463/F463</f>
        <v/>
      </c>
      <c r="AA463" s="125">
        <f>D463/G463</f>
        <v/>
      </c>
      <c r="AB463" s="125">
        <f t="array" ref="AB463">_xlfn.IFS(Z463 &lt;= 9, "1", Z463 &lt;= 12, "2", Z463 &lt;= 15, "3", Z463 &gt; 15, "4")</f>
        <v/>
      </c>
      <c r="AC463" s="125">
        <f t="array" ref="AC463">_xlfn.IFS(AA463 &lt;= 200, "1", L463 &lt;= 300, "2", L463 &lt;= 400, "3", L463 &gt; 400, "4")</f>
        <v/>
      </c>
      <c r="AF463" s="129">
        <f>SQRT((((VLOOKUP($AT$4,$A$4:$D$1021,4,FALSE))-D463)^2)+(((VLOOKUP($AT$4,$A$4:$E$1021,5,FALSE))-E463)^2)+(((VLOOKUP($AT$4,$A$4:$N$1021,14,FALSE))-N463)^2)+(((VLOOKUP($AT$4,$A$4:$O$1021,15,FALSE))-O463)^2))</f>
        <v/>
      </c>
      <c r="AG463" s="129" t="n"/>
      <c r="AI463" s="129">
        <f>SQRT((((VLOOKUP($AT$4,$A$4:$D$1021,4,FALSE))-D463)^2)+(((VLOOKUP($AT$4,$A$4:$E$1021,5,FALSE))-E463)^2)+(((VLOOKUP($AT$4,$A$4:$R$1021,18,FALSE))-R463)^2)+(((VLOOKUP($AT$4,$A$4:$S$1021,19,FALSE))-S463)^2))</f>
        <v/>
      </c>
      <c r="AJ463" s="125" t="inlineStr">
        <is>
          <t>HY1000X301</t>
        </is>
      </c>
      <c r="AK463" s="125" t="n"/>
      <c r="AL463" s="125" t="n"/>
      <c r="AM463" s="125">
        <f>SQRT(((VLOOKUP($AT$4,$A$4:$J$1021,10,FALSE))-J463)^2)</f>
        <v/>
      </c>
      <c r="AN463" s="125" t="n"/>
      <c r="AO463" s="125" t="n"/>
      <c r="AP463" s="125">
        <f>SQRT(((VLOOKUP($AT$4,$A$4:$R$1021,18,FALSE))-R463)^2)</f>
        <v/>
      </c>
      <c r="AQ463" s="125" t="inlineStr">
        <is>
          <t>HY1000X301</t>
        </is>
      </c>
      <c r="BB463" s="125">
        <f>SQRT(($J$1022-J463)^2)</f>
        <v/>
      </c>
      <c r="BC463" s="125">
        <f>SQRT(($R$1022-R463)^2)</f>
        <v/>
      </c>
      <c r="BD463" s="125" t="inlineStr">
        <is>
          <t>HY1000X301</t>
        </is>
      </c>
      <c r="BI463">
        <f>SQRT(($J$1023-J463)^2)</f>
        <v/>
      </c>
      <c r="BJ463">
        <f>SQRT(($R$1023-R463)^2)</f>
        <v/>
      </c>
      <c r="BK463" s="125" t="inlineStr">
        <is>
          <t>HY1000X301</t>
        </is>
      </c>
      <c r="BP463">
        <f>SQRT(($J$1024-J463)^2)</f>
        <v/>
      </c>
      <c r="BQ463">
        <f>SQRT(($R$1024-R463)^2)</f>
        <v/>
      </c>
      <c r="BR463" s="125" t="inlineStr">
        <is>
          <t>HY1000X301</t>
        </is>
      </c>
      <c r="BW463">
        <f>SQRT(($J$1025-J463)^2)</f>
        <v/>
      </c>
      <c r="BX463">
        <f>SQRT(($R$1025-R463)^2)</f>
        <v/>
      </c>
      <c r="BY463" s="125" t="inlineStr">
        <is>
          <t>HY1000X301</t>
        </is>
      </c>
      <c r="CD463">
        <f>SQRT(($J$1026-J463)^2)</f>
        <v/>
      </c>
      <c r="CE463">
        <f>SQRT(($R$1026-R463)^2)</f>
        <v/>
      </c>
      <c r="CF463" s="125" t="inlineStr">
        <is>
          <t>HY1000X301</t>
        </is>
      </c>
    </row>
    <row r="464">
      <c r="A464" s="125" t="inlineStr">
        <is>
          <t>HY1000X321</t>
        </is>
      </c>
      <c r="B464" s="129" t="inlineStr">
        <is>
          <t>HY</t>
        </is>
      </c>
      <c r="C464" s="125" t="n">
        <v>321</v>
      </c>
      <c r="D464" s="125" t="n">
        <v>1000</v>
      </c>
      <c r="E464" s="125" t="n">
        <v>400</v>
      </c>
      <c r="F464" s="125" t="n">
        <v>32</v>
      </c>
      <c r="G464" s="125" t="n">
        <v>16</v>
      </c>
      <c r="H464" s="125" t="n">
        <v>18</v>
      </c>
      <c r="I464" s="125">
        <f>D464-(2*(H464+F464))</f>
        <v/>
      </c>
      <c r="J464" s="125">
        <f>(2*E464/10*F464/10)+((D464-F464-F464)/10*G464/10)+((H464/10+H464/10)^2)-(PI()*H464/10*H464/10)</f>
        <v/>
      </c>
      <c r="K464" s="125">
        <f>((E464-G464)/2)/F464</f>
        <v/>
      </c>
      <c r="L464" s="125">
        <f>I464/G464</f>
        <v/>
      </c>
      <c r="M464" s="125">
        <f>(E464*2+F464*4+((E464-G464)/2-H464)*4+2*PI()*H464+(D464-2*F464-2*H464)*2)/1000</f>
        <v/>
      </c>
      <c r="N464" s="5" t="n">
        <v>715000</v>
      </c>
      <c r="O464" s="5" t="n">
        <v>34200</v>
      </c>
      <c r="P464" s="125" t="n">
        <v>41.8</v>
      </c>
      <c r="Q464" s="125" t="n">
        <v>9.199999999999999</v>
      </c>
      <c r="R464" s="5" t="n">
        <v>14300</v>
      </c>
      <c r="S464" s="5" t="n">
        <v>1710</v>
      </c>
      <c r="T464" s="5" t="n">
        <v>16000</v>
      </c>
      <c r="U464" s="5" t="n">
        <v>2620</v>
      </c>
      <c r="X464" s="129">
        <f t="array" ref="X464">_xlfn.IFS((D464/F464) &lt;= (640/SQRT($AT$32)), "Compact", L464 &lt;= ($AT$32*(0.79-(0.002*((E464-G464/2)/(2*F464))*SQRT($AT$32)))), "Non-Compact", L464 &gt; ($AT$32*(0.79-(0.002*((E464-G464/2)/(2*F464))*SQRT($AT$32)))), "Slender")</f>
        <v/>
      </c>
      <c r="Y464" s="129">
        <f t="array" ref="Y464">_xlfn.IFS(K464 &lt;= (65/SQRT($AT$32)), "Compact", K464 &lt;= (95/SQRT($AT$32)), "Non-Compact", K464 &gt; (95/SQRT($AT$32)), "Slender")</f>
        <v/>
      </c>
      <c r="Z464" s="125">
        <f>E464/F464</f>
        <v/>
      </c>
      <c r="AA464" s="125">
        <f>D464/G464</f>
        <v/>
      </c>
      <c r="AB464" s="125">
        <f t="array" ref="AB464">_xlfn.IFS(Z464 &lt;= 9, "1", Z464 &lt;= 12, "2", Z464 &lt;= 15, "3", Z464 &gt; 15, "4")</f>
        <v/>
      </c>
      <c r="AC464" s="125">
        <f t="array" ref="AC464">_xlfn.IFS(AA464 &lt;= 200, "1", L464 &lt;= 300, "2", L464 &lt;= 400, "3", L464 &gt; 400, "4")</f>
        <v/>
      </c>
      <c r="AF464" s="129">
        <f>SQRT((((VLOOKUP($AT$4,$A$4:$D$1021,4,FALSE))-D464)^2)+(((VLOOKUP($AT$4,$A$4:$E$1021,5,FALSE))-E464)^2)+(((VLOOKUP($AT$4,$A$4:$N$1021,14,FALSE))-N464)^2)+(((VLOOKUP($AT$4,$A$4:$O$1021,15,FALSE))-O464)^2))</f>
        <v/>
      </c>
      <c r="AG464" s="129" t="n"/>
      <c r="AI464" s="129">
        <f>SQRT((((VLOOKUP($AT$4,$A$4:$D$1021,4,FALSE))-D464)^2)+(((VLOOKUP($AT$4,$A$4:$E$1021,5,FALSE))-E464)^2)+(((VLOOKUP($AT$4,$A$4:$R$1021,18,FALSE))-R464)^2)+(((VLOOKUP($AT$4,$A$4:$S$1021,19,FALSE))-S464)^2))</f>
        <v/>
      </c>
      <c r="AJ464" s="125" t="inlineStr">
        <is>
          <t>HY1000X321</t>
        </is>
      </c>
      <c r="AK464" s="125" t="n"/>
      <c r="AL464" s="125" t="n"/>
      <c r="AM464" s="125">
        <f>SQRT(((VLOOKUP($AT$4,$A$4:$J$1021,10,FALSE))-J464)^2)</f>
        <v/>
      </c>
      <c r="AN464" s="125" t="n"/>
      <c r="AO464" s="125" t="n"/>
      <c r="AP464" s="125">
        <f>SQRT(((VLOOKUP($AT$4,$A$4:$R$1021,18,FALSE))-R464)^2)</f>
        <v/>
      </c>
      <c r="AQ464" s="125" t="inlineStr">
        <is>
          <t>HY1000X321</t>
        </is>
      </c>
      <c r="BB464" s="125">
        <f>SQRT(($J$1022-J464)^2)</f>
        <v/>
      </c>
      <c r="BC464" s="125">
        <f>SQRT(($R$1022-R464)^2)</f>
        <v/>
      </c>
      <c r="BD464" s="125" t="inlineStr">
        <is>
          <t>HY1000X321</t>
        </is>
      </c>
      <c r="BI464">
        <f>SQRT(($J$1023-J464)^2)</f>
        <v/>
      </c>
      <c r="BJ464">
        <f>SQRT(($R$1023-R464)^2)</f>
        <v/>
      </c>
      <c r="BK464" s="125" t="inlineStr">
        <is>
          <t>HY1000X321</t>
        </is>
      </c>
      <c r="BP464">
        <f>SQRT(($J$1024-J464)^2)</f>
        <v/>
      </c>
      <c r="BQ464">
        <f>SQRT(($R$1024-R464)^2)</f>
        <v/>
      </c>
      <c r="BR464" s="125" t="inlineStr">
        <is>
          <t>HY1000X321</t>
        </is>
      </c>
      <c r="BW464">
        <f>SQRT(($J$1025-J464)^2)</f>
        <v/>
      </c>
      <c r="BX464">
        <f>SQRT(($R$1025-R464)^2)</f>
        <v/>
      </c>
      <c r="BY464" s="125" t="inlineStr">
        <is>
          <t>HY1000X321</t>
        </is>
      </c>
      <c r="CD464">
        <f>SQRT(($J$1026-J464)^2)</f>
        <v/>
      </c>
      <c r="CE464">
        <f>SQRT(($R$1026-R464)^2)</f>
        <v/>
      </c>
      <c r="CF464" s="125" t="inlineStr">
        <is>
          <t>HY1000X321</t>
        </is>
      </c>
    </row>
    <row r="465">
      <c r="A465" s="125" t="inlineStr">
        <is>
          <t>HY1000X297</t>
        </is>
      </c>
      <c r="B465" s="129" t="inlineStr">
        <is>
          <t>HY</t>
        </is>
      </c>
      <c r="C465" s="125" t="n">
        <v>297</v>
      </c>
      <c r="D465" s="125" t="n">
        <v>1000</v>
      </c>
      <c r="E465" s="125" t="n">
        <v>400</v>
      </c>
      <c r="F465" s="125" t="n">
        <v>28</v>
      </c>
      <c r="G465" s="125" t="n">
        <v>16</v>
      </c>
      <c r="H465" s="125" t="n">
        <v>18</v>
      </c>
      <c r="I465" s="125">
        <f>D465-(2*(H465+F465))</f>
        <v/>
      </c>
      <c r="J465" s="125">
        <f>(2*E465/10*F465/10)+((D465-F465-F465)/10*G465/10)+((H465/10+H465/10)^2)-(PI()*H465/10*H465/10)</f>
        <v/>
      </c>
      <c r="K465" s="125">
        <f>((E465-G465)/2)/F465</f>
        <v/>
      </c>
      <c r="L465" s="125">
        <f>I465/G465</f>
        <v/>
      </c>
      <c r="M465" s="125">
        <f>(E465*2+F465*4+((E465-G465)/2-H465)*4+2*PI()*H465+(D465-2*F465-2*H465)*2)/1000</f>
        <v/>
      </c>
      <c r="N465" s="5" t="n">
        <v>647000</v>
      </c>
      <c r="O465" s="5" t="n">
        <v>29900</v>
      </c>
      <c r="P465" s="125" t="n">
        <v>41.4</v>
      </c>
      <c r="Q465" s="125" t="n">
        <v>8.9</v>
      </c>
      <c r="R465" s="5" t="n">
        <v>12900</v>
      </c>
      <c r="S465" s="5" t="n">
        <v>1500</v>
      </c>
      <c r="T465" s="5" t="n">
        <v>14600</v>
      </c>
      <c r="U465" s="5" t="n">
        <v>2300</v>
      </c>
      <c r="X465" s="129">
        <f t="array" ref="X465">_xlfn.IFS((D465/F465) &lt;= (640/SQRT($AT$32)), "Compact", L465 &lt;= ($AT$32*(0.79-(0.002*((E465-G465/2)/(2*F465))*SQRT($AT$32)))), "Non-Compact", L465 &gt; ($AT$32*(0.79-(0.002*((E465-G465/2)/(2*F465))*SQRT($AT$32)))), "Slender")</f>
        <v/>
      </c>
      <c r="Y465" s="129">
        <f t="array" ref="Y465">_xlfn.IFS(K465 &lt;= (65/SQRT($AT$32)), "Compact", K465 &lt;= (95/SQRT($AT$32)), "Non-Compact", K465 &gt; (95/SQRT($AT$32)), "Slender")</f>
        <v/>
      </c>
      <c r="Z465" s="125">
        <f>E465/F465</f>
        <v/>
      </c>
      <c r="AA465" s="125">
        <f>D465/G465</f>
        <v/>
      </c>
      <c r="AB465" s="125">
        <f t="array" ref="AB465">_xlfn.IFS(Z465 &lt;= 9, "1", Z465 &lt;= 12, "2", Z465 &lt;= 15, "3", Z465 &gt; 15, "4")</f>
        <v/>
      </c>
      <c r="AC465" s="125">
        <f t="array" ref="AC465">_xlfn.IFS(AA465 &lt;= 200, "1", L465 &lt;= 300, "2", L465 &lt;= 400, "3", L465 &gt; 400, "4")</f>
        <v/>
      </c>
      <c r="AF465" s="129">
        <f>SQRT((((VLOOKUP($AT$4,$A$4:$D$1021,4,FALSE))-D465)^2)+(((VLOOKUP($AT$4,$A$4:$E$1021,5,FALSE))-E465)^2)+(((VLOOKUP($AT$4,$A$4:$N$1021,14,FALSE))-N465)^2)+(((VLOOKUP($AT$4,$A$4:$O$1021,15,FALSE))-O465)^2))</f>
        <v/>
      </c>
      <c r="AG465" s="129" t="n"/>
      <c r="AI465" s="129">
        <f>SQRT((((VLOOKUP($AT$4,$A$4:$D$1021,4,FALSE))-D465)^2)+(((VLOOKUP($AT$4,$A$4:$E$1021,5,FALSE))-E465)^2)+(((VLOOKUP($AT$4,$A$4:$R$1021,18,FALSE))-R465)^2)+(((VLOOKUP($AT$4,$A$4:$S$1021,19,FALSE))-S465)^2))</f>
        <v/>
      </c>
      <c r="AJ465" s="125" t="inlineStr">
        <is>
          <t>HY1000X297</t>
        </is>
      </c>
      <c r="AK465" s="125" t="n"/>
      <c r="AL465" s="125" t="n"/>
      <c r="AM465" s="125">
        <f>SQRT(((VLOOKUP($AT$4,$A$4:$J$1021,10,FALSE))-J465)^2)</f>
        <v/>
      </c>
      <c r="AN465" s="125" t="n"/>
      <c r="AO465" s="125" t="n"/>
      <c r="AP465" s="125">
        <f>SQRT(((VLOOKUP($AT$4,$A$4:$R$1021,18,FALSE))-R465)^2)</f>
        <v/>
      </c>
      <c r="AQ465" s="125" t="inlineStr">
        <is>
          <t>HY1000X297</t>
        </is>
      </c>
      <c r="BB465" s="125">
        <f>SQRT(($J$1022-J465)^2)</f>
        <v/>
      </c>
      <c r="BC465" s="125">
        <f>SQRT(($R$1022-R465)^2)</f>
        <v/>
      </c>
      <c r="BD465" s="125" t="inlineStr">
        <is>
          <t>HY1000X297</t>
        </is>
      </c>
      <c r="BI465">
        <f>SQRT(($J$1023-J465)^2)</f>
        <v/>
      </c>
      <c r="BJ465">
        <f>SQRT(($R$1023-R465)^2)</f>
        <v/>
      </c>
      <c r="BK465" s="125" t="inlineStr">
        <is>
          <t>HY1000X297</t>
        </is>
      </c>
      <c r="BP465">
        <f>SQRT(($J$1024-J465)^2)</f>
        <v/>
      </c>
      <c r="BQ465">
        <f>SQRT(($R$1024-R465)^2)</f>
        <v/>
      </c>
      <c r="BR465" s="125" t="inlineStr">
        <is>
          <t>HY1000X297</t>
        </is>
      </c>
      <c r="BW465">
        <f>SQRT(($J$1025-J465)^2)</f>
        <v/>
      </c>
      <c r="BX465">
        <f>SQRT(($R$1025-R465)^2)</f>
        <v/>
      </c>
      <c r="BY465" s="125" t="inlineStr">
        <is>
          <t>HY1000X297</t>
        </is>
      </c>
      <c r="CD465">
        <f>SQRT(($J$1026-J465)^2)</f>
        <v/>
      </c>
      <c r="CE465">
        <f>SQRT(($R$1026-R465)^2)</f>
        <v/>
      </c>
      <c r="CF465" s="125" t="inlineStr">
        <is>
          <t>HY1000X297</t>
        </is>
      </c>
    </row>
    <row r="466">
      <c r="A466" s="125" t="inlineStr">
        <is>
          <t>HY1000X279</t>
        </is>
      </c>
      <c r="B466" s="129" t="inlineStr">
        <is>
          <t>HY</t>
        </is>
      </c>
      <c r="C466" s="125" t="n">
        <v>279</v>
      </c>
      <c r="D466" s="125" t="n">
        <v>1000</v>
      </c>
      <c r="E466" s="125" t="n">
        <v>400</v>
      </c>
      <c r="F466" s="125" t="n">
        <v>25</v>
      </c>
      <c r="G466" s="125" t="n">
        <v>16</v>
      </c>
      <c r="H466" s="125" t="n">
        <v>18</v>
      </c>
      <c r="I466" s="125">
        <f>D466-(2*(H466+F466))</f>
        <v/>
      </c>
      <c r="J466" s="125">
        <f>(2*E466/10*F466/10)+((D466-F466-F466)/10*G466/10)+((H466/10+H466/10)^2)-(PI()*H466/10*H466/10)</f>
        <v/>
      </c>
      <c r="K466" s="125">
        <f>((E466-G466)/2)/F466</f>
        <v/>
      </c>
      <c r="L466" s="125">
        <f>I466/G466</f>
        <v/>
      </c>
      <c r="M466" s="125">
        <f>(E466*2+F466*4+((E466-G466)/2-H466)*4+2*PI()*H466+(D466-2*F466-2*H466)*2)/1000</f>
        <v/>
      </c>
      <c r="N466" s="5" t="n">
        <v>596000</v>
      </c>
      <c r="O466" s="5" t="n">
        <v>26700</v>
      </c>
      <c r="P466" s="125" t="n">
        <v>41</v>
      </c>
      <c r="Q466" s="125" t="n">
        <v>8.699999999999999</v>
      </c>
      <c r="R466" s="5" t="n">
        <v>11900</v>
      </c>
      <c r="S466" s="5" t="n">
        <v>1340</v>
      </c>
      <c r="T466" s="5" t="n">
        <v>13500</v>
      </c>
      <c r="U466" s="5" t="n">
        <v>2060</v>
      </c>
      <c r="X466" s="129">
        <f t="array" ref="X466">_xlfn.IFS((D466/F466) &lt;= (640/SQRT($AT$32)), "Compact", L466 &lt;= ($AT$32*(0.79-(0.002*((E466-G466/2)/(2*F466))*SQRT($AT$32)))), "Non-Compact", L466 &gt; ($AT$32*(0.79-(0.002*((E466-G466/2)/(2*F466))*SQRT($AT$32)))), "Slender")</f>
        <v/>
      </c>
      <c r="Y466" s="129">
        <f t="array" ref="Y466">_xlfn.IFS(K466 &lt;= (65/SQRT($AT$32)), "Compact", K466 &lt;= (95/SQRT($AT$32)), "Non-Compact", K466 &gt; (95/SQRT($AT$32)), "Slender")</f>
        <v/>
      </c>
      <c r="Z466" s="125">
        <f>E466/F466</f>
        <v/>
      </c>
      <c r="AA466" s="125">
        <f>D466/G466</f>
        <v/>
      </c>
      <c r="AB466" s="125">
        <f t="array" ref="AB466">_xlfn.IFS(Z466 &lt;= 9, "1", Z466 &lt;= 12, "2", Z466 &lt;= 15, "3", Z466 &gt; 15, "4")</f>
        <v/>
      </c>
      <c r="AC466" s="125">
        <f t="array" ref="AC466">_xlfn.IFS(AA466 &lt;= 200, "1", L466 &lt;= 300, "2", L466 &lt;= 400, "3", L466 &gt; 400, "4")</f>
        <v/>
      </c>
      <c r="AF466" s="129">
        <f>SQRT((((VLOOKUP($AT$4,$A$4:$D$1021,4,FALSE))-D466)^2)+(((VLOOKUP($AT$4,$A$4:$E$1021,5,FALSE))-E466)^2)+(((VLOOKUP($AT$4,$A$4:$N$1021,14,FALSE))-N466)^2)+(((VLOOKUP($AT$4,$A$4:$O$1021,15,FALSE))-O466)^2))</f>
        <v/>
      </c>
      <c r="AG466" s="129" t="n"/>
      <c r="AI466" s="129">
        <f>SQRT((((VLOOKUP($AT$4,$A$4:$D$1021,4,FALSE))-D466)^2)+(((VLOOKUP($AT$4,$A$4:$E$1021,5,FALSE))-E466)^2)+(((VLOOKUP($AT$4,$A$4:$R$1021,18,FALSE))-R466)^2)+(((VLOOKUP($AT$4,$A$4:$S$1021,19,FALSE))-S466)^2))</f>
        <v/>
      </c>
      <c r="AJ466" s="125" t="inlineStr">
        <is>
          <t>HY1000X279</t>
        </is>
      </c>
      <c r="AK466" s="125" t="n"/>
      <c r="AL466" s="125" t="n"/>
      <c r="AM466" s="125">
        <f>SQRT(((VLOOKUP($AT$4,$A$4:$J$1021,10,FALSE))-J466)^2)</f>
        <v/>
      </c>
      <c r="AN466" s="125" t="n"/>
      <c r="AO466" s="125" t="n"/>
      <c r="AP466" s="125">
        <f>SQRT(((VLOOKUP($AT$4,$A$4:$R$1021,18,FALSE))-R466)^2)</f>
        <v/>
      </c>
      <c r="AQ466" s="125" t="inlineStr">
        <is>
          <t>HY1000X279</t>
        </is>
      </c>
      <c r="BB466" s="125">
        <f>SQRT(($J$1022-J466)^2)</f>
        <v/>
      </c>
      <c r="BC466" s="125">
        <f>SQRT(($R$1022-R466)^2)</f>
        <v/>
      </c>
      <c r="BD466" s="125" t="inlineStr">
        <is>
          <t>HY1000X279</t>
        </is>
      </c>
      <c r="BI466">
        <f>SQRT(($J$1023-J466)^2)</f>
        <v/>
      </c>
      <c r="BJ466">
        <f>SQRT(($R$1023-R466)^2)</f>
        <v/>
      </c>
      <c r="BK466" s="125" t="inlineStr">
        <is>
          <t>HY1000X279</t>
        </is>
      </c>
      <c r="BP466">
        <f>SQRT(($J$1024-J466)^2)</f>
        <v/>
      </c>
      <c r="BQ466">
        <f>SQRT(($R$1024-R466)^2)</f>
        <v/>
      </c>
      <c r="BR466" s="125" t="inlineStr">
        <is>
          <t>HY1000X279</t>
        </is>
      </c>
      <c r="BW466">
        <f>SQRT(($J$1025-J466)^2)</f>
        <v/>
      </c>
      <c r="BX466">
        <f>SQRT(($R$1025-R466)^2)</f>
        <v/>
      </c>
      <c r="BY466" s="125" t="inlineStr">
        <is>
          <t>HY1000X279</t>
        </is>
      </c>
      <c r="CD466">
        <f>SQRT(($J$1026-J466)^2)</f>
        <v/>
      </c>
      <c r="CE466">
        <f>SQRT(($R$1026-R466)^2)</f>
        <v/>
      </c>
      <c r="CF466" s="125" t="inlineStr">
        <is>
          <t>HY1000X279</t>
        </is>
      </c>
    </row>
    <row r="467">
      <c r="A467" s="125" t="inlineStr">
        <is>
          <t>HY1000X260</t>
        </is>
      </c>
      <c r="B467" s="129" t="inlineStr">
        <is>
          <t>HY</t>
        </is>
      </c>
      <c r="C467" s="125" t="n">
        <v>260</v>
      </c>
      <c r="D467" s="125" t="n">
        <v>1000</v>
      </c>
      <c r="E467" s="125" t="n">
        <v>400</v>
      </c>
      <c r="F467" s="125" t="n">
        <v>22</v>
      </c>
      <c r="G467" s="125" t="n">
        <v>16</v>
      </c>
      <c r="H467" s="125" t="n">
        <v>18</v>
      </c>
      <c r="I467" s="125">
        <f>D467-(2*(H467+F467))</f>
        <v/>
      </c>
      <c r="J467" s="125">
        <f>(2*E467/10*F467/10)+((D467-F467-F467)/10*G467/10)+((H467/10+H467/10)^2)-(PI()*H467/10*H467/10)</f>
        <v/>
      </c>
      <c r="K467" s="125">
        <f>((E467-G467)/2)/F467</f>
        <v/>
      </c>
      <c r="L467" s="125">
        <f>I467/G467</f>
        <v/>
      </c>
      <c r="M467" s="125">
        <f>(E467*2+F467*4+((E467-G467)/2-H467)*4+2*PI()*H467+(D467-2*F467-2*H467)*2)/1000</f>
        <v/>
      </c>
      <c r="N467" s="5" t="n">
        <v>544000</v>
      </c>
      <c r="O467" s="5" t="n">
        <v>23500</v>
      </c>
      <c r="P467" s="125" t="n">
        <v>40.5</v>
      </c>
      <c r="Q467" s="125" t="n">
        <v>8.4</v>
      </c>
      <c r="R467" s="5" t="n">
        <v>10900</v>
      </c>
      <c r="S467" s="5" t="n">
        <v>1180</v>
      </c>
      <c r="T467" s="5" t="n">
        <v>12400</v>
      </c>
      <c r="U467" s="5" t="n">
        <v>1820</v>
      </c>
      <c r="X467" s="129">
        <f t="array" ref="X467">_xlfn.IFS((D467/F467) &lt;= (640/SQRT($AT$32)), "Compact", L467 &lt;= ($AT$32*(0.79-(0.002*((E467-G467/2)/(2*F467))*SQRT($AT$32)))), "Non-Compact", L467 &gt; ($AT$32*(0.79-(0.002*((E467-G467/2)/(2*F467))*SQRT($AT$32)))), "Slender")</f>
        <v/>
      </c>
      <c r="Y467" s="129">
        <f t="array" ref="Y467">_xlfn.IFS(K467 &lt;= (65/SQRT($AT$32)), "Compact", K467 &lt;= (95/SQRT($AT$32)), "Non-Compact", K467 &gt; (95/SQRT($AT$32)), "Slender")</f>
        <v/>
      </c>
      <c r="Z467" s="125">
        <f>E467/F467</f>
        <v/>
      </c>
      <c r="AA467" s="125">
        <f>D467/G467</f>
        <v/>
      </c>
      <c r="AB467" s="125">
        <f t="array" ref="AB467">_xlfn.IFS(Z467 &lt;= 9, "1", Z467 &lt;= 12, "2", Z467 &lt;= 15, "3", Z467 &gt; 15, "4")</f>
        <v/>
      </c>
      <c r="AC467" s="125">
        <f t="array" ref="AC467">_xlfn.IFS(AA467 &lt;= 200, "1", L467 &lt;= 300, "2", L467 &lt;= 400, "3", L467 &gt; 400, "4")</f>
        <v/>
      </c>
      <c r="AF467" s="129">
        <f>SQRT((((VLOOKUP($AT$4,$A$4:$D$1021,4,FALSE))-D467)^2)+(((VLOOKUP($AT$4,$A$4:$E$1021,5,FALSE))-E467)^2)+(((VLOOKUP($AT$4,$A$4:$N$1021,14,FALSE))-N467)^2)+(((VLOOKUP($AT$4,$A$4:$O$1021,15,FALSE))-O467)^2))</f>
        <v/>
      </c>
      <c r="AG467" s="129" t="n"/>
      <c r="AI467" s="129">
        <f>SQRT((((VLOOKUP($AT$4,$A$4:$D$1021,4,FALSE))-D467)^2)+(((VLOOKUP($AT$4,$A$4:$E$1021,5,FALSE))-E467)^2)+(((VLOOKUP($AT$4,$A$4:$R$1021,18,FALSE))-R467)^2)+(((VLOOKUP($AT$4,$A$4:$S$1021,19,FALSE))-S467)^2))</f>
        <v/>
      </c>
      <c r="AJ467" s="125" t="inlineStr">
        <is>
          <t>HY1000X260</t>
        </is>
      </c>
      <c r="AK467" s="125" t="n"/>
      <c r="AL467" s="125" t="n"/>
      <c r="AM467" s="125">
        <f>SQRT(((VLOOKUP($AT$4,$A$4:$J$1021,10,FALSE))-J467)^2)</f>
        <v/>
      </c>
      <c r="AN467" s="125" t="n"/>
      <c r="AO467" s="125" t="n"/>
      <c r="AP467" s="125">
        <f>SQRT(((VLOOKUP($AT$4,$A$4:$R$1021,18,FALSE))-R467)^2)</f>
        <v/>
      </c>
      <c r="AQ467" s="125" t="inlineStr">
        <is>
          <t>HY1000X260</t>
        </is>
      </c>
      <c r="BB467" s="125">
        <f>SQRT(($J$1022-J467)^2)</f>
        <v/>
      </c>
      <c r="BC467" s="125">
        <f>SQRT(($R$1022-R467)^2)</f>
        <v/>
      </c>
      <c r="BD467" s="125" t="inlineStr">
        <is>
          <t>HY1000X260</t>
        </is>
      </c>
      <c r="BI467">
        <f>SQRT(($J$1023-J467)^2)</f>
        <v/>
      </c>
      <c r="BJ467">
        <f>SQRT(($R$1023-R467)^2)</f>
        <v/>
      </c>
      <c r="BK467" s="125" t="inlineStr">
        <is>
          <t>HY1000X260</t>
        </is>
      </c>
      <c r="BP467">
        <f>SQRT(($J$1024-J467)^2)</f>
        <v/>
      </c>
      <c r="BQ467">
        <f>SQRT(($R$1024-R467)^2)</f>
        <v/>
      </c>
      <c r="BR467" s="125" t="inlineStr">
        <is>
          <t>HY1000X260</t>
        </is>
      </c>
      <c r="BW467">
        <f>SQRT(($J$1025-J467)^2)</f>
        <v/>
      </c>
      <c r="BX467">
        <f>SQRT(($R$1025-R467)^2)</f>
        <v/>
      </c>
      <c r="BY467" s="125" t="inlineStr">
        <is>
          <t>HY1000X260</t>
        </is>
      </c>
      <c r="CD467">
        <f>SQRT(($J$1026-J467)^2)</f>
        <v/>
      </c>
      <c r="CE467">
        <f>SQRT(($R$1026-R467)^2)</f>
        <v/>
      </c>
      <c r="CF467" s="125" t="inlineStr">
        <is>
          <t>HY1000X260</t>
        </is>
      </c>
    </row>
    <row r="468">
      <c r="A468" s="125" t="inlineStr">
        <is>
          <t>HY1000X381</t>
        </is>
      </c>
      <c r="B468" s="129" t="inlineStr">
        <is>
          <t>HY</t>
        </is>
      </c>
      <c r="C468" s="125" t="n">
        <v>381</v>
      </c>
      <c r="D468" s="125" t="n">
        <v>1000</v>
      </c>
      <c r="E468" s="125" t="n">
        <v>350</v>
      </c>
      <c r="F468" s="125" t="n">
        <v>40</v>
      </c>
      <c r="G468" s="125" t="n">
        <v>22</v>
      </c>
      <c r="H468" s="125" t="n">
        <v>18</v>
      </c>
      <c r="I468" s="125">
        <f>D468-(2*(H468+F468))</f>
        <v/>
      </c>
      <c r="J468" s="125">
        <f>(2*E468/10*F468/10)+((D468-F468-F468)/10*G468/10)+((H468/10+H468/10)^2)-(PI()*H468/10*H468/10)</f>
        <v/>
      </c>
      <c r="K468" s="125">
        <f>((E468-G468)/2)/F468</f>
        <v/>
      </c>
      <c r="L468" s="125">
        <f>I468/G468</f>
        <v/>
      </c>
      <c r="M468" s="125">
        <f>(E468*2+F468*4+((E468-G468)/2-H468)*4+2*PI()*H468+(D468-2*F468-2*H468)*2)/1000</f>
        <v/>
      </c>
      <c r="N468" s="5" t="n">
        <v>794000</v>
      </c>
      <c r="O468" s="5" t="n">
        <v>28700</v>
      </c>
      <c r="P468" s="125" t="n">
        <v>40.5</v>
      </c>
      <c r="Q468" s="125" t="n">
        <v>7.7</v>
      </c>
      <c r="R468" s="5" t="n">
        <v>15900</v>
      </c>
      <c r="S468" s="5" t="n">
        <v>1640</v>
      </c>
      <c r="T468" s="5" t="n">
        <v>18200</v>
      </c>
      <c r="U468" s="5" t="n">
        <v>2570</v>
      </c>
      <c r="X468" s="129">
        <f t="array" ref="X468">_xlfn.IFS((D468/F468) &lt;= (640/SQRT($AT$32)), "Compact", L468 &lt;= ($AT$32*(0.79-(0.002*((E468-G468/2)/(2*F468))*SQRT($AT$32)))), "Non-Compact", L468 &gt; ($AT$32*(0.79-(0.002*((E468-G468/2)/(2*F468))*SQRT($AT$32)))), "Slender")</f>
        <v/>
      </c>
      <c r="Y468" s="129">
        <f t="array" ref="Y468">_xlfn.IFS(K468 &lt;= (65/SQRT($AT$32)), "Compact", K468 &lt;= (95/SQRT($AT$32)), "Non-Compact", K468 &gt; (95/SQRT($AT$32)), "Slender")</f>
        <v/>
      </c>
      <c r="Z468" s="125">
        <f>E468/F468</f>
        <v/>
      </c>
      <c r="AA468" s="125">
        <f>D468/G468</f>
        <v/>
      </c>
      <c r="AB468" s="125">
        <f t="array" ref="AB468">_xlfn.IFS(Z468 &lt;= 9, "1", Z468 &lt;= 12, "2", Z468 &lt;= 15, "3", Z468 &gt; 15, "4")</f>
        <v/>
      </c>
      <c r="AC468" s="125">
        <f t="array" ref="AC468">_xlfn.IFS(AA468 &lt;= 200, "1", L468 &lt;= 300, "2", L468 &lt;= 400, "3", L468 &gt; 400, "4")</f>
        <v/>
      </c>
      <c r="AF468" s="129">
        <f>SQRT((((VLOOKUP($AT$4,$A$4:$D$1021,4,FALSE))-D468)^2)+(((VLOOKUP($AT$4,$A$4:$E$1021,5,FALSE))-E468)^2)+(((VLOOKUP($AT$4,$A$4:$N$1021,14,FALSE))-N468)^2)+(((VLOOKUP($AT$4,$A$4:$O$1021,15,FALSE))-O468)^2))</f>
        <v/>
      </c>
      <c r="AG468" s="129" t="n"/>
      <c r="AI468" s="129">
        <f>SQRT((((VLOOKUP($AT$4,$A$4:$D$1021,4,FALSE))-D468)^2)+(((VLOOKUP($AT$4,$A$4:$E$1021,5,FALSE))-E468)^2)+(((VLOOKUP($AT$4,$A$4:$R$1021,18,FALSE))-R468)^2)+(((VLOOKUP($AT$4,$A$4:$S$1021,19,FALSE))-S468)^2))</f>
        <v/>
      </c>
      <c r="AJ468" s="125" t="inlineStr">
        <is>
          <t>HY1000X381</t>
        </is>
      </c>
      <c r="AK468" s="125" t="n"/>
      <c r="AL468" s="125" t="n"/>
      <c r="AM468" s="125">
        <f>SQRT(((VLOOKUP($AT$4,$A$4:$J$1021,10,FALSE))-J468)^2)</f>
        <v/>
      </c>
      <c r="AN468" s="125" t="n"/>
      <c r="AO468" s="125" t="n"/>
      <c r="AP468" s="125">
        <f>SQRT(((VLOOKUP($AT$4,$A$4:$R$1021,18,FALSE))-R468)^2)</f>
        <v/>
      </c>
      <c r="AQ468" s="125" t="inlineStr">
        <is>
          <t>HY1000X381</t>
        </is>
      </c>
      <c r="BB468" s="125">
        <f>SQRT(($J$1022-J468)^2)</f>
        <v/>
      </c>
      <c r="BC468" s="125">
        <f>SQRT(($R$1022-R468)^2)</f>
        <v/>
      </c>
      <c r="BD468" s="125" t="inlineStr">
        <is>
          <t>HY1000X381</t>
        </is>
      </c>
      <c r="BI468">
        <f>SQRT(($J$1023-J468)^2)</f>
        <v/>
      </c>
      <c r="BJ468">
        <f>SQRT(($R$1023-R468)^2)</f>
        <v/>
      </c>
      <c r="BK468" s="125" t="inlineStr">
        <is>
          <t>HY1000X381</t>
        </is>
      </c>
      <c r="BP468">
        <f>SQRT(($J$1024-J468)^2)</f>
        <v/>
      </c>
      <c r="BQ468">
        <f>SQRT(($R$1024-R468)^2)</f>
        <v/>
      </c>
      <c r="BR468" s="125" t="inlineStr">
        <is>
          <t>HY1000X381</t>
        </is>
      </c>
      <c r="BW468">
        <f>SQRT(($J$1025-J468)^2)</f>
        <v/>
      </c>
      <c r="BX468">
        <f>SQRT(($R$1025-R468)^2)</f>
        <v/>
      </c>
      <c r="BY468" s="125" t="inlineStr">
        <is>
          <t>HY1000X381</t>
        </is>
      </c>
      <c r="CD468">
        <f>SQRT(($J$1026-J468)^2)</f>
        <v/>
      </c>
      <c r="CE468">
        <f>SQRT(($R$1026-R468)^2)</f>
        <v/>
      </c>
      <c r="CF468" s="125" t="inlineStr">
        <is>
          <t>HY1000X381</t>
        </is>
      </c>
    </row>
    <row r="469">
      <c r="A469" s="125" t="inlineStr">
        <is>
          <t>HY1000X360</t>
        </is>
      </c>
      <c r="B469" s="129" t="inlineStr">
        <is>
          <t>HY</t>
        </is>
      </c>
      <c r="C469" s="125" t="n">
        <v>360</v>
      </c>
      <c r="D469" s="125" t="n">
        <v>1000</v>
      </c>
      <c r="E469" s="125" t="n">
        <v>350</v>
      </c>
      <c r="F469" s="125" t="n">
        <v>36</v>
      </c>
      <c r="G469" s="125" t="n">
        <v>22</v>
      </c>
      <c r="H469" s="125" t="n">
        <v>18</v>
      </c>
      <c r="I469" s="125">
        <f>D469-(2*(H469+F469))</f>
        <v/>
      </c>
      <c r="J469" s="125">
        <f>(2*E469/10*F469/10)+((D469-F469-F469)/10*G469/10)+((H469/10+H469/10)^2)-(PI()*H469/10*H469/10)</f>
        <v/>
      </c>
      <c r="K469" s="125">
        <f>((E469-G469)/2)/F469</f>
        <v/>
      </c>
      <c r="L469" s="125">
        <f>I469/G469</f>
        <v/>
      </c>
      <c r="M469" s="125">
        <f>(E469*2+F469*4+((E469-G469)/2-H469)*4+2*PI()*H469+(D469-2*F469-2*H469)*2)/1000</f>
        <v/>
      </c>
      <c r="N469" s="5" t="n">
        <v>738000</v>
      </c>
      <c r="O469" s="5" t="n">
        <v>25800</v>
      </c>
      <c r="P469" s="125" t="n">
        <v>40.1</v>
      </c>
      <c r="Q469" s="125" t="n">
        <v>7.5</v>
      </c>
      <c r="R469" s="5" t="n">
        <v>14800</v>
      </c>
      <c r="S469" s="5" t="n">
        <v>1480</v>
      </c>
      <c r="T469" s="5" t="n">
        <v>17000</v>
      </c>
      <c r="U469" s="5" t="n">
        <v>2320</v>
      </c>
      <c r="X469" s="129">
        <f t="array" ref="X469">_xlfn.IFS((D469/F469) &lt;= (640/SQRT($AT$32)), "Compact", L469 &lt;= ($AT$32*(0.79-(0.002*((E469-G469/2)/(2*F469))*SQRT($AT$32)))), "Non-Compact", L469 &gt; ($AT$32*(0.79-(0.002*((E469-G469/2)/(2*F469))*SQRT($AT$32)))), "Slender")</f>
        <v/>
      </c>
      <c r="Y469" s="129">
        <f t="array" ref="Y469">_xlfn.IFS(K469 &lt;= (65/SQRT($AT$32)), "Compact", K469 &lt;= (95/SQRT($AT$32)), "Non-Compact", K469 &gt; (95/SQRT($AT$32)), "Slender")</f>
        <v/>
      </c>
      <c r="Z469" s="125">
        <f>E469/F469</f>
        <v/>
      </c>
      <c r="AA469" s="125">
        <f>D469/G469</f>
        <v/>
      </c>
      <c r="AB469" s="125">
        <f t="array" ref="AB469">_xlfn.IFS(Z469 &lt;= 9, "1", Z469 &lt;= 12, "2", Z469 &lt;= 15, "3", Z469 &gt; 15, "4")</f>
        <v/>
      </c>
      <c r="AC469" s="125">
        <f t="array" ref="AC469">_xlfn.IFS(AA469 &lt;= 200, "1", L469 &lt;= 300, "2", L469 &lt;= 400, "3", L469 &gt; 400, "4")</f>
        <v/>
      </c>
      <c r="AF469" s="129">
        <f>SQRT((((VLOOKUP($AT$4,$A$4:$D$1021,4,FALSE))-D469)^2)+(((VLOOKUP($AT$4,$A$4:$E$1021,5,FALSE))-E469)^2)+(((VLOOKUP($AT$4,$A$4:$N$1021,14,FALSE))-N469)^2)+(((VLOOKUP($AT$4,$A$4:$O$1021,15,FALSE))-O469)^2))</f>
        <v/>
      </c>
      <c r="AG469" s="129" t="n"/>
      <c r="AI469" s="129">
        <f>SQRT((((VLOOKUP($AT$4,$A$4:$D$1021,4,FALSE))-D469)^2)+(((VLOOKUP($AT$4,$A$4:$E$1021,5,FALSE))-E469)^2)+(((VLOOKUP($AT$4,$A$4:$R$1021,18,FALSE))-R469)^2)+(((VLOOKUP($AT$4,$A$4:$S$1021,19,FALSE))-S469)^2))</f>
        <v/>
      </c>
      <c r="AJ469" s="125" t="inlineStr">
        <is>
          <t>HY1000X360</t>
        </is>
      </c>
      <c r="AK469" s="125" t="n"/>
      <c r="AL469" s="125" t="n"/>
      <c r="AM469" s="125">
        <f>SQRT(((VLOOKUP($AT$4,$A$4:$J$1021,10,FALSE))-J469)^2)</f>
        <v/>
      </c>
      <c r="AN469" s="125" t="n"/>
      <c r="AO469" s="125" t="n"/>
      <c r="AP469" s="125">
        <f>SQRT(((VLOOKUP($AT$4,$A$4:$R$1021,18,FALSE))-R469)^2)</f>
        <v/>
      </c>
      <c r="AQ469" s="125" t="inlineStr">
        <is>
          <t>HY1000X360</t>
        </is>
      </c>
      <c r="BB469" s="125">
        <f>SQRT(($J$1022-J469)^2)</f>
        <v/>
      </c>
      <c r="BC469" s="125">
        <f>SQRT(($R$1022-R469)^2)</f>
        <v/>
      </c>
      <c r="BD469" s="125" t="inlineStr">
        <is>
          <t>HY1000X360</t>
        </is>
      </c>
      <c r="BI469">
        <f>SQRT(($J$1023-J469)^2)</f>
        <v/>
      </c>
      <c r="BJ469">
        <f>SQRT(($R$1023-R469)^2)</f>
        <v/>
      </c>
      <c r="BK469" s="125" t="inlineStr">
        <is>
          <t>HY1000X360</t>
        </is>
      </c>
      <c r="BP469">
        <f>SQRT(($J$1024-J469)^2)</f>
        <v/>
      </c>
      <c r="BQ469">
        <f>SQRT(($R$1024-R469)^2)</f>
        <v/>
      </c>
      <c r="BR469" s="125" t="inlineStr">
        <is>
          <t>HY1000X360</t>
        </is>
      </c>
      <c r="BW469">
        <f>SQRT(($J$1025-J469)^2)</f>
        <v/>
      </c>
      <c r="BX469">
        <f>SQRT(($R$1025-R469)^2)</f>
        <v/>
      </c>
      <c r="BY469" s="125" t="inlineStr">
        <is>
          <t>HY1000X360</t>
        </is>
      </c>
      <c r="CD469">
        <f>SQRT(($J$1026-J469)^2)</f>
        <v/>
      </c>
      <c r="CE469">
        <f>SQRT(($R$1026-R469)^2)</f>
        <v/>
      </c>
      <c r="CF469" s="125" t="inlineStr">
        <is>
          <t>HY1000X360</t>
        </is>
      </c>
    </row>
    <row r="470">
      <c r="A470" s="125" t="inlineStr">
        <is>
          <t>HY1000X340</t>
        </is>
      </c>
      <c r="B470" s="129" t="inlineStr">
        <is>
          <t>HY</t>
        </is>
      </c>
      <c r="C470" s="125" t="n">
        <v>340</v>
      </c>
      <c r="D470" s="125" t="n">
        <v>1000</v>
      </c>
      <c r="E470" s="125" t="n">
        <v>350</v>
      </c>
      <c r="F470" s="125" t="n">
        <v>32</v>
      </c>
      <c r="G470" s="125" t="n">
        <v>22</v>
      </c>
      <c r="H470" s="125" t="n">
        <v>18</v>
      </c>
      <c r="I470" s="125">
        <f>D470-(2*(H470+F470))</f>
        <v/>
      </c>
      <c r="J470" s="125">
        <f>(2*E470/10*F470/10)+((D470-F470-F470)/10*G470/10)+((H470/10+H470/10)^2)-(PI()*H470/10*H470/10)</f>
        <v/>
      </c>
      <c r="K470" s="125">
        <f>((E470-G470)/2)/F470</f>
        <v/>
      </c>
      <c r="L470" s="125">
        <f>I470/G470</f>
        <v/>
      </c>
      <c r="M470" s="125">
        <f>(E470*2+F470*4+((E470-G470)/2-H470)*4+2*PI()*H470+(D470-2*F470-2*H470)*2)/1000</f>
        <v/>
      </c>
      <c r="N470" s="5" t="n">
        <v>681000</v>
      </c>
      <c r="O470" s="5" t="n">
        <v>23000</v>
      </c>
      <c r="P470" s="125" t="n">
        <v>39.7</v>
      </c>
      <c r="Q470" s="125" t="n">
        <v>7.3</v>
      </c>
      <c r="R470" s="5" t="n">
        <v>13600</v>
      </c>
      <c r="S470" s="5" t="n">
        <v>1310</v>
      </c>
      <c r="T470" s="5" t="n">
        <v>15800</v>
      </c>
      <c r="U470" s="5" t="n">
        <v>2080</v>
      </c>
      <c r="X470" s="129">
        <f t="array" ref="X470">_xlfn.IFS((D470/F470) &lt;= (640/SQRT($AT$32)), "Compact", L470 &lt;= ($AT$32*(0.79-(0.002*((E470-G470/2)/(2*F470))*SQRT($AT$32)))), "Non-Compact", L470 &gt; ($AT$32*(0.79-(0.002*((E470-G470/2)/(2*F470))*SQRT($AT$32)))), "Slender")</f>
        <v/>
      </c>
      <c r="Y470" s="129">
        <f t="array" ref="Y470">_xlfn.IFS(K470 &lt;= (65/SQRT($AT$32)), "Compact", K470 &lt;= (95/SQRT($AT$32)), "Non-Compact", K470 &gt; (95/SQRT($AT$32)), "Slender")</f>
        <v/>
      </c>
      <c r="Z470" s="125">
        <f>E470/F470</f>
        <v/>
      </c>
      <c r="AA470" s="125">
        <f>D470/G470</f>
        <v/>
      </c>
      <c r="AB470" s="125">
        <f t="array" ref="AB470">_xlfn.IFS(Z470 &lt;= 9, "1", Z470 &lt;= 12, "2", Z470 &lt;= 15, "3", Z470 &gt; 15, "4")</f>
        <v/>
      </c>
      <c r="AC470" s="125">
        <f t="array" ref="AC470">_xlfn.IFS(AA470 &lt;= 200, "1", L470 &lt;= 300, "2", L470 &lt;= 400, "3", L470 &gt; 400, "4")</f>
        <v/>
      </c>
      <c r="AF470" s="129">
        <f>SQRT((((VLOOKUP($AT$4,$A$4:$D$1021,4,FALSE))-D470)^2)+(((VLOOKUP($AT$4,$A$4:$E$1021,5,FALSE))-E470)^2)+(((VLOOKUP($AT$4,$A$4:$N$1021,14,FALSE))-N470)^2)+(((VLOOKUP($AT$4,$A$4:$O$1021,15,FALSE))-O470)^2))</f>
        <v/>
      </c>
      <c r="AG470" s="129" t="n"/>
      <c r="AI470" s="129">
        <f>SQRT((((VLOOKUP($AT$4,$A$4:$D$1021,4,FALSE))-D470)^2)+(((VLOOKUP($AT$4,$A$4:$E$1021,5,FALSE))-E470)^2)+(((VLOOKUP($AT$4,$A$4:$R$1021,18,FALSE))-R470)^2)+(((VLOOKUP($AT$4,$A$4:$S$1021,19,FALSE))-S470)^2))</f>
        <v/>
      </c>
      <c r="AJ470" s="125" t="inlineStr">
        <is>
          <t>HY1000X340</t>
        </is>
      </c>
      <c r="AK470" s="125" t="n"/>
      <c r="AL470" s="125" t="n"/>
      <c r="AM470" s="125">
        <f>SQRT(((VLOOKUP($AT$4,$A$4:$J$1021,10,FALSE))-J470)^2)</f>
        <v/>
      </c>
      <c r="AN470" s="125" t="n"/>
      <c r="AO470" s="125" t="n"/>
      <c r="AP470" s="125">
        <f>SQRT(((VLOOKUP($AT$4,$A$4:$R$1021,18,FALSE))-R470)^2)</f>
        <v/>
      </c>
      <c r="AQ470" s="125" t="inlineStr">
        <is>
          <t>HY1000X340</t>
        </is>
      </c>
      <c r="BB470" s="125">
        <f>SQRT(($J$1022-J470)^2)</f>
        <v/>
      </c>
      <c r="BC470" s="125">
        <f>SQRT(($R$1022-R470)^2)</f>
        <v/>
      </c>
      <c r="BD470" s="125" t="inlineStr">
        <is>
          <t>HY1000X340</t>
        </is>
      </c>
      <c r="BI470">
        <f>SQRT(($J$1023-J470)^2)</f>
        <v/>
      </c>
      <c r="BJ470">
        <f>SQRT(($R$1023-R470)^2)</f>
        <v/>
      </c>
      <c r="BK470" s="125" t="inlineStr">
        <is>
          <t>HY1000X340</t>
        </is>
      </c>
      <c r="BP470">
        <f>SQRT(($J$1024-J470)^2)</f>
        <v/>
      </c>
      <c r="BQ470">
        <f>SQRT(($R$1024-R470)^2)</f>
        <v/>
      </c>
      <c r="BR470" s="125" t="inlineStr">
        <is>
          <t>HY1000X340</t>
        </is>
      </c>
      <c r="BW470">
        <f>SQRT(($J$1025-J470)^2)</f>
        <v/>
      </c>
      <c r="BX470">
        <f>SQRT(($R$1025-R470)^2)</f>
        <v/>
      </c>
      <c r="BY470" s="125" t="inlineStr">
        <is>
          <t>HY1000X340</t>
        </is>
      </c>
      <c r="CD470">
        <f>SQRT(($J$1026-J470)^2)</f>
        <v/>
      </c>
      <c r="CE470">
        <f>SQRT(($R$1026-R470)^2)</f>
        <v/>
      </c>
      <c r="CF470" s="125" t="inlineStr">
        <is>
          <t>HY1000X340</t>
        </is>
      </c>
    </row>
    <row r="471">
      <c r="A471" s="125" t="inlineStr">
        <is>
          <t>HY1000X319</t>
        </is>
      </c>
      <c r="B471" s="129" t="inlineStr">
        <is>
          <t>HY</t>
        </is>
      </c>
      <c r="C471" s="125" t="n">
        <v>319</v>
      </c>
      <c r="D471" s="125" t="n">
        <v>1000</v>
      </c>
      <c r="E471" s="125" t="n">
        <v>350</v>
      </c>
      <c r="F471" s="125" t="n">
        <v>28</v>
      </c>
      <c r="G471" s="125" t="n">
        <v>22</v>
      </c>
      <c r="H471" s="125" t="n">
        <v>18</v>
      </c>
      <c r="I471" s="125">
        <f>D471-(2*(H471+F471))</f>
        <v/>
      </c>
      <c r="J471" s="125">
        <f>(2*E471/10*F471/10)+((D471-F471-F471)/10*G471/10)+((H471/10+H471/10)^2)-(PI()*H471/10*H471/10)</f>
        <v/>
      </c>
      <c r="K471" s="125">
        <f>((E471-G471)/2)/F471</f>
        <v/>
      </c>
      <c r="L471" s="125">
        <f>I471/G471</f>
        <v/>
      </c>
      <c r="M471" s="125">
        <f>(E471*2+F471*4+((E471-G471)/2-H471)*4+2*PI()*H471+(D471-2*F471-2*H471)*2)/1000</f>
        <v/>
      </c>
      <c r="N471" s="5" t="n">
        <v>623000</v>
      </c>
      <c r="O471" s="5" t="n">
        <v>20100</v>
      </c>
      <c r="P471" s="125" t="n">
        <v>39.2</v>
      </c>
      <c r="Q471" s="125" t="n">
        <v>7</v>
      </c>
      <c r="R471" s="5" t="n">
        <v>12500</v>
      </c>
      <c r="S471" s="5" t="n">
        <v>1150</v>
      </c>
      <c r="T471" s="5" t="n">
        <v>14600</v>
      </c>
      <c r="U471" s="5" t="n">
        <v>1830</v>
      </c>
      <c r="X471" s="129">
        <f t="array" ref="X471">_xlfn.IFS((D471/F471) &lt;= (640/SQRT($AT$32)), "Compact", L471 &lt;= ($AT$32*(0.79-(0.002*((E471-G471/2)/(2*F471))*SQRT($AT$32)))), "Non-Compact", L471 &gt; ($AT$32*(0.79-(0.002*((E471-G471/2)/(2*F471))*SQRT($AT$32)))), "Slender")</f>
        <v/>
      </c>
      <c r="Y471" s="129">
        <f t="array" ref="Y471">_xlfn.IFS(K471 &lt;= (65/SQRT($AT$32)), "Compact", K471 &lt;= (95/SQRT($AT$32)), "Non-Compact", K471 &gt; (95/SQRT($AT$32)), "Slender")</f>
        <v/>
      </c>
      <c r="Z471" s="125">
        <f>E471/F471</f>
        <v/>
      </c>
      <c r="AA471" s="125">
        <f>D471/G471</f>
        <v/>
      </c>
      <c r="AB471" s="125">
        <f t="array" ref="AB471">_xlfn.IFS(Z471 &lt;= 9, "1", Z471 &lt;= 12, "2", Z471 &lt;= 15, "3", Z471 &gt; 15, "4")</f>
        <v/>
      </c>
      <c r="AC471" s="125">
        <f t="array" ref="AC471">_xlfn.IFS(AA471 &lt;= 200, "1", L471 &lt;= 300, "2", L471 &lt;= 400, "3", L471 &gt; 400, "4")</f>
        <v/>
      </c>
      <c r="AF471" s="129">
        <f>SQRT((((VLOOKUP($AT$4,$A$4:$D$1021,4,FALSE))-D471)^2)+(((VLOOKUP($AT$4,$A$4:$E$1021,5,FALSE))-E471)^2)+(((VLOOKUP($AT$4,$A$4:$N$1021,14,FALSE))-N471)^2)+(((VLOOKUP($AT$4,$A$4:$O$1021,15,FALSE))-O471)^2))</f>
        <v/>
      </c>
      <c r="AG471" s="129" t="n"/>
      <c r="AI471" s="129">
        <f>SQRT((((VLOOKUP($AT$4,$A$4:$D$1021,4,FALSE))-D471)^2)+(((VLOOKUP($AT$4,$A$4:$E$1021,5,FALSE))-E471)^2)+(((VLOOKUP($AT$4,$A$4:$R$1021,18,FALSE))-R471)^2)+(((VLOOKUP($AT$4,$A$4:$S$1021,19,FALSE))-S471)^2))</f>
        <v/>
      </c>
      <c r="AJ471" s="125" t="inlineStr">
        <is>
          <t>HY1000X319</t>
        </is>
      </c>
      <c r="AK471" s="125" t="n"/>
      <c r="AL471" s="125" t="n"/>
      <c r="AM471" s="125">
        <f>SQRT(((VLOOKUP($AT$4,$A$4:$J$1021,10,FALSE))-J471)^2)</f>
        <v/>
      </c>
      <c r="AN471" s="125" t="n"/>
      <c r="AO471" s="125" t="n"/>
      <c r="AP471" s="125">
        <f>SQRT(((VLOOKUP($AT$4,$A$4:$R$1021,18,FALSE))-R471)^2)</f>
        <v/>
      </c>
      <c r="AQ471" s="125" t="inlineStr">
        <is>
          <t>HY1000X319</t>
        </is>
      </c>
      <c r="BB471" s="125">
        <f>SQRT(($J$1022-J471)^2)</f>
        <v/>
      </c>
      <c r="BC471" s="125">
        <f>SQRT(($R$1022-R471)^2)</f>
        <v/>
      </c>
      <c r="BD471" s="125" t="inlineStr">
        <is>
          <t>HY1000X319</t>
        </is>
      </c>
      <c r="BI471">
        <f>SQRT(($J$1023-J471)^2)</f>
        <v/>
      </c>
      <c r="BJ471">
        <f>SQRT(($R$1023-R471)^2)</f>
        <v/>
      </c>
      <c r="BK471" s="125" t="inlineStr">
        <is>
          <t>HY1000X319</t>
        </is>
      </c>
      <c r="BP471">
        <f>SQRT(($J$1024-J471)^2)</f>
        <v/>
      </c>
      <c r="BQ471">
        <f>SQRT(($R$1024-R471)^2)</f>
        <v/>
      </c>
      <c r="BR471" s="125" t="inlineStr">
        <is>
          <t>HY1000X319</t>
        </is>
      </c>
      <c r="BW471">
        <f>SQRT(($J$1025-J471)^2)</f>
        <v/>
      </c>
      <c r="BX471">
        <f>SQRT(($R$1025-R471)^2)</f>
        <v/>
      </c>
      <c r="BY471" s="125" t="inlineStr">
        <is>
          <t>HY1000X319</t>
        </is>
      </c>
      <c r="CD471">
        <f>SQRT(($J$1026-J471)^2)</f>
        <v/>
      </c>
      <c r="CE471">
        <f>SQRT(($R$1026-R471)^2)</f>
        <v/>
      </c>
      <c r="CF471" s="125" t="inlineStr">
        <is>
          <t>HY1000X319</t>
        </is>
      </c>
    </row>
    <row r="472">
      <c r="A472" s="125" t="inlineStr">
        <is>
          <t>HY1000X359</t>
        </is>
      </c>
      <c r="B472" s="129" t="inlineStr">
        <is>
          <t>HY</t>
        </is>
      </c>
      <c r="C472" s="125" t="n">
        <v>359</v>
      </c>
      <c r="D472" s="125" t="n">
        <v>1000</v>
      </c>
      <c r="E472" s="125" t="n">
        <v>350</v>
      </c>
      <c r="F472" s="125" t="n">
        <v>40</v>
      </c>
      <c r="G472" s="125" t="n">
        <v>19</v>
      </c>
      <c r="H472" s="125" t="n">
        <v>18</v>
      </c>
      <c r="I472" s="125">
        <f>D472-(2*(H472+F472))</f>
        <v/>
      </c>
      <c r="J472" s="125">
        <f>(2*E472/10*F472/10)+((D472-F472-F472)/10*G472/10)+((H472/10+H472/10)^2)-(PI()*H472/10*H472/10)</f>
        <v/>
      </c>
      <c r="K472" s="125">
        <f>((E472-G472)/2)/F472</f>
        <v/>
      </c>
      <c r="L472" s="125">
        <f>I472/G472</f>
        <v/>
      </c>
      <c r="M472" s="125">
        <f>(E472*2+F472*4+((E472-G472)/2-H472)*4+2*PI()*H472+(D472-2*F472-2*H472)*2)/1000</f>
        <v/>
      </c>
      <c r="N472" s="5" t="n">
        <v>775000</v>
      </c>
      <c r="O472" s="5" t="n">
        <v>28600</v>
      </c>
      <c r="P472" s="125" t="n">
        <v>41.1</v>
      </c>
      <c r="Q472" s="125" t="n">
        <v>7.9</v>
      </c>
      <c r="R472" s="5" t="n">
        <v>15500</v>
      </c>
      <c r="S472" s="5" t="n">
        <v>1640</v>
      </c>
      <c r="T472" s="5" t="n">
        <v>17600</v>
      </c>
      <c r="U472" s="5" t="n">
        <v>2540</v>
      </c>
      <c r="X472" s="129">
        <f t="array" ref="X472">_xlfn.IFS((D472/F472) &lt;= (640/SQRT($AT$32)), "Compact", L472 &lt;= ($AT$32*(0.79-(0.002*((E472-G472/2)/(2*F472))*SQRT($AT$32)))), "Non-Compact", L472 &gt; ($AT$32*(0.79-(0.002*((E472-G472/2)/(2*F472))*SQRT($AT$32)))), "Slender")</f>
        <v/>
      </c>
      <c r="Y472" s="129">
        <f t="array" ref="Y472">_xlfn.IFS(K472 &lt;= (65/SQRT($AT$32)), "Compact", K472 &lt;= (95/SQRT($AT$32)), "Non-Compact", K472 &gt; (95/SQRT($AT$32)), "Slender")</f>
        <v/>
      </c>
      <c r="Z472" s="125">
        <f>E472/F472</f>
        <v/>
      </c>
      <c r="AA472" s="125">
        <f>D472/G472</f>
        <v/>
      </c>
      <c r="AB472" s="125">
        <f t="array" ref="AB472">_xlfn.IFS(Z472 &lt;= 9, "1", Z472 &lt;= 12, "2", Z472 &lt;= 15, "3", Z472 &gt; 15, "4")</f>
        <v/>
      </c>
      <c r="AC472" s="125">
        <f t="array" ref="AC472">_xlfn.IFS(AA472 &lt;= 200, "1", L472 &lt;= 300, "2", L472 &lt;= 400, "3", L472 &gt; 400, "4")</f>
        <v/>
      </c>
      <c r="AF472" s="129">
        <f>SQRT((((VLOOKUP($AT$4,$A$4:$D$1021,4,FALSE))-D472)^2)+(((VLOOKUP($AT$4,$A$4:$E$1021,5,FALSE))-E472)^2)+(((VLOOKUP($AT$4,$A$4:$N$1021,14,FALSE))-N472)^2)+(((VLOOKUP($AT$4,$A$4:$O$1021,15,FALSE))-O472)^2))</f>
        <v/>
      </c>
      <c r="AG472" s="129" t="n"/>
      <c r="AI472" s="129">
        <f>SQRT((((VLOOKUP($AT$4,$A$4:$D$1021,4,FALSE))-D472)^2)+(((VLOOKUP($AT$4,$A$4:$E$1021,5,FALSE))-E472)^2)+(((VLOOKUP($AT$4,$A$4:$R$1021,18,FALSE))-R472)^2)+(((VLOOKUP($AT$4,$A$4:$S$1021,19,FALSE))-S472)^2))</f>
        <v/>
      </c>
      <c r="AJ472" s="125" t="inlineStr">
        <is>
          <t>HY1000X359</t>
        </is>
      </c>
      <c r="AK472" s="125" t="n"/>
      <c r="AL472" s="125" t="n"/>
      <c r="AM472" s="125">
        <f>SQRT(((VLOOKUP($AT$4,$A$4:$J$1021,10,FALSE))-J472)^2)</f>
        <v/>
      </c>
      <c r="AN472" s="125" t="n"/>
      <c r="AO472" s="125" t="n"/>
      <c r="AP472" s="125">
        <f>SQRT(((VLOOKUP($AT$4,$A$4:$R$1021,18,FALSE))-R472)^2)</f>
        <v/>
      </c>
      <c r="AQ472" s="125" t="inlineStr">
        <is>
          <t>HY1000X359</t>
        </is>
      </c>
      <c r="BB472" s="125">
        <f>SQRT(($J$1022-J472)^2)</f>
        <v/>
      </c>
      <c r="BC472" s="125">
        <f>SQRT(($R$1022-R472)^2)</f>
        <v/>
      </c>
      <c r="BD472" s="125" t="inlineStr">
        <is>
          <t>HY1000X359</t>
        </is>
      </c>
      <c r="BI472">
        <f>SQRT(($J$1023-J472)^2)</f>
        <v/>
      </c>
      <c r="BJ472">
        <f>SQRT(($R$1023-R472)^2)</f>
        <v/>
      </c>
      <c r="BK472" s="125" t="inlineStr">
        <is>
          <t>HY1000X359</t>
        </is>
      </c>
      <c r="BP472">
        <f>SQRT(($J$1024-J472)^2)</f>
        <v/>
      </c>
      <c r="BQ472">
        <f>SQRT(($R$1024-R472)^2)</f>
        <v/>
      </c>
      <c r="BR472" s="125" t="inlineStr">
        <is>
          <t>HY1000X359</t>
        </is>
      </c>
      <c r="BW472">
        <f>SQRT(($J$1025-J472)^2)</f>
        <v/>
      </c>
      <c r="BX472">
        <f>SQRT(($R$1025-R472)^2)</f>
        <v/>
      </c>
      <c r="BY472" s="125" t="inlineStr">
        <is>
          <t>HY1000X359</t>
        </is>
      </c>
      <c r="CD472">
        <f>SQRT(($J$1026-J472)^2)</f>
        <v/>
      </c>
      <c r="CE472">
        <f>SQRT(($R$1026-R472)^2)</f>
        <v/>
      </c>
      <c r="CF472" s="125" t="inlineStr">
        <is>
          <t>HY1000X359</t>
        </is>
      </c>
    </row>
    <row r="473">
      <c r="A473" s="125" t="inlineStr">
        <is>
          <t>HY1000X338</t>
        </is>
      </c>
      <c r="B473" s="129" t="inlineStr">
        <is>
          <t>HY</t>
        </is>
      </c>
      <c r="C473" s="125" t="n">
        <v>338</v>
      </c>
      <c r="D473" s="125" t="n">
        <v>1000</v>
      </c>
      <c r="E473" s="125" t="n">
        <v>350</v>
      </c>
      <c r="F473" s="125" t="n">
        <v>36</v>
      </c>
      <c r="G473" s="125" t="n">
        <v>19</v>
      </c>
      <c r="H473" s="125" t="n">
        <v>18</v>
      </c>
      <c r="I473" s="125">
        <f>D473-(2*(H473+F473))</f>
        <v/>
      </c>
      <c r="J473" s="125">
        <f>(2*E473/10*F473/10)+((D473-F473-F473)/10*G473/10)+((H473/10+H473/10)^2)-(PI()*H473/10*H473/10)</f>
        <v/>
      </c>
      <c r="K473" s="125">
        <f>((E473-G473)/2)/F473</f>
        <v/>
      </c>
      <c r="L473" s="125">
        <f>I473/G473</f>
        <v/>
      </c>
      <c r="M473" s="125">
        <f>(E473*2+F473*4+((E473-G473)/2-H473)*4+2*PI()*H473+(D473-2*F473-2*H473)*2)/1000</f>
        <v/>
      </c>
      <c r="N473" s="5" t="n">
        <v>718000</v>
      </c>
      <c r="O473" s="5" t="n">
        <v>25800</v>
      </c>
      <c r="P473" s="125" t="n">
        <v>40.8</v>
      </c>
      <c r="Q473" s="125" t="n">
        <v>7.7</v>
      </c>
      <c r="R473" s="5" t="n">
        <v>14400</v>
      </c>
      <c r="S473" s="5" t="n">
        <v>1470</v>
      </c>
      <c r="T473" s="5" t="n">
        <v>16400</v>
      </c>
      <c r="U473" s="5" t="n">
        <v>2290</v>
      </c>
      <c r="X473" s="129">
        <f t="array" ref="X473">_xlfn.IFS((D473/F473) &lt;= (640/SQRT($AT$32)), "Compact", L473 &lt;= ($AT$32*(0.79-(0.002*((E473-G473/2)/(2*F473))*SQRT($AT$32)))), "Non-Compact", L473 &gt; ($AT$32*(0.79-(0.002*((E473-G473/2)/(2*F473))*SQRT($AT$32)))), "Slender")</f>
        <v/>
      </c>
      <c r="Y473" s="129">
        <f t="array" ref="Y473">_xlfn.IFS(K473 &lt;= (65/SQRT($AT$32)), "Compact", K473 &lt;= (95/SQRT($AT$32)), "Non-Compact", K473 &gt; (95/SQRT($AT$32)), "Slender")</f>
        <v/>
      </c>
      <c r="Z473" s="125">
        <f>E473/F473</f>
        <v/>
      </c>
      <c r="AA473" s="125">
        <f>D473/G473</f>
        <v/>
      </c>
      <c r="AB473" s="125">
        <f t="array" ref="AB473">_xlfn.IFS(Z473 &lt;= 9, "1", Z473 &lt;= 12, "2", Z473 &lt;= 15, "3", Z473 &gt; 15, "4")</f>
        <v/>
      </c>
      <c r="AC473" s="125">
        <f t="array" ref="AC473">_xlfn.IFS(AA473 &lt;= 200, "1", L473 &lt;= 300, "2", L473 &lt;= 400, "3", L473 &gt; 400, "4")</f>
        <v/>
      </c>
      <c r="AF473" s="129">
        <f>SQRT((((VLOOKUP($AT$4,$A$4:$D$1021,4,FALSE))-D473)^2)+(((VLOOKUP($AT$4,$A$4:$E$1021,5,FALSE))-E473)^2)+(((VLOOKUP($AT$4,$A$4:$N$1021,14,FALSE))-N473)^2)+(((VLOOKUP($AT$4,$A$4:$O$1021,15,FALSE))-O473)^2))</f>
        <v/>
      </c>
      <c r="AG473" s="129" t="n"/>
      <c r="AI473" s="129">
        <f>SQRT((((VLOOKUP($AT$4,$A$4:$D$1021,4,FALSE))-D473)^2)+(((VLOOKUP($AT$4,$A$4:$E$1021,5,FALSE))-E473)^2)+(((VLOOKUP($AT$4,$A$4:$R$1021,18,FALSE))-R473)^2)+(((VLOOKUP($AT$4,$A$4:$S$1021,19,FALSE))-S473)^2))</f>
        <v/>
      </c>
      <c r="AJ473" s="125" t="inlineStr">
        <is>
          <t>HY1000X338</t>
        </is>
      </c>
      <c r="AK473" s="125" t="n"/>
      <c r="AL473" s="125" t="n"/>
      <c r="AM473" s="125">
        <f>SQRT(((VLOOKUP($AT$4,$A$4:$J$1021,10,FALSE))-J473)^2)</f>
        <v/>
      </c>
      <c r="AN473" s="125" t="n"/>
      <c r="AO473" s="125" t="n"/>
      <c r="AP473" s="125">
        <f>SQRT(((VLOOKUP($AT$4,$A$4:$R$1021,18,FALSE))-R473)^2)</f>
        <v/>
      </c>
      <c r="AQ473" s="125" t="inlineStr">
        <is>
          <t>HY1000X338</t>
        </is>
      </c>
      <c r="BB473" s="125">
        <f>SQRT(($J$1022-J473)^2)</f>
        <v/>
      </c>
      <c r="BC473" s="125">
        <f>SQRT(($R$1022-R473)^2)</f>
        <v/>
      </c>
      <c r="BD473" s="125" t="inlineStr">
        <is>
          <t>HY1000X338</t>
        </is>
      </c>
      <c r="BI473">
        <f>SQRT(($J$1023-J473)^2)</f>
        <v/>
      </c>
      <c r="BJ473">
        <f>SQRT(($R$1023-R473)^2)</f>
        <v/>
      </c>
      <c r="BK473" s="125" t="inlineStr">
        <is>
          <t>HY1000X338</t>
        </is>
      </c>
      <c r="BP473">
        <f>SQRT(($J$1024-J473)^2)</f>
        <v/>
      </c>
      <c r="BQ473">
        <f>SQRT(($R$1024-R473)^2)</f>
        <v/>
      </c>
      <c r="BR473" s="125" t="inlineStr">
        <is>
          <t>HY1000X338</t>
        </is>
      </c>
      <c r="BW473">
        <f>SQRT(($J$1025-J473)^2)</f>
        <v/>
      </c>
      <c r="BX473">
        <f>SQRT(($R$1025-R473)^2)</f>
        <v/>
      </c>
      <c r="BY473" s="125" t="inlineStr">
        <is>
          <t>HY1000X338</t>
        </is>
      </c>
      <c r="CD473">
        <f>SQRT(($J$1026-J473)^2)</f>
        <v/>
      </c>
      <c r="CE473">
        <f>SQRT(($R$1026-R473)^2)</f>
        <v/>
      </c>
      <c r="CF473" s="125" t="inlineStr">
        <is>
          <t>HY1000X338</t>
        </is>
      </c>
    </row>
    <row r="474">
      <c r="A474" s="125" t="inlineStr">
        <is>
          <t>HY1000X318</t>
        </is>
      </c>
      <c r="B474" s="129" t="inlineStr">
        <is>
          <t>HY</t>
        </is>
      </c>
      <c r="C474" s="125" t="n">
        <v>318</v>
      </c>
      <c r="D474" s="125" t="n">
        <v>1000</v>
      </c>
      <c r="E474" s="125" t="n">
        <v>350</v>
      </c>
      <c r="F474" s="125" t="n">
        <v>32</v>
      </c>
      <c r="G474" s="125" t="n">
        <v>19</v>
      </c>
      <c r="H474" s="125" t="n">
        <v>18</v>
      </c>
      <c r="I474" s="125">
        <f>D474-(2*(H474+F474))</f>
        <v/>
      </c>
      <c r="J474" s="125">
        <f>(2*E474/10*F474/10)+((D474-F474-F474)/10*G474/10)+((H474/10+H474/10)^2)-(PI()*H474/10*H474/10)</f>
        <v/>
      </c>
      <c r="K474" s="125">
        <f>((E474-G474)/2)/F474</f>
        <v/>
      </c>
      <c r="L474" s="125">
        <f>I474/G474</f>
        <v/>
      </c>
      <c r="M474" s="125">
        <f>(E474*2+F474*4+((E474-G474)/2-H474)*4+2*PI()*H474+(D474-2*F474-2*H474)*2)/1000</f>
        <v/>
      </c>
      <c r="N474" s="5" t="n">
        <v>661000</v>
      </c>
      <c r="O474" s="5" t="n">
        <v>22900</v>
      </c>
      <c r="P474" s="125" t="n">
        <v>40.4</v>
      </c>
      <c r="Q474" s="125" t="n">
        <v>7.5</v>
      </c>
      <c r="R474" s="5" t="n">
        <v>13200</v>
      </c>
      <c r="S474" s="5" t="n">
        <v>1310</v>
      </c>
      <c r="T474" s="5" t="n">
        <v>15100</v>
      </c>
      <c r="U474" s="5" t="n">
        <v>2050</v>
      </c>
      <c r="X474" s="129">
        <f t="array" ref="X474">_xlfn.IFS((D474/F474) &lt;= (640/SQRT($AT$32)), "Compact", L474 &lt;= ($AT$32*(0.79-(0.002*((E474-G474/2)/(2*F474))*SQRT($AT$32)))), "Non-Compact", L474 &gt; ($AT$32*(0.79-(0.002*((E474-G474/2)/(2*F474))*SQRT($AT$32)))), "Slender")</f>
        <v/>
      </c>
      <c r="Y474" s="129">
        <f t="array" ref="Y474">_xlfn.IFS(K474 &lt;= (65/SQRT($AT$32)), "Compact", K474 &lt;= (95/SQRT($AT$32)), "Non-Compact", K474 &gt; (95/SQRT($AT$32)), "Slender")</f>
        <v/>
      </c>
      <c r="Z474" s="125">
        <f>E474/F474</f>
        <v/>
      </c>
      <c r="AA474" s="125">
        <f>D474/G474</f>
        <v/>
      </c>
      <c r="AB474" s="125">
        <f t="array" ref="AB474">_xlfn.IFS(Z474 &lt;= 9, "1", Z474 &lt;= 12, "2", Z474 &lt;= 15, "3", Z474 &gt; 15, "4")</f>
        <v/>
      </c>
      <c r="AC474" s="125">
        <f t="array" ref="AC474">_xlfn.IFS(AA474 &lt;= 200, "1", L474 &lt;= 300, "2", L474 &lt;= 400, "3", L474 &gt; 400, "4")</f>
        <v/>
      </c>
      <c r="AF474" s="129">
        <f>SQRT((((VLOOKUP($AT$4,$A$4:$D$1021,4,FALSE))-D474)^2)+(((VLOOKUP($AT$4,$A$4:$E$1021,5,FALSE))-E474)^2)+(((VLOOKUP($AT$4,$A$4:$N$1021,14,FALSE))-N474)^2)+(((VLOOKUP($AT$4,$A$4:$O$1021,15,FALSE))-O474)^2))</f>
        <v/>
      </c>
      <c r="AG474" s="129" t="n"/>
      <c r="AI474" s="129">
        <f>SQRT((((VLOOKUP($AT$4,$A$4:$D$1021,4,FALSE))-D474)^2)+(((VLOOKUP($AT$4,$A$4:$E$1021,5,FALSE))-E474)^2)+(((VLOOKUP($AT$4,$A$4:$R$1021,18,FALSE))-R474)^2)+(((VLOOKUP($AT$4,$A$4:$S$1021,19,FALSE))-S474)^2))</f>
        <v/>
      </c>
      <c r="AJ474" s="125" t="inlineStr">
        <is>
          <t>HY1000X318</t>
        </is>
      </c>
      <c r="AK474" s="125" t="n"/>
      <c r="AL474" s="125" t="n"/>
      <c r="AM474" s="125">
        <f>SQRT(((VLOOKUP($AT$4,$A$4:$J$1021,10,FALSE))-J474)^2)</f>
        <v/>
      </c>
      <c r="AN474" s="125" t="n"/>
      <c r="AO474" s="125" t="n"/>
      <c r="AP474" s="125">
        <f>SQRT(((VLOOKUP($AT$4,$A$4:$R$1021,18,FALSE))-R474)^2)</f>
        <v/>
      </c>
      <c r="AQ474" s="125" t="inlineStr">
        <is>
          <t>HY1000X318</t>
        </is>
      </c>
      <c r="BB474" s="125">
        <f>SQRT(($J$1022-J474)^2)</f>
        <v/>
      </c>
      <c r="BC474" s="125">
        <f>SQRT(($R$1022-R474)^2)</f>
        <v/>
      </c>
      <c r="BD474" s="125" t="inlineStr">
        <is>
          <t>HY1000X318</t>
        </is>
      </c>
      <c r="BI474">
        <f>SQRT(($J$1023-J474)^2)</f>
        <v/>
      </c>
      <c r="BJ474">
        <f>SQRT(($R$1023-R474)^2)</f>
        <v/>
      </c>
      <c r="BK474" s="125" t="inlineStr">
        <is>
          <t>HY1000X318</t>
        </is>
      </c>
      <c r="BP474">
        <f>SQRT(($J$1024-J474)^2)</f>
        <v/>
      </c>
      <c r="BQ474">
        <f>SQRT(($R$1024-R474)^2)</f>
        <v/>
      </c>
      <c r="BR474" s="125" t="inlineStr">
        <is>
          <t>HY1000X318</t>
        </is>
      </c>
      <c r="BW474">
        <f>SQRT(($J$1025-J474)^2)</f>
        <v/>
      </c>
      <c r="BX474">
        <f>SQRT(($R$1025-R474)^2)</f>
        <v/>
      </c>
      <c r="BY474" s="125" t="inlineStr">
        <is>
          <t>HY1000X318</t>
        </is>
      </c>
      <c r="CD474">
        <f>SQRT(($J$1026-J474)^2)</f>
        <v/>
      </c>
      <c r="CE474">
        <f>SQRT(($R$1026-R474)^2)</f>
        <v/>
      </c>
      <c r="CF474" s="125" t="inlineStr">
        <is>
          <t>HY1000X318</t>
        </is>
      </c>
    </row>
    <row r="475">
      <c r="A475" s="125" t="inlineStr">
        <is>
          <t>HY1000X297</t>
        </is>
      </c>
      <c r="B475" s="129" t="inlineStr">
        <is>
          <t>HY</t>
        </is>
      </c>
      <c r="C475" s="125" t="n">
        <v>297</v>
      </c>
      <c r="D475" s="125" t="n">
        <v>1000</v>
      </c>
      <c r="E475" s="125" t="n">
        <v>350</v>
      </c>
      <c r="F475" s="125" t="n">
        <v>28</v>
      </c>
      <c r="G475" s="125" t="n">
        <v>19</v>
      </c>
      <c r="H475" s="125" t="n">
        <v>18</v>
      </c>
      <c r="I475" s="125">
        <f>D475-(2*(H475+F475))</f>
        <v/>
      </c>
      <c r="J475" s="125">
        <f>(2*E475/10*F475/10)+((D475-F475-F475)/10*G475/10)+((H475/10+H475/10)^2)-(PI()*H475/10*H475/10)</f>
        <v/>
      </c>
      <c r="K475" s="125">
        <f>((E475-G475)/2)/F475</f>
        <v/>
      </c>
      <c r="L475" s="125">
        <f>I475/G475</f>
        <v/>
      </c>
      <c r="M475" s="125">
        <f>(E475*2+F475*4+((E475-G475)/2-H475)*4+2*PI()*H475+(D475-2*F475-2*H475)*2)/1000</f>
        <v/>
      </c>
      <c r="N475" s="5" t="n">
        <v>602000</v>
      </c>
      <c r="O475" s="5" t="n">
        <v>20100</v>
      </c>
      <c r="P475" s="125" t="n">
        <v>39.9</v>
      </c>
      <c r="Q475" s="125" t="n">
        <v>7.3</v>
      </c>
      <c r="R475" s="5" t="n">
        <v>12000</v>
      </c>
      <c r="S475" s="5" t="n">
        <v>1150</v>
      </c>
      <c r="T475" s="5" t="n">
        <v>13900</v>
      </c>
      <c r="U475" s="5" t="n">
        <v>1800</v>
      </c>
      <c r="X475" s="129">
        <f t="array" ref="X475">_xlfn.IFS((D475/F475) &lt;= (640/SQRT($AT$32)), "Compact", L475 &lt;= ($AT$32*(0.79-(0.002*((E475-G475/2)/(2*F475))*SQRT($AT$32)))), "Non-Compact", L475 &gt; ($AT$32*(0.79-(0.002*((E475-G475/2)/(2*F475))*SQRT($AT$32)))), "Slender")</f>
        <v/>
      </c>
      <c r="Y475" s="129">
        <f t="array" ref="Y475">_xlfn.IFS(K475 &lt;= (65/SQRT($AT$32)), "Compact", K475 &lt;= (95/SQRT($AT$32)), "Non-Compact", K475 &gt; (95/SQRT($AT$32)), "Slender")</f>
        <v/>
      </c>
      <c r="Z475" s="125">
        <f>E475/F475</f>
        <v/>
      </c>
      <c r="AA475" s="125">
        <f>D475/G475</f>
        <v/>
      </c>
      <c r="AB475" s="125">
        <f t="array" ref="AB475">_xlfn.IFS(Z475 &lt;= 9, "1", Z475 &lt;= 12, "2", Z475 &lt;= 15, "3", Z475 &gt; 15, "4")</f>
        <v/>
      </c>
      <c r="AC475" s="125">
        <f t="array" ref="AC475">_xlfn.IFS(AA475 &lt;= 200, "1", L475 &lt;= 300, "2", L475 &lt;= 400, "3", L475 &gt; 400, "4")</f>
        <v/>
      </c>
      <c r="AF475" s="129">
        <f>SQRT((((VLOOKUP($AT$4,$A$4:$D$1021,4,FALSE))-D475)^2)+(((VLOOKUP($AT$4,$A$4:$E$1021,5,FALSE))-E475)^2)+(((VLOOKUP($AT$4,$A$4:$N$1021,14,FALSE))-N475)^2)+(((VLOOKUP($AT$4,$A$4:$O$1021,15,FALSE))-O475)^2))</f>
        <v/>
      </c>
      <c r="AG475" s="129" t="n"/>
      <c r="AI475" s="129">
        <f>SQRT((((VLOOKUP($AT$4,$A$4:$D$1021,4,FALSE))-D475)^2)+(((VLOOKUP($AT$4,$A$4:$E$1021,5,FALSE))-E475)^2)+(((VLOOKUP($AT$4,$A$4:$R$1021,18,FALSE))-R475)^2)+(((VLOOKUP($AT$4,$A$4:$S$1021,19,FALSE))-S475)^2))</f>
        <v/>
      </c>
      <c r="AJ475" s="125" t="inlineStr">
        <is>
          <t>HY1000X297</t>
        </is>
      </c>
      <c r="AK475" s="125" t="n"/>
      <c r="AL475" s="125" t="n"/>
      <c r="AM475" s="125">
        <f>SQRT(((VLOOKUP($AT$4,$A$4:$J$1021,10,FALSE))-J475)^2)</f>
        <v/>
      </c>
      <c r="AN475" s="125" t="n"/>
      <c r="AO475" s="125" t="n"/>
      <c r="AP475" s="125">
        <f>SQRT(((VLOOKUP($AT$4,$A$4:$R$1021,18,FALSE))-R475)^2)</f>
        <v/>
      </c>
      <c r="AQ475" s="125" t="inlineStr">
        <is>
          <t>HY1000X297</t>
        </is>
      </c>
      <c r="BB475" s="125">
        <f>SQRT(($J$1022-J475)^2)</f>
        <v/>
      </c>
      <c r="BC475" s="125">
        <f>SQRT(($R$1022-R475)^2)</f>
        <v/>
      </c>
      <c r="BD475" s="125" t="inlineStr">
        <is>
          <t>HY1000X297</t>
        </is>
      </c>
      <c r="BI475">
        <f>SQRT(($J$1023-J475)^2)</f>
        <v/>
      </c>
      <c r="BJ475">
        <f>SQRT(($R$1023-R475)^2)</f>
        <v/>
      </c>
      <c r="BK475" s="125" t="inlineStr">
        <is>
          <t>HY1000X297</t>
        </is>
      </c>
      <c r="BP475">
        <f>SQRT(($J$1024-J475)^2)</f>
        <v/>
      </c>
      <c r="BQ475">
        <f>SQRT(($R$1024-R475)^2)</f>
        <v/>
      </c>
      <c r="BR475" s="125" t="inlineStr">
        <is>
          <t>HY1000X297</t>
        </is>
      </c>
      <c r="BW475">
        <f>SQRT(($J$1025-J475)^2)</f>
        <v/>
      </c>
      <c r="BX475">
        <f>SQRT(($R$1025-R475)^2)</f>
        <v/>
      </c>
      <c r="BY475" s="125" t="inlineStr">
        <is>
          <t>HY1000X297</t>
        </is>
      </c>
      <c r="CD475">
        <f>SQRT(($J$1026-J475)^2)</f>
        <v/>
      </c>
      <c r="CE475">
        <f>SQRT(($R$1026-R475)^2)</f>
        <v/>
      </c>
      <c r="CF475" s="125" t="inlineStr">
        <is>
          <t>HY1000X297</t>
        </is>
      </c>
    </row>
    <row r="476">
      <c r="A476" s="125" t="inlineStr">
        <is>
          <t>HY1000X281</t>
        </is>
      </c>
      <c r="B476" s="129" t="inlineStr">
        <is>
          <t>HY</t>
        </is>
      </c>
      <c r="C476" s="125" t="n">
        <v>281</v>
      </c>
      <c r="D476" s="125" t="n">
        <v>1000</v>
      </c>
      <c r="E476" s="125" t="n">
        <v>350</v>
      </c>
      <c r="F476" s="125" t="n">
        <v>25</v>
      </c>
      <c r="G476" s="125" t="n">
        <v>19</v>
      </c>
      <c r="H476" s="125" t="n">
        <v>18</v>
      </c>
      <c r="I476" s="125">
        <f>D476-(2*(H476+F476))</f>
        <v/>
      </c>
      <c r="J476" s="125">
        <f>(2*E476/10*F476/10)+((D476-F476-F476)/10*G476/10)+((H476/10+H476/10)^2)-(PI()*H476/10*H476/10)</f>
        <v/>
      </c>
      <c r="K476" s="125">
        <f>((E476-G476)/2)/F476</f>
        <v/>
      </c>
      <c r="L476" s="125">
        <f>I476/G476</f>
        <v/>
      </c>
      <c r="M476" s="125">
        <f>(E476*2+F476*4+((E476-G476)/2-H476)*4+2*PI()*H476+(D476-2*F476-2*H476)*2)/1000</f>
        <v/>
      </c>
      <c r="N476" s="5" t="n">
        <v>558000</v>
      </c>
      <c r="O476" s="5" t="n">
        <v>17900</v>
      </c>
      <c r="P476" s="125" t="n">
        <v>39.5</v>
      </c>
      <c r="Q476" s="125" t="n">
        <v>7.1</v>
      </c>
      <c r="R476" s="5" t="n">
        <v>11200</v>
      </c>
      <c r="S476" s="5" t="n">
        <v>1020</v>
      </c>
      <c r="T476" s="5" t="n">
        <v>12900</v>
      </c>
      <c r="U476" s="5" t="n">
        <v>1620</v>
      </c>
      <c r="X476" s="129">
        <f t="array" ref="X476">_xlfn.IFS((D476/F476) &lt;= (640/SQRT($AT$32)), "Compact", L476 &lt;= ($AT$32*(0.79-(0.002*((E476-G476/2)/(2*F476))*SQRT($AT$32)))), "Non-Compact", L476 &gt; ($AT$32*(0.79-(0.002*((E476-G476/2)/(2*F476))*SQRT($AT$32)))), "Slender")</f>
        <v/>
      </c>
      <c r="Y476" s="129">
        <f t="array" ref="Y476">_xlfn.IFS(K476 &lt;= (65/SQRT($AT$32)), "Compact", K476 &lt;= (95/SQRT($AT$32)), "Non-Compact", K476 &gt; (95/SQRT($AT$32)), "Slender")</f>
        <v/>
      </c>
      <c r="Z476" s="125">
        <f>E476/F476</f>
        <v/>
      </c>
      <c r="AA476" s="125">
        <f>D476/G476</f>
        <v/>
      </c>
      <c r="AB476" s="125">
        <f t="array" ref="AB476">_xlfn.IFS(Z476 &lt;= 9, "1", Z476 &lt;= 12, "2", Z476 &lt;= 15, "3", Z476 &gt; 15, "4")</f>
        <v/>
      </c>
      <c r="AC476" s="125">
        <f t="array" ref="AC476">_xlfn.IFS(AA476 &lt;= 200, "1", L476 &lt;= 300, "2", L476 &lt;= 400, "3", L476 &gt; 400, "4")</f>
        <v/>
      </c>
      <c r="AF476" s="129">
        <f>SQRT((((VLOOKUP($AT$4,$A$4:$D$1021,4,FALSE))-D476)^2)+(((VLOOKUP($AT$4,$A$4:$E$1021,5,FALSE))-E476)^2)+(((VLOOKUP($AT$4,$A$4:$N$1021,14,FALSE))-N476)^2)+(((VLOOKUP($AT$4,$A$4:$O$1021,15,FALSE))-O476)^2))</f>
        <v/>
      </c>
      <c r="AG476" s="129" t="n"/>
      <c r="AI476" s="129">
        <f>SQRT((((VLOOKUP($AT$4,$A$4:$D$1021,4,FALSE))-D476)^2)+(((VLOOKUP($AT$4,$A$4:$E$1021,5,FALSE))-E476)^2)+(((VLOOKUP($AT$4,$A$4:$R$1021,18,FALSE))-R476)^2)+(((VLOOKUP($AT$4,$A$4:$S$1021,19,FALSE))-S476)^2))</f>
        <v/>
      </c>
      <c r="AJ476" s="125" t="inlineStr">
        <is>
          <t>HY1000X281</t>
        </is>
      </c>
      <c r="AK476" s="125" t="n"/>
      <c r="AL476" s="125" t="n"/>
      <c r="AM476" s="125">
        <f>SQRT(((VLOOKUP($AT$4,$A$4:$J$1021,10,FALSE))-J476)^2)</f>
        <v/>
      </c>
      <c r="AN476" s="125" t="n"/>
      <c r="AO476" s="125" t="n"/>
      <c r="AP476" s="125">
        <f>SQRT(((VLOOKUP($AT$4,$A$4:$R$1021,18,FALSE))-R476)^2)</f>
        <v/>
      </c>
      <c r="AQ476" s="125" t="inlineStr">
        <is>
          <t>HY1000X281</t>
        </is>
      </c>
      <c r="BB476" s="125">
        <f>SQRT(($J$1022-J476)^2)</f>
        <v/>
      </c>
      <c r="BC476" s="125">
        <f>SQRT(($R$1022-R476)^2)</f>
        <v/>
      </c>
      <c r="BD476" s="125" t="inlineStr">
        <is>
          <t>HY1000X281</t>
        </is>
      </c>
      <c r="BI476">
        <f>SQRT(($J$1023-J476)^2)</f>
        <v/>
      </c>
      <c r="BJ476">
        <f>SQRT(($R$1023-R476)^2)</f>
        <v/>
      </c>
      <c r="BK476" s="125" t="inlineStr">
        <is>
          <t>HY1000X281</t>
        </is>
      </c>
      <c r="BP476">
        <f>SQRT(($J$1024-J476)^2)</f>
        <v/>
      </c>
      <c r="BQ476">
        <f>SQRT(($R$1024-R476)^2)</f>
        <v/>
      </c>
      <c r="BR476" s="125" t="inlineStr">
        <is>
          <t>HY1000X281</t>
        </is>
      </c>
      <c r="BW476">
        <f>SQRT(($J$1025-J476)^2)</f>
        <v/>
      </c>
      <c r="BX476">
        <f>SQRT(($R$1025-R476)^2)</f>
        <v/>
      </c>
      <c r="BY476" s="125" t="inlineStr">
        <is>
          <t>HY1000X281</t>
        </is>
      </c>
      <c r="CD476">
        <f>SQRT(($J$1026-J476)^2)</f>
        <v/>
      </c>
      <c r="CE476">
        <f>SQRT(($R$1026-R476)^2)</f>
        <v/>
      </c>
      <c r="CF476" s="125" t="inlineStr">
        <is>
          <t>HY1000X281</t>
        </is>
      </c>
    </row>
    <row r="477">
      <c r="A477" s="125" t="inlineStr">
        <is>
          <t>HY1000X296</t>
        </is>
      </c>
      <c r="B477" s="129" t="inlineStr">
        <is>
          <t>HY</t>
        </is>
      </c>
      <c r="C477" s="125" t="n">
        <v>296</v>
      </c>
      <c r="D477" s="125" t="n">
        <v>1000</v>
      </c>
      <c r="E477" s="125" t="n">
        <v>350</v>
      </c>
      <c r="F477" s="125" t="n">
        <v>32</v>
      </c>
      <c r="G477" s="125" t="n">
        <v>16</v>
      </c>
      <c r="H477" s="125" t="n">
        <v>18</v>
      </c>
      <c r="I477" s="125">
        <f>D477-(2*(H477+F477))</f>
        <v/>
      </c>
      <c r="J477" s="125">
        <f>(2*E477/10*F477/10)+((D477-F477-F477)/10*G477/10)+((H477/10+H477/10)^2)-(PI()*H477/10*H477/10)</f>
        <v/>
      </c>
      <c r="K477" s="125">
        <f>((E477-G477)/2)/F477</f>
        <v/>
      </c>
      <c r="L477" s="125">
        <f>I477/G477</f>
        <v/>
      </c>
      <c r="M477" s="125">
        <f>(E477*2+F477*4+((E477-G477)/2-H477)*4+2*PI()*H477+(D477-2*F477-2*H477)*2)/1000</f>
        <v/>
      </c>
      <c r="N477" s="5" t="n">
        <v>640000</v>
      </c>
      <c r="O477" s="5" t="n">
        <v>22900</v>
      </c>
      <c r="P477" s="125" t="n">
        <v>41.2</v>
      </c>
      <c r="Q477" s="125" t="n">
        <v>7.8</v>
      </c>
      <c r="R477" s="5" t="n">
        <v>12800</v>
      </c>
      <c r="S477" s="5" t="n">
        <v>1310</v>
      </c>
      <c r="T477" s="5" t="n">
        <v>14500</v>
      </c>
      <c r="U477" s="5" t="n">
        <v>2020</v>
      </c>
      <c r="X477" s="129">
        <f t="array" ref="X477">_xlfn.IFS((D477/F477) &lt;= (640/SQRT($AT$32)), "Compact", L477 &lt;= ($AT$32*(0.79-(0.002*((E477-G477/2)/(2*F477))*SQRT($AT$32)))), "Non-Compact", L477 &gt; ($AT$32*(0.79-(0.002*((E477-G477/2)/(2*F477))*SQRT($AT$32)))), "Slender")</f>
        <v/>
      </c>
      <c r="Y477" s="129">
        <f t="array" ref="Y477">_xlfn.IFS(K477 &lt;= (65/SQRT($AT$32)), "Compact", K477 &lt;= (95/SQRT($AT$32)), "Non-Compact", K477 &gt; (95/SQRT($AT$32)), "Slender")</f>
        <v/>
      </c>
      <c r="Z477" s="125">
        <f>E477/F477</f>
        <v/>
      </c>
      <c r="AA477" s="125">
        <f>D477/G477</f>
        <v/>
      </c>
      <c r="AB477" s="125">
        <f t="array" ref="AB477">_xlfn.IFS(Z477 &lt;= 9, "1", Z477 &lt;= 12, "2", Z477 &lt;= 15, "3", Z477 &gt; 15, "4")</f>
        <v/>
      </c>
      <c r="AC477" s="125">
        <f t="array" ref="AC477">_xlfn.IFS(AA477 &lt;= 200, "1", L477 &lt;= 300, "2", L477 &lt;= 400, "3", L477 &gt; 400, "4")</f>
        <v/>
      </c>
      <c r="AF477" s="129">
        <f>SQRT((((VLOOKUP($AT$4,$A$4:$D$1021,4,FALSE))-D477)^2)+(((VLOOKUP($AT$4,$A$4:$E$1021,5,FALSE))-E477)^2)+(((VLOOKUP($AT$4,$A$4:$N$1021,14,FALSE))-N477)^2)+(((VLOOKUP($AT$4,$A$4:$O$1021,15,FALSE))-O477)^2))</f>
        <v/>
      </c>
      <c r="AG477" s="129" t="n"/>
      <c r="AI477" s="129">
        <f>SQRT((((VLOOKUP($AT$4,$A$4:$D$1021,4,FALSE))-D477)^2)+(((VLOOKUP($AT$4,$A$4:$E$1021,5,FALSE))-E477)^2)+(((VLOOKUP($AT$4,$A$4:$R$1021,18,FALSE))-R477)^2)+(((VLOOKUP($AT$4,$A$4:$S$1021,19,FALSE))-S477)^2))</f>
        <v/>
      </c>
      <c r="AJ477" s="125" t="inlineStr">
        <is>
          <t>HY1000X296</t>
        </is>
      </c>
      <c r="AK477" s="125" t="n"/>
      <c r="AL477" s="125" t="n"/>
      <c r="AM477" s="125">
        <f>SQRT(((VLOOKUP($AT$4,$A$4:$J$1021,10,FALSE))-J477)^2)</f>
        <v/>
      </c>
      <c r="AN477" s="125" t="n"/>
      <c r="AO477" s="125" t="n"/>
      <c r="AP477" s="125">
        <f>SQRT(((VLOOKUP($AT$4,$A$4:$R$1021,18,FALSE))-R477)^2)</f>
        <v/>
      </c>
      <c r="AQ477" s="125" t="inlineStr">
        <is>
          <t>HY1000X296</t>
        </is>
      </c>
      <c r="BB477" s="125">
        <f>SQRT(($J$1022-J477)^2)</f>
        <v/>
      </c>
      <c r="BC477" s="125">
        <f>SQRT(($R$1022-R477)^2)</f>
        <v/>
      </c>
      <c r="BD477" s="125" t="inlineStr">
        <is>
          <t>HY1000X296</t>
        </is>
      </c>
      <c r="BI477">
        <f>SQRT(($J$1023-J477)^2)</f>
        <v/>
      </c>
      <c r="BJ477">
        <f>SQRT(($R$1023-R477)^2)</f>
        <v/>
      </c>
      <c r="BK477" s="125" t="inlineStr">
        <is>
          <t>HY1000X296</t>
        </is>
      </c>
      <c r="BP477">
        <f>SQRT(($J$1024-J477)^2)</f>
        <v/>
      </c>
      <c r="BQ477">
        <f>SQRT(($R$1024-R477)^2)</f>
        <v/>
      </c>
      <c r="BR477" s="125" t="inlineStr">
        <is>
          <t>HY1000X296</t>
        </is>
      </c>
      <c r="BW477">
        <f>SQRT(($J$1025-J477)^2)</f>
        <v/>
      </c>
      <c r="BX477">
        <f>SQRT(($R$1025-R477)^2)</f>
        <v/>
      </c>
      <c r="BY477" s="125" t="inlineStr">
        <is>
          <t>HY1000X296</t>
        </is>
      </c>
      <c r="CD477">
        <f>SQRT(($J$1026-J477)^2)</f>
        <v/>
      </c>
      <c r="CE477">
        <f>SQRT(($R$1026-R477)^2)</f>
        <v/>
      </c>
      <c r="CF477" s="125" t="inlineStr">
        <is>
          <t>HY1000X296</t>
        </is>
      </c>
    </row>
    <row r="478">
      <c r="A478" s="125" t="inlineStr">
        <is>
          <t>HY1000X275</t>
        </is>
      </c>
      <c r="B478" s="129" t="inlineStr">
        <is>
          <t>HY</t>
        </is>
      </c>
      <c r="C478" s="125" t="n">
        <v>275</v>
      </c>
      <c r="D478" s="125" t="n">
        <v>1000</v>
      </c>
      <c r="E478" s="125" t="n">
        <v>350</v>
      </c>
      <c r="F478" s="125" t="n">
        <v>28</v>
      </c>
      <c r="G478" s="125" t="n">
        <v>16</v>
      </c>
      <c r="H478" s="125" t="n">
        <v>18</v>
      </c>
      <c r="I478" s="125">
        <f>D478-(2*(H478+F478))</f>
        <v/>
      </c>
      <c r="J478" s="125">
        <f>(2*E478/10*F478/10)+((D478-F478-F478)/10*G478/10)+((H478/10+H478/10)^2)-(PI()*H478/10*H478/10)</f>
        <v/>
      </c>
      <c r="K478" s="125">
        <f>((E478-G478)/2)/F478</f>
        <v/>
      </c>
      <c r="L478" s="125">
        <f>I478/G478</f>
        <v/>
      </c>
      <c r="M478" s="125">
        <f>(E478*2+F478*4+((E478-G478)/2-H478)*4+2*PI()*H478+(D478-2*F478-2*H478)*2)/1000</f>
        <v/>
      </c>
      <c r="N478" s="5" t="n">
        <v>581000</v>
      </c>
      <c r="O478" s="5" t="n">
        <v>20000</v>
      </c>
      <c r="P478" s="125" t="n">
        <v>40.8</v>
      </c>
      <c r="Q478" s="125" t="n">
        <v>7.6</v>
      </c>
      <c r="R478" s="5" t="n">
        <v>11600</v>
      </c>
      <c r="S478" s="5" t="n">
        <v>1150</v>
      </c>
      <c r="T478" s="5" t="n">
        <v>13200</v>
      </c>
      <c r="U478" s="5" t="n">
        <v>1780</v>
      </c>
      <c r="X478" s="129">
        <f t="array" ref="X478">_xlfn.IFS((D478/F478) &lt;= (640/SQRT($AT$32)), "Compact", L478 &lt;= ($AT$32*(0.79-(0.002*((E478-G478/2)/(2*F478))*SQRT($AT$32)))), "Non-Compact", L478 &gt; ($AT$32*(0.79-(0.002*((E478-G478/2)/(2*F478))*SQRT($AT$32)))), "Slender")</f>
        <v/>
      </c>
      <c r="Y478" s="129">
        <f t="array" ref="Y478">_xlfn.IFS(K478 &lt;= (65/SQRT($AT$32)), "Compact", K478 &lt;= (95/SQRT($AT$32)), "Non-Compact", K478 &gt; (95/SQRT($AT$32)), "Slender")</f>
        <v/>
      </c>
      <c r="Z478" s="125">
        <f>E478/F478</f>
        <v/>
      </c>
      <c r="AA478" s="125">
        <f>D478/G478</f>
        <v/>
      </c>
      <c r="AB478" s="125">
        <f t="array" ref="AB478">_xlfn.IFS(Z478 &lt;= 9, "1", Z478 &lt;= 12, "2", Z478 &lt;= 15, "3", Z478 &gt; 15, "4")</f>
        <v/>
      </c>
      <c r="AC478" s="125">
        <f t="array" ref="AC478">_xlfn.IFS(AA478 &lt;= 200, "1", L478 &lt;= 300, "2", L478 &lt;= 400, "3", L478 &gt; 400, "4")</f>
        <v/>
      </c>
      <c r="AF478" s="129">
        <f>SQRT((((VLOOKUP($AT$4,$A$4:$D$1021,4,FALSE))-D478)^2)+(((VLOOKUP($AT$4,$A$4:$E$1021,5,FALSE))-E478)^2)+(((VLOOKUP($AT$4,$A$4:$N$1021,14,FALSE))-N478)^2)+(((VLOOKUP($AT$4,$A$4:$O$1021,15,FALSE))-O478)^2))</f>
        <v/>
      </c>
      <c r="AG478" s="129" t="n"/>
      <c r="AI478" s="129">
        <f>SQRT((((VLOOKUP($AT$4,$A$4:$D$1021,4,FALSE))-D478)^2)+(((VLOOKUP($AT$4,$A$4:$E$1021,5,FALSE))-E478)^2)+(((VLOOKUP($AT$4,$A$4:$R$1021,18,FALSE))-R478)^2)+(((VLOOKUP($AT$4,$A$4:$S$1021,19,FALSE))-S478)^2))</f>
        <v/>
      </c>
      <c r="AJ478" s="125" t="inlineStr">
        <is>
          <t>HY1000X275</t>
        </is>
      </c>
      <c r="AK478" s="125" t="n"/>
      <c r="AL478" s="125" t="n"/>
      <c r="AM478" s="125">
        <f>SQRT(((VLOOKUP($AT$4,$A$4:$J$1021,10,FALSE))-J478)^2)</f>
        <v/>
      </c>
      <c r="AN478" s="125" t="n"/>
      <c r="AO478" s="125" t="n"/>
      <c r="AP478" s="125">
        <f>SQRT(((VLOOKUP($AT$4,$A$4:$R$1021,18,FALSE))-R478)^2)</f>
        <v/>
      </c>
      <c r="AQ478" s="125" t="inlineStr">
        <is>
          <t>HY1000X275</t>
        </is>
      </c>
      <c r="BB478" s="125">
        <f>SQRT(($J$1022-J478)^2)</f>
        <v/>
      </c>
      <c r="BC478" s="125">
        <f>SQRT(($R$1022-R478)^2)</f>
        <v/>
      </c>
      <c r="BD478" s="125" t="inlineStr">
        <is>
          <t>HY1000X275</t>
        </is>
      </c>
      <c r="BI478">
        <f>SQRT(($J$1023-J478)^2)</f>
        <v/>
      </c>
      <c r="BJ478">
        <f>SQRT(($R$1023-R478)^2)</f>
        <v/>
      </c>
      <c r="BK478" s="125" t="inlineStr">
        <is>
          <t>HY1000X275</t>
        </is>
      </c>
      <c r="BP478">
        <f>SQRT(($J$1024-J478)^2)</f>
        <v/>
      </c>
      <c r="BQ478">
        <f>SQRT(($R$1024-R478)^2)</f>
        <v/>
      </c>
      <c r="BR478" s="125" t="inlineStr">
        <is>
          <t>HY1000X275</t>
        </is>
      </c>
      <c r="BW478">
        <f>SQRT(($J$1025-J478)^2)</f>
        <v/>
      </c>
      <c r="BX478">
        <f>SQRT(($R$1025-R478)^2)</f>
        <v/>
      </c>
      <c r="BY478" s="125" t="inlineStr">
        <is>
          <t>HY1000X275</t>
        </is>
      </c>
      <c r="CD478">
        <f>SQRT(($J$1026-J478)^2)</f>
        <v/>
      </c>
      <c r="CE478">
        <f>SQRT(($R$1026-R478)^2)</f>
        <v/>
      </c>
      <c r="CF478" s="125" t="inlineStr">
        <is>
          <t>HY1000X275</t>
        </is>
      </c>
    </row>
    <row r="479">
      <c r="A479" s="125" t="inlineStr">
        <is>
          <t>HY1000X259</t>
        </is>
      </c>
      <c r="B479" s="129" t="inlineStr">
        <is>
          <t>HY</t>
        </is>
      </c>
      <c r="C479" s="125" t="n">
        <v>259</v>
      </c>
      <c r="D479" s="125" t="n">
        <v>1000</v>
      </c>
      <c r="E479" s="125" t="n">
        <v>350</v>
      </c>
      <c r="F479" s="125" t="n">
        <v>25</v>
      </c>
      <c r="G479" s="125" t="n">
        <v>16</v>
      </c>
      <c r="H479" s="125" t="n">
        <v>18</v>
      </c>
      <c r="I479" s="125">
        <f>D479-(2*(H479+F479))</f>
        <v/>
      </c>
      <c r="J479" s="125">
        <f>(2*E479/10*F479/10)+((D479-F479-F479)/10*G479/10)+((H479/10+H479/10)^2)-(PI()*H479/10*H479/10)</f>
        <v/>
      </c>
      <c r="K479" s="125">
        <f>((E479-G479)/2)/F479</f>
        <v/>
      </c>
      <c r="L479" s="125">
        <f>I479/G479</f>
        <v/>
      </c>
      <c r="M479" s="125">
        <f>(E479*2+F479*4+((E479-G479)/2-H479)*4+2*PI()*H479+(D479-2*F479-2*H479)*2)/1000</f>
        <v/>
      </c>
      <c r="N479" s="5" t="n">
        <v>536000</v>
      </c>
      <c r="O479" s="5" t="n">
        <v>17900</v>
      </c>
      <c r="P479" s="125" t="n">
        <v>40.3</v>
      </c>
      <c r="Q479" s="125" t="n">
        <v>7.4</v>
      </c>
      <c r="R479" s="5" t="n">
        <v>10700</v>
      </c>
      <c r="S479" s="5" t="n">
        <v>1020</v>
      </c>
      <c r="T479" s="5" t="n">
        <v>12300</v>
      </c>
      <c r="U479" s="5" t="n">
        <v>1600</v>
      </c>
      <c r="X479" s="129">
        <f t="array" ref="X479">_xlfn.IFS((D479/F479) &lt;= (640/SQRT($AT$32)), "Compact", L479 &lt;= ($AT$32*(0.79-(0.002*((E479-G479/2)/(2*F479))*SQRT($AT$32)))), "Non-Compact", L479 &gt; ($AT$32*(0.79-(0.002*((E479-G479/2)/(2*F479))*SQRT($AT$32)))), "Slender")</f>
        <v/>
      </c>
      <c r="Y479" s="129">
        <f t="array" ref="Y479">_xlfn.IFS(K479 &lt;= (65/SQRT($AT$32)), "Compact", K479 &lt;= (95/SQRT($AT$32)), "Non-Compact", K479 &gt; (95/SQRT($AT$32)), "Slender")</f>
        <v/>
      </c>
      <c r="Z479" s="125">
        <f>E479/F479</f>
        <v/>
      </c>
      <c r="AA479" s="125">
        <f>D479/G479</f>
        <v/>
      </c>
      <c r="AB479" s="125">
        <f t="array" ref="AB479">_xlfn.IFS(Z479 &lt;= 9, "1", Z479 &lt;= 12, "2", Z479 &lt;= 15, "3", Z479 &gt; 15, "4")</f>
        <v/>
      </c>
      <c r="AC479" s="125">
        <f t="array" ref="AC479">_xlfn.IFS(AA479 &lt;= 200, "1", L479 &lt;= 300, "2", L479 &lt;= 400, "3", L479 &gt; 400, "4")</f>
        <v/>
      </c>
      <c r="AF479" s="129">
        <f>SQRT((((VLOOKUP($AT$4,$A$4:$D$1021,4,FALSE))-D479)^2)+(((VLOOKUP($AT$4,$A$4:$E$1021,5,FALSE))-E479)^2)+(((VLOOKUP($AT$4,$A$4:$N$1021,14,FALSE))-N479)^2)+(((VLOOKUP($AT$4,$A$4:$O$1021,15,FALSE))-O479)^2))</f>
        <v/>
      </c>
      <c r="AG479" s="129" t="n"/>
      <c r="AI479" s="129">
        <f>SQRT((((VLOOKUP($AT$4,$A$4:$D$1021,4,FALSE))-D479)^2)+(((VLOOKUP($AT$4,$A$4:$E$1021,5,FALSE))-E479)^2)+(((VLOOKUP($AT$4,$A$4:$R$1021,18,FALSE))-R479)^2)+(((VLOOKUP($AT$4,$A$4:$S$1021,19,FALSE))-S479)^2))</f>
        <v/>
      </c>
      <c r="AJ479" s="125" t="inlineStr">
        <is>
          <t>HY1000X259</t>
        </is>
      </c>
      <c r="AK479" s="125" t="n"/>
      <c r="AL479" s="125" t="n"/>
      <c r="AM479" s="125">
        <f>SQRT(((VLOOKUP($AT$4,$A$4:$J$1021,10,FALSE))-J479)^2)</f>
        <v/>
      </c>
      <c r="AN479" s="125" t="n"/>
      <c r="AO479" s="125" t="n"/>
      <c r="AP479" s="125">
        <f>SQRT(((VLOOKUP($AT$4,$A$4:$R$1021,18,FALSE))-R479)^2)</f>
        <v/>
      </c>
      <c r="AQ479" s="125" t="inlineStr">
        <is>
          <t>HY1000X259</t>
        </is>
      </c>
      <c r="BB479" s="125">
        <f>SQRT(($J$1022-J479)^2)</f>
        <v/>
      </c>
      <c r="BC479" s="125">
        <f>SQRT(($R$1022-R479)^2)</f>
        <v/>
      </c>
      <c r="BD479" s="125" t="inlineStr">
        <is>
          <t>HY1000X259</t>
        </is>
      </c>
      <c r="BI479">
        <f>SQRT(($J$1023-J479)^2)</f>
        <v/>
      </c>
      <c r="BJ479">
        <f>SQRT(($R$1023-R479)^2)</f>
        <v/>
      </c>
      <c r="BK479" s="125" t="inlineStr">
        <is>
          <t>HY1000X259</t>
        </is>
      </c>
      <c r="BP479">
        <f>SQRT(($J$1024-J479)^2)</f>
        <v/>
      </c>
      <c r="BQ479">
        <f>SQRT(($R$1024-R479)^2)</f>
        <v/>
      </c>
      <c r="BR479" s="125" t="inlineStr">
        <is>
          <t>HY1000X259</t>
        </is>
      </c>
      <c r="BW479">
        <f>SQRT(($J$1025-J479)^2)</f>
        <v/>
      </c>
      <c r="BX479">
        <f>SQRT(($R$1025-R479)^2)</f>
        <v/>
      </c>
      <c r="BY479" s="125" t="inlineStr">
        <is>
          <t>HY1000X259</t>
        </is>
      </c>
      <c r="CD479">
        <f>SQRT(($J$1026-J479)^2)</f>
        <v/>
      </c>
      <c r="CE479">
        <f>SQRT(($R$1026-R479)^2)</f>
        <v/>
      </c>
      <c r="CF479" s="125" t="inlineStr">
        <is>
          <t>HY1000X259</t>
        </is>
      </c>
    </row>
    <row r="480">
      <c r="A480" s="125" t="inlineStr">
        <is>
          <t>HY1000X243</t>
        </is>
      </c>
      <c r="B480" s="129" t="inlineStr">
        <is>
          <t>HY</t>
        </is>
      </c>
      <c r="C480" s="125" t="n">
        <v>243</v>
      </c>
      <c r="D480" s="125" t="n">
        <v>1000</v>
      </c>
      <c r="E480" s="125" t="n">
        <v>350</v>
      </c>
      <c r="F480" s="125" t="n">
        <v>22</v>
      </c>
      <c r="G480" s="125" t="n">
        <v>16</v>
      </c>
      <c r="H480" s="125" t="n">
        <v>18</v>
      </c>
      <c r="I480" s="125">
        <f>D480-(2*(H480+F480))</f>
        <v/>
      </c>
      <c r="J480" s="125">
        <f>(2*E480/10*F480/10)+((D480-F480-F480)/10*G480/10)+((H480/10+H480/10)^2)-(PI()*H480/10*H480/10)</f>
        <v/>
      </c>
      <c r="K480" s="125">
        <f>((E480-G480)/2)/F480</f>
        <v/>
      </c>
      <c r="L480" s="125">
        <f>I480/G480</f>
        <v/>
      </c>
      <c r="M480" s="125">
        <f>(E480*2+F480*4+((E480-G480)/2-H480)*4+2*PI()*H480+(D480-2*F480-2*H480)*2)/1000</f>
        <v/>
      </c>
      <c r="N480" s="5" t="n">
        <v>491000</v>
      </c>
      <c r="O480" s="5" t="n">
        <v>15800</v>
      </c>
      <c r="P480" s="125" t="n">
        <v>39.8</v>
      </c>
      <c r="Q480" s="125" t="n">
        <v>7.1</v>
      </c>
      <c r="R480" s="5" t="n">
        <v>9820</v>
      </c>
      <c r="S480" s="125" t="n">
        <v>900</v>
      </c>
      <c r="T480" s="5" t="n">
        <v>11300</v>
      </c>
      <c r="U480" s="5" t="n">
        <v>1410</v>
      </c>
      <c r="X480" s="129">
        <f t="array" ref="X480">_xlfn.IFS((D480/F480) &lt;= (640/SQRT($AT$32)), "Compact", L480 &lt;= ($AT$32*(0.79-(0.002*((E480-G480/2)/(2*F480))*SQRT($AT$32)))), "Non-Compact", L480 &gt; ($AT$32*(0.79-(0.002*((E480-G480/2)/(2*F480))*SQRT($AT$32)))), "Slender")</f>
        <v/>
      </c>
      <c r="Y480" s="129">
        <f t="array" ref="Y480">_xlfn.IFS(K480 &lt;= (65/SQRT($AT$32)), "Compact", K480 &lt;= (95/SQRT($AT$32)), "Non-Compact", K480 &gt; (95/SQRT($AT$32)), "Slender")</f>
        <v/>
      </c>
      <c r="Z480" s="125">
        <f>E480/F480</f>
        <v/>
      </c>
      <c r="AA480" s="125">
        <f>D480/G480</f>
        <v/>
      </c>
      <c r="AB480" s="125">
        <f t="array" ref="AB480">_xlfn.IFS(Z480 &lt;= 9, "1", Z480 &lt;= 12, "2", Z480 &lt;= 15, "3", Z480 &gt; 15, "4")</f>
        <v/>
      </c>
      <c r="AC480" s="125">
        <f t="array" ref="AC480">_xlfn.IFS(AA480 &lt;= 200, "1", L480 &lt;= 300, "2", L480 &lt;= 400, "3", L480 &gt; 400, "4")</f>
        <v/>
      </c>
      <c r="AF480" s="129">
        <f>SQRT((((VLOOKUP($AT$4,$A$4:$D$1021,4,FALSE))-D480)^2)+(((VLOOKUP($AT$4,$A$4:$E$1021,5,FALSE))-E480)^2)+(((VLOOKUP($AT$4,$A$4:$N$1021,14,FALSE))-N480)^2)+(((VLOOKUP($AT$4,$A$4:$O$1021,15,FALSE))-O480)^2))</f>
        <v/>
      </c>
      <c r="AG480" s="129" t="n"/>
      <c r="AI480" s="129">
        <f>SQRT((((VLOOKUP($AT$4,$A$4:$D$1021,4,FALSE))-D480)^2)+(((VLOOKUP($AT$4,$A$4:$E$1021,5,FALSE))-E480)^2)+(((VLOOKUP($AT$4,$A$4:$R$1021,18,FALSE))-R480)^2)+(((VLOOKUP($AT$4,$A$4:$S$1021,19,FALSE))-S480)^2))</f>
        <v/>
      </c>
      <c r="AJ480" s="125" t="inlineStr">
        <is>
          <t>HY1000X243</t>
        </is>
      </c>
      <c r="AK480" s="125" t="n"/>
      <c r="AL480" s="125" t="n"/>
      <c r="AM480" s="125">
        <f>SQRT(((VLOOKUP($AT$4,$A$4:$J$1021,10,FALSE))-J480)^2)</f>
        <v/>
      </c>
      <c r="AN480" s="125" t="n"/>
      <c r="AO480" s="125" t="n"/>
      <c r="AP480" s="125">
        <f>SQRT(((VLOOKUP($AT$4,$A$4:$R$1021,18,FALSE))-R480)^2)</f>
        <v/>
      </c>
      <c r="AQ480" s="125" t="inlineStr">
        <is>
          <t>HY1000X243</t>
        </is>
      </c>
      <c r="BB480" s="125">
        <f>SQRT(($J$1022-J480)^2)</f>
        <v/>
      </c>
      <c r="BC480" s="125">
        <f>SQRT(($R$1022-R480)^2)</f>
        <v/>
      </c>
      <c r="BD480" s="125" t="inlineStr">
        <is>
          <t>HY1000X243</t>
        </is>
      </c>
      <c r="BI480">
        <f>SQRT(($J$1023-J480)^2)</f>
        <v/>
      </c>
      <c r="BJ480">
        <f>SQRT(($R$1023-R480)^2)</f>
        <v/>
      </c>
      <c r="BK480" s="125" t="inlineStr">
        <is>
          <t>HY1000X243</t>
        </is>
      </c>
      <c r="BP480">
        <f>SQRT(($J$1024-J480)^2)</f>
        <v/>
      </c>
      <c r="BQ480">
        <f>SQRT(($R$1024-R480)^2)</f>
        <v/>
      </c>
      <c r="BR480" s="125" t="inlineStr">
        <is>
          <t>HY1000X243</t>
        </is>
      </c>
      <c r="BW480">
        <f>SQRT(($J$1025-J480)^2)</f>
        <v/>
      </c>
      <c r="BX480">
        <f>SQRT(($R$1025-R480)^2)</f>
        <v/>
      </c>
      <c r="BY480" s="125" t="inlineStr">
        <is>
          <t>HY1000X243</t>
        </is>
      </c>
      <c r="CD480">
        <f>SQRT(($J$1026-J480)^2)</f>
        <v/>
      </c>
      <c r="CE480">
        <f>SQRT(($R$1026-R480)^2)</f>
        <v/>
      </c>
      <c r="CF480" s="125" t="inlineStr">
        <is>
          <t>HY1000X243</t>
        </is>
      </c>
    </row>
    <row r="481">
      <c r="A481" s="125" t="inlineStr">
        <is>
          <t>HY1000X349</t>
        </is>
      </c>
      <c r="B481" s="129" t="inlineStr">
        <is>
          <t>HY</t>
        </is>
      </c>
      <c r="C481" s="125" t="n">
        <v>349</v>
      </c>
      <c r="D481" s="125" t="n">
        <v>1000</v>
      </c>
      <c r="E481" s="125" t="n">
        <v>300</v>
      </c>
      <c r="F481" s="125" t="n">
        <v>40</v>
      </c>
      <c r="G481" s="125" t="n">
        <v>22</v>
      </c>
      <c r="H481" s="125" t="n">
        <v>18</v>
      </c>
      <c r="I481" s="125">
        <f>D481-(2*(H481+F481))</f>
        <v/>
      </c>
      <c r="J481" s="125">
        <f>(2*E481/10*F481/10)+((D481-F481-F481)/10*G481/10)+((H481/10+H481/10)^2)-(PI()*H481/10*H481/10)</f>
        <v/>
      </c>
      <c r="K481" s="125">
        <f>((E481-G481)/2)/F481</f>
        <v/>
      </c>
      <c r="L481" s="125">
        <f>I481/G481</f>
        <v/>
      </c>
      <c r="M481" s="125">
        <f>(E481*2+F481*4+((E481-G481)/2-H481)*4+2*PI()*H481+(D481-2*F481-2*H481)*2)/1000</f>
        <v/>
      </c>
      <c r="N481" s="5" t="n">
        <v>702000</v>
      </c>
      <c r="O481" s="5" t="n">
        <v>18100</v>
      </c>
      <c r="P481" s="125" t="n">
        <v>39.7</v>
      </c>
      <c r="Q481" s="125" t="n">
        <v>6.4</v>
      </c>
      <c r="R481" s="5" t="n">
        <v>14000</v>
      </c>
      <c r="S481" s="5" t="n">
        <v>1210</v>
      </c>
      <c r="T481" s="5" t="n">
        <v>16300</v>
      </c>
      <c r="U481" s="5" t="n">
        <v>1920</v>
      </c>
      <c r="X481" s="129">
        <f t="array" ref="X481">_xlfn.IFS((D481/F481) &lt;= (640/SQRT($AT$32)), "Compact", L481 &lt;= ($AT$32*(0.79-(0.002*((E481-G481/2)/(2*F481))*SQRT($AT$32)))), "Non-Compact", L481 &gt; ($AT$32*(0.79-(0.002*((E481-G481/2)/(2*F481))*SQRT($AT$32)))), "Slender")</f>
        <v/>
      </c>
      <c r="Y481" s="129">
        <f t="array" ref="Y481">_xlfn.IFS(K481 &lt;= (65/SQRT($AT$32)), "Compact", K481 &lt;= (95/SQRT($AT$32)), "Non-Compact", K481 &gt; (95/SQRT($AT$32)), "Slender")</f>
        <v/>
      </c>
      <c r="Z481" s="125">
        <f>E481/F481</f>
        <v/>
      </c>
      <c r="AA481" s="125">
        <f>D481/G481</f>
        <v/>
      </c>
      <c r="AB481" s="125">
        <f t="array" ref="AB481">_xlfn.IFS(Z481 &lt;= 9, "1", Z481 &lt;= 12, "2", Z481 &lt;= 15, "3", Z481 &gt; 15, "4")</f>
        <v/>
      </c>
      <c r="AC481" s="125">
        <f t="array" ref="AC481">_xlfn.IFS(AA481 &lt;= 200, "1", L481 &lt;= 300, "2", L481 &lt;= 400, "3", L481 &gt; 400, "4")</f>
        <v/>
      </c>
      <c r="AF481" s="129">
        <f>SQRT((((VLOOKUP($AT$4,$A$4:$D$1021,4,FALSE))-D481)^2)+(((VLOOKUP($AT$4,$A$4:$E$1021,5,FALSE))-E481)^2)+(((VLOOKUP($AT$4,$A$4:$N$1021,14,FALSE))-N481)^2)+(((VLOOKUP($AT$4,$A$4:$O$1021,15,FALSE))-O481)^2))</f>
        <v/>
      </c>
      <c r="AG481" s="129" t="n"/>
      <c r="AI481" s="129">
        <f>SQRT((((VLOOKUP($AT$4,$A$4:$D$1021,4,FALSE))-D481)^2)+(((VLOOKUP($AT$4,$A$4:$E$1021,5,FALSE))-E481)^2)+(((VLOOKUP($AT$4,$A$4:$R$1021,18,FALSE))-R481)^2)+(((VLOOKUP($AT$4,$A$4:$S$1021,19,FALSE))-S481)^2))</f>
        <v/>
      </c>
      <c r="AJ481" s="125" t="inlineStr">
        <is>
          <t>HY1000X349</t>
        </is>
      </c>
      <c r="AK481" s="125" t="n"/>
      <c r="AL481" s="125" t="n"/>
      <c r="AM481" s="125">
        <f>SQRT(((VLOOKUP($AT$4,$A$4:$J$1021,10,FALSE))-J481)^2)</f>
        <v/>
      </c>
      <c r="AN481" s="125" t="n"/>
      <c r="AO481" s="125" t="n"/>
      <c r="AP481" s="125">
        <f>SQRT(((VLOOKUP($AT$4,$A$4:$R$1021,18,FALSE))-R481)^2)</f>
        <v/>
      </c>
      <c r="AQ481" s="125" t="inlineStr">
        <is>
          <t>HY1000X349</t>
        </is>
      </c>
      <c r="BB481" s="125">
        <f>SQRT(($J$1022-J481)^2)</f>
        <v/>
      </c>
      <c r="BC481" s="125">
        <f>SQRT(($R$1022-R481)^2)</f>
        <v/>
      </c>
      <c r="BD481" s="125" t="inlineStr">
        <is>
          <t>HY1000X349</t>
        </is>
      </c>
      <c r="BI481">
        <f>SQRT(($J$1023-J481)^2)</f>
        <v/>
      </c>
      <c r="BJ481">
        <f>SQRT(($R$1023-R481)^2)</f>
        <v/>
      </c>
      <c r="BK481" s="125" t="inlineStr">
        <is>
          <t>HY1000X349</t>
        </is>
      </c>
      <c r="BP481">
        <f>SQRT(($J$1024-J481)^2)</f>
        <v/>
      </c>
      <c r="BQ481">
        <f>SQRT(($R$1024-R481)^2)</f>
        <v/>
      </c>
      <c r="BR481" s="125" t="inlineStr">
        <is>
          <t>HY1000X349</t>
        </is>
      </c>
      <c r="BW481">
        <f>SQRT(($J$1025-J481)^2)</f>
        <v/>
      </c>
      <c r="BX481">
        <f>SQRT(($R$1025-R481)^2)</f>
        <v/>
      </c>
      <c r="BY481" s="125" t="inlineStr">
        <is>
          <t>HY1000X349</t>
        </is>
      </c>
      <c r="CD481">
        <f>SQRT(($J$1026-J481)^2)</f>
        <v/>
      </c>
      <c r="CE481">
        <f>SQRT(($R$1026-R481)^2)</f>
        <v/>
      </c>
      <c r="CF481" s="125" t="inlineStr">
        <is>
          <t>HY1000X349</t>
        </is>
      </c>
    </row>
    <row r="482">
      <c r="A482" s="125" t="inlineStr">
        <is>
          <t>HY1000X332</t>
        </is>
      </c>
      <c r="B482" s="129" t="inlineStr">
        <is>
          <t>HY</t>
        </is>
      </c>
      <c r="C482" s="125" t="n">
        <v>332</v>
      </c>
      <c r="D482" s="125" t="n">
        <v>1000</v>
      </c>
      <c r="E482" s="125" t="n">
        <v>300</v>
      </c>
      <c r="F482" s="125" t="n">
        <v>36</v>
      </c>
      <c r="G482" s="125" t="n">
        <v>22</v>
      </c>
      <c r="H482" s="125" t="n">
        <v>18</v>
      </c>
      <c r="I482" s="125">
        <f>D482-(2*(H482+F482))</f>
        <v/>
      </c>
      <c r="J482" s="125">
        <f>(2*E482/10*F482/10)+((D482-F482-F482)/10*G482/10)+((H482/10+H482/10)^2)-(PI()*H482/10*H482/10)</f>
        <v/>
      </c>
      <c r="K482" s="125">
        <f>((E482-G482)/2)/F482</f>
        <v/>
      </c>
      <c r="L482" s="125">
        <f>I482/G482</f>
        <v/>
      </c>
      <c r="M482" s="125">
        <f>(E482*2+F482*4+((E482-G482)/2-H482)*4+2*PI()*H482+(D482-2*F482-2*H482)*2)/1000</f>
        <v/>
      </c>
      <c r="N482" s="5" t="n">
        <v>654000</v>
      </c>
      <c r="O482" s="5" t="n">
        <v>16300</v>
      </c>
      <c r="P482" s="125" t="n">
        <v>39.3</v>
      </c>
      <c r="Q482" s="125" t="n">
        <v>6.2</v>
      </c>
      <c r="R482" s="5" t="n">
        <v>13100</v>
      </c>
      <c r="S482" s="5" t="n">
        <v>1090</v>
      </c>
      <c r="T482" s="5" t="n">
        <v>15300</v>
      </c>
      <c r="U482" s="5" t="n">
        <v>1740</v>
      </c>
      <c r="X482" s="129">
        <f t="array" ref="X482">_xlfn.IFS((D482/F482) &lt;= (640/SQRT($AT$32)), "Compact", L482 &lt;= ($AT$32*(0.79-(0.002*((E482-G482/2)/(2*F482))*SQRT($AT$32)))), "Non-Compact", L482 &gt; ($AT$32*(0.79-(0.002*((E482-G482/2)/(2*F482))*SQRT($AT$32)))), "Slender")</f>
        <v/>
      </c>
      <c r="Y482" s="129">
        <f t="array" ref="Y482">_xlfn.IFS(K482 &lt;= (65/SQRT($AT$32)), "Compact", K482 &lt;= (95/SQRT($AT$32)), "Non-Compact", K482 &gt; (95/SQRT($AT$32)), "Slender")</f>
        <v/>
      </c>
      <c r="Z482" s="125">
        <f>E482/F482</f>
        <v/>
      </c>
      <c r="AA482" s="125">
        <f>D482/G482</f>
        <v/>
      </c>
      <c r="AB482" s="125">
        <f t="array" ref="AB482">_xlfn.IFS(Z482 &lt;= 9, "1", Z482 &lt;= 12, "2", Z482 &lt;= 15, "3", Z482 &gt; 15, "4")</f>
        <v/>
      </c>
      <c r="AC482" s="125">
        <f t="array" ref="AC482">_xlfn.IFS(AA482 &lt;= 200, "1", L482 &lt;= 300, "2", L482 &lt;= 400, "3", L482 &gt; 400, "4")</f>
        <v/>
      </c>
      <c r="AF482" s="129">
        <f>SQRT((((VLOOKUP($AT$4,$A$4:$D$1021,4,FALSE))-D482)^2)+(((VLOOKUP($AT$4,$A$4:$E$1021,5,FALSE))-E482)^2)+(((VLOOKUP($AT$4,$A$4:$N$1021,14,FALSE))-N482)^2)+(((VLOOKUP($AT$4,$A$4:$O$1021,15,FALSE))-O482)^2))</f>
        <v/>
      </c>
      <c r="AG482" s="129" t="n"/>
      <c r="AI482" s="129">
        <f>SQRT((((VLOOKUP($AT$4,$A$4:$D$1021,4,FALSE))-D482)^2)+(((VLOOKUP($AT$4,$A$4:$E$1021,5,FALSE))-E482)^2)+(((VLOOKUP($AT$4,$A$4:$R$1021,18,FALSE))-R482)^2)+(((VLOOKUP($AT$4,$A$4:$S$1021,19,FALSE))-S482)^2))</f>
        <v/>
      </c>
      <c r="AJ482" s="125" t="inlineStr">
        <is>
          <t>HY1000X332</t>
        </is>
      </c>
      <c r="AK482" s="125" t="n"/>
      <c r="AL482" s="125" t="n"/>
      <c r="AM482" s="125">
        <f>SQRT(((VLOOKUP($AT$4,$A$4:$J$1021,10,FALSE))-J482)^2)</f>
        <v/>
      </c>
      <c r="AN482" s="125" t="n"/>
      <c r="AO482" s="125" t="n"/>
      <c r="AP482" s="125">
        <f>SQRT(((VLOOKUP($AT$4,$A$4:$R$1021,18,FALSE))-R482)^2)</f>
        <v/>
      </c>
      <c r="AQ482" s="125" t="inlineStr">
        <is>
          <t>HY1000X332</t>
        </is>
      </c>
      <c r="BB482" s="125">
        <f>SQRT(($J$1022-J482)^2)</f>
        <v/>
      </c>
      <c r="BC482" s="125">
        <f>SQRT(($R$1022-R482)^2)</f>
        <v/>
      </c>
      <c r="BD482" s="125" t="inlineStr">
        <is>
          <t>HY1000X332</t>
        </is>
      </c>
      <c r="BI482">
        <f>SQRT(($J$1023-J482)^2)</f>
        <v/>
      </c>
      <c r="BJ482">
        <f>SQRT(($R$1023-R482)^2)</f>
        <v/>
      </c>
      <c r="BK482" s="125" t="inlineStr">
        <is>
          <t>HY1000X332</t>
        </is>
      </c>
      <c r="BP482">
        <f>SQRT(($J$1024-J482)^2)</f>
        <v/>
      </c>
      <c r="BQ482">
        <f>SQRT(($R$1024-R482)^2)</f>
        <v/>
      </c>
      <c r="BR482" s="125" t="inlineStr">
        <is>
          <t>HY1000X332</t>
        </is>
      </c>
      <c r="BW482">
        <f>SQRT(($J$1025-J482)^2)</f>
        <v/>
      </c>
      <c r="BX482">
        <f>SQRT(($R$1025-R482)^2)</f>
        <v/>
      </c>
      <c r="BY482" s="125" t="inlineStr">
        <is>
          <t>HY1000X332</t>
        </is>
      </c>
      <c r="CD482">
        <f>SQRT(($J$1026-J482)^2)</f>
        <v/>
      </c>
      <c r="CE482">
        <f>SQRT(($R$1026-R482)^2)</f>
        <v/>
      </c>
      <c r="CF482" s="125" t="inlineStr">
        <is>
          <t>HY1000X332</t>
        </is>
      </c>
    </row>
    <row r="483">
      <c r="A483" s="125" t="inlineStr">
        <is>
          <t>HY1000X315</t>
        </is>
      </c>
      <c r="B483" s="129" t="inlineStr">
        <is>
          <t>HY</t>
        </is>
      </c>
      <c r="C483" s="125" t="n">
        <v>315</v>
      </c>
      <c r="D483" s="125" t="n">
        <v>1000</v>
      </c>
      <c r="E483" s="125" t="n">
        <v>300</v>
      </c>
      <c r="F483" s="125" t="n">
        <v>32</v>
      </c>
      <c r="G483" s="125" t="n">
        <v>22</v>
      </c>
      <c r="H483" s="125" t="n">
        <v>18</v>
      </c>
      <c r="I483" s="125">
        <f>D483-(2*(H483+F483))</f>
        <v/>
      </c>
      <c r="J483" s="125">
        <f>(2*E483/10*F483/10)+((D483-F483-F483)/10*G483/10)+((H483/10+H483/10)^2)-(PI()*H483/10*H483/10)</f>
        <v/>
      </c>
      <c r="K483" s="125">
        <f>((E483-G483)/2)/F483</f>
        <v/>
      </c>
      <c r="L483" s="125">
        <f>I483/G483</f>
        <v/>
      </c>
      <c r="M483" s="125">
        <f>(E483*2+F483*4+((E483-G483)/2-H483)*4+2*PI()*H483+(D483-2*F483-2*H483)*2)/1000</f>
        <v/>
      </c>
      <c r="N483" s="5" t="n">
        <v>606000</v>
      </c>
      <c r="O483" s="5" t="n">
        <v>14500</v>
      </c>
      <c r="P483" s="125" t="n">
        <v>38.9</v>
      </c>
      <c r="Q483" s="125" t="n">
        <v>6</v>
      </c>
      <c r="R483" s="5" t="n">
        <v>12100</v>
      </c>
      <c r="S483" s="125" t="n">
        <v>966</v>
      </c>
      <c r="T483" s="5" t="n">
        <v>14200</v>
      </c>
      <c r="U483" s="5" t="n">
        <v>1560</v>
      </c>
      <c r="X483" s="129">
        <f t="array" ref="X483">_xlfn.IFS((D483/F483) &lt;= (640/SQRT($AT$32)), "Compact", L483 &lt;= ($AT$32*(0.79-(0.002*((E483-G483/2)/(2*F483))*SQRT($AT$32)))), "Non-Compact", L483 &gt; ($AT$32*(0.79-(0.002*((E483-G483/2)/(2*F483))*SQRT($AT$32)))), "Slender")</f>
        <v/>
      </c>
      <c r="Y483" s="129">
        <f t="array" ref="Y483">_xlfn.IFS(K483 &lt;= (65/SQRT($AT$32)), "Compact", K483 &lt;= (95/SQRT($AT$32)), "Non-Compact", K483 &gt; (95/SQRT($AT$32)), "Slender")</f>
        <v/>
      </c>
      <c r="Z483" s="125">
        <f>E483/F483</f>
        <v/>
      </c>
      <c r="AA483" s="125">
        <f>D483/G483</f>
        <v/>
      </c>
      <c r="AB483" s="125">
        <f t="array" ref="AB483">_xlfn.IFS(Z483 &lt;= 9, "1", Z483 &lt;= 12, "2", Z483 &lt;= 15, "3", Z483 &gt; 15, "4")</f>
        <v/>
      </c>
      <c r="AC483" s="125">
        <f t="array" ref="AC483">_xlfn.IFS(AA483 &lt;= 200, "1", L483 &lt;= 300, "2", L483 &lt;= 400, "3", L483 &gt; 400, "4")</f>
        <v/>
      </c>
      <c r="AF483" s="129">
        <f>SQRT((((VLOOKUP($AT$4,$A$4:$D$1021,4,FALSE))-D483)^2)+(((VLOOKUP($AT$4,$A$4:$E$1021,5,FALSE))-E483)^2)+(((VLOOKUP($AT$4,$A$4:$N$1021,14,FALSE))-N483)^2)+(((VLOOKUP($AT$4,$A$4:$O$1021,15,FALSE))-O483)^2))</f>
        <v/>
      </c>
      <c r="AG483" s="129" t="n"/>
      <c r="AI483" s="129">
        <f>SQRT((((VLOOKUP($AT$4,$A$4:$D$1021,4,FALSE))-D483)^2)+(((VLOOKUP($AT$4,$A$4:$E$1021,5,FALSE))-E483)^2)+(((VLOOKUP($AT$4,$A$4:$R$1021,18,FALSE))-R483)^2)+(((VLOOKUP($AT$4,$A$4:$S$1021,19,FALSE))-S483)^2))</f>
        <v/>
      </c>
      <c r="AJ483" s="125" t="inlineStr">
        <is>
          <t>HY1000X315</t>
        </is>
      </c>
      <c r="AK483" s="125" t="n"/>
      <c r="AL483" s="125" t="n"/>
      <c r="AM483" s="125">
        <f>SQRT(((VLOOKUP($AT$4,$A$4:$J$1021,10,FALSE))-J483)^2)</f>
        <v/>
      </c>
      <c r="AN483" s="125" t="n"/>
      <c r="AO483" s="125" t="n"/>
      <c r="AP483" s="125">
        <f>SQRT(((VLOOKUP($AT$4,$A$4:$R$1021,18,FALSE))-R483)^2)</f>
        <v/>
      </c>
      <c r="AQ483" s="125" t="inlineStr">
        <is>
          <t>HY1000X315</t>
        </is>
      </c>
      <c r="BB483" s="125">
        <f>SQRT(($J$1022-J483)^2)</f>
        <v/>
      </c>
      <c r="BC483" s="125">
        <f>SQRT(($R$1022-R483)^2)</f>
        <v/>
      </c>
      <c r="BD483" s="125" t="inlineStr">
        <is>
          <t>HY1000X315</t>
        </is>
      </c>
      <c r="BI483">
        <f>SQRT(($J$1023-J483)^2)</f>
        <v/>
      </c>
      <c r="BJ483">
        <f>SQRT(($R$1023-R483)^2)</f>
        <v/>
      </c>
      <c r="BK483" s="125" t="inlineStr">
        <is>
          <t>HY1000X315</t>
        </is>
      </c>
      <c r="BP483">
        <f>SQRT(($J$1024-J483)^2)</f>
        <v/>
      </c>
      <c r="BQ483">
        <f>SQRT(($R$1024-R483)^2)</f>
        <v/>
      </c>
      <c r="BR483" s="125" t="inlineStr">
        <is>
          <t>HY1000X315</t>
        </is>
      </c>
      <c r="BW483">
        <f>SQRT(($J$1025-J483)^2)</f>
        <v/>
      </c>
      <c r="BX483">
        <f>SQRT(($R$1025-R483)^2)</f>
        <v/>
      </c>
      <c r="BY483" s="125" t="inlineStr">
        <is>
          <t>HY1000X315</t>
        </is>
      </c>
      <c r="CD483">
        <f>SQRT(($J$1026-J483)^2)</f>
        <v/>
      </c>
      <c r="CE483">
        <f>SQRT(($R$1026-R483)^2)</f>
        <v/>
      </c>
      <c r="CF483" s="125" t="inlineStr">
        <is>
          <t>HY1000X315</t>
        </is>
      </c>
    </row>
    <row r="484">
      <c r="A484" s="125" t="inlineStr">
        <is>
          <t>HY1000X297</t>
        </is>
      </c>
      <c r="B484" s="129" t="inlineStr">
        <is>
          <t>HY</t>
        </is>
      </c>
      <c r="C484" s="125" t="n">
        <v>297</v>
      </c>
      <c r="D484" s="125" t="n">
        <v>1000</v>
      </c>
      <c r="E484" s="125" t="n">
        <v>300</v>
      </c>
      <c r="F484" s="125" t="n">
        <v>28</v>
      </c>
      <c r="G484" s="125" t="n">
        <v>22</v>
      </c>
      <c r="H484" s="125" t="n">
        <v>18</v>
      </c>
      <c r="I484" s="125">
        <f>D484-(2*(H484+F484))</f>
        <v/>
      </c>
      <c r="J484" s="125">
        <f>(2*E484/10*F484/10)+((D484-F484-F484)/10*G484/10)+((H484/10+H484/10)^2)-(PI()*H484/10*H484/10)</f>
        <v/>
      </c>
      <c r="K484" s="125">
        <f>((E484-G484)/2)/F484</f>
        <v/>
      </c>
      <c r="L484" s="125">
        <f>I484/G484</f>
        <v/>
      </c>
      <c r="M484" s="125">
        <f>(E484*2+F484*4+((E484-G484)/2-H484)*4+2*PI()*H484+(D484-2*F484-2*H484)*2)/1000</f>
        <v/>
      </c>
      <c r="N484" s="5" t="n">
        <v>557000</v>
      </c>
      <c r="O484" s="5" t="n">
        <v>12700</v>
      </c>
      <c r="P484" s="125" t="n">
        <v>38.4</v>
      </c>
      <c r="Q484" s="125" t="n">
        <v>5.8</v>
      </c>
      <c r="R484" s="5" t="n">
        <v>11100</v>
      </c>
      <c r="S484" s="125" t="n">
        <v>846</v>
      </c>
      <c r="T484" s="5" t="n">
        <v>13200</v>
      </c>
      <c r="U484" s="5" t="n">
        <v>1380</v>
      </c>
      <c r="X484" s="129">
        <f t="array" ref="X484">_xlfn.IFS((D484/F484) &lt;= (640/SQRT($AT$32)), "Compact", L484 &lt;= ($AT$32*(0.79-(0.002*((E484-G484/2)/(2*F484))*SQRT($AT$32)))), "Non-Compact", L484 &gt; ($AT$32*(0.79-(0.002*((E484-G484/2)/(2*F484))*SQRT($AT$32)))), "Slender")</f>
        <v/>
      </c>
      <c r="Y484" s="129">
        <f t="array" ref="Y484">_xlfn.IFS(K484 &lt;= (65/SQRT($AT$32)), "Compact", K484 &lt;= (95/SQRT($AT$32)), "Non-Compact", K484 &gt; (95/SQRT($AT$32)), "Slender")</f>
        <v/>
      </c>
      <c r="Z484" s="125">
        <f>E484/F484</f>
        <v/>
      </c>
      <c r="AA484" s="125">
        <f>D484/G484</f>
        <v/>
      </c>
      <c r="AB484" s="125">
        <f t="array" ref="AB484">_xlfn.IFS(Z484 &lt;= 9, "1", Z484 &lt;= 12, "2", Z484 &lt;= 15, "3", Z484 &gt; 15, "4")</f>
        <v/>
      </c>
      <c r="AC484" s="125">
        <f t="array" ref="AC484">_xlfn.IFS(AA484 &lt;= 200, "1", L484 &lt;= 300, "2", L484 &lt;= 400, "3", L484 &gt; 400, "4")</f>
        <v/>
      </c>
      <c r="AF484" s="129">
        <f>SQRT((((VLOOKUP($AT$4,$A$4:$D$1021,4,FALSE))-D484)^2)+(((VLOOKUP($AT$4,$A$4:$E$1021,5,FALSE))-E484)^2)+(((VLOOKUP($AT$4,$A$4:$N$1021,14,FALSE))-N484)^2)+(((VLOOKUP($AT$4,$A$4:$O$1021,15,FALSE))-O484)^2))</f>
        <v/>
      </c>
      <c r="AG484" s="129" t="n"/>
      <c r="AI484" s="129">
        <f>SQRT((((VLOOKUP($AT$4,$A$4:$D$1021,4,FALSE))-D484)^2)+(((VLOOKUP($AT$4,$A$4:$E$1021,5,FALSE))-E484)^2)+(((VLOOKUP($AT$4,$A$4:$R$1021,18,FALSE))-R484)^2)+(((VLOOKUP($AT$4,$A$4:$S$1021,19,FALSE))-S484)^2))</f>
        <v/>
      </c>
      <c r="AJ484" s="125" t="inlineStr">
        <is>
          <t>HY1000X297</t>
        </is>
      </c>
      <c r="AK484" s="125" t="n"/>
      <c r="AL484" s="125" t="n"/>
      <c r="AM484" s="125">
        <f>SQRT(((VLOOKUP($AT$4,$A$4:$J$1021,10,FALSE))-J484)^2)</f>
        <v/>
      </c>
      <c r="AN484" s="125" t="n"/>
      <c r="AO484" s="125" t="n"/>
      <c r="AP484" s="125">
        <f>SQRT(((VLOOKUP($AT$4,$A$4:$R$1021,18,FALSE))-R484)^2)</f>
        <v/>
      </c>
      <c r="AQ484" s="125" t="inlineStr">
        <is>
          <t>HY1000X297</t>
        </is>
      </c>
      <c r="BB484" s="125">
        <f>SQRT(($J$1022-J484)^2)</f>
        <v/>
      </c>
      <c r="BC484" s="125">
        <f>SQRT(($R$1022-R484)^2)</f>
        <v/>
      </c>
      <c r="BD484" s="125" t="inlineStr">
        <is>
          <t>HY1000X297</t>
        </is>
      </c>
      <c r="BI484">
        <f>SQRT(($J$1023-J484)^2)</f>
        <v/>
      </c>
      <c r="BJ484">
        <f>SQRT(($R$1023-R484)^2)</f>
        <v/>
      </c>
      <c r="BK484" s="125" t="inlineStr">
        <is>
          <t>HY1000X297</t>
        </is>
      </c>
      <c r="BP484">
        <f>SQRT(($J$1024-J484)^2)</f>
        <v/>
      </c>
      <c r="BQ484">
        <f>SQRT(($R$1024-R484)^2)</f>
        <v/>
      </c>
      <c r="BR484" s="125" t="inlineStr">
        <is>
          <t>HY1000X297</t>
        </is>
      </c>
      <c r="BW484">
        <f>SQRT(($J$1025-J484)^2)</f>
        <v/>
      </c>
      <c r="BX484">
        <f>SQRT(($R$1025-R484)^2)</f>
        <v/>
      </c>
      <c r="BY484" s="125" t="inlineStr">
        <is>
          <t>HY1000X297</t>
        </is>
      </c>
      <c r="CD484">
        <f>SQRT(($J$1026-J484)^2)</f>
        <v/>
      </c>
      <c r="CE484">
        <f>SQRT(($R$1026-R484)^2)</f>
        <v/>
      </c>
      <c r="CF484" s="125" t="inlineStr">
        <is>
          <t>HY1000X297</t>
        </is>
      </c>
    </row>
    <row r="485">
      <c r="A485" s="125" t="inlineStr">
        <is>
          <t>HY1000X328</t>
        </is>
      </c>
      <c r="B485" s="129" t="inlineStr">
        <is>
          <t>HY</t>
        </is>
      </c>
      <c r="C485" s="125" t="n">
        <v>328</v>
      </c>
      <c r="D485" s="125" t="n">
        <v>1000</v>
      </c>
      <c r="E485" s="125" t="n">
        <v>300</v>
      </c>
      <c r="F485" s="125" t="n">
        <v>40</v>
      </c>
      <c r="G485" s="125" t="n">
        <v>19</v>
      </c>
      <c r="H485" s="125" t="n">
        <v>18</v>
      </c>
      <c r="I485" s="125">
        <f>D485-(2*(H485+F485))</f>
        <v/>
      </c>
      <c r="J485" s="125">
        <f>(2*E485/10*F485/10)+((D485-F485-F485)/10*G485/10)+((H485/10+H485/10)^2)-(PI()*H485/10*H485/10)</f>
        <v/>
      </c>
      <c r="K485" s="125">
        <f>((E485-G485)/2)/F485</f>
        <v/>
      </c>
      <c r="L485" s="125">
        <f>I485/G485</f>
        <v/>
      </c>
      <c r="M485" s="125">
        <f>(E485*2+F485*4+((E485-G485)/2-H485)*4+2*PI()*H485+(D485-2*F485-2*H485)*2)/1000</f>
        <v/>
      </c>
      <c r="N485" s="5" t="n">
        <v>682000</v>
      </c>
      <c r="O485" s="5" t="n">
        <v>18100</v>
      </c>
      <c r="P485" s="125" t="n">
        <v>40.4</v>
      </c>
      <c r="Q485" s="125" t="n">
        <v>6.6</v>
      </c>
      <c r="R485" s="5" t="n">
        <v>13600</v>
      </c>
      <c r="S485" s="5" t="n">
        <v>1200</v>
      </c>
      <c r="T485" s="5" t="n">
        <v>15700</v>
      </c>
      <c r="U485" s="5" t="n">
        <v>1890</v>
      </c>
      <c r="X485" s="129">
        <f t="array" ref="X485">_xlfn.IFS((D485/F485) &lt;= (640/SQRT($AT$32)), "Compact", L485 &lt;= ($AT$32*(0.79-(0.002*((E485-G485/2)/(2*F485))*SQRT($AT$32)))), "Non-Compact", L485 &gt; ($AT$32*(0.79-(0.002*((E485-G485/2)/(2*F485))*SQRT($AT$32)))), "Slender")</f>
        <v/>
      </c>
      <c r="Y485" s="129">
        <f t="array" ref="Y485">_xlfn.IFS(K485 &lt;= (65/SQRT($AT$32)), "Compact", K485 &lt;= (95/SQRT($AT$32)), "Non-Compact", K485 &gt; (95/SQRT($AT$32)), "Slender")</f>
        <v/>
      </c>
      <c r="Z485" s="125">
        <f>E485/F485</f>
        <v/>
      </c>
      <c r="AA485" s="125">
        <f>D485/G485</f>
        <v/>
      </c>
      <c r="AB485" s="125">
        <f t="array" ref="AB485">_xlfn.IFS(Z485 &lt;= 9, "1", Z485 &lt;= 12, "2", Z485 &lt;= 15, "3", Z485 &gt; 15, "4")</f>
        <v/>
      </c>
      <c r="AC485" s="125">
        <f t="array" ref="AC485">_xlfn.IFS(AA485 &lt;= 200, "1", L485 &lt;= 300, "2", L485 &lt;= 400, "3", L485 &gt; 400, "4")</f>
        <v/>
      </c>
      <c r="AF485" s="129">
        <f>SQRT((((VLOOKUP($AT$4,$A$4:$D$1021,4,FALSE))-D485)^2)+(((VLOOKUP($AT$4,$A$4:$E$1021,5,FALSE))-E485)^2)+(((VLOOKUP($AT$4,$A$4:$N$1021,14,FALSE))-N485)^2)+(((VLOOKUP($AT$4,$A$4:$O$1021,15,FALSE))-O485)^2))</f>
        <v/>
      </c>
      <c r="AG485" s="129" t="n"/>
      <c r="AI485" s="129">
        <f>SQRT((((VLOOKUP($AT$4,$A$4:$D$1021,4,FALSE))-D485)^2)+(((VLOOKUP($AT$4,$A$4:$E$1021,5,FALSE))-E485)^2)+(((VLOOKUP($AT$4,$A$4:$R$1021,18,FALSE))-R485)^2)+(((VLOOKUP($AT$4,$A$4:$S$1021,19,FALSE))-S485)^2))</f>
        <v/>
      </c>
      <c r="AJ485" s="125" t="inlineStr">
        <is>
          <t>HY1000X328</t>
        </is>
      </c>
      <c r="AK485" s="125" t="n"/>
      <c r="AL485" s="125" t="n"/>
      <c r="AM485" s="125">
        <f>SQRT(((VLOOKUP($AT$4,$A$4:$J$1021,10,FALSE))-J485)^2)</f>
        <v/>
      </c>
      <c r="AN485" s="125" t="n"/>
      <c r="AO485" s="125" t="n"/>
      <c r="AP485" s="125">
        <f>SQRT(((VLOOKUP($AT$4,$A$4:$R$1021,18,FALSE))-R485)^2)</f>
        <v/>
      </c>
      <c r="AQ485" s="125" t="inlineStr">
        <is>
          <t>HY1000X328</t>
        </is>
      </c>
      <c r="BB485" s="125">
        <f>SQRT(($J$1022-J485)^2)</f>
        <v/>
      </c>
      <c r="BC485" s="125">
        <f>SQRT(($R$1022-R485)^2)</f>
        <v/>
      </c>
      <c r="BD485" s="125" t="inlineStr">
        <is>
          <t>HY1000X328</t>
        </is>
      </c>
      <c r="BI485">
        <f>SQRT(($J$1023-J485)^2)</f>
        <v/>
      </c>
      <c r="BJ485">
        <f>SQRT(($R$1023-R485)^2)</f>
        <v/>
      </c>
      <c r="BK485" s="125" t="inlineStr">
        <is>
          <t>HY1000X328</t>
        </is>
      </c>
      <c r="BP485">
        <f>SQRT(($J$1024-J485)^2)</f>
        <v/>
      </c>
      <c r="BQ485">
        <f>SQRT(($R$1024-R485)^2)</f>
        <v/>
      </c>
      <c r="BR485" s="125" t="inlineStr">
        <is>
          <t>HY1000X328</t>
        </is>
      </c>
      <c r="BW485">
        <f>SQRT(($J$1025-J485)^2)</f>
        <v/>
      </c>
      <c r="BX485">
        <f>SQRT(($R$1025-R485)^2)</f>
        <v/>
      </c>
      <c r="BY485" s="125" t="inlineStr">
        <is>
          <t>HY1000X328</t>
        </is>
      </c>
      <c r="CD485">
        <f>SQRT(($J$1026-J485)^2)</f>
        <v/>
      </c>
      <c r="CE485">
        <f>SQRT(($R$1026-R485)^2)</f>
        <v/>
      </c>
      <c r="CF485" s="125" t="inlineStr">
        <is>
          <t>HY1000X328</t>
        </is>
      </c>
    </row>
    <row r="486">
      <c r="A486" s="125" t="inlineStr">
        <is>
          <t>HY1000X310</t>
        </is>
      </c>
      <c r="B486" s="129" t="inlineStr">
        <is>
          <t>HY</t>
        </is>
      </c>
      <c r="C486" s="125" t="n">
        <v>310</v>
      </c>
      <c r="D486" s="125" t="n">
        <v>1000</v>
      </c>
      <c r="E486" s="125" t="n">
        <v>300</v>
      </c>
      <c r="F486" s="125" t="n">
        <v>36</v>
      </c>
      <c r="G486" s="125" t="n">
        <v>19</v>
      </c>
      <c r="H486" s="125" t="n">
        <v>18</v>
      </c>
      <c r="I486" s="125">
        <f>D486-(2*(H486+F486))</f>
        <v/>
      </c>
      <c r="J486" s="125">
        <f>(2*E486/10*F486/10)+((D486-F486-F486)/10*G486/10)+((H486/10+H486/10)^2)-(PI()*H486/10*H486/10)</f>
        <v/>
      </c>
      <c r="K486" s="125">
        <f>((E486-G486)/2)/F486</f>
        <v/>
      </c>
      <c r="L486" s="125">
        <f>I486/G486</f>
        <v/>
      </c>
      <c r="M486" s="125">
        <f>(E486*2+F486*4+((E486-G486)/2-H486)*4+2*PI()*H486+(D486-2*F486-2*H486)*2)/1000</f>
        <v/>
      </c>
      <c r="N486" s="5" t="n">
        <v>634000</v>
      </c>
      <c r="O486" s="5" t="n">
        <v>16300</v>
      </c>
      <c r="P486" s="125" t="n">
        <v>40.1</v>
      </c>
      <c r="Q486" s="125" t="n">
        <v>6.4</v>
      </c>
      <c r="R486" s="5" t="n">
        <v>12700</v>
      </c>
      <c r="S486" s="5" t="n">
        <v>1080</v>
      </c>
      <c r="T486" s="5" t="n">
        <v>14600</v>
      </c>
      <c r="U486" s="5" t="n">
        <v>1710</v>
      </c>
      <c r="X486" s="129">
        <f t="array" ref="X486">_xlfn.IFS((D486/F486) &lt;= (640/SQRT($AT$32)), "Compact", L486 &lt;= ($AT$32*(0.79-(0.002*((E486-G486/2)/(2*F486))*SQRT($AT$32)))), "Non-Compact", L486 &gt; ($AT$32*(0.79-(0.002*((E486-G486/2)/(2*F486))*SQRT($AT$32)))), "Slender")</f>
        <v/>
      </c>
      <c r="Y486" s="129">
        <f t="array" ref="Y486">_xlfn.IFS(K486 &lt;= (65/SQRT($AT$32)), "Compact", K486 &lt;= (95/SQRT($AT$32)), "Non-Compact", K486 &gt; (95/SQRT($AT$32)), "Slender")</f>
        <v/>
      </c>
      <c r="Z486" s="125">
        <f>E486/F486</f>
        <v/>
      </c>
      <c r="AA486" s="125">
        <f>D486/G486</f>
        <v/>
      </c>
      <c r="AB486" s="125">
        <f t="array" ref="AB486">_xlfn.IFS(Z486 &lt;= 9, "1", Z486 &lt;= 12, "2", Z486 &lt;= 15, "3", Z486 &gt; 15, "4")</f>
        <v/>
      </c>
      <c r="AC486" s="125">
        <f t="array" ref="AC486">_xlfn.IFS(AA486 &lt;= 200, "1", L486 &lt;= 300, "2", L486 &lt;= 400, "3", L486 &gt; 400, "4")</f>
        <v/>
      </c>
      <c r="AF486" s="129">
        <f>SQRT((((VLOOKUP($AT$4,$A$4:$D$1021,4,FALSE))-D486)^2)+(((VLOOKUP($AT$4,$A$4:$E$1021,5,FALSE))-E486)^2)+(((VLOOKUP($AT$4,$A$4:$N$1021,14,FALSE))-N486)^2)+(((VLOOKUP($AT$4,$A$4:$O$1021,15,FALSE))-O486)^2))</f>
        <v/>
      </c>
      <c r="AG486" s="129" t="n"/>
      <c r="AI486" s="129">
        <f>SQRT((((VLOOKUP($AT$4,$A$4:$D$1021,4,FALSE))-D486)^2)+(((VLOOKUP($AT$4,$A$4:$E$1021,5,FALSE))-E486)^2)+(((VLOOKUP($AT$4,$A$4:$R$1021,18,FALSE))-R486)^2)+(((VLOOKUP($AT$4,$A$4:$S$1021,19,FALSE))-S486)^2))</f>
        <v/>
      </c>
      <c r="AJ486" s="125" t="inlineStr">
        <is>
          <t>HY1000X310</t>
        </is>
      </c>
      <c r="AK486" s="125" t="n"/>
      <c r="AL486" s="125" t="n"/>
      <c r="AM486" s="125">
        <f>SQRT(((VLOOKUP($AT$4,$A$4:$J$1021,10,FALSE))-J486)^2)</f>
        <v/>
      </c>
      <c r="AN486" s="125" t="n"/>
      <c r="AO486" s="125" t="n"/>
      <c r="AP486" s="125">
        <f>SQRT(((VLOOKUP($AT$4,$A$4:$R$1021,18,FALSE))-R486)^2)</f>
        <v/>
      </c>
      <c r="AQ486" s="125" t="inlineStr">
        <is>
          <t>HY1000X310</t>
        </is>
      </c>
      <c r="BB486" s="125">
        <f>SQRT(($J$1022-J486)^2)</f>
        <v/>
      </c>
      <c r="BC486" s="125">
        <f>SQRT(($R$1022-R486)^2)</f>
        <v/>
      </c>
      <c r="BD486" s="125" t="inlineStr">
        <is>
          <t>HY1000X310</t>
        </is>
      </c>
      <c r="BI486">
        <f>SQRT(($J$1023-J486)^2)</f>
        <v/>
      </c>
      <c r="BJ486">
        <f>SQRT(($R$1023-R486)^2)</f>
        <v/>
      </c>
      <c r="BK486" s="125" t="inlineStr">
        <is>
          <t>HY1000X310</t>
        </is>
      </c>
      <c r="BP486">
        <f>SQRT(($J$1024-J486)^2)</f>
        <v/>
      </c>
      <c r="BQ486">
        <f>SQRT(($R$1024-R486)^2)</f>
        <v/>
      </c>
      <c r="BR486" s="125" t="inlineStr">
        <is>
          <t>HY1000X310</t>
        </is>
      </c>
      <c r="BW486">
        <f>SQRT(($J$1025-J486)^2)</f>
        <v/>
      </c>
      <c r="BX486">
        <f>SQRT(($R$1025-R486)^2)</f>
        <v/>
      </c>
      <c r="BY486" s="125" t="inlineStr">
        <is>
          <t>HY1000X310</t>
        </is>
      </c>
      <c r="CD486">
        <f>SQRT(($J$1026-J486)^2)</f>
        <v/>
      </c>
      <c r="CE486">
        <f>SQRT(($R$1026-R486)^2)</f>
        <v/>
      </c>
      <c r="CF486" s="125" t="inlineStr">
        <is>
          <t>HY1000X310</t>
        </is>
      </c>
    </row>
    <row r="487">
      <c r="A487" s="125" t="inlineStr">
        <is>
          <t>HY1000X293</t>
        </is>
      </c>
      <c r="B487" s="129" t="inlineStr">
        <is>
          <t>HY</t>
        </is>
      </c>
      <c r="C487" s="125" t="n">
        <v>293</v>
      </c>
      <c r="D487" s="125" t="n">
        <v>1000</v>
      </c>
      <c r="E487" s="125" t="n">
        <v>300</v>
      </c>
      <c r="F487" s="125" t="n">
        <v>32</v>
      </c>
      <c r="G487" s="125" t="n">
        <v>19</v>
      </c>
      <c r="H487" s="125" t="n">
        <v>18</v>
      </c>
      <c r="I487" s="125">
        <f>D487-(2*(H487+F487))</f>
        <v/>
      </c>
      <c r="J487" s="125">
        <f>(2*E487/10*F487/10)+((D487-F487-F487)/10*G487/10)+((H487/10+H487/10)^2)-(PI()*H487/10*H487/10)</f>
        <v/>
      </c>
      <c r="K487" s="125">
        <f>((E487-G487)/2)/F487</f>
        <v/>
      </c>
      <c r="L487" s="125">
        <f>I487/G487</f>
        <v/>
      </c>
      <c r="M487" s="125">
        <f>(E487*2+F487*4+((E487-G487)/2-H487)*4+2*PI()*H487+(D487-2*F487-2*H487)*2)/1000</f>
        <v/>
      </c>
      <c r="N487" s="5" t="n">
        <v>586000</v>
      </c>
      <c r="O487" s="5" t="n">
        <v>14500</v>
      </c>
      <c r="P487" s="125" t="n">
        <v>39.6</v>
      </c>
      <c r="Q487" s="125" t="n">
        <v>6.2</v>
      </c>
      <c r="R487" s="5" t="n">
        <v>11700</v>
      </c>
      <c r="S487" s="125" t="n">
        <v>964</v>
      </c>
      <c r="T487" s="5" t="n">
        <v>13600</v>
      </c>
      <c r="U487" s="5" t="n">
        <v>1530</v>
      </c>
      <c r="X487" s="129">
        <f t="array" ref="X487">_xlfn.IFS((D487/F487) &lt;= (640/SQRT($AT$32)), "Compact", L487 &lt;= ($AT$32*(0.79-(0.002*((E487-G487/2)/(2*F487))*SQRT($AT$32)))), "Non-Compact", L487 &gt; ($AT$32*(0.79-(0.002*((E487-G487/2)/(2*F487))*SQRT($AT$32)))), "Slender")</f>
        <v/>
      </c>
      <c r="Y487" s="129">
        <f t="array" ref="Y487">_xlfn.IFS(K487 &lt;= (65/SQRT($AT$32)), "Compact", K487 &lt;= (95/SQRT($AT$32)), "Non-Compact", K487 &gt; (95/SQRT($AT$32)), "Slender")</f>
        <v/>
      </c>
      <c r="Z487" s="125">
        <f>E487/F487</f>
        <v/>
      </c>
      <c r="AA487" s="125">
        <f>D487/G487</f>
        <v/>
      </c>
      <c r="AB487" s="125">
        <f t="array" ref="AB487">_xlfn.IFS(Z487 &lt;= 9, "1", Z487 &lt;= 12, "2", Z487 &lt;= 15, "3", Z487 &gt; 15, "4")</f>
        <v/>
      </c>
      <c r="AC487" s="125">
        <f t="array" ref="AC487">_xlfn.IFS(AA487 &lt;= 200, "1", L487 &lt;= 300, "2", L487 &lt;= 400, "3", L487 &gt; 400, "4")</f>
        <v/>
      </c>
      <c r="AF487" s="129">
        <f>SQRT((((VLOOKUP($AT$4,$A$4:$D$1021,4,FALSE))-D487)^2)+(((VLOOKUP($AT$4,$A$4:$E$1021,5,FALSE))-E487)^2)+(((VLOOKUP($AT$4,$A$4:$N$1021,14,FALSE))-N487)^2)+(((VLOOKUP($AT$4,$A$4:$O$1021,15,FALSE))-O487)^2))</f>
        <v/>
      </c>
      <c r="AG487" s="129" t="n"/>
      <c r="AI487" s="129">
        <f>SQRT((((VLOOKUP($AT$4,$A$4:$D$1021,4,FALSE))-D487)^2)+(((VLOOKUP($AT$4,$A$4:$E$1021,5,FALSE))-E487)^2)+(((VLOOKUP($AT$4,$A$4:$R$1021,18,FALSE))-R487)^2)+(((VLOOKUP($AT$4,$A$4:$S$1021,19,FALSE))-S487)^2))</f>
        <v/>
      </c>
      <c r="AJ487" s="125" t="inlineStr">
        <is>
          <t>HY1000X293</t>
        </is>
      </c>
      <c r="AK487" s="125" t="n"/>
      <c r="AL487" s="125" t="n"/>
      <c r="AM487" s="125">
        <f>SQRT(((VLOOKUP($AT$4,$A$4:$J$1021,10,FALSE))-J487)^2)</f>
        <v/>
      </c>
      <c r="AN487" s="125" t="n"/>
      <c r="AO487" s="125" t="n"/>
      <c r="AP487" s="125">
        <f>SQRT(((VLOOKUP($AT$4,$A$4:$R$1021,18,FALSE))-R487)^2)</f>
        <v/>
      </c>
      <c r="AQ487" s="125" t="inlineStr">
        <is>
          <t>HY1000X293</t>
        </is>
      </c>
      <c r="BB487" s="125">
        <f>SQRT(($J$1022-J487)^2)</f>
        <v/>
      </c>
      <c r="BC487" s="125">
        <f>SQRT(($R$1022-R487)^2)</f>
        <v/>
      </c>
      <c r="BD487" s="125" t="inlineStr">
        <is>
          <t>HY1000X293</t>
        </is>
      </c>
      <c r="BI487">
        <f>SQRT(($J$1023-J487)^2)</f>
        <v/>
      </c>
      <c r="BJ487">
        <f>SQRT(($R$1023-R487)^2)</f>
        <v/>
      </c>
      <c r="BK487" s="125" t="inlineStr">
        <is>
          <t>HY1000X293</t>
        </is>
      </c>
      <c r="BP487">
        <f>SQRT(($J$1024-J487)^2)</f>
        <v/>
      </c>
      <c r="BQ487">
        <f>SQRT(($R$1024-R487)^2)</f>
        <v/>
      </c>
      <c r="BR487" s="125" t="inlineStr">
        <is>
          <t>HY1000X293</t>
        </is>
      </c>
      <c r="BW487">
        <f>SQRT(($J$1025-J487)^2)</f>
        <v/>
      </c>
      <c r="BX487">
        <f>SQRT(($R$1025-R487)^2)</f>
        <v/>
      </c>
      <c r="BY487" s="125" t="inlineStr">
        <is>
          <t>HY1000X293</t>
        </is>
      </c>
      <c r="CD487">
        <f>SQRT(($J$1026-J487)^2)</f>
        <v/>
      </c>
      <c r="CE487">
        <f>SQRT(($R$1026-R487)^2)</f>
        <v/>
      </c>
      <c r="CF487" s="125" t="inlineStr">
        <is>
          <t>HY1000X293</t>
        </is>
      </c>
    </row>
    <row r="488">
      <c r="A488" s="125" t="inlineStr">
        <is>
          <t>HY1000X275</t>
        </is>
      </c>
      <c r="B488" s="129" t="inlineStr">
        <is>
          <t>HY</t>
        </is>
      </c>
      <c r="C488" s="125" t="n">
        <v>275</v>
      </c>
      <c r="D488" s="125" t="n">
        <v>1000</v>
      </c>
      <c r="E488" s="125" t="n">
        <v>300</v>
      </c>
      <c r="F488" s="125" t="n">
        <v>28</v>
      </c>
      <c r="G488" s="125" t="n">
        <v>19</v>
      </c>
      <c r="H488" s="125" t="n">
        <v>18</v>
      </c>
      <c r="I488" s="125">
        <f>D488-(2*(H488+F488))</f>
        <v/>
      </c>
      <c r="J488" s="125">
        <f>(2*E488/10*F488/10)+((D488-F488-F488)/10*G488/10)+((H488/10+H488/10)^2)-(PI()*H488/10*H488/10)</f>
        <v/>
      </c>
      <c r="K488" s="125">
        <f>((E488-G488)/2)/F488</f>
        <v/>
      </c>
      <c r="L488" s="125">
        <f>I488/G488</f>
        <v/>
      </c>
      <c r="M488" s="125">
        <f>(E488*2+F488*4+((E488-G488)/2-H488)*4+2*PI()*H488+(D488-2*F488-2*H488)*2)/1000</f>
        <v/>
      </c>
      <c r="N488" s="5" t="n">
        <v>536000</v>
      </c>
      <c r="O488" s="5" t="n">
        <v>12700</v>
      </c>
      <c r="P488" s="125" t="n">
        <v>39.1</v>
      </c>
      <c r="Q488" s="125" t="n">
        <v>6</v>
      </c>
      <c r="R488" s="5" t="n">
        <v>10700</v>
      </c>
      <c r="S488" s="125" t="n">
        <v>844</v>
      </c>
      <c r="T488" s="5" t="n">
        <v>12500</v>
      </c>
      <c r="U488" s="5" t="n">
        <v>1350</v>
      </c>
      <c r="X488" s="129">
        <f t="array" ref="X488">_xlfn.IFS((D488/F488) &lt;= (640/SQRT($AT$32)), "Compact", L488 &lt;= ($AT$32*(0.79-(0.002*((E488-G488/2)/(2*F488))*SQRT($AT$32)))), "Non-Compact", L488 &gt; ($AT$32*(0.79-(0.002*((E488-G488/2)/(2*F488))*SQRT($AT$32)))), "Slender")</f>
        <v/>
      </c>
      <c r="Y488" s="129">
        <f t="array" ref="Y488">_xlfn.IFS(K488 &lt;= (65/SQRT($AT$32)), "Compact", K488 &lt;= (95/SQRT($AT$32)), "Non-Compact", K488 &gt; (95/SQRT($AT$32)), "Slender")</f>
        <v/>
      </c>
      <c r="Z488" s="125">
        <f>E488/F488</f>
        <v/>
      </c>
      <c r="AA488" s="125">
        <f>D488/G488</f>
        <v/>
      </c>
      <c r="AB488" s="125">
        <f t="array" ref="AB488">_xlfn.IFS(Z488 &lt;= 9, "1", Z488 &lt;= 12, "2", Z488 &lt;= 15, "3", Z488 &gt; 15, "4")</f>
        <v/>
      </c>
      <c r="AC488" s="125">
        <f t="array" ref="AC488">_xlfn.IFS(AA488 &lt;= 200, "1", L488 &lt;= 300, "2", L488 &lt;= 400, "3", L488 &gt; 400, "4")</f>
        <v/>
      </c>
      <c r="AF488" s="129">
        <f>SQRT((((VLOOKUP($AT$4,$A$4:$D$1021,4,FALSE))-D488)^2)+(((VLOOKUP($AT$4,$A$4:$E$1021,5,FALSE))-E488)^2)+(((VLOOKUP($AT$4,$A$4:$N$1021,14,FALSE))-N488)^2)+(((VLOOKUP($AT$4,$A$4:$O$1021,15,FALSE))-O488)^2))</f>
        <v/>
      </c>
      <c r="AG488" s="129" t="n"/>
      <c r="AI488" s="129">
        <f>SQRT((((VLOOKUP($AT$4,$A$4:$D$1021,4,FALSE))-D488)^2)+(((VLOOKUP($AT$4,$A$4:$E$1021,5,FALSE))-E488)^2)+(((VLOOKUP($AT$4,$A$4:$R$1021,18,FALSE))-R488)^2)+(((VLOOKUP($AT$4,$A$4:$S$1021,19,FALSE))-S488)^2))</f>
        <v/>
      </c>
      <c r="AJ488" s="125" t="inlineStr">
        <is>
          <t>HY1000X275</t>
        </is>
      </c>
      <c r="AK488" s="125" t="n"/>
      <c r="AL488" s="125" t="n"/>
      <c r="AM488" s="125">
        <f>SQRT(((VLOOKUP($AT$4,$A$4:$J$1021,10,FALSE))-J488)^2)</f>
        <v/>
      </c>
      <c r="AN488" s="125" t="n"/>
      <c r="AO488" s="125" t="n"/>
      <c r="AP488" s="125">
        <f>SQRT(((VLOOKUP($AT$4,$A$4:$R$1021,18,FALSE))-R488)^2)</f>
        <v/>
      </c>
      <c r="AQ488" s="125" t="inlineStr">
        <is>
          <t>HY1000X275</t>
        </is>
      </c>
      <c r="BB488" s="125">
        <f>SQRT(($J$1022-J488)^2)</f>
        <v/>
      </c>
      <c r="BC488" s="125">
        <f>SQRT(($R$1022-R488)^2)</f>
        <v/>
      </c>
      <c r="BD488" s="125" t="inlineStr">
        <is>
          <t>HY1000X275</t>
        </is>
      </c>
      <c r="BI488">
        <f>SQRT(($J$1023-J488)^2)</f>
        <v/>
      </c>
      <c r="BJ488">
        <f>SQRT(($R$1023-R488)^2)</f>
        <v/>
      </c>
      <c r="BK488" s="125" t="inlineStr">
        <is>
          <t>HY1000X275</t>
        </is>
      </c>
      <c r="BP488">
        <f>SQRT(($J$1024-J488)^2)</f>
        <v/>
      </c>
      <c r="BQ488">
        <f>SQRT(($R$1024-R488)^2)</f>
        <v/>
      </c>
      <c r="BR488" s="125" t="inlineStr">
        <is>
          <t>HY1000X275</t>
        </is>
      </c>
      <c r="BW488">
        <f>SQRT(($J$1025-J488)^2)</f>
        <v/>
      </c>
      <c r="BX488">
        <f>SQRT(($R$1025-R488)^2)</f>
        <v/>
      </c>
      <c r="BY488" s="125" t="inlineStr">
        <is>
          <t>HY1000X275</t>
        </is>
      </c>
      <c r="CD488">
        <f>SQRT(($J$1026-J488)^2)</f>
        <v/>
      </c>
      <c r="CE488">
        <f>SQRT(($R$1026-R488)^2)</f>
        <v/>
      </c>
      <c r="CF488" s="125" t="inlineStr">
        <is>
          <t>HY1000X275</t>
        </is>
      </c>
    </row>
    <row r="489">
      <c r="A489" s="125" t="inlineStr">
        <is>
          <t>HY1000X262</t>
        </is>
      </c>
      <c r="B489" s="129" t="inlineStr">
        <is>
          <t>HY</t>
        </is>
      </c>
      <c r="C489" s="125" t="n">
        <v>262</v>
      </c>
      <c r="D489" s="125" t="n">
        <v>1000</v>
      </c>
      <c r="E489" s="125" t="n">
        <v>300</v>
      </c>
      <c r="F489" s="125" t="n">
        <v>25</v>
      </c>
      <c r="G489" s="125" t="n">
        <v>19</v>
      </c>
      <c r="H489" s="125" t="n">
        <v>18</v>
      </c>
      <c r="I489" s="125">
        <f>D489-(2*(H489+F489))</f>
        <v/>
      </c>
      <c r="J489" s="125">
        <f>(2*E489/10*F489/10)+((D489-F489-F489)/10*G489/10)+((H489/10+H489/10)^2)-(PI()*H489/10*H489/10)</f>
        <v/>
      </c>
      <c r="K489" s="125">
        <f>((E489-G489)/2)/F489</f>
        <v/>
      </c>
      <c r="L489" s="125">
        <f>I489/G489</f>
        <v/>
      </c>
      <c r="M489" s="125">
        <f>(E489*2+F489*4+((E489-G489)/2-H489)*4+2*PI()*H489+(D489-2*F489-2*H489)*2)/1000</f>
        <v/>
      </c>
      <c r="N489" s="5" t="n">
        <v>498000</v>
      </c>
      <c r="O489" s="5" t="n">
        <v>11300</v>
      </c>
      <c r="P489" s="125" t="n">
        <v>38.7</v>
      </c>
      <c r="Q489" s="125" t="n">
        <v>5.8</v>
      </c>
      <c r="R489" s="5" t="n">
        <v>9970</v>
      </c>
      <c r="S489" s="125" t="n">
        <v>754</v>
      </c>
      <c r="T489" s="5" t="n">
        <v>11700</v>
      </c>
      <c r="U489" s="5" t="n">
        <v>1210</v>
      </c>
      <c r="X489" s="129">
        <f t="array" ref="X489">_xlfn.IFS((D489/F489) &lt;= (640/SQRT($AT$32)), "Compact", L489 &lt;= ($AT$32*(0.79-(0.002*((E489-G489/2)/(2*F489))*SQRT($AT$32)))), "Non-Compact", L489 &gt; ($AT$32*(0.79-(0.002*((E489-G489/2)/(2*F489))*SQRT($AT$32)))), "Slender")</f>
        <v/>
      </c>
      <c r="Y489" s="129">
        <f t="array" ref="Y489">_xlfn.IFS(K489 &lt;= (65/SQRT($AT$32)), "Compact", K489 &lt;= (95/SQRT($AT$32)), "Non-Compact", K489 &gt; (95/SQRT($AT$32)), "Slender")</f>
        <v/>
      </c>
      <c r="Z489" s="125">
        <f>E489/F489</f>
        <v/>
      </c>
      <c r="AA489" s="125">
        <f>D489/G489</f>
        <v/>
      </c>
      <c r="AB489" s="125">
        <f t="array" ref="AB489">_xlfn.IFS(Z489 &lt;= 9, "1", Z489 &lt;= 12, "2", Z489 &lt;= 15, "3", Z489 &gt; 15, "4")</f>
        <v/>
      </c>
      <c r="AC489" s="125">
        <f t="array" ref="AC489">_xlfn.IFS(AA489 &lt;= 200, "1", L489 &lt;= 300, "2", L489 &lt;= 400, "3", L489 &gt; 400, "4")</f>
        <v/>
      </c>
      <c r="AF489" s="129">
        <f>SQRT((((VLOOKUP($AT$4,$A$4:$D$1021,4,FALSE))-D489)^2)+(((VLOOKUP($AT$4,$A$4:$E$1021,5,FALSE))-E489)^2)+(((VLOOKUP($AT$4,$A$4:$N$1021,14,FALSE))-N489)^2)+(((VLOOKUP($AT$4,$A$4:$O$1021,15,FALSE))-O489)^2))</f>
        <v/>
      </c>
      <c r="AG489" s="129" t="n"/>
      <c r="AI489" s="129">
        <f>SQRT((((VLOOKUP($AT$4,$A$4:$D$1021,4,FALSE))-D489)^2)+(((VLOOKUP($AT$4,$A$4:$E$1021,5,FALSE))-E489)^2)+(((VLOOKUP($AT$4,$A$4:$R$1021,18,FALSE))-R489)^2)+(((VLOOKUP($AT$4,$A$4:$S$1021,19,FALSE))-S489)^2))</f>
        <v/>
      </c>
      <c r="AJ489" s="125" t="inlineStr">
        <is>
          <t>HY1000X262</t>
        </is>
      </c>
      <c r="AK489" s="125" t="n"/>
      <c r="AL489" s="125" t="n"/>
      <c r="AM489" s="125">
        <f>SQRT(((VLOOKUP($AT$4,$A$4:$J$1021,10,FALSE))-J489)^2)</f>
        <v/>
      </c>
      <c r="AN489" s="125" t="n"/>
      <c r="AO489" s="125" t="n"/>
      <c r="AP489" s="125">
        <f>SQRT(((VLOOKUP($AT$4,$A$4:$R$1021,18,FALSE))-R489)^2)</f>
        <v/>
      </c>
      <c r="AQ489" s="125" t="inlineStr">
        <is>
          <t>HY1000X262</t>
        </is>
      </c>
      <c r="BB489" s="125">
        <f>SQRT(($J$1022-J489)^2)</f>
        <v/>
      </c>
      <c r="BC489" s="125">
        <f>SQRT(($R$1022-R489)^2)</f>
        <v/>
      </c>
      <c r="BD489" s="125" t="inlineStr">
        <is>
          <t>HY1000X262</t>
        </is>
      </c>
      <c r="BI489">
        <f>SQRT(($J$1023-J489)^2)</f>
        <v/>
      </c>
      <c r="BJ489">
        <f>SQRT(($R$1023-R489)^2)</f>
        <v/>
      </c>
      <c r="BK489" s="125" t="inlineStr">
        <is>
          <t>HY1000X262</t>
        </is>
      </c>
      <c r="BP489">
        <f>SQRT(($J$1024-J489)^2)</f>
        <v/>
      </c>
      <c r="BQ489">
        <f>SQRT(($R$1024-R489)^2)</f>
        <v/>
      </c>
      <c r="BR489" s="125" t="inlineStr">
        <is>
          <t>HY1000X262</t>
        </is>
      </c>
      <c r="BW489">
        <f>SQRT(($J$1025-J489)^2)</f>
        <v/>
      </c>
      <c r="BX489">
        <f>SQRT(($R$1025-R489)^2)</f>
        <v/>
      </c>
      <c r="BY489" s="125" t="inlineStr">
        <is>
          <t>HY1000X262</t>
        </is>
      </c>
      <c r="CD489">
        <f>SQRT(($J$1026-J489)^2)</f>
        <v/>
      </c>
      <c r="CE489">
        <f>SQRT(($R$1026-R489)^2)</f>
        <v/>
      </c>
      <c r="CF489" s="125" t="inlineStr">
        <is>
          <t>HY1000X262</t>
        </is>
      </c>
    </row>
    <row r="490">
      <c r="A490" s="125" t="inlineStr">
        <is>
          <t>HY1000X270</t>
        </is>
      </c>
      <c r="B490" s="129" t="inlineStr">
        <is>
          <t>HY</t>
        </is>
      </c>
      <c r="C490" s="125" t="n">
        <v>270</v>
      </c>
      <c r="D490" s="125" t="n">
        <v>1000</v>
      </c>
      <c r="E490" s="125" t="n">
        <v>300</v>
      </c>
      <c r="F490" s="125" t="n">
        <v>32</v>
      </c>
      <c r="G490" s="125" t="n">
        <v>16</v>
      </c>
      <c r="H490" s="125" t="n">
        <v>18</v>
      </c>
      <c r="I490" s="125">
        <f>D490-(2*(H490+F490))</f>
        <v/>
      </c>
      <c r="J490" s="125">
        <f>(2*E490/10*F490/10)+((D490-F490-F490)/10*G490/10)+((H490/10+H490/10)^2)-(PI()*H490/10*H490/10)</f>
        <v/>
      </c>
      <c r="K490" s="125">
        <f>((E490-G490)/2)/F490</f>
        <v/>
      </c>
      <c r="L490" s="125">
        <f>I490/G490</f>
        <v/>
      </c>
      <c r="M490" s="125">
        <f>(E490*2+F490*4+((E490-G490)/2-H490)*4+2*PI()*H490+(D490-2*F490-2*H490)*2)/1000</f>
        <v/>
      </c>
      <c r="N490" s="5" t="n">
        <v>565000</v>
      </c>
      <c r="O490" s="5" t="n">
        <v>14400</v>
      </c>
      <c r="P490" s="125" t="n">
        <v>40.5</v>
      </c>
      <c r="Q490" s="125" t="n">
        <v>6.5</v>
      </c>
      <c r="R490" s="5" t="n">
        <v>11300</v>
      </c>
      <c r="S490" s="125" t="n">
        <v>962</v>
      </c>
      <c r="T490" s="5" t="n">
        <v>12900</v>
      </c>
      <c r="U490" s="5" t="n">
        <v>1500</v>
      </c>
      <c r="X490" s="129">
        <f t="array" ref="X490">_xlfn.IFS((D490/F490) &lt;= (640/SQRT($AT$32)), "Compact", L490 &lt;= ($AT$32*(0.79-(0.002*((E490-G490/2)/(2*F490))*SQRT($AT$32)))), "Non-Compact", L490 &gt; ($AT$32*(0.79-(0.002*((E490-G490/2)/(2*F490))*SQRT($AT$32)))), "Slender")</f>
        <v/>
      </c>
      <c r="Y490" s="129">
        <f t="array" ref="Y490">_xlfn.IFS(K490 &lt;= (65/SQRT($AT$32)), "Compact", K490 &lt;= (95/SQRT($AT$32)), "Non-Compact", K490 &gt; (95/SQRT($AT$32)), "Slender")</f>
        <v/>
      </c>
      <c r="Z490" s="125">
        <f>E490/F490</f>
        <v/>
      </c>
      <c r="AA490" s="125">
        <f>D490/G490</f>
        <v/>
      </c>
      <c r="AB490" s="125">
        <f t="array" ref="AB490">_xlfn.IFS(Z490 &lt;= 9, "1", Z490 &lt;= 12, "2", Z490 &lt;= 15, "3", Z490 &gt; 15, "4")</f>
        <v/>
      </c>
      <c r="AC490" s="125">
        <f t="array" ref="AC490">_xlfn.IFS(AA490 &lt;= 200, "1", L490 &lt;= 300, "2", L490 &lt;= 400, "3", L490 &gt; 400, "4")</f>
        <v/>
      </c>
      <c r="AF490" s="129">
        <f>SQRT((((VLOOKUP($AT$4,$A$4:$D$1021,4,FALSE))-D490)^2)+(((VLOOKUP($AT$4,$A$4:$E$1021,5,FALSE))-E490)^2)+(((VLOOKUP($AT$4,$A$4:$N$1021,14,FALSE))-N490)^2)+(((VLOOKUP($AT$4,$A$4:$O$1021,15,FALSE))-O490)^2))</f>
        <v/>
      </c>
      <c r="AG490" s="129" t="n"/>
      <c r="AI490" s="129">
        <f>SQRT((((VLOOKUP($AT$4,$A$4:$D$1021,4,FALSE))-D490)^2)+(((VLOOKUP($AT$4,$A$4:$E$1021,5,FALSE))-E490)^2)+(((VLOOKUP($AT$4,$A$4:$R$1021,18,FALSE))-R490)^2)+(((VLOOKUP($AT$4,$A$4:$S$1021,19,FALSE))-S490)^2))</f>
        <v/>
      </c>
      <c r="AJ490" s="125" t="inlineStr">
        <is>
          <t>HY1000X270</t>
        </is>
      </c>
      <c r="AK490" s="125" t="n"/>
      <c r="AL490" s="125" t="n"/>
      <c r="AM490" s="125">
        <f>SQRT(((VLOOKUP($AT$4,$A$4:$J$1021,10,FALSE))-J490)^2)</f>
        <v/>
      </c>
      <c r="AN490" s="125" t="n"/>
      <c r="AO490" s="125" t="n"/>
      <c r="AP490" s="125">
        <f>SQRT(((VLOOKUP($AT$4,$A$4:$R$1021,18,FALSE))-R490)^2)</f>
        <v/>
      </c>
      <c r="AQ490" s="125" t="inlineStr">
        <is>
          <t>HY1000X270</t>
        </is>
      </c>
      <c r="BB490" s="125">
        <f>SQRT(($J$1022-J490)^2)</f>
        <v/>
      </c>
      <c r="BC490" s="125">
        <f>SQRT(($R$1022-R490)^2)</f>
        <v/>
      </c>
      <c r="BD490" s="125" t="inlineStr">
        <is>
          <t>HY1000X270</t>
        </is>
      </c>
      <c r="BI490">
        <f>SQRT(($J$1023-J490)^2)</f>
        <v/>
      </c>
      <c r="BJ490">
        <f>SQRT(($R$1023-R490)^2)</f>
        <v/>
      </c>
      <c r="BK490" s="125" t="inlineStr">
        <is>
          <t>HY1000X270</t>
        </is>
      </c>
      <c r="BP490">
        <f>SQRT(($J$1024-J490)^2)</f>
        <v/>
      </c>
      <c r="BQ490">
        <f>SQRT(($R$1024-R490)^2)</f>
        <v/>
      </c>
      <c r="BR490" s="125" t="inlineStr">
        <is>
          <t>HY1000X270</t>
        </is>
      </c>
      <c r="BW490">
        <f>SQRT(($J$1025-J490)^2)</f>
        <v/>
      </c>
      <c r="BX490">
        <f>SQRT(($R$1025-R490)^2)</f>
        <v/>
      </c>
      <c r="BY490" s="125" t="inlineStr">
        <is>
          <t>HY1000X270</t>
        </is>
      </c>
      <c r="CD490">
        <f>SQRT(($J$1026-J490)^2)</f>
        <v/>
      </c>
      <c r="CE490">
        <f>SQRT(($R$1026-R490)^2)</f>
        <v/>
      </c>
      <c r="CF490" s="125" t="inlineStr">
        <is>
          <t>HY1000X270</t>
        </is>
      </c>
    </row>
    <row r="491">
      <c r="A491" s="125" t="inlineStr">
        <is>
          <t>HY1000X253</t>
        </is>
      </c>
      <c r="B491" s="129" t="inlineStr">
        <is>
          <t>HY</t>
        </is>
      </c>
      <c r="C491" s="125" t="n">
        <v>253</v>
      </c>
      <c r="D491" s="125" t="n">
        <v>1000</v>
      </c>
      <c r="E491" s="125" t="n">
        <v>300</v>
      </c>
      <c r="F491" s="125" t="n">
        <v>28</v>
      </c>
      <c r="G491" s="125" t="n">
        <v>16</v>
      </c>
      <c r="H491" s="125" t="n">
        <v>18</v>
      </c>
      <c r="I491" s="125">
        <f>D491-(2*(H491+F491))</f>
        <v/>
      </c>
      <c r="J491" s="125">
        <f>(2*E491/10*F491/10)+((D491-F491-F491)/10*G491/10)+((H491/10+H491/10)^2)-(PI()*H491/10*H491/10)</f>
        <v/>
      </c>
      <c r="K491" s="125">
        <f>((E491-G491)/2)/F491</f>
        <v/>
      </c>
      <c r="L491" s="125">
        <f>I491/G491</f>
        <v/>
      </c>
      <c r="M491" s="125">
        <f>(E491*2+F491*4+((E491-G491)/2-H491)*4+2*PI()*H491+(D491-2*F491-2*H491)*2)/1000</f>
        <v/>
      </c>
      <c r="N491" s="5" t="n">
        <v>515000</v>
      </c>
      <c r="O491" s="5" t="n">
        <v>12600</v>
      </c>
      <c r="P491" s="125" t="n">
        <v>40</v>
      </c>
      <c r="Q491" s="125" t="n">
        <v>6.3</v>
      </c>
      <c r="R491" s="5" t="n">
        <v>10300</v>
      </c>
      <c r="S491" s="125" t="n">
        <v>842</v>
      </c>
      <c r="T491" s="5" t="n">
        <v>11900</v>
      </c>
      <c r="U491" s="5" t="n">
        <v>1320</v>
      </c>
      <c r="X491" s="129">
        <f t="array" ref="X491">_xlfn.IFS((D491/F491) &lt;= (640/SQRT($AT$32)), "Compact", L491 &lt;= ($AT$32*(0.79-(0.002*((E491-G491/2)/(2*F491))*SQRT($AT$32)))), "Non-Compact", L491 &gt; ($AT$32*(0.79-(0.002*((E491-G491/2)/(2*F491))*SQRT($AT$32)))), "Slender")</f>
        <v/>
      </c>
      <c r="Y491" s="129">
        <f t="array" ref="Y491">_xlfn.IFS(K491 &lt;= (65/SQRT($AT$32)), "Compact", K491 &lt;= (95/SQRT($AT$32)), "Non-Compact", K491 &gt; (95/SQRT($AT$32)), "Slender")</f>
        <v/>
      </c>
      <c r="Z491" s="125">
        <f>E491/F491</f>
        <v/>
      </c>
      <c r="AA491" s="125">
        <f>D491/G491</f>
        <v/>
      </c>
      <c r="AB491" s="125">
        <f t="array" ref="AB491">_xlfn.IFS(Z491 &lt;= 9, "1", Z491 &lt;= 12, "2", Z491 &lt;= 15, "3", Z491 &gt; 15, "4")</f>
        <v/>
      </c>
      <c r="AC491" s="125">
        <f t="array" ref="AC491">_xlfn.IFS(AA491 &lt;= 200, "1", L491 &lt;= 300, "2", L491 &lt;= 400, "3", L491 &gt; 400, "4")</f>
        <v/>
      </c>
      <c r="AF491" s="129">
        <f>SQRT((((VLOOKUP($AT$4,$A$4:$D$1021,4,FALSE))-D491)^2)+(((VLOOKUP($AT$4,$A$4:$E$1021,5,FALSE))-E491)^2)+(((VLOOKUP($AT$4,$A$4:$N$1021,14,FALSE))-N491)^2)+(((VLOOKUP($AT$4,$A$4:$O$1021,15,FALSE))-O491)^2))</f>
        <v/>
      </c>
      <c r="AG491" s="129" t="n"/>
      <c r="AI491" s="129">
        <f>SQRT((((VLOOKUP($AT$4,$A$4:$D$1021,4,FALSE))-D491)^2)+(((VLOOKUP($AT$4,$A$4:$E$1021,5,FALSE))-E491)^2)+(((VLOOKUP($AT$4,$A$4:$R$1021,18,FALSE))-R491)^2)+(((VLOOKUP($AT$4,$A$4:$S$1021,19,FALSE))-S491)^2))</f>
        <v/>
      </c>
      <c r="AJ491" s="125" t="inlineStr">
        <is>
          <t>HY1000X253</t>
        </is>
      </c>
      <c r="AK491" s="125" t="n"/>
      <c r="AL491" s="125" t="n"/>
      <c r="AM491" s="125">
        <f>SQRT(((VLOOKUP($AT$4,$A$4:$J$1021,10,FALSE))-J491)^2)</f>
        <v/>
      </c>
      <c r="AN491" s="125" t="n"/>
      <c r="AO491" s="125" t="n"/>
      <c r="AP491" s="125">
        <f>SQRT(((VLOOKUP($AT$4,$A$4:$R$1021,18,FALSE))-R491)^2)</f>
        <v/>
      </c>
      <c r="AQ491" s="125" t="inlineStr">
        <is>
          <t>HY1000X253</t>
        </is>
      </c>
      <c r="BB491" s="125">
        <f>SQRT(($J$1022-J491)^2)</f>
        <v/>
      </c>
      <c r="BC491" s="125">
        <f>SQRT(($R$1022-R491)^2)</f>
        <v/>
      </c>
      <c r="BD491" s="125" t="inlineStr">
        <is>
          <t>HY1000X253</t>
        </is>
      </c>
      <c r="BI491">
        <f>SQRT(($J$1023-J491)^2)</f>
        <v/>
      </c>
      <c r="BJ491">
        <f>SQRT(($R$1023-R491)^2)</f>
        <v/>
      </c>
      <c r="BK491" s="125" t="inlineStr">
        <is>
          <t>HY1000X253</t>
        </is>
      </c>
      <c r="BP491">
        <f>SQRT(($J$1024-J491)^2)</f>
        <v/>
      </c>
      <c r="BQ491">
        <f>SQRT(($R$1024-R491)^2)</f>
        <v/>
      </c>
      <c r="BR491" s="125" t="inlineStr">
        <is>
          <t>HY1000X253</t>
        </is>
      </c>
      <c r="BW491">
        <f>SQRT(($J$1025-J491)^2)</f>
        <v/>
      </c>
      <c r="BX491">
        <f>SQRT(($R$1025-R491)^2)</f>
        <v/>
      </c>
      <c r="BY491" s="125" t="inlineStr">
        <is>
          <t>HY1000X253</t>
        </is>
      </c>
      <c r="CD491">
        <f>SQRT(($J$1026-J491)^2)</f>
        <v/>
      </c>
      <c r="CE491">
        <f>SQRT(($R$1026-R491)^2)</f>
        <v/>
      </c>
      <c r="CF491" s="125" t="inlineStr">
        <is>
          <t>HY1000X253</t>
        </is>
      </c>
    </row>
    <row r="492">
      <c r="A492" s="125" t="inlineStr">
        <is>
          <t>HY1000X239</t>
        </is>
      </c>
      <c r="B492" s="129" t="inlineStr">
        <is>
          <t>HY</t>
        </is>
      </c>
      <c r="C492" s="125" t="n">
        <v>239</v>
      </c>
      <c r="D492" s="125" t="n">
        <v>1000</v>
      </c>
      <c r="E492" s="125" t="n">
        <v>300</v>
      </c>
      <c r="F492" s="125" t="n">
        <v>25</v>
      </c>
      <c r="G492" s="125" t="n">
        <v>16</v>
      </c>
      <c r="H492" s="125" t="n">
        <v>18</v>
      </c>
      <c r="I492" s="125">
        <f>D492-(2*(H492+F492))</f>
        <v/>
      </c>
      <c r="J492" s="125">
        <f>(2*E492/10*F492/10)+((D492-F492-F492)/10*G492/10)+((H492/10+H492/10)^2)-(PI()*H492/10*H492/10)</f>
        <v/>
      </c>
      <c r="K492" s="125">
        <f>((E492-G492)/2)/F492</f>
        <v/>
      </c>
      <c r="L492" s="125">
        <f>I492/G492</f>
        <v/>
      </c>
      <c r="M492" s="125">
        <f>(E492*2+F492*4+((E492-G492)/2-H492)*4+2*PI()*H492+(D492-2*F492-2*H492)*2)/1000</f>
        <v/>
      </c>
      <c r="N492" s="5" t="n">
        <v>477000</v>
      </c>
      <c r="O492" s="5" t="n">
        <v>11300</v>
      </c>
      <c r="P492" s="125" t="n">
        <v>39.6</v>
      </c>
      <c r="Q492" s="125" t="n">
        <v>6.1</v>
      </c>
      <c r="R492" s="5" t="n">
        <v>9540</v>
      </c>
      <c r="S492" s="125" t="n">
        <v>752</v>
      </c>
      <c r="T492" s="5" t="n">
        <v>11100</v>
      </c>
      <c r="U492" s="5" t="n">
        <v>1190</v>
      </c>
      <c r="X492" s="129">
        <f t="array" ref="X492">_xlfn.IFS((D492/F492) &lt;= (640/SQRT($AT$32)), "Compact", L492 &lt;= ($AT$32*(0.79-(0.002*((E492-G492/2)/(2*F492))*SQRT($AT$32)))), "Non-Compact", L492 &gt; ($AT$32*(0.79-(0.002*((E492-G492/2)/(2*F492))*SQRT($AT$32)))), "Slender")</f>
        <v/>
      </c>
      <c r="Y492" s="129">
        <f t="array" ref="Y492">_xlfn.IFS(K492 &lt;= (65/SQRT($AT$32)), "Compact", K492 &lt;= (95/SQRT($AT$32)), "Non-Compact", K492 &gt; (95/SQRT($AT$32)), "Slender")</f>
        <v/>
      </c>
      <c r="Z492" s="125">
        <f>E492/F492</f>
        <v/>
      </c>
      <c r="AA492" s="125">
        <f>D492/G492</f>
        <v/>
      </c>
      <c r="AB492" s="125">
        <f t="array" ref="AB492">_xlfn.IFS(Z492 &lt;= 9, "1", Z492 &lt;= 12, "2", Z492 &lt;= 15, "3", Z492 &gt; 15, "4")</f>
        <v/>
      </c>
      <c r="AC492" s="125">
        <f t="array" ref="AC492">_xlfn.IFS(AA492 &lt;= 200, "1", L492 &lt;= 300, "2", L492 &lt;= 400, "3", L492 &gt; 400, "4")</f>
        <v/>
      </c>
      <c r="AF492" s="129">
        <f>SQRT((((VLOOKUP($AT$4,$A$4:$D$1021,4,FALSE))-D492)^2)+(((VLOOKUP($AT$4,$A$4:$E$1021,5,FALSE))-E492)^2)+(((VLOOKUP($AT$4,$A$4:$N$1021,14,FALSE))-N492)^2)+(((VLOOKUP($AT$4,$A$4:$O$1021,15,FALSE))-O492)^2))</f>
        <v/>
      </c>
      <c r="AG492" s="129" t="n"/>
      <c r="AI492" s="129">
        <f>SQRT((((VLOOKUP($AT$4,$A$4:$D$1021,4,FALSE))-D492)^2)+(((VLOOKUP($AT$4,$A$4:$E$1021,5,FALSE))-E492)^2)+(((VLOOKUP($AT$4,$A$4:$R$1021,18,FALSE))-R492)^2)+(((VLOOKUP($AT$4,$A$4:$S$1021,19,FALSE))-S492)^2))</f>
        <v/>
      </c>
      <c r="AJ492" s="125" t="inlineStr">
        <is>
          <t>HY1000X239</t>
        </is>
      </c>
      <c r="AK492" s="125" t="n"/>
      <c r="AL492" s="125" t="n"/>
      <c r="AM492" s="125">
        <f>SQRT(((VLOOKUP($AT$4,$A$4:$J$1021,10,FALSE))-J492)^2)</f>
        <v/>
      </c>
      <c r="AN492" s="125" t="n"/>
      <c r="AO492" s="125" t="n"/>
      <c r="AP492" s="125">
        <f>SQRT(((VLOOKUP($AT$4,$A$4:$R$1021,18,FALSE))-R492)^2)</f>
        <v/>
      </c>
      <c r="AQ492" s="125" t="inlineStr">
        <is>
          <t>HY1000X239</t>
        </is>
      </c>
      <c r="BB492" s="125">
        <f>SQRT(($J$1022-J492)^2)</f>
        <v/>
      </c>
      <c r="BC492" s="125">
        <f>SQRT(($R$1022-R492)^2)</f>
        <v/>
      </c>
      <c r="BD492" s="125" t="inlineStr">
        <is>
          <t>HY1000X239</t>
        </is>
      </c>
      <c r="BI492">
        <f>SQRT(($J$1023-J492)^2)</f>
        <v/>
      </c>
      <c r="BJ492">
        <f>SQRT(($R$1023-R492)^2)</f>
        <v/>
      </c>
      <c r="BK492" s="125" t="inlineStr">
        <is>
          <t>HY1000X239</t>
        </is>
      </c>
      <c r="BP492">
        <f>SQRT(($J$1024-J492)^2)</f>
        <v/>
      </c>
      <c r="BQ492">
        <f>SQRT(($R$1024-R492)^2)</f>
        <v/>
      </c>
      <c r="BR492" s="125" t="inlineStr">
        <is>
          <t>HY1000X239</t>
        </is>
      </c>
      <c r="BW492">
        <f>SQRT(($J$1025-J492)^2)</f>
        <v/>
      </c>
      <c r="BX492">
        <f>SQRT(($R$1025-R492)^2)</f>
        <v/>
      </c>
      <c r="BY492" s="125" t="inlineStr">
        <is>
          <t>HY1000X239</t>
        </is>
      </c>
      <c r="CD492">
        <f>SQRT(($J$1026-J492)^2)</f>
        <v/>
      </c>
      <c r="CE492">
        <f>SQRT(($R$1026-R492)^2)</f>
        <v/>
      </c>
      <c r="CF492" s="125" t="inlineStr">
        <is>
          <t>HY1000X239</t>
        </is>
      </c>
    </row>
    <row r="493">
      <c r="A493" s="125" t="inlineStr">
        <is>
          <t>HY1000X226</t>
        </is>
      </c>
      <c r="B493" s="129" t="inlineStr">
        <is>
          <t>HY</t>
        </is>
      </c>
      <c r="C493" s="125" t="n">
        <v>226</v>
      </c>
      <c r="D493" s="125" t="n">
        <v>1000</v>
      </c>
      <c r="E493" s="125" t="n">
        <v>300</v>
      </c>
      <c r="F493" s="125" t="n">
        <v>22</v>
      </c>
      <c r="G493" s="125" t="n">
        <v>16</v>
      </c>
      <c r="H493" s="125" t="n">
        <v>18</v>
      </c>
      <c r="I493" s="125">
        <f>D493-(2*(H493+F493))</f>
        <v/>
      </c>
      <c r="J493" s="125">
        <f>(2*E493/10*F493/10)+((D493-F493-F493)/10*G493/10)+((H493/10+H493/10)^2)-(PI()*H493/10*H493/10)</f>
        <v/>
      </c>
      <c r="K493" s="125">
        <f>((E493-G493)/2)/F493</f>
        <v/>
      </c>
      <c r="L493" s="125">
        <f>I493/G493</f>
        <v/>
      </c>
      <c r="M493" s="125">
        <f>(E493*2+F493*4+((E493-G493)/2-H493)*4+2*PI()*H493+(D493-2*F493-2*H493)*2)/1000</f>
        <v/>
      </c>
      <c r="N493" s="5" t="n">
        <v>438000</v>
      </c>
      <c r="O493" s="5" t="n">
        <v>9940</v>
      </c>
      <c r="P493" s="125" t="n">
        <v>39</v>
      </c>
      <c r="Q493" s="125" t="n">
        <v>5.9</v>
      </c>
      <c r="R493" s="5" t="n">
        <v>8770</v>
      </c>
      <c r="S493" s="125" t="n">
        <v>662</v>
      </c>
      <c r="T493" s="5" t="n">
        <v>10200</v>
      </c>
      <c r="U493" s="5" t="n">
        <v>1050</v>
      </c>
      <c r="X493" s="129">
        <f t="array" ref="X493">_xlfn.IFS((D493/F493) &lt;= (640/SQRT($AT$32)), "Compact", L493 &lt;= ($AT$32*(0.79-(0.002*((E493-G493/2)/(2*F493))*SQRT($AT$32)))), "Non-Compact", L493 &gt; ($AT$32*(0.79-(0.002*((E493-G493/2)/(2*F493))*SQRT($AT$32)))), "Slender")</f>
        <v/>
      </c>
      <c r="Y493" s="129">
        <f t="array" ref="Y493">_xlfn.IFS(K493 &lt;= (65/SQRT($AT$32)), "Compact", K493 &lt;= (95/SQRT($AT$32)), "Non-Compact", K493 &gt; (95/SQRT($AT$32)), "Slender")</f>
        <v/>
      </c>
      <c r="Z493" s="125">
        <f>E493/F493</f>
        <v/>
      </c>
      <c r="AA493" s="125">
        <f>D493/G493</f>
        <v/>
      </c>
      <c r="AB493" s="125">
        <f t="array" ref="AB493">_xlfn.IFS(Z493 &lt;= 9, "1", Z493 &lt;= 12, "2", Z493 &lt;= 15, "3", Z493 &gt; 15, "4")</f>
        <v/>
      </c>
      <c r="AC493" s="125">
        <f t="array" ref="AC493">_xlfn.IFS(AA493 &lt;= 200, "1", L493 &lt;= 300, "2", L493 &lt;= 400, "3", L493 &gt; 400, "4")</f>
        <v/>
      </c>
      <c r="AF493" s="129">
        <f>SQRT((((VLOOKUP($AT$4,$A$4:$D$1021,4,FALSE))-D493)^2)+(((VLOOKUP($AT$4,$A$4:$E$1021,5,FALSE))-E493)^2)+(((VLOOKUP($AT$4,$A$4:$N$1021,14,FALSE))-N493)^2)+(((VLOOKUP($AT$4,$A$4:$O$1021,15,FALSE))-O493)^2))</f>
        <v/>
      </c>
      <c r="AG493" s="129" t="n"/>
      <c r="AI493" s="129">
        <f>SQRT((((VLOOKUP($AT$4,$A$4:$D$1021,4,FALSE))-D493)^2)+(((VLOOKUP($AT$4,$A$4:$E$1021,5,FALSE))-E493)^2)+(((VLOOKUP($AT$4,$A$4:$R$1021,18,FALSE))-R493)^2)+(((VLOOKUP($AT$4,$A$4:$S$1021,19,FALSE))-S493)^2))</f>
        <v/>
      </c>
      <c r="AJ493" s="125" t="inlineStr">
        <is>
          <t>HY1000X226</t>
        </is>
      </c>
      <c r="AK493" s="125" t="n"/>
      <c r="AL493" s="125" t="n"/>
      <c r="AM493" s="125">
        <f>SQRT(((VLOOKUP($AT$4,$A$4:$J$1021,10,FALSE))-J493)^2)</f>
        <v/>
      </c>
      <c r="AN493" s="125" t="n"/>
      <c r="AO493" s="125" t="n"/>
      <c r="AP493" s="125">
        <f>SQRT(((VLOOKUP($AT$4,$A$4:$R$1021,18,FALSE))-R493)^2)</f>
        <v/>
      </c>
      <c r="AQ493" s="125" t="inlineStr">
        <is>
          <t>HY1000X226</t>
        </is>
      </c>
      <c r="BB493" s="125">
        <f>SQRT(($J$1022-J493)^2)</f>
        <v/>
      </c>
      <c r="BC493" s="125">
        <f>SQRT(($R$1022-R493)^2)</f>
        <v/>
      </c>
      <c r="BD493" s="125" t="inlineStr">
        <is>
          <t>HY1000X226</t>
        </is>
      </c>
      <c r="BI493">
        <f>SQRT(($J$1023-J493)^2)</f>
        <v/>
      </c>
      <c r="BJ493">
        <f>SQRT(($R$1023-R493)^2)</f>
        <v/>
      </c>
      <c r="BK493" s="125" t="inlineStr">
        <is>
          <t>HY1000X226</t>
        </is>
      </c>
      <c r="BP493">
        <f>SQRT(($J$1024-J493)^2)</f>
        <v/>
      </c>
      <c r="BQ493">
        <f>SQRT(($R$1024-R493)^2)</f>
        <v/>
      </c>
      <c r="BR493" s="125" t="inlineStr">
        <is>
          <t>HY1000X226</t>
        </is>
      </c>
      <c r="BW493">
        <f>SQRT(($J$1025-J493)^2)</f>
        <v/>
      </c>
      <c r="BX493">
        <f>SQRT(($R$1025-R493)^2)</f>
        <v/>
      </c>
      <c r="BY493" s="125" t="inlineStr">
        <is>
          <t>HY1000X226</t>
        </is>
      </c>
      <c r="CD493">
        <f>SQRT(($J$1026-J493)^2)</f>
        <v/>
      </c>
      <c r="CE493">
        <f>SQRT(($R$1026-R493)^2)</f>
        <v/>
      </c>
      <c r="CF493" s="125" t="inlineStr">
        <is>
          <t>HY1000X226</t>
        </is>
      </c>
    </row>
    <row r="494">
      <c r="A494" s="125" t="inlineStr">
        <is>
          <t>HY1000X282</t>
        </is>
      </c>
      <c r="B494" s="129" t="inlineStr">
        <is>
          <t>HY</t>
        </is>
      </c>
      <c r="C494" s="125" t="n">
        <v>282</v>
      </c>
      <c r="D494" s="125" t="n">
        <v>1000</v>
      </c>
      <c r="E494" s="125" t="n">
        <v>250</v>
      </c>
      <c r="F494" s="125" t="n">
        <v>36</v>
      </c>
      <c r="G494" s="125" t="n">
        <v>19</v>
      </c>
      <c r="H494" s="125" t="n">
        <v>18</v>
      </c>
      <c r="I494" s="125">
        <f>D494-(2*(H494+F494))</f>
        <v/>
      </c>
      <c r="J494" s="125">
        <f>(2*E494/10*F494/10)+((D494-F494-F494)/10*G494/10)+((H494/10+H494/10)^2)-(PI()*H494/10*H494/10)</f>
        <v/>
      </c>
      <c r="K494" s="125">
        <f>((E494-G494)/2)/F494</f>
        <v/>
      </c>
      <c r="L494" s="125">
        <f>I494/G494</f>
        <v/>
      </c>
      <c r="M494" s="125">
        <f>(E494*2+F494*4+((E494-G494)/2-H494)*4+2*PI()*H494+(D494-2*F494-2*H494)*2)/1000</f>
        <v/>
      </c>
      <c r="N494" s="5" t="n">
        <v>551000</v>
      </c>
      <c r="O494" s="5" t="n">
        <v>9430</v>
      </c>
      <c r="P494" s="125" t="n">
        <v>39.2</v>
      </c>
      <c r="Q494" s="125" t="n">
        <v>5.1</v>
      </c>
      <c r="R494" s="5" t="n">
        <v>11000</v>
      </c>
      <c r="S494" s="125" t="n">
        <v>755</v>
      </c>
      <c r="T494" s="5" t="n">
        <v>12900</v>
      </c>
      <c r="U494" s="5" t="n">
        <v>1210</v>
      </c>
      <c r="X494" s="129">
        <f t="array" ref="X494">_xlfn.IFS((D494/F494) &lt;= (640/SQRT($AT$32)), "Compact", L494 &lt;= ($AT$32*(0.79-(0.002*((E494-G494/2)/(2*F494))*SQRT($AT$32)))), "Non-Compact", L494 &gt; ($AT$32*(0.79-(0.002*((E494-G494/2)/(2*F494))*SQRT($AT$32)))), "Slender")</f>
        <v/>
      </c>
      <c r="Y494" s="129">
        <f t="array" ref="Y494">_xlfn.IFS(K494 &lt;= (65/SQRT($AT$32)), "Compact", K494 &lt;= (95/SQRT($AT$32)), "Non-Compact", K494 &gt; (95/SQRT($AT$32)), "Slender")</f>
        <v/>
      </c>
      <c r="Z494" s="125">
        <f>E494/F494</f>
        <v/>
      </c>
      <c r="AA494" s="125">
        <f>D494/G494</f>
        <v/>
      </c>
      <c r="AB494" s="125">
        <f t="array" ref="AB494">_xlfn.IFS(Z494 &lt;= 9, "1", Z494 &lt;= 12, "2", Z494 &lt;= 15, "3", Z494 &gt; 15, "4")</f>
        <v/>
      </c>
      <c r="AC494" s="125">
        <f t="array" ref="AC494">_xlfn.IFS(AA494 &lt;= 200, "1", L494 &lt;= 300, "2", L494 &lt;= 400, "3", L494 &gt; 400, "4")</f>
        <v/>
      </c>
      <c r="AF494" s="129">
        <f>SQRT((((VLOOKUP($AT$4,$A$4:$D$1021,4,FALSE))-D494)^2)+(((VLOOKUP($AT$4,$A$4:$E$1021,5,FALSE))-E494)^2)+(((VLOOKUP($AT$4,$A$4:$N$1021,14,FALSE))-N494)^2)+(((VLOOKUP($AT$4,$A$4:$O$1021,15,FALSE))-O494)^2))</f>
        <v/>
      </c>
      <c r="AG494" s="129" t="n"/>
      <c r="AI494" s="129">
        <f>SQRT((((VLOOKUP($AT$4,$A$4:$D$1021,4,FALSE))-D494)^2)+(((VLOOKUP($AT$4,$A$4:$E$1021,5,FALSE))-E494)^2)+(((VLOOKUP($AT$4,$A$4:$R$1021,18,FALSE))-R494)^2)+(((VLOOKUP($AT$4,$A$4:$S$1021,19,FALSE))-S494)^2))</f>
        <v/>
      </c>
      <c r="AJ494" s="125" t="inlineStr">
        <is>
          <t>HY1000X282</t>
        </is>
      </c>
      <c r="AK494" s="125" t="n"/>
      <c r="AL494" s="125" t="n"/>
      <c r="AM494" s="125">
        <f>SQRT(((VLOOKUP($AT$4,$A$4:$J$1021,10,FALSE))-J494)^2)</f>
        <v/>
      </c>
      <c r="AN494" s="125" t="n"/>
      <c r="AO494" s="125" t="n"/>
      <c r="AP494" s="125">
        <f>SQRT(((VLOOKUP($AT$4,$A$4:$R$1021,18,FALSE))-R494)^2)</f>
        <v/>
      </c>
      <c r="AQ494" s="125" t="inlineStr">
        <is>
          <t>HY1000X282</t>
        </is>
      </c>
      <c r="BB494" s="125">
        <f>SQRT(($J$1022-J494)^2)</f>
        <v/>
      </c>
      <c r="BC494" s="125">
        <f>SQRT(($R$1022-R494)^2)</f>
        <v/>
      </c>
      <c r="BD494" s="125" t="inlineStr">
        <is>
          <t>HY1000X282</t>
        </is>
      </c>
      <c r="BI494">
        <f>SQRT(($J$1023-J494)^2)</f>
        <v/>
      </c>
      <c r="BJ494">
        <f>SQRT(($R$1023-R494)^2)</f>
        <v/>
      </c>
      <c r="BK494" s="125" t="inlineStr">
        <is>
          <t>HY1000X282</t>
        </is>
      </c>
      <c r="BP494">
        <f>SQRT(($J$1024-J494)^2)</f>
        <v/>
      </c>
      <c r="BQ494">
        <f>SQRT(($R$1024-R494)^2)</f>
        <v/>
      </c>
      <c r="BR494" s="125" t="inlineStr">
        <is>
          <t>HY1000X282</t>
        </is>
      </c>
      <c r="BW494">
        <f>SQRT(($J$1025-J494)^2)</f>
        <v/>
      </c>
      <c r="BX494">
        <f>SQRT(($R$1025-R494)^2)</f>
        <v/>
      </c>
      <c r="BY494" s="125" t="inlineStr">
        <is>
          <t>HY1000X282</t>
        </is>
      </c>
      <c r="CD494">
        <f>SQRT(($J$1026-J494)^2)</f>
        <v/>
      </c>
      <c r="CE494">
        <f>SQRT(($R$1026-R494)^2)</f>
        <v/>
      </c>
      <c r="CF494" s="125" t="inlineStr">
        <is>
          <t>HY1000X282</t>
        </is>
      </c>
    </row>
    <row r="495">
      <c r="A495" s="125" t="inlineStr">
        <is>
          <t>HY1000X267</t>
        </is>
      </c>
      <c r="B495" s="129" t="inlineStr">
        <is>
          <t>HY</t>
        </is>
      </c>
      <c r="C495" s="125" t="n">
        <v>267</v>
      </c>
      <c r="D495" s="125" t="n">
        <v>1000</v>
      </c>
      <c r="E495" s="125" t="n">
        <v>250</v>
      </c>
      <c r="F495" s="125" t="n">
        <v>32</v>
      </c>
      <c r="G495" s="125" t="n">
        <v>19</v>
      </c>
      <c r="H495" s="125" t="n">
        <v>18</v>
      </c>
      <c r="I495" s="125">
        <f>D495-(2*(H495+F495))</f>
        <v/>
      </c>
      <c r="J495" s="125">
        <f>(2*E495/10*F495/10)+((D495-F495-F495)/10*G495/10)+((H495/10+H495/10)^2)-(PI()*H495/10*H495/10)</f>
        <v/>
      </c>
      <c r="K495" s="125">
        <f>((E495-G495)/2)/F495</f>
        <v/>
      </c>
      <c r="L495" s="125">
        <f>I495/G495</f>
        <v/>
      </c>
      <c r="M495" s="125">
        <f>(E495*2+F495*4+((E495-G495)/2-H495)*4+2*PI()*H495+(D495-2*F495-2*H495)*2)/1000</f>
        <v/>
      </c>
      <c r="N495" s="5" t="n">
        <v>511000</v>
      </c>
      <c r="O495" s="5" t="n">
        <v>8390</v>
      </c>
      <c r="P495" s="125" t="n">
        <v>38.7</v>
      </c>
      <c r="Q495" s="125" t="n">
        <v>5</v>
      </c>
      <c r="R495" s="5" t="n">
        <v>10200</v>
      </c>
      <c r="S495" s="125" t="n">
        <v>671</v>
      </c>
      <c r="T495" s="5" t="n">
        <v>12000</v>
      </c>
      <c r="U495" s="5" t="n">
        <v>1090</v>
      </c>
      <c r="X495" s="129">
        <f t="array" ref="X495">_xlfn.IFS((D495/F495) &lt;= (640/SQRT($AT$32)), "Compact", L495 &lt;= ($AT$32*(0.79-(0.002*((E495-G495/2)/(2*F495))*SQRT($AT$32)))), "Non-Compact", L495 &gt; ($AT$32*(0.79-(0.002*((E495-G495/2)/(2*F495))*SQRT($AT$32)))), "Slender")</f>
        <v/>
      </c>
      <c r="Y495" s="129">
        <f t="array" ref="Y495">_xlfn.IFS(K495 &lt;= (65/SQRT($AT$32)), "Compact", K495 &lt;= (95/SQRT($AT$32)), "Non-Compact", K495 &gt; (95/SQRT($AT$32)), "Slender")</f>
        <v/>
      </c>
      <c r="Z495" s="125">
        <f>E495/F495</f>
        <v/>
      </c>
      <c r="AA495" s="125">
        <f>D495/G495</f>
        <v/>
      </c>
      <c r="AB495" s="125">
        <f t="array" ref="AB495">_xlfn.IFS(Z495 &lt;= 9, "1", Z495 &lt;= 12, "2", Z495 &lt;= 15, "3", Z495 &gt; 15, "4")</f>
        <v/>
      </c>
      <c r="AC495" s="125">
        <f t="array" ref="AC495">_xlfn.IFS(AA495 &lt;= 200, "1", L495 &lt;= 300, "2", L495 &lt;= 400, "3", L495 &gt; 400, "4")</f>
        <v/>
      </c>
      <c r="AF495" s="129">
        <f>SQRT((((VLOOKUP($AT$4,$A$4:$D$1021,4,FALSE))-D495)^2)+(((VLOOKUP($AT$4,$A$4:$E$1021,5,FALSE))-E495)^2)+(((VLOOKUP($AT$4,$A$4:$N$1021,14,FALSE))-N495)^2)+(((VLOOKUP($AT$4,$A$4:$O$1021,15,FALSE))-O495)^2))</f>
        <v/>
      </c>
      <c r="AG495" s="129" t="n"/>
      <c r="AI495" s="129">
        <f>SQRT((((VLOOKUP($AT$4,$A$4:$D$1021,4,FALSE))-D495)^2)+(((VLOOKUP($AT$4,$A$4:$E$1021,5,FALSE))-E495)^2)+(((VLOOKUP($AT$4,$A$4:$R$1021,18,FALSE))-R495)^2)+(((VLOOKUP($AT$4,$A$4:$S$1021,19,FALSE))-S495)^2))</f>
        <v/>
      </c>
      <c r="AJ495" s="125" t="inlineStr">
        <is>
          <t>HY1000X267</t>
        </is>
      </c>
      <c r="AK495" s="125" t="n"/>
      <c r="AL495" s="125" t="n"/>
      <c r="AM495" s="125">
        <f>SQRT(((VLOOKUP($AT$4,$A$4:$J$1021,10,FALSE))-J495)^2)</f>
        <v/>
      </c>
      <c r="AN495" s="125" t="n"/>
      <c r="AO495" s="125" t="n"/>
      <c r="AP495" s="125">
        <f>SQRT(((VLOOKUP($AT$4,$A$4:$R$1021,18,FALSE))-R495)^2)</f>
        <v/>
      </c>
      <c r="AQ495" s="125" t="inlineStr">
        <is>
          <t>HY1000X267</t>
        </is>
      </c>
      <c r="BB495" s="125">
        <f>SQRT(($J$1022-J495)^2)</f>
        <v/>
      </c>
      <c r="BC495" s="125">
        <f>SQRT(($R$1022-R495)^2)</f>
        <v/>
      </c>
      <c r="BD495" s="125" t="inlineStr">
        <is>
          <t>HY1000X267</t>
        </is>
      </c>
      <c r="BI495">
        <f>SQRT(($J$1023-J495)^2)</f>
        <v/>
      </c>
      <c r="BJ495">
        <f>SQRT(($R$1023-R495)^2)</f>
        <v/>
      </c>
      <c r="BK495" s="125" t="inlineStr">
        <is>
          <t>HY1000X267</t>
        </is>
      </c>
      <c r="BP495">
        <f>SQRT(($J$1024-J495)^2)</f>
        <v/>
      </c>
      <c r="BQ495">
        <f>SQRT(($R$1024-R495)^2)</f>
        <v/>
      </c>
      <c r="BR495" s="125" t="inlineStr">
        <is>
          <t>HY1000X267</t>
        </is>
      </c>
      <c r="BW495">
        <f>SQRT(($J$1025-J495)^2)</f>
        <v/>
      </c>
      <c r="BX495">
        <f>SQRT(($R$1025-R495)^2)</f>
        <v/>
      </c>
      <c r="BY495" s="125" t="inlineStr">
        <is>
          <t>HY1000X267</t>
        </is>
      </c>
      <c r="CD495">
        <f>SQRT(($J$1026-J495)^2)</f>
        <v/>
      </c>
      <c r="CE495">
        <f>SQRT(($R$1026-R495)^2)</f>
        <v/>
      </c>
      <c r="CF495" s="125" t="inlineStr">
        <is>
          <t>HY1000X267</t>
        </is>
      </c>
    </row>
    <row r="496">
      <c r="A496" s="125" t="inlineStr">
        <is>
          <t>HY1000X253</t>
        </is>
      </c>
      <c r="B496" s="129" t="inlineStr">
        <is>
          <t>HY</t>
        </is>
      </c>
      <c r="C496" s="125" t="n">
        <v>253</v>
      </c>
      <c r="D496" s="125" t="n">
        <v>1000</v>
      </c>
      <c r="E496" s="125" t="n">
        <v>250</v>
      </c>
      <c r="F496" s="125" t="n">
        <v>28</v>
      </c>
      <c r="G496" s="125" t="n">
        <v>19</v>
      </c>
      <c r="H496" s="125" t="n">
        <v>18</v>
      </c>
      <c r="I496" s="125">
        <f>D496-(2*(H496+F496))</f>
        <v/>
      </c>
      <c r="J496" s="125">
        <f>(2*E496/10*F496/10)+((D496-F496-F496)/10*G496/10)+((H496/10+H496/10)^2)-(PI()*H496/10*H496/10)</f>
        <v/>
      </c>
      <c r="K496" s="125">
        <f>((E496-G496)/2)/F496</f>
        <v/>
      </c>
      <c r="L496" s="125">
        <f>I496/G496</f>
        <v/>
      </c>
      <c r="M496" s="125">
        <f>(E496*2+F496*4+((E496-G496)/2-H496)*4+2*PI()*H496+(D496-2*F496-2*H496)*2)/1000</f>
        <v/>
      </c>
      <c r="N496" s="5" t="n">
        <v>470000</v>
      </c>
      <c r="O496" s="5" t="n">
        <v>7350</v>
      </c>
      <c r="P496" s="125" t="n">
        <v>38.2</v>
      </c>
      <c r="Q496" s="125" t="n">
        <v>4.8</v>
      </c>
      <c r="R496" s="5" t="n">
        <v>9400</v>
      </c>
      <c r="S496" s="125" t="n">
        <v>588</v>
      </c>
      <c r="T496" s="5" t="n">
        <v>11200</v>
      </c>
      <c r="U496" s="125" t="n">
        <v>964</v>
      </c>
      <c r="X496" s="129">
        <f t="array" ref="X496">_xlfn.IFS((D496/F496) &lt;= (640/SQRT($AT$32)), "Compact", L496 &lt;= ($AT$32*(0.79-(0.002*((E496-G496/2)/(2*F496))*SQRT($AT$32)))), "Non-Compact", L496 &gt; ($AT$32*(0.79-(0.002*((E496-G496/2)/(2*F496))*SQRT($AT$32)))), "Slender")</f>
        <v/>
      </c>
      <c r="Y496" s="129">
        <f t="array" ref="Y496">_xlfn.IFS(K496 &lt;= (65/SQRT($AT$32)), "Compact", K496 &lt;= (95/SQRT($AT$32)), "Non-Compact", K496 &gt; (95/SQRT($AT$32)), "Slender")</f>
        <v/>
      </c>
      <c r="Z496" s="125">
        <f>E496/F496</f>
        <v/>
      </c>
      <c r="AA496" s="125">
        <f>D496/G496</f>
        <v/>
      </c>
      <c r="AB496" s="125">
        <f t="array" ref="AB496">_xlfn.IFS(Z496 &lt;= 9, "1", Z496 &lt;= 12, "2", Z496 &lt;= 15, "3", Z496 &gt; 15, "4")</f>
        <v/>
      </c>
      <c r="AC496" s="125">
        <f t="array" ref="AC496">_xlfn.IFS(AA496 &lt;= 200, "1", L496 &lt;= 300, "2", L496 &lt;= 400, "3", L496 &gt; 400, "4")</f>
        <v/>
      </c>
      <c r="AF496" s="129">
        <f>SQRT((((VLOOKUP($AT$4,$A$4:$D$1021,4,FALSE))-D496)^2)+(((VLOOKUP($AT$4,$A$4:$E$1021,5,FALSE))-E496)^2)+(((VLOOKUP($AT$4,$A$4:$N$1021,14,FALSE))-N496)^2)+(((VLOOKUP($AT$4,$A$4:$O$1021,15,FALSE))-O496)^2))</f>
        <v/>
      </c>
      <c r="AG496" s="129" t="n"/>
      <c r="AI496" s="129">
        <f>SQRT((((VLOOKUP($AT$4,$A$4:$D$1021,4,FALSE))-D496)^2)+(((VLOOKUP($AT$4,$A$4:$E$1021,5,FALSE))-E496)^2)+(((VLOOKUP($AT$4,$A$4:$R$1021,18,FALSE))-R496)^2)+(((VLOOKUP($AT$4,$A$4:$S$1021,19,FALSE))-S496)^2))</f>
        <v/>
      </c>
      <c r="AJ496" s="125" t="inlineStr">
        <is>
          <t>HY1000X253</t>
        </is>
      </c>
      <c r="AK496" s="125" t="n"/>
      <c r="AL496" s="125" t="n"/>
      <c r="AM496" s="125">
        <f>SQRT(((VLOOKUP($AT$4,$A$4:$J$1021,10,FALSE))-J496)^2)</f>
        <v/>
      </c>
      <c r="AN496" s="125" t="n"/>
      <c r="AO496" s="125" t="n"/>
      <c r="AP496" s="125">
        <f>SQRT(((VLOOKUP($AT$4,$A$4:$R$1021,18,FALSE))-R496)^2)</f>
        <v/>
      </c>
      <c r="AQ496" s="125" t="inlineStr">
        <is>
          <t>HY1000X253</t>
        </is>
      </c>
      <c r="BB496" s="125">
        <f>SQRT(($J$1022-J496)^2)</f>
        <v/>
      </c>
      <c r="BC496" s="125">
        <f>SQRT(($R$1022-R496)^2)</f>
        <v/>
      </c>
      <c r="BD496" s="125" t="inlineStr">
        <is>
          <t>HY1000X253</t>
        </is>
      </c>
      <c r="BI496">
        <f>SQRT(($J$1023-J496)^2)</f>
        <v/>
      </c>
      <c r="BJ496">
        <f>SQRT(($R$1023-R496)^2)</f>
        <v/>
      </c>
      <c r="BK496" s="125" t="inlineStr">
        <is>
          <t>HY1000X253</t>
        </is>
      </c>
      <c r="BP496">
        <f>SQRT(($J$1024-J496)^2)</f>
        <v/>
      </c>
      <c r="BQ496">
        <f>SQRT(($R$1024-R496)^2)</f>
        <v/>
      </c>
      <c r="BR496" s="125" t="inlineStr">
        <is>
          <t>HY1000X253</t>
        </is>
      </c>
      <c r="BW496">
        <f>SQRT(($J$1025-J496)^2)</f>
        <v/>
      </c>
      <c r="BX496">
        <f>SQRT(($R$1025-R496)^2)</f>
        <v/>
      </c>
      <c r="BY496" s="125" t="inlineStr">
        <is>
          <t>HY1000X253</t>
        </is>
      </c>
      <c r="CD496">
        <f>SQRT(($J$1026-J496)^2)</f>
        <v/>
      </c>
      <c r="CE496">
        <f>SQRT(($R$1026-R496)^2)</f>
        <v/>
      </c>
      <c r="CF496" s="125" t="inlineStr">
        <is>
          <t>HY1000X253</t>
        </is>
      </c>
    </row>
    <row r="497">
      <c r="A497" s="125" t="inlineStr">
        <is>
          <t>HY1000X242</t>
        </is>
      </c>
      <c r="B497" s="129" t="inlineStr">
        <is>
          <t>HY</t>
        </is>
      </c>
      <c r="C497" s="125" t="n">
        <v>242</v>
      </c>
      <c r="D497" s="125" t="n">
        <v>1000</v>
      </c>
      <c r="E497" s="125" t="n">
        <v>250</v>
      </c>
      <c r="F497" s="125" t="n">
        <v>25</v>
      </c>
      <c r="G497" s="125" t="n">
        <v>19</v>
      </c>
      <c r="H497" s="125" t="n">
        <v>18</v>
      </c>
      <c r="I497" s="125">
        <f>D497-(2*(H497+F497))</f>
        <v/>
      </c>
      <c r="J497" s="125">
        <f>(2*E497/10*F497/10)+((D497-F497-F497)/10*G497/10)+((H497/10+H497/10)^2)-(PI()*H497/10*H497/10)</f>
        <v/>
      </c>
      <c r="K497" s="125">
        <f>((E497-G497)/2)/F497</f>
        <v/>
      </c>
      <c r="L497" s="125">
        <f>I497/G497</f>
        <v/>
      </c>
      <c r="M497" s="125">
        <f>(E497*2+F497*4+((E497-G497)/2-H497)*4+2*PI()*H497+(D497-2*F497-2*H497)*2)/1000</f>
        <v/>
      </c>
      <c r="N497" s="5" t="n">
        <v>439000</v>
      </c>
      <c r="O497" s="5" t="n">
        <v>6570</v>
      </c>
      <c r="P497" s="125" t="n">
        <v>37.7</v>
      </c>
      <c r="Q497" s="125" t="n">
        <v>4.6</v>
      </c>
      <c r="R497" s="5" t="n">
        <v>8780</v>
      </c>
      <c r="S497" s="125" t="n">
        <v>526</v>
      </c>
      <c r="T497" s="5" t="n">
        <v>10500</v>
      </c>
      <c r="U497" s="125" t="n">
        <v>871</v>
      </c>
      <c r="X497" s="129">
        <f t="array" ref="X497">_xlfn.IFS((D497/F497) &lt;= (640/SQRT($AT$32)), "Compact", L497 &lt;= ($AT$32*(0.79-(0.002*((E497-G497/2)/(2*F497))*SQRT($AT$32)))), "Non-Compact", L497 &gt; ($AT$32*(0.79-(0.002*((E497-G497/2)/(2*F497))*SQRT($AT$32)))), "Slender")</f>
        <v/>
      </c>
      <c r="Y497" s="129">
        <f t="array" ref="Y497">_xlfn.IFS(K497 &lt;= (65/SQRT($AT$32)), "Compact", K497 &lt;= (95/SQRT($AT$32)), "Non-Compact", K497 &gt; (95/SQRT($AT$32)), "Slender")</f>
        <v/>
      </c>
      <c r="Z497" s="125">
        <f>E497/F497</f>
        <v/>
      </c>
      <c r="AA497" s="125">
        <f>D497/G497</f>
        <v/>
      </c>
      <c r="AB497" s="125">
        <f t="array" ref="AB497">_xlfn.IFS(Z497 &lt;= 9, "1", Z497 &lt;= 12, "2", Z497 &lt;= 15, "3", Z497 &gt; 15, "4")</f>
        <v/>
      </c>
      <c r="AC497" s="125">
        <f t="array" ref="AC497">_xlfn.IFS(AA497 &lt;= 200, "1", L497 &lt;= 300, "2", L497 &lt;= 400, "3", L497 &gt; 400, "4")</f>
        <v/>
      </c>
      <c r="AF497" s="129">
        <f>SQRT((((VLOOKUP($AT$4,$A$4:$D$1021,4,FALSE))-D497)^2)+(((VLOOKUP($AT$4,$A$4:$E$1021,5,FALSE))-E497)^2)+(((VLOOKUP($AT$4,$A$4:$N$1021,14,FALSE))-N497)^2)+(((VLOOKUP($AT$4,$A$4:$O$1021,15,FALSE))-O497)^2))</f>
        <v/>
      </c>
      <c r="AG497" s="129" t="n"/>
      <c r="AI497" s="129">
        <f>SQRT((((VLOOKUP($AT$4,$A$4:$D$1021,4,FALSE))-D497)^2)+(((VLOOKUP($AT$4,$A$4:$E$1021,5,FALSE))-E497)^2)+(((VLOOKUP($AT$4,$A$4:$R$1021,18,FALSE))-R497)^2)+(((VLOOKUP($AT$4,$A$4:$S$1021,19,FALSE))-S497)^2))</f>
        <v/>
      </c>
      <c r="AJ497" s="125" t="inlineStr">
        <is>
          <t>HY1000X242</t>
        </is>
      </c>
      <c r="AK497" s="125" t="n"/>
      <c r="AL497" s="125" t="n"/>
      <c r="AM497" s="125">
        <f>SQRT(((VLOOKUP($AT$4,$A$4:$J$1021,10,FALSE))-J497)^2)</f>
        <v/>
      </c>
      <c r="AN497" s="125" t="n"/>
      <c r="AO497" s="125" t="n"/>
      <c r="AP497" s="125">
        <f>SQRT(((VLOOKUP($AT$4,$A$4:$R$1021,18,FALSE))-R497)^2)</f>
        <v/>
      </c>
      <c r="AQ497" s="125" t="inlineStr">
        <is>
          <t>HY1000X242</t>
        </is>
      </c>
      <c r="BB497" s="125">
        <f>SQRT(($J$1022-J497)^2)</f>
        <v/>
      </c>
      <c r="BC497" s="125">
        <f>SQRT(($R$1022-R497)^2)</f>
        <v/>
      </c>
      <c r="BD497" s="125" t="inlineStr">
        <is>
          <t>HY1000X242</t>
        </is>
      </c>
      <c r="BI497">
        <f>SQRT(($J$1023-J497)^2)</f>
        <v/>
      </c>
      <c r="BJ497">
        <f>SQRT(($R$1023-R497)^2)</f>
        <v/>
      </c>
      <c r="BK497" s="125" t="inlineStr">
        <is>
          <t>HY1000X242</t>
        </is>
      </c>
      <c r="BP497">
        <f>SQRT(($J$1024-J497)^2)</f>
        <v/>
      </c>
      <c r="BQ497">
        <f>SQRT(($R$1024-R497)^2)</f>
        <v/>
      </c>
      <c r="BR497" s="125" t="inlineStr">
        <is>
          <t>HY1000X242</t>
        </is>
      </c>
      <c r="BW497">
        <f>SQRT(($J$1025-J497)^2)</f>
        <v/>
      </c>
      <c r="BX497">
        <f>SQRT(($R$1025-R497)^2)</f>
        <v/>
      </c>
      <c r="BY497" s="125" t="inlineStr">
        <is>
          <t>HY1000X242</t>
        </is>
      </c>
      <c r="CD497">
        <f>SQRT(($J$1026-J497)^2)</f>
        <v/>
      </c>
      <c r="CE497">
        <f>SQRT(($R$1026-R497)^2)</f>
        <v/>
      </c>
      <c r="CF497" s="125" t="inlineStr">
        <is>
          <t>HY1000X242</t>
        </is>
      </c>
    </row>
    <row r="498">
      <c r="A498" s="125" t="inlineStr">
        <is>
          <t>HY1000X245</t>
        </is>
      </c>
      <c r="B498" s="129" t="inlineStr">
        <is>
          <t>HY</t>
        </is>
      </c>
      <c r="C498" s="125" t="n">
        <v>245</v>
      </c>
      <c r="D498" s="125" t="n">
        <v>1000</v>
      </c>
      <c r="E498" s="125" t="n">
        <v>250</v>
      </c>
      <c r="F498" s="125" t="n">
        <v>32</v>
      </c>
      <c r="G498" s="125" t="n">
        <v>16</v>
      </c>
      <c r="H498" s="125" t="n">
        <v>18</v>
      </c>
      <c r="I498" s="125">
        <f>D498-(2*(H498+F498))</f>
        <v/>
      </c>
      <c r="J498" s="125">
        <f>(2*E498/10*F498/10)+((D498-F498-F498)/10*G498/10)+((H498/10+H498/10)^2)-(PI()*H498/10*H498/10)</f>
        <v/>
      </c>
      <c r="K498" s="125">
        <f>((E498-G498)/2)/F498</f>
        <v/>
      </c>
      <c r="L498" s="125">
        <f>I498/G498</f>
        <v/>
      </c>
      <c r="M498" s="125">
        <f>(E498*2+F498*4+((E498-G498)/2-H498)*4+2*PI()*H498+(D498-2*F498-2*H498)*2)/1000</f>
        <v/>
      </c>
      <c r="N498" s="5" t="n">
        <v>490000</v>
      </c>
      <c r="O498" s="5" t="n">
        <v>8370</v>
      </c>
      <c r="P498" s="125" t="n">
        <v>39.6</v>
      </c>
      <c r="Q498" s="125" t="n">
        <v>5.2</v>
      </c>
      <c r="R498" s="5" t="n">
        <v>9810</v>
      </c>
      <c r="S498" s="125" t="n">
        <v>670</v>
      </c>
      <c r="T498" s="5" t="n">
        <v>11400</v>
      </c>
      <c r="U498" s="5" t="n">
        <v>1060</v>
      </c>
      <c r="X498" s="129">
        <f t="array" ref="X498">_xlfn.IFS((D498/F498) &lt;= (640/SQRT($AT$32)), "Compact", L498 &lt;= ($AT$32*(0.79-(0.002*((E498-G498/2)/(2*F498))*SQRT($AT$32)))), "Non-Compact", L498 &gt; ($AT$32*(0.79-(0.002*((E498-G498/2)/(2*F498))*SQRT($AT$32)))), "Slender")</f>
        <v/>
      </c>
      <c r="Y498" s="129">
        <f t="array" ref="Y498">_xlfn.IFS(K498 &lt;= (65/SQRT($AT$32)), "Compact", K498 &lt;= (95/SQRT($AT$32)), "Non-Compact", K498 &gt; (95/SQRT($AT$32)), "Slender")</f>
        <v/>
      </c>
      <c r="Z498" s="125">
        <f>E498/F498</f>
        <v/>
      </c>
      <c r="AA498" s="125">
        <f>D498/G498</f>
        <v/>
      </c>
      <c r="AB498" s="125">
        <f t="array" ref="AB498">_xlfn.IFS(Z498 &lt;= 9, "1", Z498 &lt;= 12, "2", Z498 &lt;= 15, "3", Z498 &gt; 15, "4")</f>
        <v/>
      </c>
      <c r="AC498" s="125">
        <f t="array" ref="AC498">_xlfn.IFS(AA498 &lt;= 200, "1", L498 &lt;= 300, "2", L498 &lt;= 400, "3", L498 &gt; 400, "4")</f>
        <v/>
      </c>
      <c r="AF498" s="129">
        <f>SQRT((((VLOOKUP($AT$4,$A$4:$D$1021,4,FALSE))-D498)^2)+(((VLOOKUP($AT$4,$A$4:$E$1021,5,FALSE))-E498)^2)+(((VLOOKUP($AT$4,$A$4:$N$1021,14,FALSE))-N498)^2)+(((VLOOKUP($AT$4,$A$4:$O$1021,15,FALSE))-O498)^2))</f>
        <v/>
      </c>
      <c r="AG498" s="129" t="n"/>
      <c r="AI498" s="129">
        <f>SQRT((((VLOOKUP($AT$4,$A$4:$D$1021,4,FALSE))-D498)^2)+(((VLOOKUP($AT$4,$A$4:$E$1021,5,FALSE))-E498)^2)+(((VLOOKUP($AT$4,$A$4:$R$1021,18,FALSE))-R498)^2)+(((VLOOKUP($AT$4,$A$4:$S$1021,19,FALSE))-S498)^2))</f>
        <v/>
      </c>
      <c r="AJ498" s="125" t="inlineStr">
        <is>
          <t>HY1000X245</t>
        </is>
      </c>
      <c r="AK498" s="125" t="n"/>
      <c r="AL498" s="125" t="n"/>
      <c r="AM498" s="125">
        <f>SQRT(((VLOOKUP($AT$4,$A$4:$J$1021,10,FALSE))-J498)^2)</f>
        <v/>
      </c>
      <c r="AN498" s="125" t="n"/>
      <c r="AO498" s="125" t="n"/>
      <c r="AP498" s="125">
        <f>SQRT(((VLOOKUP($AT$4,$A$4:$R$1021,18,FALSE))-R498)^2)</f>
        <v/>
      </c>
      <c r="AQ498" s="125" t="inlineStr">
        <is>
          <t>HY1000X245</t>
        </is>
      </c>
      <c r="BB498" s="125">
        <f>SQRT(($J$1022-J498)^2)</f>
        <v/>
      </c>
      <c r="BC498" s="125">
        <f>SQRT(($R$1022-R498)^2)</f>
        <v/>
      </c>
      <c r="BD498" s="125" t="inlineStr">
        <is>
          <t>HY1000X245</t>
        </is>
      </c>
      <c r="BI498">
        <f>SQRT(($J$1023-J498)^2)</f>
        <v/>
      </c>
      <c r="BJ498">
        <f>SQRT(($R$1023-R498)^2)</f>
        <v/>
      </c>
      <c r="BK498" s="125" t="inlineStr">
        <is>
          <t>HY1000X245</t>
        </is>
      </c>
      <c r="BP498">
        <f>SQRT(($J$1024-J498)^2)</f>
        <v/>
      </c>
      <c r="BQ498">
        <f>SQRT(($R$1024-R498)^2)</f>
        <v/>
      </c>
      <c r="BR498" s="125" t="inlineStr">
        <is>
          <t>HY1000X245</t>
        </is>
      </c>
      <c r="BW498">
        <f>SQRT(($J$1025-J498)^2)</f>
        <v/>
      </c>
      <c r="BX498">
        <f>SQRT(($R$1025-R498)^2)</f>
        <v/>
      </c>
      <c r="BY498" s="125" t="inlineStr">
        <is>
          <t>HY1000X245</t>
        </is>
      </c>
      <c r="CD498">
        <f>SQRT(($J$1026-J498)^2)</f>
        <v/>
      </c>
      <c r="CE498">
        <f>SQRT(($R$1026-R498)^2)</f>
        <v/>
      </c>
      <c r="CF498" s="125" t="inlineStr">
        <is>
          <t>HY1000X245</t>
        </is>
      </c>
    </row>
    <row r="499">
      <c r="A499" s="125" t="inlineStr">
        <is>
          <t>HY1000X231</t>
        </is>
      </c>
      <c r="B499" s="129" t="inlineStr">
        <is>
          <t>HY</t>
        </is>
      </c>
      <c r="C499" s="125" t="n">
        <v>231</v>
      </c>
      <c r="D499" s="125" t="n">
        <v>1000</v>
      </c>
      <c r="E499" s="125" t="n">
        <v>250</v>
      </c>
      <c r="F499" s="125" t="n">
        <v>28</v>
      </c>
      <c r="G499" s="125" t="n">
        <v>16</v>
      </c>
      <c r="H499" s="125" t="n">
        <v>18</v>
      </c>
      <c r="I499" s="125">
        <f>D499-(2*(H499+F499))</f>
        <v/>
      </c>
      <c r="J499" s="125">
        <f>(2*E499/10*F499/10)+((D499-F499-F499)/10*G499/10)+((H499/10+H499/10)^2)-(PI()*H499/10*H499/10)</f>
        <v/>
      </c>
      <c r="K499" s="125">
        <f>((E499-G499)/2)/F499</f>
        <v/>
      </c>
      <c r="L499" s="125">
        <f>I499/G499</f>
        <v/>
      </c>
      <c r="M499" s="125">
        <f>(E499*2+F499*4+((E499-G499)/2-H499)*4+2*PI()*H499+(D499-2*F499-2*H499)*2)/1000</f>
        <v/>
      </c>
      <c r="N499" s="5" t="n">
        <v>449000</v>
      </c>
      <c r="O499" s="5" t="n">
        <v>7330</v>
      </c>
      <c r="P499" s="125" t="n">
        <v>39.1</v>
      </c>
      <c r="Q499" s="125" t="n">
        <v>5</v>
      </c>
      <c r="R499" s="5" t="n">
        <v>8980</v>
      </c>
      <c r="S499" s="125" t="n">
        <v>586</v>
      </c>
      <c r="T499" s="5" t="n">
        <v>10500</v>
      </c>
      <c r="U499" s="125" t="n">
        <v>939</v>
      </c>
      <c r="X499" s="129">
        <f t="array" ref="X499">_xlfn.IFS((D499/F499) &lt;= (640/SQRT($AT$32)), "Compact", L499 &lt;= ($AT$32*(0.79-(0.002*((E499-G499/2)/(2*F499))*SQRT($AT$32)))), "Non-Compact", L499 &gt; ($AT$32*(0.79-(0.002*((E499-G499/2)/(2*F499))*SQRT($AT$32)))), "Slender")</f>
        <v/>
      </c>
      <c r="Y499" s="129">
        <f t="array" ref="Y499">_xlfn.IFS(K499 &lt;= (65/SQRT($AT$32)), "Compact", K499 &lt;= (95/SQRT($AT$32)), "Non-Compact", K499 &gt; (95/SQRT($AT$32)), "Slender")</f>
        <v/>
      </c>
      <c r="Z499" s="125">
        <f>E499/F499</f>
        <v/>
      </c>
      <c r="AA499" s="125">
        <f>D499/G499</f>
        <v/>
      </c>
      <c r="AB499" s="125">
        <f t="array" ref="AB499">_xlfn.IFS(Z499 &lt;= 9, "1", Z499 &lt;= 12, "2", Z499 &lt;= 15, "3", Z499 &gt; 15, "4")</f>
        <v/>
      </c>
      <c r="AC499" s="125">
        <f t="array" ref="AC499">_xlfn.IFS(AA499 &lt;= 200, "1", L499 &lt;= 300, "2", L499 &lt;= 400, "3", L499 &gt; 400, "4")</f>
        <v/>
      </c>
      <c r="AF499" s="129">
        <f>SQRT((((VLOOKUP($AT$4,$A$4:$D$1021,4,FALSE))-D499)^2)+(((VLOOKUP($AT$4,$A$4:$E$1021,5,FALSE))-E499)^2)+(((VLOOKUP($AT$4,$A$4:$N$1021,14,FALSE))-N499)^2)+(((VLOOKUP($AT$4,$A$4:$O$1021,15,FALSE))-O499)^2))</f>
        <v/>
      </c>
      <c r="AG499" s="129" t="n"/>
      <c r="AI499" s="129">
        <f>SQRT((((VLOOKUP($AT$4,$A$4:$D$1021,4,FALSE))-D499)^2)+(((VLOOKUP($AT$4,$A$4:$E$1021,5,FALSE))-E499)^2)+(((VLOOKUP($AT$4,$A$4:$R$1021,18,FALSE))-R499)^2)+(((VLOOKUP($AT$4,$A$4:$S$1021,19,FALSE))-S499)^2))</f>
        <v/>
      </c>
      <c r="AJ499" s="125" t="inlineStr">
        <is>
          <t>HY1000X231</t>
        </is>
      </c>
      <c r="AK499" s="125" t="n"/>
      <c r="AL499" s="125" t="n"/>
      <c r="AM499" s="125">
        <f>SQRT(((VLOOKUP($AT$4,$A$4:$J$1021,10,FALSE))-J499)^2)</f>
        <v/>
      </c>
      <c r="AN499" s="125" t="n"/>
      <c r="AO499" s="125" t="n"/>
      <c r="AP499" s="125">
        <f>SQRT(((VLOOKUP($AT$4,$A$4:$R$1021,18,FALSE))-R499)^2)</f>
        <v/>
      </c>
      <c r="AQ499" s="125" t="inlineStr">
        <is>
          <t>HY1000X231</t>
        </is>
      </c>
      <c r="BB499" s="125">
        <f>SQRT(($J$1022-J499)^2)</f>
        <v/>
      </c>
      <c r="BC499" s="125">
        <f>SQRT(($R$1022-R499)^2)</f>
        <v/>
      </c>
      <c r="BD499" s="125" t="inlineStr">
        <is>
          <t>HY1000X231</t>
        </is>
      </c>
      <c r="BI499">
        <f>SQRT(($J$1023-J499)^2)</f>
        <v/>
      </c>
      <c r="BJ499">
        <f>SQRT(($R$1023-R499)^2)</f>
        <v/>
      </c>
      <c r="BK499" s="125" t="inlineStr">
        <is>
          <t>HY1000X231</t>
        </is>
      </c>
      <c r="BP499">
        <f>SQRT(($J$1024-J499)^2)</f>
        <v/>
      </c>
      <c r="BQ499">
        <f>SQRT(($R$1024-R499)^2)</f>
        <v/>
      </c>
      <c r="BR499" s="125" t="inlineStr">
        <is>
          <t>HY1000X231</t>
        </is>
      </c>
      <c r="BW499">
        <f>SQRT(($J$1025-J499)^2)</f>
        <v/>
      </c>
      <c r="BX499">
        <f>SQRT(($R$1025-R499)^2)</f>
        <v/>
      </c>
      <c r="BY499" s="125" t="inlineStr">
        <is>
          <t>HY1000X231</t>
        </is>
      </c>
      <c r="CD499">
        <f>SQRT(($J$1026-J499)^2)</f>
        <v/>
      </c>
      <c r="CE499">
        <f>SQRT(($R$1026-R499)^2)</f>
        <v/>
      </c>
      <c r="CF499" s="125" t="inlineStr">
        <is>
          <t>HY1000X231</t>
        </is>
      </c>
    </row>
    <row r="500">
      <c r="A500" s="125" t="inlineStr">
        <is>
          <t>HY1000X220</t>
        </is>
      </c>
      <c r="B500" s="129" t="inlineStr">
        <is>
          <t>HY</t>
        </is>
      </c>
      <c r="C500" s="125" t="n">
        <v>220</v>
      </c>
      <c r="D500" s="125" t="n">
        <v>1000</v>
      </c>
      <c r="E500" s="125" t="n">
        <v>250</v>
      </c>
      <c r="F500" s="125" t="n">
        <v>25</v>
      </c>
      <c r="G500" s="125" t="n">
        <v>16</v>
      </c>
      <c r="H500" s="125" t="n">
        <v>18</v>
      </c>
      <c r="I500" s="125">
        <f>D500-(2*(H500+F500))</f>
        <v/>
      </c>
      <c r="J500" s="125">
        <f>(2*E500/10*F500/10)+((D500-F500-F500)/10*G500/10)+((H500/10+H500/10)^2)-(PI()*H500/10*H500/10)</f>
        <v/>
      </c>
      <c r="K500" s="125">
        <f>((E500-G500)/2)/F500</f>
        <v/>
      </c>
      <c r="L500" s="125">
        <f>I500/G500</f>
        <v/>
      </c>
      <c r="M500" s="125">
        <f>(E500*2+F500*4+((E500-G500)/2-H500)*4+2*PI()*H500+(D500-2*F500-2*H500)*2)/1000</f>
        <v/>
      </c>
      <c r="N500" s="5" t="n">
        <v>418000</v>
      </c>
      <c r="O500" s="5" t="n">
        <v>6550</v>
      </c>
      <c r="P500" s="125" t="n">
        <v>38.6</v>
      </c>
      <c r="Q500" s="125" t="n">
        <v>4.8</v>
      </c>
      <c r="R500" s="5" t="n">
        <v>8350</v>
      </c>
      <c r="S500" s="125" t="n">
        <v>524</v>
      </c>
      <c r="T500" s="5" t="n">
        <v>9830</v>
      </c>
      <c r="U500" s="125" t="n">
        <v>845</v>
      </c>
      <c r="X500" s="129">
        <f t="array" ref="X500">_xlfn.IFS((D500/F500) &lt;= (640/SQRT($AT$32)), "Compact", L500 &lt;= ($AT$32*(0.79-(0.002*((E500-G500/2)/(2*F500))*SQRT($AT$32)))), "Non-Compact", L500 &gt; ($AT$32*(0.79-(0.002*((E500-G500/2)/(2*F500))*SQRT($AT$32)))), "Slender")</f>
        <v/>
      </c>
      <c r="Y500" s="129">
        <f t="array" ref="Y500">_xlfn.IFS(K500 &lt;= (65/SQRT($AT$32)), "Compact", K500 &lt;= (95/SQRT($AT$32)), "Non-Compact", K500 &gt; (95/SQRT($AT$32)), "Slender")</f>
        <v/>
      </c>
      <c r="Z500" s="125">
        <f>E500/F500</f>
        <v/>
      </c>
      <c r="AA500" s="125">
        <f>D500/G500</f>
        <v/>
      </c>
      <c r="AB500" s="125">
        <f t="array" ref="AB500">_xlfn.IFS(Z500 &lt;= 9, "1", Z500 &lt;= 12, "2", Z500 &lt;= 15, "3", Z500 &gt; 15, "4")</f>
        <v/>
      </c>
      <c r="AC500" s="125">
        <f t="array" ref="AC500">_xlfn.IFS(AA500 &lt;= 200, "1", L500 &lt;= 300, "2", L500 &lt;= 400, "3", L500 &gt; 400, "4")</f>
        <v/>
      </c>
      <c r="AF500" s="129">
        <f>SQRT((((VLOOKUP($AT$4,$A$4:$D$1021,4,FALSE))-D500)^2)+(((VLOOKUP($AT$4,$A$4:$E$1021,5,FALSE))-E500)^2)+(((VLOOKUP($AT$4,$A$4:$N$1021,14,FALSE))-N500)^2)+(((VLOOKUP($AT$4,$A$4:$O$1021,15,FALSE))-O500)^2))</f>
        <v/>
      </c>
      <c r="AG500" s="129" t="n"/>
      <c r="AI500" s="129">
        <f>SQRT((((VLOOKUP($AT$4,$A$4:$D$1021,4,FALSE))-D500)^2)+(((VLOOKUP($AT$4,$A$4:$E$1021,5,FALSE))-E500)^2)+(((VLOOKUP($AT$4,$A$4:$R$1021,18,FALSE))-R500)^2)+(((VLOOKUP($AT$4,$A$4:$S$1021,19,FALSE))-S500)^2))</f>
        <v/>
      </c>
      <c r="AJ500" s="125" t="inlineStr">
        <is>
          <t>HY1000X220</t>
        </is>
      </c>
      <c r="AK500" s="125" t="n"/>
      <c r="AL500" s="125" t="n"/>
      <c r="AM500" s="125">
        <f>SQRT(((VLOOKUP($AT$4,$A$4:$J$1021,10,FALSE))-J500)^2)</f>
        <v/>
      </c>
      <c r="AN500" s="125" t="n"/>
      <c r="AO500" s="125" t="n"/>
      <c r="AP500" s="125">
        <f>SQRT(((VLOOKUP($AT$4,$A$4:$R$1021,18,FALSE))-R500)^2)</f>
        <v/>
      </c>
      <c r="AQ500" s="125" t="inlineStr">
        <is>
          <t>HY1000X220</t>
        </is>
      </c>
      <c r="BB500" s="125">
        <f>SQRT(($J$1022-J500)^2)</f>
        <v/>
      </c>
      <c r="BC500" s="125">
        <f>SQRT(($R$1022-R500)^2)</f>
        <v/>
      </c>
      <c r="BD500" s="125" t="inlineStr">
        <is>
          <t>HY1000X220</t>
        </is>
      </c>
      <c r="BI500">
        <f>SQRT(($J$1023-J500)^2)</f>
        <v/>
      </c>
      <c r="BJ500">
        <f>SQRT(($R$1023-R500)^2)</f>
        <v/>
      </c>
      <c r="BK500" s="125" t="inlineStr">
        <is>
          <t>HY1000X220</t>
        </is>
      </c>
      <c r="BP500">
        <f>SQRT(($J$1024-J500)^2)</f>
        <v/>
      </c>
      <c r="BQ500">
        <f>SQRT(($R$1024-R500)^2)</f>
        <v/>
      </c>
      <c r="BR500" s="125" t="inlineStr">
        <is>
          <t>HY1000X220</t>
        </is>
      </c>
      <c r="BW500">
        <f>SQRT(($J$1025-J500)^2)</f>
        <v/>
      </c>
      <c r="BX500">
        <f>SQRT(($R$1025-R500)^2)</f>
        <v/>
      </c>
      <c r="BY500" s="125" t="inlineStr">
        <is>
          <t>HY1000X220</t>
        </is>
      </c>
      <c r="CD500">
        <f>SQRT(($J$1026-J500)^2)</f>
        <v/>
      </c>
      <c r="CE500">
        <f>SQRT(($R$1026-R500)^2)</f>
        <v/>
      </c>
      <c r="CF500" s="125" t="inlineStr">
        <is>
          <t>HY1000X220</t>
        </is>
      </c>
    </row>
    <row r="501">
      <c r="A501" s="125" t="inlineStr">
        <is>
          <t>HY1000X209</t>
        </is>
      </c>
      <c r="B501" s="129" t="inlineStr">
        <is>
          <t>HY</t>
        </is>
      </c>
      <c r="C501" s="125" t="n">
        <v>209</v>
      </c>
      <c r="D501" s="125" t="n">
        <v>1000</v>
      </c>
      <c r="E501" s="125" t="n">
        <v>250</v>
      </c>
      <c r="F501" s="125" t="n">
        <v>22</v>
      </c>
      <c r="G501" s="125" t="n">
        <v>16</v>
      </c>
      <c r="H501" s="125" t="n">
        <v>18</v>
      </c>
      <c r="I501" s="125">
        <f>D501-(2*(H501+F501))</f>
        <v/>
      </c>
      <c r="J501" s="125">
        <f>(2*E501/10*F501/10)+((D501-F501-F501)/10*G501/10)+((H501/10+H501/10)^2)-(PI()*H501/10*H501/10)</f>
        <v/>
      </c>
      <c r="K501" s="125">
        <f>((E501-G501)/2)/F501</f>
        <v/>
      </c>
      <c r="L501" s="125">
        <f>I501/G501</f>
        <v/>
      </c>
      <c r="M501" s="125">
        <f>(E501*2+F501*4+((E501-G501)/2-H501)*4+2*PI()*H501+(D501-2*F501-2*H501)*2)/1000</f>
        <v/>
      </c>
      <c r="N501" s="5" t="n">
        <v>386000</v>
      </c>
      <c r="O501" s="5" t="n">
        <v>5770</v>
      </c>
      <c r="P501" s="125" t="n">
        <v>38.1</v>
      </c>
      <c r="Q501" s="125" t="n">
        <v>4.7</v>
      </c>
      <c r="R501" s="5" t="n">
        <v>7720</v>
      </c>
      <c r="S501" s="125" t="n">
        <v>461</v>
      </c>
      <c r="T501" s="5" t="n">
        <v>9170</v>
      </c>
      <c r="U501" s="125" t="n">
        <v>752</v>
      </c>
      <c r="X501" s="129">
        <f t="array" ref="X501">_xlfn.IFS((D501/F501) &lt;= (640/SQRT($AT$32)), "Compact", L501 &lt;= ($AT$32*(0.79-(0.002*((E501-G501/2)/(2*F501))*SQRT($AT$32)))), "Non-Compact", L501 &gt; ($AT$32*(0.79-(0.002*((E501-G501/2)/(2*F501))*SQRT($AT$32)))), "Slender")</f>
        <v/>
      </c>
      <c r="Y501" s="129">
        <f t="array" ref="Y501">_xlfn.IFS(K501 &lt;= (65/SQRT($AT$32)), "Compact", K501 &lt;= (95/SQRT($AT$32)), "Non-Compact", K501 &gt; (95/SQRT($AT$32)), "Slender")</f>
        <v/>
      </c>
      <c r="Z501" s="125">
        <f>E501/F501</f>
        <v/>
      </c>
      <c r="AA501" s="125">
        <f>D501/G501</f>
        <v/>
      </c>
      <c r="AB501" s="125">
        <f t="array" ref="AB501">_xlfn.IFS(Z501 &lt;= 9, "1", Z501 &lt;= 12, "2", Z501 &lt;= 15, "3", Z501 &gt; 15, "4")</f>
        <v/>
      </c>
      <c r="AC501" s="125">
        <f t="array" ref="AC501">_xlfn.IFS(AA501 &lt;= 200, "1", L501 &lt;= 300, "2", L501 &lt;= 400, "3", L501 &gt; 400, "4")</f>
        <v/>
      </c>
      <c r="AF501" s="129">
        <f>SQRT((((VLOOKUP($AT$4,$A$4:$D$1021,4,FALSE))-D501)^2)+(((VLOOKUP($AT$4,$A$4:$E$1021,5,FALSE))-E501)^2)+(((VLOOKUP($AT$4,$A$4:$N$1021,14,FALSE))-N501)^2)+(((VLOOKUP($AT$4,$A$4:$O$1021,15,FALSE))-O501)^2))</f>
        <v/>
      </c>
      <c r="AG501" s="129" t="n"/>
      <c r="AI501" s="129">
        <f>SQRT((((VLOOKUP($AT$4,$A$4:$D$1021,4,FALSE))-D501)^2)+(((VLOOKUP($AT$4,$A$4:$E$1021,5,FALSE))-E501)^2)+(((VLOOKUP($AT$4,$A$4:$R$1021,18,FALSE))-R501)^2)+(((VLOOKUP($AT$4,$A$4:$S$1021,19,FALSE))-S501)^2))</f>
        <v/>
      </c>
      <c r="AJ501" s="125" t="inlineStr">
        <is>
          <t>HY1000X209</t>
        </is>
      </c>
      <c r="AK501" s="125" t="n"/>
      <c r="AL501" s="125" t="n"/>
      <c r="AM501" s="125">
        <f>SQRT(((VLOOKUP($AT$4,$A$4:$J$1021,10,FALSE))-J501)^2)</f>
        <v/>
      </c>
      <c r="AN501" s="125" t="n"/>
      <c r="AO501" s="125" t="n"/>
      <c r="AP501" s="125">
        <f>SQRT(((VLOOKUP($AT$4,$A$4:$R$1021,18,FALSE))-R501)^2)</f>
        <v/>
      </c>
      <c r="AQ501" s="125" t="inlineStr">
        <is>
          <t>HY1000X209</t>
        </is>
      </c>
      <c r="BB501" s="125">
        <f>SQRT(($J$1022-J501)^2)</f>
        <v/>
      </c>
      <c r="BC501" s="125">
        <f>SQRT(($R$1022-R501)^2)</f>
        <v/>
      </c>
      <c r="BD501" s="125" t="inlineStr">
        <is>
          <t>HY1000X209</t>
        </is>
      </c>
      <c r="BI501">
        <f>SQRT(($J$1023-J501)^2)</f>
        <v/>
      </c>
      <c r="BJ501">
        <f>SQRT(($R$1023-R501)^2)</f>
        <v/>
      </c>
      <c r="BK501" s="125" t="inlineStr">
        <is>
          <t>HY1000X209</t>
        </is>
      </c>
      <c r="BP501">
        <f>SQRT(($J$1024-J501)^2)</f>
        <v/>
      </c>
      <c r="BQ501">
        <f>SQRT(($R$1024-R501)^2)</f>
        <v/>
      </c>
      <c r="BR501" s="125" t="inlineStr">
        <is>
          <t>HY1000X209</t>
        </is>
      </c>
      <c r="BW501">
        <f>SQRT(($J$1025-J501)^2)</f>
        <v/>
      </c>
      <c r="BX501">
        <f>SQRT(($R$1025-R501)^2)</f>
        <v/>
      </c>
      <c r="BY501" s="125" t="inlineStr">
        <is>
          <t>HY1000X209</t>
        </is>
      </c>
      <c r="CD501">
        <f>SQRT(($J$1026-J501)^2)</f>
        <v/>
      </c>
      <c r="CE501">
        <f>SQRT(($R$1026-R501)^2)</f>
        <v/>
      </c>
      <c r="CF501" s="125" t="inlineStr">
        <is>
          <t>HY1000X209</t>
        </is>
      </c>
    </row>
    <row r="502">
      <c r="A502" s="125" t="inlineStr">
        <is>
          <t>HY950X404</t>
        </is>
      </c>
      <c r="B502" s="129" t="inlineStr">
        <is>
          <t>HY</t>
        </is>
      </c>
      <c r="C502" s="125" t="n">
        <v>404</v>
      </c>
      <c r="D502" s="125" t="n">
        <v>950</v>
      </c>
      <c r="E502" s="125" t="n">
        <v>400</v>
      </c>
      <c r="F502" s="125" t="n">
        <v>40</v>
      </c>
      <c r="G502" s="125" t="n">
        <v>22</v>
      </c>
      <c r="H502" s="125" t="n">
        <v>18</v>
      </c>
      <c r="I502" s="125">
        <f>D502-(2*(H502+F502))</f>
        <v/>
      </c>
      <c r="J502" s="125">
        <f>(2*E502/10*F502/10)+((D502-F502-F502)/10*G502/10)+((H502/10+H502/10)^2)-(PI()*H502/10*H502/10)</f>
        <v/>
      </c>
      <c r="K502" s="125">
        <f>((E502-G502)/2)/F502</f>
        <v/>
      </c>
      <c r="L502" s="125">
        <f>I502/G502</f>
        <v/>
      </c>
      <c r="M502" s="125">
        <f>(E502*2+F502*4+((E502-G502)/2-H502)*4+2*PI()*H502+(D502-2*F502-2*H502)*2)/1000</f>
        <v/>
      </c>
      <c r="N502" s="5" t="n">
        <v>789000</v>
      </c>
      <c r="O502" s="5" t="n">
        <v>42800</v>
      </c>
      <c r="P502" s="125" t="n">
        <v>39.2</v>
      </c>
      <c r="Q502" s="125" t="n">
        <v>9.1</v>
      </c>
      <c r="R502" s="5" t="n">
        <v>16600</v>
      </c>
      <c r="S502" s="5" t="n">
        <v>2140</v>
      </c>
      <c r="T502" s="5" t="n">
        <v>18800</v>
      </c>
      <c r="U502" s="5" t="n">
        <v>3310</v>
      </c>
      <c r="X502" s="129">
        <f t="array" ref="X502">_xlfn.IFS((D502/F502) &lt;= (640/SQRT($AT$32)), "Compact", L502 &lt;= ($AT$32*(0.79-(0.002*((E502-G502/2)/(2*F502))*SQRT($AT$32)))), "Non-Compact", L502 &gt; ($AT$32*(0.79-(0.002*((E502-G502/2)/(2*F502))*SQRT($AT$32)))), "Slender")</f>
        <v/>
      </c>
      <c r="Y502" s="129">
        <f t="array" ref="Y502">_xlfn.IFS(K502 &lt;= (65/SQRT($AT$32)), "Compact", K502 &lt;= (95/SQRT($AT$32)), "Non-Compact", K502 &gt; (95/SQRT($AT$32)), "Slender")</f>
        <v/>
      </c>
      <c r="Z502" s="125">
        <f>E502/F502</f>
        <v/>
      </c>
      <c r="AA502" s="125">
        <f>D502/G502</f>
        <v/>
      </c>
      <c r="AB502" s="125">
        <f t="array" ref="AB502">_xlfn.IFS(Z502 &lt;= 9, "1", Z502 &lt;= 12, "2", Z502 &lt;= 15, "3", Z502 &gt; 15, "4")</f>
        <v/>
      </c>
      <c r="AC502" s="125">
        <f t="array" ref="AC502">_xlfn.IFS(AA502 &lt;= 200, "1", L502 &lt;= 300, "2", L502 &lt;= 400, "3", L502 &gt; 400, "4")</f>
        <v/>
      </c>
      <c r="AF502" s="129">
        <f>SQRT((((VLOOKUP($AT$4,$A$4:$D$1021,4,FALSE))-D502)^2)+(((VLOOKUP($AT$4,$A$4:$E$1021,5,FALSE))-E502)^2)+(((VLOOKUP($AT$4,$A$4:$N$1021,14,FALSE))-N502)^2)+(((VLOOKUP($AT$4,$A$4:$O$1021,15,FALSE))-O502)^2))</f>
        <v/>
      </c>
      <c r="AG502" s="129" t="n"/>
      <c r="AI502" s="129">
        <f>SQRT((((VLOOKUP($AT$4,$A$4:$D$1021,4,FALSE))-D502)^2)+(((VLOOKUP($AT$4,$A$4:$E$1021,5,FALSE))-E502)^2)+(((VLOOKUP($AT$4,$A$4:$R$1021,18,FALSE))-R502)^2)+(((VLOOKUP($AT$4,$A$4:$S$1021,19,FALSE))-S502)^2))</f>
        <v/>
      </c>
      <c r="AJ502" s="125" t="inlineStr">
        <is>
          <t>HY950X404</t>
        </is>
      </c>
      <c r="AK502" s="125" t="n"/>
      <c r="AL502" s="125" t="n"/>
      <c r="AM502" s="125">
        <f>SQRT(((VLOOKUP($AT$4,$A$4:$J$1021,10,FALSE))-J502)^2)</f>
        <v/>
      </c>
      <c r="AN502" s="125" t="n"/>
      <c r="AO502" s="125" t="n"/>
      <c r="AP502" s="125">
        <f>SQRT(((VLOOKUP($AT$4,$A$4:$R$1021,18,FALSE))-R502)^2)</f>
        <v/>
      </c>
      <c r="AQ502" s="125" t="inlineStr">
        <is>
          <t>HY950X404</t>
        </is>
      </c>
      <c r="BB502" s="125">
        <f>SQRT(($J$1022-J502)^2)</f>
        <v/>
      </c>
      <c r="BC502" s="125">
        <f>SQRT(($R$1022-R502)^2)</f>
        <v/>
      </c>
      <c r="BD502" s="125" t="inlineStr">
        <is>
          <t>HY950X404</t>
        </is>
      </c>
      <c r="BI502">
        <f>SQRT(($J$1023-J502)^2)</f>
        <v/>
      </c>
      <c r="BJ502">
        <f>SQRT(($R$1023-R502)^2)</f>
        <v/>
      </c>
      <c r="BK502" s="125" t="inlineStr">
        <is>
          <t>HY950X404</t>
        </is>
      </c>
      <c r="BP502">
        <f>SQRT(($J$1024-J502)^2)</f>
        <v/>
      </c>
      <c r="BQ502">
        <f>SQRT(($R$1024-R502)^2)</f>
        <v/>
      </c>
      <c r="BR502" s="125" t="inlineStr">
        <is>
          <t>HY950X404</t>
        </is>
      </c>
      <c r="BW502">
        <f>SQRT(($J$1025-J502)^2)</f>
        <v/>
      </c>
      <c r="BX502">
        <f>SQRT(($R$1025-R502)^2)</f>
        <v/>
      </c>
      <c r="BY502" s="125" t="inlineStr">
        <is>
          <t>HY950X404</t>
        </is>
      </c>
      <c r="CD502">
        <f>SQRT(($J$1026-J502)^2)</f>
        <v/>
      </c>
      <c r="CE502">
        <f>SQRT(($R$1026-R502)^2)</f>
        <v/>
      </c>
      <c r="CF502" s="125" t="inlineStr">
        <is>
          <t>HY950X404</t>
        </is>
      </c>
    </row>
    <row r="503">
      <c r="A503" s="125" t="inlineStr">
        <is>
          <t>HY950X380</t>
        </is>
      </c>
      <c r="B503" s="129" t="inlineStr">
        <is>
          <t>HY</t>
        </is>
      </c>
      <c r="C503" s="125" t="n">
        <v>380</v>
      </c>
      <c r="D503" s="125" t="n">
        <v>950</v>
      </c>
      <c r="E503" s="125" t="n">
        <v>400</v>
      </c>
      <c r="F503" s="125" t="n">
        <v>36</v>
      </c>
      <c r="G503" s="125" t="n">
        <v>22</v>
      </c>
      <c r="H503" s="125" t="n">
        <v>18</v>
      </c>
      <c r="I503" s="125">
        <f>D503-(2*(H503+F503))</f>
        <v/>
      </c>
      <c r="J503" s="125">
        <f>(2*E503/10*F503/10)+((D503-F503-F503)/10*G503/10)+((H503/10+H503/10)^2)-(PI()*H503/10*H503/10)</f>
        <v/>
      </c>
      <c r="K503" s="125">
        <f>((E503-G503)/2)/F503</f>
        <v/>
      </c>
      <c r="L503" s="125">
        <f>I503/G503</f>
        <v/>
      </c>
      <c r="M503" s="125">
        <f>(E503*2+F503*4+((E503-G503)/2-H503)*4+2*PI()*H503+(D503-2*F503-2*H503)*2)/1000</f>
        <v/>
      </c>
      <c r="N503" s="5" t="n">
        <v>731000</v>
      </c>
      <c r="O503" s="5" t="n">
        <v>38500</v>
      </c>
      <c r="P503" s="125" t="n">
        <v>38.9</v>
      </c>
      <c r="Q503" s="125" t="n">
        <v>8.9</v>
      </c>
      <c r="R503" s="5" t="n">
        <v>15400</v>
      </c>
      <c r="S503" s="5" t="n">
        <v>1920</v>
      </c>
      <c r="T503" s="5" t="n">
        <v>17500</v>
      </c>
      <c r="U503" s="5" t="n">
        <v>2990</v>
      </c>
      <c r="X503" s="129">
        <f t="array" ref="X503">_xlfn.IFS((D503/F503) &lt;= (640/SQRT($AT$32)), "Compact", L503 &lt;= ($AT$32*(0.79-(0.002*((E503-G503/2)/(2*F503))*SQRT($AT$32)))), "Non-Compact", L503 &gt; ($AT$32*(0.79-(0.002*((E503-G503/2)/(2*F503))*SQRT($AT$32)))), "Slender")</f>
        <v/>
      </c>
      <c r="Y503" s="129">
        <f t="array" ref="Y503">_xlfn.IFS(K503 &lt;= (65/SQRT($AT$32)), "Compact", K503 &lt;= (95/SQRT($AT$32)), "Non-Compact", K503 &gt; (95/SQRT($AT$32)), "Slender")</f>
        <v/>
      </c>
      <c r="Z503" s="125">
        <f>E503/F503</f>
        <v/>
      </c>
      <c r="AA503" s="125">
        <f>D503/G503</f>
        <v/>
      </c>
      <c r="AB503" s="125">
        <f t="array" ref="AB503">_xlfn.IFS(Z503 &lt;= 9, "1", Z503 &lt;= 12, "2", Z503 &lt;= 15, "3", Z503 &gt; 15, "4")</f>
        <v/>
      </c>
      <c r="AC503" s="125">
        <f t="array" ref="AC503">_xlfn.IFS(AA503 &lt;= 200, "1", L503 &lt;= 300, "2", L503 &lt;= 400, "3", L503 &gt; 400, "4")</f>
        <v/>
      </c>
      <c r="AF503" s="129">
        <f>SQRT((((VLOOKUP($AT$4,$A$4:$D$1021,4,FALSE))-D503)^2)+(((VLOOKUP($AT$4,$A$4:$E$1021,5,FALSE))-E503)^2)+(((VLOOKUP($AT$4,$A$4:$N$1021,14,FALSE))-N503)^2)+(((VLOOKUP($AT$4,$A$4:$O$1021,15,FALSE))-O503)^2))</f>
        <v/>
      </c>
      <c r="AG503" s="129" t="n"/>
      <c r="AI503" s="129">
        <f>SQRT((((VLOOKUP($AT$4,$A$4:$D$1021,4,FALSE))-D503)^2)+(((VLOOKUP($AT$4,$A$4:$E$1021,5,FALSE))-E503)^2)+(((VLOOKUP($AT$4,$A$4:$R$1021,18,FALSE))-R503)^2)+(((VLOOKUP($AT$4,$A$4:$S$1021,19,FALSE))-S503)^2))</f>
        <v/>
      </c>
      <c r="AJ503" s="125" t="inlineStr">
        <is>
          <t>HY950X380</t>
        </is>
      </c>
      <c r="AK503" s="125" t="n"/>
      <c r="AL503" s="125" t="n"/>
      <c r="AM503" s="125">
        <f>SQRT(((VLOOKUP($AT$4,$A$4:$J$1021,10,FALSE))-J503)^2)</f>
        <v/>
      </c>
      <c r="AN503" s="125" t="n"/>
      <c r="AO503" s="125" t="n"/>
      <c r="AP503" s="125">
        <f>SQRT(((VLOOKUP($AT$4,$A$4:$R$1021,18,FALSE))-R503)^2)</f>
        <v/>
      </c>
      <c r="AQ503" s="125" t="inlineStr">
        <is>
          <t>HY950X380</t>
        </is>
      </c>
      <c r="BB503" s="125">
        <f>SQRT(($J$1022-J503)^2)</f>
        <v/>
      </c>
      <c r="BC503" s="125">
        <f>SQRT(($R$1022-R503)^2)</f>
        <v/>
      </c>
      <c r="BD503" s="125" t="inlineStr">
        <is>
          <t>HY950X380</t>
        </is>
      </c>
      <c r="BI503">
        <f>SQRT(($J$1023-J503)^2)</f>
        <v/>
      </c>
      <c r="BJ503">
        <f>SQRT(($R$1023-R503)^2)</f>
        <v/>
      </c>
      <c r="BK503" s="125" t="inlineStr">
        <is>
          <t>HY950X380</t>
        </is>
      </c>
      <c r="BP503">
        <f>SQRT(($J$1024-J503)^2)</f>
        <v/>
      </c>
      <c r="BQ503">
        <f>SQRT(($R$1024-R503)^2)</f>
        <v/>
      </c>
      <c r="BR503" s="125" t="inlineStr">
        <is>
          <t>HY950X380</t>
        </is>
      </c>
      <c r="BW503">
        <f>SQRT(($J$1025-J503)^2)</f>
        <v/>
      </c>
      <c r="BX503">
        <f>SQRT(($R$1025-R503)^2)</f>
        <v/>
      </c>
      <c r="BY503" s="125" t="inlineStr">
        <is>
          <t>HY950X380</t>
        </is>
      </c>
      <c r="CD503">
        <f>SQRT(($J$1026-J503)^2)</f>
        <v/>
      </c>
      <c r="CE503">
        <f>SQRT(($R$1026-R503)^2)</f>
        <v/>
      </c>
      <c r="CF503" s="125" t="inlineStr">
        <is>
          <t>HY950X380</t>
        </is>
      </c>
    </row>
    <row r="504">
      <c r="A504" s="125" t="inlineStr">
        <is>
          <t>HY950X356</t>
        </is>
      </c>
      <c r="B504" s="129" t="inlineStr">
        <is>
          <t>HY</t>
        </is>
      </c>
      <c r="C504" s="125" t="n">
        <v>356</v>
      </c>
      <c r="D504" s="125" t="n">
        <v>950</v>
      </c>
      <c r="E504" s="125" t="n">
        <v>400</v>
      </c>
      <c r="F504" s="125" t="n">
        <v>32</v>
      </c>
      <c r="G504" s="125" t="n">
        <v>22</v>
      </c>
      <c r="H504" s="125" t="n">
        <v>18</v>
      </c>
      <c r="I504" s="125">
        <f>D504-(2*(H504+F504))</f>
        <v/>
      </c>
      <c r="J504" s="125">
        <f>(2*E504/10*F504/10)+((D504-F504-F504)/10*G504/10)+((H504/10+H504/10)^2)-(PI()*H504/10*H504/10)</f>
        <v/>
      </c>
      <c r="K504" s="125">
        <f>((E504-G504)/2)/F504</f>
        <v/>
      </c>
      <c r="L504" s="125">
        <f>I504/G504</f>
        <v/>
      </c>
      <c r="M504" s="125">
        <f>(E504*2+F504*4+((E504-G504)/2-H504)*4+2*PI()*H504+(D504-2*F504-2*H504)*2)/1000</f>
        <v/>
      </c>
      <c r="N504" s="5" t="n">
        <v>672000</v>
      </c>
      <c r="O504" s="5" t="n">
        <v>34200</v>
      </c>
      <c r="P504" s="125" t="n">
        <v>38.5</v>
      </c>
      <c r="Q504" s="125" t="n">
        <v>8.699999999999999</v>
      </c>
      <c r="R504" s="5" t="n">
        <v>14200</v>
      </c>
      <c r="S504" s="5" t="n">
        <v>1710</v>
      </c>
      <c r="T504" s="5" t="n">
        <v>16200</v>
      </c>
      <c r="U504" s="5" t="n">
        <v>2670</v>
      </c>
      <c r="X504" s="129">
        <f t="array" ref="X504">_xlfn.IFS((D504/F504) &lt;= (640/SQRT($AT$32)), "Compact", L504 &lt;= ($AT$32*(0.79-(0.002*((E504-G504/2)/(2*F504))*SQRT($AT$32)))), "Non-Compact", L504 &gt; ($AT$32*(0.79-(0.002*((E504-G504/2)/(2*F504))*SQRT($AT$32)))), "Slender")</f>
        <v/>
      </c>
      <c r="Y504" s="129">
        <f t="array" ref="Y504">_xlfn.IFS(K504 &lt;= (65/SQRT($AT$32)), "Compact", K504 &lt;= (95/SQRT($AT$32)), "Non-Compact", K504 &gt; (95/SQRT($AT$32)), "Slender")</f>
        <v/>
      </c>
      <c r="Z504" s="125">
        <f>E504/F504</f>
        <v/>
      </c>
      <c r="AA504" s="125">
        <f>D504/G504</f>
        <v/>
      </c>
      <c r="AB504" s="125">
        <f t="array" ref="AB504">_xlfn.IFS(Z504 &lt;= 9, "1", Z504 &lt;= 12, "2", Z504 &lt;= 15, "3", Z504 &gt; 15, "4")</f>
        <v/>
      </c>
      <c r="AC504" s="125">
        <f t="array" ref="AC504">_xlfn.IFS(AA504 &lt;= 200, "1", L504 &lt;= 300, "2", L504 &lt;= 400, "3", L504 &gt; 400, "4")</f>
        <v/>
      </c>
      <c r="AF504" s="129">
        <f>SQRT((((VLOOKUP($AT$4,$A$4:$D$1021,4,FALSE))-D504)^2)+(((VLOOKUP($AT$4,$A$4:$E$1021,5,FALSE))-E504)^2)+(((VLOOKUP($AT$4,$A$4:$N$1021,14,FALSE))-N504)^2)+(((VLOOKUP($AT$4,$A$4:$O$1021,15,FALSE))-O504)^2))</f>
        <v/>
      </c>
      <c r="AG504" s="129" t="n"/>
      <c r="AI504" s="129">
        <f>SQRT((((VLOOKUP($AT$4,$A$4:$D$1021,4,FALSE))-D504)^2)+(((VLOOKUP($AT$4,$A$4:$E$1021,5,FALSE))-E504)^2)+(((VLOOKUP($AT$4,$A$4:$R$1021,18,FALSE))-R504)^2)+(((VLOOKUP($AT$4,$A$4:$S$1021,19,FALSE))-S504)^2))</f>
        <v/>
      </c>
      <c r="AJ504" s="125" t="inlineStr">
        <is>
          <t>HY950X356</t>
        </is>
      </c>
      <c r="AK504" s="125" t="n"/>
      <c r="AL504" s="125" t="n"/>
      <c r="AM504" s="125">
        <f>SQRT(((VLOOKUP($AT$4,$A$4:$J$1021,10,FALSE))-J504)^2)</f>
        <v/>
      </c>
      <c r="AN504" s="125" t="n"/>
      <c r="AO504" s="125" t="n"/>
      <c r="AP504" s="125">
        <f>SQRT(((VLOOKUP($AT$4,$A$4:$R$1021,18,FALSE))-R504)^2)</f>
        <v/>
      </c>
      <c r="AQ504" s="125" t="inlineStr">
        <is>
          <t>HY950X356</t>
        </is>
      </c>
      <c r="BB504" s="125">
        <f>SQRT(($J$1022-J504)^2)</f>
        <v/>
      </c>
      <c r="BC504" s="125">
        <f>SQRT(($R$1022-R504)^2)</f>
        <v/>
      </c>
      <c r="BD504" s="125" t="inlineStr">
        <is>
          <t>HY950X356</t>
        </is>
      </c>
      <c r="BI504">
        <f>SQRT(($J$1023-J504)^2)</f>
        <v/>
      </c>
      <c r="BJ504">
        <f>SQRT(($R$1023-R504)^2)</f>
        <v/>
      </c>
      <c r="BK504" s="125" t="inlineStr">
        <is>
          <t>HY950X356</t>
        </is>
      </c>
      <c r="BP504">
        <f>SQRT(($J$1024-J504)^2)</f>
        <v/>
      </c>
      <c r="BQ504">
        <f>SQRT(($R$1024-R504)^2)</f>
        <v/>
      </c>
      <c r="BR504" s="125" t="inlineStr">
        <is>
          <t>HY950X356</t>
        </is>
      </c>
      <c r="BW504">
        <f>SQRT(($J$1025-J504)^2)</f>
        <v/>
      </c>
      <c r="BX504">
        <f>SQRT(($R$1025-R504)^2)</f>
        <v/>
      </c>
      <c r="BY504" s="125" t="inlineStr">
        <is>
          <t>HY950X356</t>
        </is>
      </c>
      <c r="CD504">
        <f>SQRT(($J$1026-J504)^2)</f>
        <v/>
      </c>
      <c r="CE504">
        <f>SQRT(($R$1026-R504)^2)</f>
        <v/>
      </c>
      <c r="CF504" s="125" t="inlineStr">
        <is>
          <t>HY950X356</t>
        </is>
      </c>
    </row>
    <row r="505">
      <c r="A505" s="125" t="inlineStr">
        <is>
          <t>HY950X332</t>
        </is>
      </c>
      <c r="B505" s="129" t="inlineStr">
        <is>
          <t>HY</t>
        </is>
      </c>
      <c r="C505" s="125" t="n">
        <v>332</v>
      </c>
      <c r="D505" s="125" t="n">
        <v>950</v>
      </c>
      <c r="E505" s="125" t="n">
        <v>400</v>
      </c>
      <c r="F505" s="125" t="n">
        <v>28</v>
      </c>
      <c r="G505" s="125" t="n">
        <v>22</v>
      </c>
      <c r="H505" s="125" t="n">
        <v>18</v>
      </c>
      <c r="I505" s="125">
        <f>D505-(2*(H505+F505))</f>
        <v/>
      </c>
      <c r="J505" s="125">
        <f>(2*E505/10*F505/10)+((D505-F505-F505)/10*G505/10)+((H505/10+H505/10)^2)-(PI()*H505/10*H505/10)</f>
        <v/>
      </c>
      <c r="K505" s="125">
        <f>((E505-G505)/2)/F505</f>
        <v/>
      </c>
      <c r="L505" s="125">
        <f>I505/G505</f>
        <v/>
      </c>
      <c r="M505" s="125">
        <f>(E505*2+F505*4+((E505-G505)/2-H505)*4+2*PI()*H505+(D505-2*F505-2*H505)*2)/1000</f>
        <v/>
      </c>
      <c r="N505" s="5" t="n">
        <v>613000</v>
      </c>
      <c r="O505" s="5" t="n">
        <v>30000</v>
      </c>
      <c r="P505" s="125" t="n">
        <v>38</v>
      </c>
      <c r="Q505" s="125" t="n">
        <v>8.4</v>
      </c>
      <c r="R505" s="5" t="n">
        <v>12900</v>
      </c>
      <c r="S505" s="5" t="n">
        <v>1500</v>
      </c>
      <c r="T505" s="5" t="n">
        <v>14800</v>
      </c>
      <c r="U505" s="5" t="n">
        <v>2350</v>
      </c>
      <c r="X505" s="129">
        <f t="array" ref="X505">_xlfn.IFS((D505/F505) &lt;= (640/SQRT($AT$32)), "Compact", L505 &lt;= ($AT$32*(0.79-(0.002*((E505-G505/2)/(2*F505))*SQRT($AT$32)))), "Non-Compact", L505 &gt; ($AT$32*(0.79-(0.002*((E505-G505/2)/(2*F505))*SQRT($AT$32)))), "Slender")</f>
        <v/>
      </c>
      <c r="Y505" s="129">
        <f t="array" ref="Y505">_xlfn.IFS(K505 &lt;= (65/SQRT($AT$32)), "Compact", K505 &lt;= (95/SQRT($AT$32)), "Non-Compact", K505 &gt; (95/SQRT($AT$32)), "Slender")</f>
        <v/>
      </c>
      <c r="Z505" s="125">
        <f>E505/F505</f>
        <v/>
      </c>
      <c r="AA505" s="125">
        <f>D505/G505</f>
        <v/>
      </c>
      <c r="AB505" s="125">
        <f t="array" ref="AB505">_xlfn.IFS(Z505 &lt;= 9, "1", Z505 &lt;= 12, "2", Z505 &lt;= 15, "3", Z505 &gt; 15, "4")</f>
        <v/>
      </c>
      <c r="AC505" s="125">
        <f t="array" ref="AC505">_xlfn.IFS(AA505 &lt;= 200, "1", L505 &lt;= 300, "2", L505 &lt;= 400, "3", L505 &gt; 400, "4")</f>
        <v/>
      </c>
      <c r="AF505" s="129">
        <f>SQRT((((VLOOKUP($AT$4,$A$4:$D$1021,4,FALSE))-D505)^2)+(((VLOOKUP($AT$4,$A$4:$E$1021,5,FALSE))-E505)^2)+(((VLOOKUP($AT$4,$A$4:$N$1021,14,FALSE))-N505)^2)+(((VLOOKUP($AT$4,$A$4:$O$1021,15,FALSE))-O505)^2))</f>
        <v/>
      </c>
      <c r="AG505" s="129" t="n"/>
      <c r="AI505" s="129">
        <f>SQRT((((VLOOKUP($AT$4,$A$4:$D$1021,4,FALSE))-D505)^2)+(((VLOOKUP($AT$4,$A$4:$E$1021,5,FALSE))-E505)^2)+(((VLOOKUP($AT$4,$A$4:$R$1021,18,FALSE))-R505)^2)+(((VLOOKUP($AT$4,$A$4:$S$1021,19,FALSE))-S505)^2))</f>
        <v/>
      </c>
      <c r="AJ505" s="125" t="inlineStr">
        <is>
          <t>HY950X332</t>
        </is>
      </c>
      <c r="AK505" s="125" t="n"/>
      <c r="AL505" s="125" t="n"/>
      <c r="AM505" s="125">
        <f>SQRT(((VLOOKUP($AT$4,$A$4:$J$1021,10,FALSE))-J505)^2)</f>
        <v/>
      </c>
      <c r="AN505" s="125" t="n"/>
      <c r="AO505" s="125" t="n"/>
      <c r="AP505" s="125">
        <f>SQRT(((VLOOKUP($AT$4,$A$4:$R$1021,18,FALSE))-R505)^2)</f>
        <v/>
      </c>
      <c r="AQ505" s="125" t="inlineStr">
        <is>
          <t>HY950X332</t>
        </is>
      </c>
      <c r="BB505" s="125">
        <f>SQRT(($J$1022-J505)^2)</f>
        <v/>
      </c>
      <c r="BC505" s="125">
        <f>SQRT(($R$1022-R505)^2)</f>
        <v/>
      </c>
      <c r="BD505" s="125" t="inlineStr">
        <is>
          <t>HY950X332</t>
        </is>
      </c>
      <c r="BI505">
        <f>SQRT(($J$1023-J505)^2)</f>
        <v/>
      </c>
      <c r="BJ505">
        <f>SQRT(($R$1023-R505)^2)</f>
        <v/>
      </c>
      <c r="BK505" s="125" t="inlineStr">
        <is>
          <t>HY950X332</t>
        </is>
      </c>
      <c r="BP505">
        <f>SQRT(($J$1024-J505)^2)</f>
        <v/>
      </c>
      <c r="BQ505">
        <f>SQRT(($R$1024-R505)^2)</f>
        <v/>
      </c>
      <c r="BR505" s="125" t="inlineStr">
        <is>
          <t>HY950X332</t>
        </is>
      </c>
      <c r="BW505">
        <f>SQRT(($J$1025-J505)^2)</f>
        <v/>
      </c>
      <c r="BX505">
        <f>SQRT(($R$1025-R505)^2)</f>
        <v/>
      </c>
      <c r="BY505" s="125" t="inlineStr">
        <is>
          <t>HY950X332</t>
        </is>
      </c>
      <c r="CD505">
        <f>SQRT(($J$1026-J505)^2)</f>
        <v/>
      </c>
      <c r="CE505">
        <f>SQRT(($R$1026-R505)^2)</f>
        <v/>
      </c>
      <c r="CF505" s="125" t="inlineStr">
        <is>
          <t>HY950X332</t>
        </is>
      </c>
    </row>
    <row r="506">
      <c r="A506" s="125" t="inlineStr">
        <is>
          <t>HY950X383</t>
        </is>
      </c>
      <c r="B506" s="129" t="inlineStr">
        <is>
          <t>HY</t>
        </is>
      </c>
      <c r="C506" s="125" t="n">
        <v>383</v>
      </c>
      <c r="D506" s="125" t="n">
        <v>950</v>
      </c>
      <c r="E506" s="125" t="n">
        <v>400</v>
      </c>
      <c r="F506" s="125" t="n">
        <v>40</v>
      </c>
      <c r="G506" s="125" t="n">
        <v>19</v>
      </c>
      <c r="H506" s="125" t="n">
        <v>18</v>
      </c>
      <c r="I506" s="125">
        <f>D506-(2*(H506+F506))</f>
        <v/>
      </c>
      <c r="J506" s="125">
        <f>(2*E506/10*F506/10)+((D506-F506-F506)/10*G506/10)+((H506/10+H506/10)^2)-(PI()*H506/10*H506/10)</f>
        <v/>
      </c>
      <c r="K506" s="125">
        <f>((E506-G506)/2)/F506</f>
        <v/>
      </c>
      <c r="L506" s="125">
        <f>I506/G506</f>
        <v/>
      </c>
      <c r="M506" s="125">
        <f>(E506*2+F506*4+((E506-G506)/2-H506)*4+2*PI()*H506+(D506-2*F506-2*H506)*2)/1000</f>
        <v/>
      </c>
      <c r="N506" s="5" t="n">
        <v>772000</v>
      </c>
      <c r="O506" s="5" t="n">
        <v>42700</v>
      </c>
      <c r="P506" s="125" t="n">
        <v>39.8</v>
      </c>
      <c r="Q506" s="125" t="n">
        <v>9.4</v>
      </c>
      <c r="R506" s="5" t="n">
        <v>16300</v>
      </c>
      <c r="S506" s="5" t="n">
        <v>2140</v>
      </c>
      <c r="T506" s="5" t="n">
        <v>18300</v>
      </c>
      <c r="U506" s="5" t="n">
        <v>3280</v>
      </c>
      <c r="X506" s="129">
        <f t="array" ref="X506">_xlfn.IFS((D506/F506) &lt;= (640/SQRT($AT$32)), "Compact", L506 &lt;= ($AT$32*(0.79-(0.002*((E506-G506/2)/(2*F506))*SQRT($AT$32)))), "Non-Compact", L506 &gt; ($AT$32*(0.79-(0.002*((E506-G506/2)/(2*F506))*SQRT($AT$32)))), "Slender")</f>
        <v/>
      </c>
      <c r="Y506" s="129">
        <f t="array" ref="Y506">_xlfn.IFS(K506 &lt;= (65/SQRT($AT$32)), "Compact", K506 &lt;= (95/SQRT($AT$32)), "Non-Compact", K506 &gt; (95/SQRT($AT$32)), "Slender")</f>
        <v/>
      </c>
      <c r="Z506" s="125">
        <f>E506/F506</f>
        <v/>
      </c>
      <c r="AA506" s="125">
        <f>D506/G506</f>
        <v/>
      </c>
      <c r="AB506" s="125">
        <f t="array" ref="AB506">_xlfn.IFS(Z506 &lt;= 9, "1", Z506 &lt;= 12, "2", Z506 &lt;= 15, "3", Z506 &gt; 15, "4")</f>
        <v/>
      </c>
      <c r="AC506" s="125">
        <f t="array" ref="AC506">_xlfn.IFS(AA506 &lt;= 200, "1", L506 &lt;= 300, "2", L506 &lt;= 400, "3", L506 &gt; 400, "4")</f>
        <v/>
      </c>
      <c r="AF506" s="129">
        <f>SQRT((((VLOOKUP($AT$4,$A$4:$D$1021,4,FALSE))-D506)^2)+(((VLOOKUP($AT$4,$A$4:$E$1021,5,FALSE))-E506)^2)+(((VLOOKUP($AT$4,$A$4:$N$1021,14,FALSE))-N506)^2)+(((VLOOKUP($AT$4,$A$4:$O$1021,15,FALSE))-O506)^2))</f>
        <v/>
      </c>
      <c r="AG506" s="129" t="n"/>
      <c r="AI506" s="129">
        <f>SQRT((((VLOOKUP($AT$4,$A$4:$D$1021,4,FALSE))-D506)^2)+(((VLOOKUP($AT$4,$A$4:$E$1021,5,FALSE))-E506)^2)+(((VLOOKUP($AT$4,$A$4:$R$1021,18,FALSE))-R506)^2)+(((VLOOKUP($AT$4,$A$4:$S$1021,19,FALSE))-S506)^2))</f>
        <v/>
      </c>
      <c r="AJ506" s="125" t="inlineStr">
        <is>
          <t>HY950X383</t>
        </is>
      </c>
      <c r="AK506" s="125" t="n"/>
      <c r="AL506" s="125" t="n"/>
      <c r="AM506" s="125">
        <f>SQRT(((VLOOKUP($AT$4,$A$4:$J$1021,10,FALSE))-J506)^2)</f>
        <v/>
      </c>
      <c r="AN506" s="125" t="n"/>
      <c r="AO506" s="125" t="n"/>
      <c r="AP506" s="125">
        <f>SQRT(((VLOOKUP($AT$4,$A$4:$R$1021,18,FALSE))-R506)^2)</f>
        <v/>
      </c>
      <c r="AQ506" s="125" t="inlineStr">
        <is>
          <t>HY950X383</t>
        </is>
      </c>
      <c r="BB506" s="125">
        <f>SQRT(($J$1022-J506)^2)</f>
        <v/>
      </c>
      <c r="BC506" s="125">
        <f>SQRT(($R$1022-R506)^2)</f>
        <v/>
      </c>
      <c r="BD506" s="125" t="inlineStr">
        <is>
          <t>HY950X383</t>
        </is>
      </c>
      <c r="BI506">
        <f>SQRT(($J$1023-J506)^2)</f>
        <v/>
      </c>
      <c r="BJ506">
        <f>SQRT(($R$1023-R506)^2)</f>
        <v/>
      </c>
      <c r="BK506" s="125" t="inlineStr">
        <is>
          <t>HY950X383</t>
        </is>
      </c>
      <c r="BP506">
        <f>SQRT(($J$1024-J506)^2)</f>
        <v/>
      </c>
      <c r="BQ506">
        <f>SQRT(($R$1024-R506)^2)</f>
        <v/>
      </c>
      <c r="BR506" s="125" t="inlineStr">
        <is>
          <t>HY950X383</t>
        </is>
      </c>
      <c r="BW506">
        <f>SQRT(($J$1025-J506)^2)</f>
        <v/>
      </c>
      <c r="BX506">
        <f>SQRT(($R$1025-R506)^2)</f>
        <v/>
      </c>
      <c r="BY506" s="125" t="inlineStr">
        <is>
          <t>HY950X383</t>
        </is>
      </c>
      <c r="CD506">
        <f>SQRT(($J$1026-J506)^2)</f>
        <v/>
      </c>
      <c r="CE506">
        <f>SQRT(($R$1026-R506)^2)</f>
        <v/>
      </c>
      <c r="CF506" s="125" t="inlineStr">
        <is>
          <t>HY950X383</t>
        </is>
      </c>
    </row>
    <row r="507">
      <c r="A507" s="125" t="inlineStr">
        <is>
          <t>HY950X359</t>
        </is>
      </c>
      <c r="B507" s="129" t="inlineStr">
        <is>
          <t>HY</t>
        </is>
      </c>
      <c r="C507" s="125" t="n">
        <v>359</v>
      </c>
      <c r="D507" s="125" t="n">
        <v>950</v>
      </c>
      <c r="E507" s="125" t="n">
        <v>400</v>
      </c>
      <c r="F507" s="125" t="n">
        <v>36</v>
      </c>
      <c r="G507" s="125" t="n">
        <v>19</v>
      </c>
      <c r="H507" s="125" t="n">
        <v>18</v>
      </c>
      <c r="I507" s="125">
        <f>D507-(2*(H507+F507))</f>
        <v/>
      </c>
      <c r="J507" s="125">
        <f>(2*E507/10*F507/10)+((D507-F507-F507)/10*G507/10)+((H507/10+H507/10)^2)-(PI()*H507/10*H507/10)</f>
        <v/>
      </c>
      <c r="K507" s="125">
        <f>((E507-G507)/2)/F507</f>
        <v/>
      </c>
      <c r="L507" s="125">
        <f>I507/G507</f>
        <v/>
      </c>
      <c r="M507" s="125">
        <f>(E507*2+F507*4+((E507-G507)/2-H507)*4+2*PI()*H507+(D507-2*F507-2*H507)*2)/1000</f>
        <v/>
      </c>
      <c r="N507" s="5" t="n">
        <v>714000</v>
      </c>
      <c r="O507" s="5" t="n">
        <v>38500</v>
      </c>
      <c r="P507" s="125" t="n">
        <v>39.5</v>
      </c>
      <c r="Q507" s="125" t="n">
        <v>9.199999999999999</v>
      </c>
      <c r="R507" s="5" t="n">
        <v>15000</v>
      </c>
      <c r="S507" s="5" t="n">
        <v>1920</v>
      </c>
      <c r="T507" s="5" t="n">
        <v>16900</v>
      </c>
      <c r="U507" s="5" t="n">
        <v>2960</v>
      </c>
      <c r="X507" s="129">
        <f t="array" ref="X507">_xlfn.IFS((D507/F507) &lt;= (640/SQRT($AT$32)), "Compact", L507 &lt;= ($AT$32*(0.79-(0.002*((E507-G507/2)/(2*F507))*SQRT($AT$32)))), "Non-Compact", L507 &gt; ($AT$32*(0.79-(0.002*((E507-G507/2)/(2*F507))*SQRT($AT$32)))), "Slender")</f>
        <v/>
      </c>
      <c r="Y507" s="129">
        <f t="array" ref="Y507">_xlfn.IFS(K507 &lt;= (65/SQRT($AT$32)), "Compact", K507 &lt;= (95/SQRT($AT$32)), "Non-Compact", K507 &gt; (95/SQRT($AT$32)), "Slender")</f>
        <v/>
      </c>
      <c r="Z507" s="125">
        <f>E507/F507</f>
        <v/>
      </c>
      <c r="AA507" s="125">
        <f>D507/G507</f>
        <v/>
      </c>
      <c r="AB507" s="125">
        <f t="array" ref="AB507">_xlfn.IFS(Z507 &lt;= 9, "1", Z507 &lt;= 12, "2", Z507 &lt;= 15, "3", Z507 &gt; 15, "4")</f>
        <v/>
      </c>
      <c r="AC507" s="125">
        <f t="array" ref="AC507">_xlfn.IFS(AA507 &lt;= 200, "1", L507 &lt;= 300, "2", L507 &lt;= 400, "3", L507 &gt; 400, "4")</f>
        <v/>
      </c>
      <c r="AF507" s="129">
        <f>SQRT((((VLOOKUP($AT$4,$A$4:$D$1021,4,FALSE))-D507)^2)+(((VLOOKUP($AT$4,$A$4:$E$1021,5,FALSE))-E507)^2)+(((VLOOKUP($AT$4,$A$4:$N$1021,14,FALSE))-N507)^2)+(((VLOOKUP($AT$4,$A$4:$O$1021,15,FALSE))-O507)^2))</f>
        <v/>
      </c>
      <c r="AG507" s="129" t="n"/>
      <c r="AI507" s="129">
        <f>SQRT((((VLOOKUP($AT$4,$A$4:$D$1021,4,FALSE))-D507)^2)+(((VLOOKUP($AT$4,$A$4:$E$1021,5,FALSE))-E507)^2)+(((VLOOKUP($AT$4,$A$4:$R$1021,18,FALSE))-R507)^2)+(((VLOOKUP($AT$4,$A$4:$S$1021,19,FALSE))-S507)^2))</f>
        <v/>
      </c>
      <c r="AJ507" s="125" t="inlineStr">
        <is>
          <t>HY950X359</t>
        </is>
      </c>
      <c r="AK507" s="125" t="n"/>
      <c r="AL507" s="125" t="n"/>
      <c r="AM507" s="125">
        <f>SQRT(((VLOOKUP($AT$4,$A$4:$J$1021,10,FALSE))-J507)^2)</f>
        <v/>
      </c>
      <c r="AN507" s="125" t="n"/>
      <c r="AO507" s="125" t="n"/>
      <c r="AP507" s="125">
        <f>SQRT(((VLOOKUP($AT$4,$A$4:$R$1021,18,FALSE))-R507)^2)</f>
        <v/>
      </c>
      <c r="AQ507" s="125" t="inlineStr">
        <is>
          <t>HY950X359</t>
        </is>
      </c>
      <c r="BB507" s="125">
        <f>SQRT(($J$1022-J507)^2)</f>
        <v/>
      </c>
      <c r="BC507" s="125">
        <f>SQRT(($R$1022-R507)^2)</f>
        <v/>
      </c>
      <c r="BD507" s="125" t="inlineStr">
        <is>
          <t>HY950X359</t>
        </is>
      </c>
      <c r="BI507">
        <f>SQRT(($J$1023-J507)^2)</f>
        <v/>
      </c>
      <c r="BJ507">
        <f>SQRT(($R$1023-R507)^2)</f>
        <v/>
      </c>
      <c r="BK507" s="125" t="inlineStr">
        <is>
          <t>HY950X359</t>
        </is>
      </c>
      <c r="BP507">
        <f>SQRT(($J$1024-J507)^2)</f>
        <v/>
      </c>
      <c r="BQ507">
        <f>SQRT(($R$1024-R507)^2)</f>
        <v/>
      </c>
      <c r="BR507" s="125" t="inlineStr">
        <is>
          <t>HY950X359</t>
        </is>
      </c>
      <c r="BW507">
        <f>SQRT(($J$1025-J507)^2)</f>
        <v/>
      </c>
      <c r="BX507">
        <f>SQRT(($R$1025-R507)^2)</f>
        <v/>
      </c>
      <c r="BY507" s="125" t="inlineStr">
        <is>
          <t>HY950X359</t>
        </is>
      </c>
      <c r="CD507">
        <f>SQRT(($J$1026-J507)^2)</f>
        <v/>
      </c>
      <c r="CE507">
        <f>SQRT(($R$1026-R507)^2)</f>
        <v/>
      </c>
      <c r="CF507" s="125" t="inlineStr">
        <is>
          <t>HY950X359</t>
        </is>
      </c>
    </row>
    <row r="508">
      <c r="A508" s="125" t="inlineStr">
        <is>
          <t>HY950X335</t>
        </is>
      </c>
      <c r="B508" s="129" t="inlineStr">
        <is>
          <t>HY</t>
        </is>
      </c>
      <c r="C508" s="125" t="n">
        <v>335</v>
      </c>
      <c r="D508" s="125" t="n">
        <v>950</v>
      </c>
      <c r="E508" s="125" t="n">
        <v>400</v>
      </c>
      <c r="F508" s="125" t="n">
        <v>32</v>
      </c>
      <c r="G508" s="125" t="n">
        <v>19</v>
      </c>
      <c r="H508" s="125" t="n">
        <v>18</v>
      </c>
      <c r="I508" s="125">
        <f>D508-(2*(H508+F508))</f>
        <v/>
      </c>
      <c r="J508" s="125">
        <f>(2*E508/10*F508/10)+((D508-F508-F508)/10*G508/10)+((H508/10+H508/10)^2)-(PI()*H508/10*H508/10)</f>
        <v/>
      </c>
      <c r="K508" s="125">
        <f>((E508-G508)/2)/F508</f>
        <v/>
      </c>
      <c r="L508" s="125">
        <f>I508/G508</f>
        <v/>
      </c>
      <c r="M508" s="125">
        <f>(E508*2+F508*4+((E508-G508)/2-H508)*4+2*PI()*H508+(D508-2*F508-2*H508)*2)/1000</f>
        <v/>
      </c>
      <c r="N508" s="5" t="n">
        <v>655000</v>
      </c>
      <c r="O508" s="5" t="n">
        <v>34200</v>
      </c>
      <c r="P508" s="125" t="n">
        <v>39.2</v>
      </c>
      <c r="Q508" s="125" t="n">
        <v>9</v>
      </c>
      <c r="R508" s="5" t="n">
        <v>13800</v>
      </c>
      <c r="S508" s="5" t="n">
        <v>1710</v>
      </c>
      <c r="T508" s="5" t="n">
        <v>15600</v>
      </c>
      <c r="U508" s="5" t="n">
        <v>2640</v>
      </c>
      <c r="X508" s="129">
        <f t="array" ref="X508">_xlfn.IFS((D508/F508) &lt;= (640/SQRT($AT$32)), "Compact", L508 &lt;= ($AT$32*(0.79-(0.002*((E508-G508/2)/(2*F508))*SQRT($AT$32)))), "Non-Compact", L508 &gt; ($AT$32*(0.79-(0.002*((E508-G508/2)/(2*F508))*SQRT($AT$32)))), "Slender")</f>
        <v/>
      </c>
      <c r="Y508" s="129">
        <f t="array" ref="Y508">_xlfn.IFS(K508 &lt;= (65/SQRT($AT$32)), "Compact", K508 &lt;= (95/SQRT($AT$32)), "Non-Compact", K508 &gt; (95/SQRT($AT$32)), "Slender")</f>
        <v/>
      </c>
      <c r="Z508" s="125">
        <f>E508/F508</f>
        <v/>
      </c>
      <c r="AA508" s="125">
        <f>D508/G508</f>
        <v/>
      </c>
      <c r="AB508" s="125">
        <f t="array" ref="AB508">_xlfn.IFS(Z508 &lt;= 9, "1", Z508 &lt;= 12, "2", Z508 &lt;= 15, "3", Z508 &gt; 15, "4")</f>
        <v/>
      </c>
      <c r="AC508" s="125">
        <f t="array" ref="AC508">_xlfn.IFS(AA508 &lt;= 200, "1", L508 &lt;= 300, "2", L508 &lt;= 400, "3", L508 &gt; 400, "4")</f>
        <v/>
      </c>
      <c r="AF508" s="129">
        <f>SQRT((((VLOOKUP($AT$4,$A$4:$D$1021,4,FALSE))-D508)^2)+(((VLOOKUP($AT$4,$A$4:$E$1021,5,FALSE))-E508)^2)+(((VLOOKUP($AT$4,$A$4:$N$1021,14,FALSE))-N508)^2)+(((VLOOKUP($AT$4,$A$4:$O$1021,15,FALSE))-O508)^2))</f>
        <v/>
      </c>
      <c r="AG508" s="129" t="n"/>
      <c r="AI508" s="129">
        <f>SQRT((((VLOOKUP($AT$4,$A$4:$D$1021,4,FALSE))-D508)^2)+(((VLOOKUP($AT$4,$A$4:$E$1021,5,FALSE))-E508)^2)+(((VLOOKUP($AT$4,$A$4:$R$1021,18,FALSE))-R508)^2)+(((VLOOKUP($AT$4,$A$4:$S$1021,19,FALSE))-S508)^2))</f>
        <v/>
      </c>
      <c r="AJ508" s="125" t="inlineStr">
        <is>
          <t>HY950X335</t>
        </is>
      </c>
      <c r="AK508" s="125" t="n"/>
      <c r="AL508" s="125" t="n"/>
      <c r="AM508" s="125">
        <f>SQRT(((VLOOKUP($AT$4,$A$4:$J$1021,10,FALSE))-J508)^2)</f>
        <v/>
      </c>
      <c r="AN508" s="125" t="n"/>
      <c r="AO508" s="125" t="n"/>
      <c r="AP508" s="125">
        <f>SQRT(((VLOOKUP($AT$4,$A$4:$R$1021,18,FALSE))-R508)^2)</f>
        <v/>
      </c>
      <c r="AQ508" s="125" t="inlineStr">
        <is>
          <t>HY950X335</t>
        </is>
      </c>
      <c r="BB508" s="125">
        <f>SQRT(($J$1022-J508)^2)</f>
        <v/>
      </c>
      <c r="BC508" s="125">
        <f>SQRT(($R$1022-R508)^2)</f>
        <v/>
      </c>
      <c r="BD508" s="125" t="inlineStr">
        <is>
          <t>HY950X335</t>
        </is>
      </c>
      <c r="BI508">
        <f>SQRT(($J$1023-J508)^2)</f>
        <v/>
      </c>
      <c r="BJ508">
        <f>SQRT(($R$1023-R508)^2)</f>
        <v/>
      </c>
      <c r="BK508" s="125" t="inlineStr">
        <is>
          <t>HY950X335</t>
        </is>
      </c>
      <c r="BP508">
        <f>SQRT(($J$1024-J508)^2)</f>
        <v/>
      </c>
      <c r="BQ508">
        <f>SQRT(($R$1024-R508)^2)</f>
        <v/>
      </c>
      <c r="BR508" s="125" t="inlineStr">
        <is>
          <t>HY950X335</t>
        </is>
      </c>
      <c r="BW508">
        <f>SQRT(($J$1025-J508)^2)</f>
        <v/>
      </c>
      <c r="BX508">
        <f>SQRT(($R$1025-R508)^2)</f>
        <v/>
      </c>
      <c r="BY508" s="125" t="inlineStr">
        <is>
          <t>HY950X335</t>
        </is>
      </c>
      <c r="CD508">
        <f>SQRT(($J$1026-J508)^2)</f>
        <v/>
      </c>
      <c r="CE508">
        <f>SQRT(($R$1026-R508)^2)</f>
        <v/>
      </c>
      <c r="CF508" s="125" t="inlineStr">
        <is>
          <t>HY950X335</t>
        </is>
      </c>
    </row>
    <row r="509">
      <c r="A509" s="125" t="inlineStr">
        <is>
          <t>HY950X311</t>
        </is>
      </c>
      <c r="B509" s="129" t="inlineStr">
        <is>
          <t>HY</t>
        </is>
      </c>
      <c r="C509" s="125" t="n">
        <v>311</v>
      </c>
      <c r="D509" s="125" t="n">
        <v>950</v>
      </c>
      <c r="E509" s="125" t="n">
        <v>400</v>
      </c>
      <c r="F509" s="125" t="n">
        <v>28</v>
      </c>
      <c r="G509" s="125" t="n">
        <v>19</v>
      </c>
      <c r="H509" s="125" t="n">
        <v>18</v>
      </c>
      <c r="I509" s="125">
        <f>D509-(2*(H509+F509))</f>
        <v/>
      </c>
      <c r="J509" s="125">
        <f>(2*E509/10*F509/10)+((D509-F509-F509)/10*G509/10)+((H509/10+H509/10)^2)-(PI()*H509/10*H509/10)</f>
        <v/>
      </c>
      <c r="K509" s="125">
        <f>((E509-G509)/2)/F509</f>
        <v/>
      </c>
      <c r="L509" s="125">
        <f>I509/G509</f>
        <v/>
      </c>
      <c r="M509" s="125">
        <f>(E509*2+F509*4+((E509-G509)/2-H509)*4+2*PI()*H509+(D509-2*F509-2*H509)*2)/1000</f>
        <v/>
      </c>
      <c r="N509" s="5" t="n">
        <v>595000</v>
      </c>
      <c r="O509" s="5" t="n">
        <v>29900</v>
      </c>
      <c r="P509" s="125" t="n">
        <v>38.7</v>
      </c>
      <c r="Q509" s="125" t="n">
        <v>8.699999999999999</v>
      </c>
      <c r="R509" s="5" t="n">
        <v>12500</v>
      </c>
      <c r="S509" s="5" t="n">
        <v>1500</v>
      </c>
      <c r="T509" s="5" t="n">
        <v>14200</v>
      </c>
      <c r="U509" s="5" t="n">
        <v>2320</v>
      </c>
      <c r="X509" s="129">
        <f t="array" ref="X509">_xlfn.IFS((D509/F509) &lt;= (640/SQRT($AT$32)), "Compact", L509 &lt;= ($AT$32*(0.79-(0.002*((E509-G509/2)/(2*F509))*SQRT($AT$32)))), "Non-Compact", L509 &gt; ($AT$32*(0.79-(0.002*((E509-G509/2)/(2*F509))*SQRT($AT$32)))), "Slender")</f>
        <v/>
      </c>
      <c r="Y509" s="129">
        <f t="array" ref="Y509">_xlfn.IFS(K509 &lt;= (65/SQRT($AT$32)), "Compact", K509 &lt;= (95/SQRT($AT$32)), "Non-Compact", K509 &gt; (95/SQRT($AT$32)), "Slender")</f>
        <v/>
      </c>
      <c r="Z509" s="125">
        <f>E509/F509</f>
        <v/>
      </c>
      <c r="AA509" s="125">
        <f>D509/G509</f>
        <v/>
      </c>
      <c r="AB509" s="125">
        <f t="array" ref="AB509">_xlfn.IFS(Z509 &lt;= 9, "1", Z509 &lt;= 12, "2", Z509 &lt;= 15, "3", Z509 &gt; 15, "4")</f>
        <v/>
      </c>
      <c r="AC509" s="125">
        <f t="array" ref="AC509">_xlfn.IFS(AA509 &lt;= 200, "1", L509 &lt;= 300, "2", L509 &lt;= 400, "3", L509 &gt; 400, "4")</f>
        <v/>
      </c>
      <c r="AF509" s="129">
        <f>SQRT((((VLOOKUP($AT$4,$A$4:$D$1021,4,FALSE))-D509)^2)+(((VLOOKUP($AT$4,$A$4:$E$1021,5,FALSE))-E509)^2)+(((VLOOKUP($AT$4,$A$4:$N$1021,14,FALSE))-N509)^2)+(((VLOOKUP($AT$4,$A$4:$O$1021,15,FALSE))-O509)^2))</f>
        <v/>
      </c>
      <c r="AG509" s="129" t="n"/>
      <c r="AI509" s="129">
        <f>SQRT((((VLOOKUP($AT$4,$A$4:$D$1021,4,FALSE))-D509)^2)+(((VLOOKUP($AT$4,$A$4:$E$1021,5,FALSE))-E509)^2)+(((VLOOKUP($AT$4,$A$4:$R$1021,18,FALSE))-R509)^2)+(((VLOOKUP($AT$4,$A$4:$S$1021,19,FALSE))-S509)^2))</f>
        <v/>
      </c>
      <c r="AJ509" s="125" t="inlineStr">
        <is>
          <t>HY950X311</t>
        </is>
      </c>
      <c r="AK509" s="125" t="n"/>
      <c r="AL509" s="125" t="n"/>
      <c r="AM509" s="125">
        <f>SQRT(((VLOOKUP($AT$4,$A$4:$J$1021,10,FALSE))-J509)^2)</f>
        <v/>
      </c>
      <c r="AN509" s="125" t="n"/>
      <c r="AO509" s="125" t="n"/>
      <c r="AP509" s="125">
        <f>SQRT(((VLOOKUP($AT$4,$A$4:$R$1021,18,FALSE))-R509)^2)</f>
        <v/>
      </c>
      <c r="AQ509" s="125" t="inlineStr">
        <is>
          <t>HY950X311</t>
        </is>
      </c>
      <c r="BB509" s="125">
        <f>SQRT(($J$1022-J509)^2)</f>
        <v/>
      </c>
      <c r="BC509" s="125">
        <f>SQRT(($R$1022-R509)^2)</f>
        <v/>
      </c>
      <c r="BD509" s="125" t="inlineStr">
        <is>
          <t>HY950X311</t>
        </is>
      </c>
      <c r="BI509">
        <f>SQRT(($J$1023-J509)^2)</f>
        <v/>
      </c>
      <c r="BJ509">
        <f>SQRT(($R$1023-R509)^2)</f>
        <v/>
      </c>
      <c r="BK509" s="125" t="inlineStr">
        <is>
          <t>HY950X311</t>
        </is>
      </c>
      <c r="BP509">
        <f>SQRT(($J$1024-J509)^2)</f>
        <v/>
      </c>
      <c r="BQ509">
        <f>SQRT(($R$1024-R509)^2)</f>
        <v/>
      </c>
      <c r="BR509" s="125" t="inlineStr">
        <is>
          <t>HY950X311</t>
        </is>
      </c>
      <c r="BW509">
        <f>SQRT(($J$1025-J509)^2)</f>
        <v/>
      </c>
      <c r="BX509">
        <f>SQRT(($R$1025-R509)^2)</f>
        <v/>
      </c>
      <c r="BY509" s="125" t="inlineStr">
        <is>
          <t>HY950X311</t>
        </is>
      </c>
      <c r="CD509">
        <f>SQRT(($J$1026-J509)^2)</f>
        <v/>
      </c>
      <c r="CE509">
        <f>SQRT(($R$1026-R509)^2)</f>
        <v/>
      </c>
      <c r="CF509" s="125" t="inlineStr">
        <is>
          <t>HY950X311</t>
        </is>
      </c>
    </row>
    <row r="510">
      <c r="A510" s="125" t="inlineStr">
        <is>
          <t>HY950X293</t>
        </is>
      </c>
      <c r="B510" s="129" t="inlineStr">
        <is>
          <t>HY</t>
        </is>
      </c>
      <c r="C510" s="125" t="n">
        <v>293</v>
      </c>
      <c r="D510" s="125" t="n">
        <v>950</v>
      </c>
      <c r="E510" s="125" t="n">
        <v>400</v>
      </c>
      <c r="F510" s="125" t="n">
        <v>25</v>
      </c>
      <c r="G510" s="125" t="n">
        <v>19</v>
      </c>
      <c r="H510" s="125" t="n">
        <v>18</v>
      </c>
      <c r="I510" s="125">
        <f>D510-(2*(H510+F510))</f>
        <v/>
      </c>
      <c r="J510" s="125">
        <f>(2*E510/10*F510/10)+((D510-F510-F510)/10*G510/10)+((H510/10+H510/10)^2)-(PI()*H510/10*H510/10)</f>
        <v/>
      </c>
      <c r="K510" s="125">
        <f>((E510-G510)/2)/F510</f>
        <v/>
      </c>
      <c r="L510" s="125">
        <f>I510/G510</f>
        <v/>
      </c>
      <c r="M510" s="125">
        <f>(E510*2+F510*4+((E510-G510)/2-H510)*4+2*PI()*H510+(D510-2*F510-2*H510)*2)/1000</f>
        <v/>
      </c>
      <c r="N510" s="5" t="n">
        <v>549000</v>
      </c>
      <c r="O510" s="5" t="n">
        <v>26700</v>
      </c>
      <c r="P510" s="125" t="n">
        <v>38.3</v>
      </c>
      <c r="Q510" s="125" t="n">
        <v>8.5</v>
      </c>
      <c r="R510" s="5" t="n">
        <v>11600</v>
      </c>
      <c r="S510" s="5" t="n">
        <v>1340</v>
      </c>
      <c r="T510" s="5" t="n">
        <v>13200</v>
      </c>
      <c r="U510" s="5" t="n">
        <v>2080</v>
      </c>
      <c r="X510" s="129">
        <f t="array" ref="X510">_xlfn.IFS((D510/F510) &lt;= (640/SQRT($AT$32)), "Compact", L510 &lt;= ($AT$32*(0.79-(0.002*((E510-G510/2)/(2*F510))*SQRT($AT$32)))), "Non-Compact", L510 &gt; ($AT$32*(0.79-(0.002*((E510-G510/2)/(2*F510))*SQRT($AT$32)))), "Slender")</f>
        <v/>
      </c>
      <c r="Y510" s="129">
        <f t="array" ref="Y510">_xlfn.IFS(K510 &lt;= (65/SQRT($AT$32)), "Compact", K510 &lt;= (95/SQRT($AT$32)), "Non-Compact", K510 &gt; (95/SQRT($AT$32)), "Slender")</f>
        <v/>
      </c>
      <c r="Z510" s="125">
        <f>E510/F510</f>
        <v/>
      </c>
      <c r="AA510" s="125">
        <f>D510/G510</f>
        <v/>
      </c>
      <c r="AB510" s="125">
        <f t="array" ref="AB510">_xlfn.IFS(Z510 &lt;= 9, "1", Z510 &lt;= 12, "2", Z510 &lt;= 15, "3", Z510 &gt; 15, "4")</f>
        <v/>
      </c>
      <c r="AC510" s="125">
        <f t="array" ref="AC510">_xlfn.IFS(AA510 &lt;= 200, "1", L510 &lt;= 300, "2", L510 &lt;= 400, "3", L510 &gt; 400, "4")</f>
        <v/>
      </c>
      <c r="AF510" s="129">
        <f>SQRT((((VLOOKUP($AT$4,$A$4:$D$1021,4,FALSE))-D510)^2)+(((VLOOKUP($AT$4,$A$4:$E$1021,5,FALSE))-E510)^2)+(((VLOOKUP($AT$4,$A$4:$N$1021,14,FALSE))-N510)^2)+(((VLOOKUP($AT$4,$A$4:$O$1021,15,FALSE))-O510)^2))</f>
        <v/>
      </c>
      <c r="AG510" s="129" t="n"/>
      <c r="AI510" s="129">
        <f>SQRT((((VLOOKUP($AT$4,$A$4:$D$1021,4,FALSE))-D510)^2)+(((VLOOKUP($AT$4,$A$4:$E$1021,5,FALSE))-E510)^2)+(((VLOOKUP($AT$4,$A$4:$R$1021,18,FALSE))-R510)^2)+(((VLOOKUP($AT$4,$A$4:$S$1021,19,FALSE))-S510)^2))</f>
        <v/>
      </c>
      <c r="AJ510" s="125" t="inlineStr">
        <is>
          <t>HY950X293</t>
        </is>
      </c>
      <c r="AK510" s="125" t="n"/>
      <c r="AL510" s="125" t="n"/>
      <c r="AM510" s="125">
        <f>SQRT(((VLOOKUP($AT$4,$A$4:$J$1021,10,FALSE))-J510)^2)</f>
        <v/>
      </c>
      <c r="AN510" s="125" t="n"/>
      <c r="AO510" s="125" t="n"/>
      <c r="AP510" s="125">
        <f>SQRT(((VLOOKUP($AT$4,$A$4:$R$1021,18,FALSE))-R510)^2)</f>
        <v/>
      </c>
      <c r="AQ510" s="125" t="inlineStr">
        <is>
          <t>HY950X293</t>
        </is>
      </c>
      <c r="BB510" s="125">
        <f>SQRT(($J$1022-J510)^2)</f>
        <v/>
      </c>
      <c r="BC510" s="125">
        <f>SQRT(($R$1022-R510)^2)</f>
        <v/>
      </c>
      <c r="BD510" s="125" t="inlineStr">
        <is>
          <t>HY950X293</t>
        </is>
      </c>
      <c r="BI510">
        <f>SQRT(($J$1023-J510)^2)</f>
        <v/>
      </c>
      <c r="BJ510">
        <f>SQRT(($R$1023-R510)^2)</f>
        <v/>
      </c>
      <c r="BK510" s="125" t="inlineStr">
        <is>
          <t>HY950X293</t>
        </is>
      </c>
      <c r="BP510">
        <f>SQRT(($J$1024-J510)^2)</f>
        <v/>
      </c>
      <c r="BQ510">
        <f>SQRT(($R$1024-R510)^2)</f>
        <v/>
      </c>
      <c r="BR510" s="125" t="inlineStr">
        <is>
          <t>HY950X293</t>
        </is>
      </c>
      <c r="BW510">
        <f>SQRT(($J$1025-J510)^2)</f>
        <v/>
      </c>
      <c r="BX510">
        <f>SQRT(($R$1025-R510)^2)</f>
        <v/>
      </c>
      <c r="BY510" s="125" t="inlineStr">
        <is>
          <t>HY950X293</t>
        </is>
      </c>
      <c r="CD510">
        <f>SQRT(($J$1026-J510)^2)</f>
        <v/>
      </c>
      <c r="CE510">
        <f>SQRT(($R$1026-R510)^2)</f>
        <v/>
      </c>
      <c r="CF510" s="125" t="inlineStr">
        <is>
          <t>HY950X293</t>
        </is>
      </c>
    </row>
    <row r="511">
      <c r="A511" s="125" t="inlineStr">
        <is>
          <t>HY950X339</t>
        </is>
      </c>
      <c r="B511" s="129" t="inlineStr">
        <is>
          <t>HY</t>
        </is>
      </c>
      <c r="C511" s="125" t="n">
        <v>339</v>
      </c>
      <c r="D511" s="125" t="n">
        <v>950</v>
      </c>
      <c r="E511" s="125" t="n">
        <v>400</v>
      </c>
      <c r="F511" s="125" t="n">
        <v>36</v>
      </c>
      <c r="G511" s="125" t="n">
        <v>16</v>
      </c>
      <c r="H511" s="125" t="n">
        <v>18</v>
      </c>
      <c r="I511" s="125">
        <f>D511-(2*(H511+F511))</f>
        <v/>
      </c>
      <c r="J511" s="125">
        <f>(2*E511/10*F511/10)+((D511-F511-F511)/10*G511/10)+((H511/10+H511/10)^2)-(PI()*H511/10*H511/10)</f>
        <v/>
      </c>
      <c r="K511" s="125">
        <f>((E511-G511)/2)/F511</f>
        <v/>
      </c>
      <c r="L511" s="125">
        <f>I511/G511</f>
        <v/>
      </c>
      <c r="M511" s="125">
        <f>(E511*2+F511*4+((E511-G511)/2-H511)*4+2*PI()*H511+(D511-2*F511-2*H511)*2)/1000</f>
        <v/>
      </c>
      <c r="N511" s="5" t="n">
        <v>697000</v>
      </c>
      <c r="O511" s="5" t="n">
        <v>38400</v>
      </c>
      <c r="P511" s="125" t="n">
        <v>40.2</v>
      </c>
      <c r="Q511" s="125" t="n">
        <v>9.4</v>
      </c>
      <c r="R511" s="5" t="n">
        <v>14700</v>
      </c>
      <c r="S511" s="5" t="n">
        <v>1920</v>
      </c>
      <c r="T511" s="5" t="n">
        <v>16400</v>
      </c>
      <c r="U511" s="5" t="n">
        <v>2940</v>
      </c>
      <c r="X511" s="129">
        <f t="array" ref="X511">_xlfn.IFS((D511/F511) &lt;= (640/SQRT($AT$32)), "Compact", L511 &lt;= ($AT$32*(0.79-(0.002*((E511-G511/2)/(2*F511))*SQRT($AT$32)))), "Non-Compact", L511 &gt; ($AT$32*(0.79-(0.002*((E511-G511/2)/(2*F511))*SQRT($AT$32)))), "Slender")</f>
        <v/>
      </c>
      <c r="Y511" s="129">
        <f t="array" ref="Y511">_xlfn.IFS(K511 &lt;= (65/SQRT($AT$32)), "Compact", K511 &lt;= (95/SQRT($AT$32)), "Non-Compact", K511 &gt; (95/SQRT($AT$32)), "Slender")</f>
        <v/>
      </c>
      <c r="Z511" s="125">
        <f>E511/F511</f>
        <v/>
      </c>
      <c r="AA511" s="125">
        <f>D511/G511</f>
        <v/>
      </c>
      <c r="AB511" s="125">
        <f t="array" ref="AB511">_xlfn.IFS(Z511 &lt;= 9, "1", Z511 &lt;= 12, "2", Z511 &lt;= 15, "3", Z511 &gt; 15, "4")</f>
        <v/>
      </c>
      <c r="AC511" s="125">
        <f t="array" ref="AC511">_xlfn.IFS(AA511 &lt;= 200, "1", L511 &lt;= 300, "2", L511 &lt;= 400, "3", L511 &gt; 400, "4")</f>
        <v/>
      </c>
      <c r="AF511" s="129">
        <f>SQRT((((VLOOKUP($AT$4,$A$4:$D$1021,4,FALSE))-D511)^2)+(((VLOOKUP($AT$4,$A$4:$E$1021,5,FALSE))-E511)^2)+(((VLOOKUP($AT$4,$A$4:$N$1021,14,FALSE))-N511)^2)+(((VLOOKUP($AT$4,$A$4:$O$1021,15,FALSE))-O511)^2))</f>
        <v/>
      </c>
      <c r="AG511" s="129" t="n"/>
      <c r="AI511" s="129">
        <f>SQRT((((VLOOKUP($AT$4,$A$4:$D$1021,4,FALSE))-D511)^2)+(((VLOOKUP($AT$4,$A$4:$E$1021,5,FALSE))-E511)^2)+(((VLOOKUP($AT$4,$A$4:$R$1021,18,FALSE))-R511)^2)+(((VLOOKUP($AT$4,$A$4:$S$1021,19,FALSE))-S511)^2))</f>
        <v/>
      </c>
      <c r="AJ511" s="125" t="inlineStr">
        <is>
          <t>HY950X339</t>
        </is>
      </c>
      <c r="AK511" s="125" t="n"/>
      <c r="AL511" s="125" t="n"/>
      <c r="AM511" s="125">
        <f>SQRT(((VLOOKUP($AT$4,$A$4:$J$1021,10,FALSE))-J511)^2)</f>
        <v/>
      </c>
      <c r="AN511" s="125" t="n"/>
      <c r="AO511" s="125" t="n"/>
      <c r="AP511" s="125">
        <f>SQRT(((VLOOKUP($AT$4,$A$4:$R$1021,18,FALSE))-R511)^2)</f>
        <v/>
      </c>
      <c r="AQ511" s="125" t="inlineStr">
        <is>
          <t>HY950X339</t>
        </is>
      </c>
      <c r="BB511" s="125">
        <f>SQRT(($J$1022-J511)^2)</f>
        <v/>
      </c>
      <c r="BC511" s="125">
        <f>SQRT(($R$1022-R511)^2)</f>
        <v/>
      </c>
      <c r="BD511" s="125" t="inlineStr">
        <is>
          <t>HY950X339</t>
        </is>
      </c>
      <c r="BI511">
        <f>SQRT(($J$1023-J511)^2)</f>
        <v/>
      </c>
      <c r="BJ511">
        <f>SQRT(($R$1023-R511)^2)</f>
        <v/>
      </c>
      <c r="BK511" s="125" t="inlineStr">
        <is>
          <t>HY950X339</t>
        </is>
      </c>
      <c r="BP511">
        <f>SQRT(($J$1024-J511)^2)</f>
        <v/>
      </c>
      <c r="BQ511">
        <f>SQRT(($R$1024-R511)^2)</f>
        <v/>
      </c>
      <c r="BR511" s="125" t="inlineStr">
        <is>
          <t>HY950X339</t>
        </is>
      </c>
      <c r="BW511">
        <f>SQRT(($J$1025-J511)^2)</f>
        <v/>
      </c>
      <c r="BX511">
        <f>SQRT(($R$1025-R511)^2)</f>
        <v/>
      </c>
      <c r="BY511" s="125" t="inlineStr">
        <is>
          <t>HY950X339</t>
        </is>
      </c>
      <c r="CD511">
        <f>SQRT(($J$1026-J511)^2)</f>
        <v/>
      </c>
      <c r="CE511">
        <f>SQRT(($R$1026-R511)^2)</f>
        <v/>
      </c>
      <c r="CF511" s="125" t="inlineStr">
        <is>
          <t>HY950X339</t>
        </is>
      </c>
    </row>
    <row r="512">
      <c r="A512" s="125" t="inlineStr">
        <is>
          <t>HY950X314</t>
        </is>
      </c>
      <c r="B512" s="129" t="inlineStr">
        <is>
          <t>HY</t>
        </is>
      </c>
      <c r="C512" s="125" t="n">
        <v>314</v>
      </c>
      <c r="D512" s="125" t="n">
        <v>950</v>
      </c>
      <c r="E512" s="125" t="n">
        <v>400</v>
      </c>
      <c r="F512" s="125" t="n">
        <v>32</v>
      </c>
      <c r="G512" s="125" t="n">
        <v>16</v>
      </c>
      <c r="H512" s="125" t="n">
        <v>18</v>
      </c>
      <c r="I512" s="125">
        <f>D512-(2*(H512+F512))</f>
        <v/>
      </c>
      <c r="J512" s="125">
        <f>(2*E512/10*F512/10)+((D512-F512-F512)/10*G512/10)+((H512/10+H512/10)^2)-(PI()*H512/10*H512/10)</f>
        <v/>
      </c>
      <c r="K512" s="125">
        <f>((E512-G512)/2)/F512</f>
        <v/>
      </c>
      <c r="L512" s="125">
        <f>I512/G512</f>
        <v/>
      </c>
      <c r="M512" s="125">
        <f>(E512*2+F512*4+((E512-G512)/2-H512)*4+2*PI()*H512+(D512-2*F512-2*H512)*2)/1000</f>
        <v/>
      </c>
      <c r="N512" s="5" t="n">
        <v>638000</v>
      </c>
      <c r="O512" s="5" t="n">
        <v>34200</v>
      </c>
      <c r="P512" s="125" t="n">
        <v>39.9</v>
      </c>
      <c r="Q512" s="125" t="n">
        <v>9.199999999999999</v>
      </c>
      <c r="R512" s="5" t="n">
        <v>13400</v>
      </c>
      <c r="S512" s="5" t="n">
        <v>1710</v>
      </c>
      <c r="T512" s="5" t="n">
        <v>15000</v>
      </c>
      <c r="U512" s="5" t="n">
        <v>2620</v>
      </c>
      <c r="X512" s="129">
        <f t="array" ref="X512">_xlfn.IFS((D512/F512) &lt;= (640/SQRT($AT$32)), "Compact", L512 &lt;= ($AT$32*(0.79-(0.002*((E512-G512/2)/(2*F512))*SQRT($AT$32)))), "Non-Compact", L512 &gt; ($AT$32*(0.79-(0.002*((E512-G512/2)/(2*F512))*SQRT($AT$32)))), "Slender")</f>
        <v/>
      </c>
      <c r="Y512" s="129">
        <f t="array" ref="Y512">_xlfn.IFS(K512 &lt;= (65/SQRT($AT$32)), "Compact", K512 &lt;= (95/SQRT($AT$32)), "Non-Compact", K512 &gt; (95/SQRT($AT$32)), "Slender")</f>
        <v/>
      </c>
      <c r="Z512" s="125">
        <f>E512/F512</f>
        <v/>
      </c>
      <c r="AA512" s="125">
        <f>D512/G512</f>
        <v/>
      </c>
      <c r="AB512" s="125">
        <f t="array" ref="AB512">_xlfn.IFS(Z512 &lt;= 9, "1", Z512 &lt;= 12, "2", Z512 &lt;= 15, "3", Z512 &gt; 15, "4")</f>
        <v/>
      </c>
      <c r="AC512" s="125">
        <f t="array" ref="AC512">_xlfn.IFS(AA512 &lt;= 200, "1", L512 &lt;= 300, "2", L512 &lt;= 400, "3", L512 &gt; 400, "4")</f>
        <v/>
      </c>
      <c r="AF512" s="129">
        <f>SQRT((((VLOOKUP($AT$4,$A$4:$D$1021,4,FALSE))-D512)^2)+(((VLOOKUP($AT$4,$A$4:$E$1021,5,FALSE))-E512)^2)+(((VLOOKUP($AT$4,$A$4:$N$1021,14,FALSE))-N512)^2)+(((VLOOKUP($AT$4,$A$4:$O$1021,15,FALSE))-O512)^2))</f>
        <v/>
      </c>
      <c r="AG512" s="129" t="n"/>
      <c r="AI512" s="129">
        <f>SQRT((((VLOOKUP($AT$4,$A$4:$D$1021,4,FALSE))-D512)^2)+(((VLOOKUP($AT$4,$A$4:$E$1021,5,FALSE))-E512)^2)+(((VLOOKUP($AT$4,$A$4:$R$1021,18,FALSE))-R512)^2)+(((VLOOKUP($AT$4,$A$4:$S$1021,19,FALSE))-S512)^2))</f>
        <v/>
      </c>
      <c r="AJ512" s="125" t="inlineStr">
        <is>
          <t>HY950X314</t>
        </is>
      </c>
      <c r="AK512" s="125" t="n"/>
      <c r="AL512" s="125" t="n"/>
      <c r="AM512" s="125">
        <f>SQRT(((VLOOKUP($AT$4,$A$4:$J$1021,10,FALSE))-J512)^2)</f>
        <v/>
      </c>
      <c r="AN512" s="125" t="n"/>
      <c r="AO512" s="125" t="n"/>
      <c r="AP512" s="125">
        <f>SQRT(((VLOOKUP($AT$4,$A$4:$R$1021,18,FALSE))-R512)^2)</f>
        <v/>
      </c>
      <c r="AQ512" s="125" t="inlineStr">
        <is>
          <t>HY950X314</t>
        </is>
      </c>
      <c r="BB512" s="125">
        <f>SQRT(($J$1022-J512)^2)</f>
        <v/>
      </c>
      <c r="BC512" s="125">
        <f>SQRT(($R$1022-R512)^2)</f>
        <v/>
      </c>
      <c r="BD512" s="125" t="inlineStr">
        <is>
          <t>HY950X314</t>
        </is>
      </c>
      <c r="BI512">
        <f>SQRT(($J$1023-J512)^2)</f>
        <v/>
      </c>
      <c r="BJ512">
        <f>SQRT(($R$1023-R512)^2)</f>
        <v/>
      </c>
      <c r="BK512" s="125" t="inlineStr">
        <is>
          <t>HY950X314</t>
        </is>
      </c>
      <c r="BP512">
        <f>SQRT(($J$1024-J512)^2)</f>
        <v/>
      </c>
      <c r="BQ512">
        <f>SQRT(($R$1024-R512)^2)</f>
        <v/>
      </c>
      <c r="BR512" s="125" t="inlineStr">
        <is>
          <t>HY950X314</t>
        </is>
      </c>
      <c r="BW512">
        <f>SQRT(($J$1025-J512)^2)</f>
        <v/>
      </c>
      <c r="BX512">
        <f>SQRT(($R$1025-R512)^2)</f>
        <v/>
      </c>
      <c r="BY512" s="125" t="inlineStr">
        <is>
          <t>HY950X314</t>
        </is>
      </c>
      <c r="CD512">
        <f>SQRT(($J$1026-J512)^2)</f>
        <v/>
      </c>
      <c r="CE512">
        <f>SQRT(($R$1026-R512)^2)</f>
        <v/>
      </c>
      <c r="CF512" s="125" t="inlineStr">
        <is>
          <t>HY950X314</t>
        </is>
      </c>
    </row>
    <row r="513">
      <c r="A513" s="125" t="inlineStr">
        <is>
          <t>HY950X290</t>
        </is>
      </c>
      <c r="B513" s="129" t="inlineStr">
        <is>
          <t>HY</t>
        </is>
      </c>
      <c r="C513" s="125" t="n">
        <v>290</v>
      </c>
      <c r="D513" s="125" t="n">
        <v>950</v>
      </c>
      <c r="E513" s="125" t="n">
        <v>400</v>
      </c>
      <c r="F513" s="125" t="n">
        <v>28</v>
      </c>
      <c r="G513" s="125" t="n">
        <v>16</v>
      </c>
      <c r="H513" s="125" t="n">
        <v>18</v>
      </c>
      <c r="I513" s="125">
        <f>D513-(2*(H513+F513))</f>
        <v/>
      </c>
      <c r="J513" s="125">
        <f>(2*E513/10*F513/10)+((D513-F513-F513)/10*G513/10)+((H513/10+H513/10)^2)-(PI()*H513/10*H513/10)</f>
        <v/>
      </c>
      <c r="K513" s="125">
        <f>((E513-G513)/2)/F513</f>
        <v/>
      </c>
      <c r="L513" s="125">
        <f>I513/G513</f>
        <v/>
      </c>
      <c r="M513" s="125">
        <f>(E513*2+F513*4+((E513-G513)/2-H513)*4+2*PI()*H513+(D513-2*F513-2*H513)*2)/1000</f>
        <v/>
      </c>
      <c r="N513" s="5" t="n">
        <v>577000</v>
      </c>
      <c r="O513" s="5" t="n">
        <v>29900</v>
      </c>
      <c r="P513" s="125" t="n">
        <v>39.5</v>
      </c>
      <c r="Q513" s="125" t="n">
        <v>9</v>
      </c>
      <c r="R513" s="5" t="n">
        <v>12100</v>
      </c>
      <c r="S513" s="5" t="n">
        <v>1500</v>
      </c>
      <c r="T513" s="5" t="n">
        <v>13600</v>
      </c>
      <c r="U513" s="5" t="n">
        <v>2300</v>
      </c>
      <c r="X513" s="129">
        <f t="array" ref="X513">_xlfn.IFS((D513/F513) &lt;= (640/SQRT($AT$32)), "Compact", L513 &lt;= ($AT$32*(0.79-(0.002*((E513-G513/2)/(2*F513))*SQRT($AT$32)))), "Non-Compact", L513 &gt; ($AT$32*(0.79-(0.002*((E513-G513/2)/(2*F513))*SQRT($AT$32)))), "Slender")</f>
        <v/>
      </c>
      <c r="Y513" s="129">
        <f t="array" ref="Y513">_xlfn.IFS(K513 &lt;= (65/SQRT($AT$32)), "Compact", K513 &lt;= (95/SQRT($AT$32)), "Non-Compact", K513 &gt; (95/SQRT($AT$32)), "Slender")</f>
        <v/>
      </c>
      <c r="Z513" s="125">
        <f>E513/F513</f>
        <v/>
      </c>
      <c r="AA513" s="125">
        <f>D513/G513</f>
        <v/>
      </c>
      <c r="AB513" s="125">
        <f t="array" ref="AB513">_xlfn.IFS(Z513 &lt;= 9, "1", Z513 &lt;= 12, "2", Z513 &lt;= 15, "3", Z513 &gt; 15, "4")</f>
        <v/>
      </c>
      <c r="AC513" s="125">
        <f t="array" ref="AC513">_xlfn.IFS(AA513 &lt;= 200, "1", L513 &lt;= 300, "2", L513 &lt;= 400, "3", L513 &gt; 400, "4")</f>
        <v/>
      </c>
      <c r="AF513" s="129">
        <f>SQRT((((VLOOKUP($AT$4,$A$4:$D$1021,4,FALSE))-D513)^2)+(((VLOOKUP($AT$4,$A$4:$E$1021,5,FALSE))-E513)^2)+(((VLOOKUP($AT$4,$A$4:$N$1021,14,FALSE))-N513)^2)+(((VLOOKUP($AT$4,$A$4:$O$1021,15,FALSE))-O513)^2))</f>
        <v/>
      </c>
      <c r="AG513" s="129" t="n"/>
      <c r="AI513" s="129">
        <f>SQRT((((VLOOKUP($AT$4,$A$4:$D$1021,4,FALSE))-D513)^2)+(((VLOOKUP($AT$4,$A$4:$E$1021,5,FALSE))-E513)^2)+(((VLOOKUP($AT$4,$A$4:$R$1021,18,FALSE))-R513)^2)+(((VLOOKUP($AT$4,$A$4:$S$1021,19,FALSE))-S513)^2))</f>
        <v/>
      </c>
      <c r="AJ513" s="125" t="inlineStr">
        <is>
          <t>HY950X290</t>
        </is>
      </c>
      <c r="AK513" s="125" t="n"/>
      <c r="AL513" s="125" t="n"/>
      <c r="AM513" s="125">
        <f>SQRT(((VLOOKUP($AT$4,$A$4:$J$1021,10,FALSE))-J513)^2)</f>
        <v/>
      </c>
      <c r="AN513" s="125" t="n"/>
      <c r="AO513" s="125" t="n"/>
      <c r="AP513" s="125">
        <f>SQRT(((VLOOKUP($AT$4,$A$4:$R$1021,18,FALSE))-R513)^2)</f>
        <v/>
      </c>
      <c r="AQ513" s="125" t="inlineStr">
        <is>
          <t>HY950X290</t>
        </is>
      </c>
      <c r="BB513" s="125">
        <f>SQRT(($J$1022-J513)^2)</f>
        <v/>
      </c>
      <c r="BC513" s="125">
        <f>SQRT(($R$1022-R513)^2)</f>
        <v/>
      </c>
      <c r="BD513" s="125" t="inlineStr">
        <is>
          <t>HY950X290</t>
        </is>
      </c>
      <c r="BI513">
        <f>SQRT(($J$1023-J513)^2)</f>
        <v/>
      </c>
      <c r="BJ513">
        <f>SQRT(($R$1023-R513)^2)</f>
        <v/>
      </c>
      <c r="BK513" s="125" t="inlineStr">
        <is>
          <t>HY950X290</t>
        </is>
      </c>
      <c r="BP513">
        <f>SQRT(($J$1024-J513)^2)</f>
        <v/>
      </c>
      <c r="BQ513">
        <f>SQRT(($R$1024-R513)^2)</f>
        <v/>
      </c>
      <c r="BR513" s="125" t="inlineStr">
        <is>
          <t>HY950X290</t>
        </is>
      </c>
      <c r="BW513">
        <f>SQRT(($J$1025-J513)^2)</f>
        <v/>
      </c>
      <c r="BX513">
        <f>SQRT(($R$1025-R513)^2)</f>
        <v/>
      </c>
      <c r="BY513" s="125" t="inlineStr">
        <is>
          <t>HY950X290</t>
        </is>
      </c>
      <c r="CD513">
        <f>SQRT(($J$1026-J513)^2)</f>
        <v/>
      </c>
      <c r="CE513">
        <f>SQRT(($R$1026-R513)^2)</f>
        <v/>
      </c>
      <c r="CF513" s="125" t="inlineStr">
        <is>
          <t>HY950X290</t>
        </is>
      </c>
    </row>
    <row r="514">
      <c r="A514" s="125" t="inlineStr">
        <is>
          <t>HY950X272</t>
        </is>
      </c>
      <c r="B514" s="129" t="inlineStr">
        <is>
          <t>HY</t>
        </is>
      </c>
      <c r="C514" s="125" t="n">
        <v>272</v>
      </c>
      <c r="D514" s="125" t="n">
        <v>950</v>
      </c>
      <c r="E514" s="125" t="n">
        <v>400</v>
      </c>
      <c r="F514" s="125" t="n">
        <v>25</v>
      </c>
      <c r="G514" s="125" t="n">
        <v>16</v>
      </c>
      <c r="H514" s="125" t="n">
        <v>18</v>
      </c>
      <c r="I514" s="125">
        <f>D514-(2*(H514+F514))</f>
        <v/>
      </c>
      <c r="J514" s="125">
        <f>(2*E514/10*F514/10)+((D514-F514-F514)/10*G514/10)+((H514/10+H514/10)^2)-(PI()*H514/10*H514/10)</f>
        <v/>
      </c>
      <c r="K514" s="125">
        <f>((E514-G514)/2)/F514</f>
        <v/>
      </c>
      <c r="L514" s="125">
        <f>I514/G514</f>
        <v/>
      </c>
      <c r="M514" s="125">
        <f>(E514*2+F514*4+((E514-G514)/2-H514)*4+2*PI()*H514+(D514-2*F514-2*H514)*2)/1000</f>
        <v/>
      </c>
      <c r="N514" s="5" t="n">
        <v>531000</v>
      </c>
      <c r="O514" s="5" t="n">
        <v>26700</v>
      </c>
      <c r="P514" s="125" t="n">
        <v>39.1</v>
      </c>
      <c r="Q514" s="125" t="n">
        <v>8.800000000000001</v>
      </c>
      <c r="R514" s="5" t="n">
        <v>11200</v>
      </c>
      <c r="S514" s="5" t="n">
        <v>1340</v>
      </c>
      <c r="T514" s="5" t="n">
        <v>12600</v>
      </c>
      <c r="U514" s="5" t="n">
        <v>2060</v>
      </c>
      <c r="X514" s="129">
        <f t="array" ref="X514">_xlfn.IFS((D514/F514) &lt;= (640/SQRT($AT$32)), "Compact", L514 &lt;= ($AT$32*(0.79-(0.002*((E514-G514/2)/(2*F514))*SQRT($AT$32)))), "Non-Compact", L514 &gt; ($AT$32*(0.79-(0.002*((E514-G514/2)/(2*F514))*SQRT($AT$32)))), "Slender")</f>
        <v/>
      </c>
      <c r="Y514" s="129">
        <f t="array" ref="Y514">_xlfn.IFS(K514 &lt;= (65/SQRT($AT$32)), "Compact", K514 &lt;= (95/SQRT($AT$32)), "Non-Compact", K514 &gt; (95/SQRT($AT$32)), "Slender")</f>
        <v/>
      </c>
      <c r="Z514" s="125">
        <f>E514/F514</f>
        <v/>
      </c>
      <c r="AA514" s="125">
        <f>D514/G514</f>
        <v/>
      </c>
      <c r="AB514" s="125">
        <f t="array" ref="AB514">_xlfn.IFS(Z514 &lt;= 9, "1", Z514 &lt;= 12, "2", Z514 &lt;= 15, "3", Z514 &gt; 15, "4")</f>
        <v/>
      </c>
      <c r="AC514" s="125">
        <f t="array" ref="AC514">_xlfn.IFS(AA514 &lt;= 200, "1", L514 &lt;= 300, "2", L514 &lt;= 400, "3", L514 &gt; 400, "4")</f>
        <v/>
      </c>
      <c r="AF514" s="129">
        <f>SQRT((((VLOOKUP($AT$4,$A$4:$D$1021,4,FALSE))-D514)^2)+(((VLOOKUP($AT$4,$A$4:$E$1021,5,FALSE))-E514)^2)+(((VLOOKUP($AT$4,$A$4:$N$1021,14,FALSE))-N514)^2)+(((VLOOKUP($AT$4,$A$4:$O$1021,15,FALSE))-O514)^2))</f>
        <v/>
      </c>
      <c r="AG514" s="129" t="n"/>
      <c r="AI514" s="129">
        <f>SQRT((((VLOOKUP($AT$4,$A$4:$D$1021,4,FALSE))-D514)^2)+(((VLOOKUP($AT$4,$A$4:$E$1021,5,FALSE))-E514)^2)+(((VLOOKUP($AT$4,$A$4:$R$1021,18,FALSE))-R514)^2)+(((VLOOKUP($AT$4,$A$4:$S$1021,19,FALSE))-S514)^2))</f>
        <v/>
      </c>
      <c r="AJ514" s="125" t="inlineStr">
        <is>
          <t>HY950X272</t>
        </is>
      </c>
      <c r="AK514" s="125" t="n"/>
      <c r="AL514" s="125" t="n"/>
      <c r="AM514" s="125">
        <f>SQRT(((VLOOKUP($AT$4,$A$4:$J$1021,10,FALSE))-J514)^2)</f>
        <v/>
      </c>
      <c r="AN514" s="125" t="n"/>
      <c r="AO514" s="125" t="n"/>
      <c r="AP514" s="125">
        <f>SQRT(((VLOOKUP($AT$4,$A$4:$R$1021,18,FALSE))-R514)^2)</f>
        <v/>
      </c>
      <c r="AQ514" s="125" t="inlineStr">
        <is>
          <t>HY950X272</t>
        </is>
      </c>
      <c r="BB514" s="125">
        <f>SQRT(($J$1022-J514)^2)</f>
        <v/>
      </c>
      <c r="BC514" s="125">
        <f>SQRT(($R$1022-R514)^2)</f>
        <v/>
      </c>
      <c r="BD514" s="125" t="inlineStr">
        <is>
          <t>HY950X272</t>
        </is>
      </c>
      <c r="BI514">
        <f>SQRT(($J$1023-J514)^2)</f>
        <v/>
      </c>
      <c r="BJ514">
        <f>SQRT(($R$1023-R514)^2)</f>
        <v/>
      </c>
      <c r="BK514" s="125" t="inlineStr">
        <is>
          <t>HY950X272</t>
        </is>
      </c>
      <c r="BP514">
        <f>SQRT(($J$1024-J514)^2)</f>
        <v/>
      </c>
      <c r="BQ514">
        <f>SQRT(($R$1024-R514)^2)</f>
        <v/>
      </c>
      <c r="BR514" s="125" t="inlineStr">
        <is>
          <t>HY950X272</t>
        </is>
      </c>
      <c r="BW514">
        <f>SQRT(($J$1025-J514)^2)</f>
        <v/>
      </c>
      <c r="BX514">
        <f>SQRT(($R$1025-R514)^2)</f>
        <v/>
      </c>
      <c r="BY514" s="125" t="inlineStr">
        <is>
          <t>HY950X272</t>
        </is>
      </c>
      <c r="CD514">
        <f>SQRT(($J$1026-J514)^2)</f>
        <v/>
      </c>
      <c r="CE514">
        <f>SQRT(($R$1026-R514)^2)</f>
        <v/>
      </c>
      <c r="CF514" s="125" t="inlineStr">
        <is>
          <t>HY950X272</t>
        </is>
      </c>
    </row>
    <row r="515">
      <c r="A515" s="125" t="inlineStr">
        <is>
          <t>HY950X254</t>
        </is>
      </c>
      <c r="B515" s="129" t="inlineStr">
        <is>
          <t>HY</t>
        </is>
      </c>
      <c r="C515" s="125" t="n">
        <v>254</v>
      </c>
      <c r="D515" s="125" t="n">
        <v>950</v>
      </c>
      <c r="E515" s="125" t="n">
        <v>400</v>
      </c>
      <c r="F515" s="125" t="n">
        <v>22</v>
      </c>
      <c r="G515" s="125" t="n">
        <v>16</v>
      </c>
      <c r="H515" s="125" t="n">
        <v>18</v>
      </c>
      <c r="I515" s="125">
        <f>D515-(2*(H515+F515))</f>
        <v/>
      </c>
      <c r="J515" s="125">
        <f>(2*E515/10*F515/10)+((D515-F515-F515)/10*G515/10)+((H515/10+H515/10)^2)-(PI()*H515/10*H515/10)</f>
        <v/>
      </c>
      <c r="K515" s="125">
        <f>((E515-G515)/2)/F515</f>
        <v/>
      </c>
      <c r="L515" s="125">
        <f>I515/G515</f>
        <v/>
      </c>
      <c r="M515" s="125">
        <f>(E515*2+F515*4+((E515-G515)/2-H515)*4+2*PI()*H515+(D515-2*F515-2*H515)*2)/1000</f>
        <v/>
      </c>
      <c r="N515" s="5" t="n">
        <v>484000</v>
      </c>
      <c r="O515" s="5" t="n">
        <v>23500</v>
      </c>
      <c r="P515" s="125" t="n">
        <v>38.7</v>
      </c>
      <c r="Q515" s="125" t="n">
        <v>8.5</v>
      </c>
      <c r="R515" s="5" t="n">
        <v>10200</v>
      </c>
      <c r="S515" s="5" t="n">
        <v>1180</v>
      </c>
      <c r="T515" s="5" t="n">
        <v>11600</v>
      </c>
      <c r="U515" s="5" t="n">
        <v>1820</v>
      </c>
      <c r="X515" s="129">
        <f t="array" ref="X515">_xlfn.IFS((D515/F515) &lt;= (640/SQRT($AT$32)), "Compact", L515 &lt;= ($AT$32*(0.79-(0.002*((E515-G515/2)/(2*F515))*SQRT($AT$32)))), "Non-Compact", L515 &gt; ($AT$32*(0.79-(0.002*((E515-G515/2)/(2*F515))*SQRT($AT$32)))), "Slender")</f>
        <v/>
      </c>
      <c r="Y515" s="129">
        <f t="array" ref="Y515">_xlfn.IFS(K515 &lt;= (65/SQRT($AT$32)), "Compact", K515 &lt;= (95/SQRT($AT$32)), "Non-Compact", K515 &gt; (95/SQRT($AT$32)), "Slender")</f>
        <v/>
      </c>
      <c r="Z515" s="125">
        <f>E515/F515</f>
        <v/>
      </c>
      <c r="AA515" s="125">
        <f>D515/G515</f>
        <v/>
      </c>
      <c r="AB515" s="125">
        <f t="array" ref="AB515">_xlfn.IFS(Z515 &lt;= 9, "1", Z515 &lt;= 12, "2", Z515 &lt;= 15, "3", Z515 &gt; 15, "4")</f>
        <v/>
      </c>
      <c r="AC515" s="125">
        <f t="array" ref="AC515">_xlfn.IFS(AA515 &lt;= 200, "1", L515 &lt;= 300, "2", L515 &lt;= 400, "3", L515 &gt; 400, "4")</f>
        <v/>
      </c>
      <c r="AF515" s="129">
        <f>SQRT((((VLOOKUP($AT$4,$A$4:$D$1021,4,FALSE))-D515)^2)+(((VLOOKUP($AT$4,$A$4:$E$1021,5,FALSE))-E515)^2)+(((VLOOKUP($AT$4,$A$4:$N$1021,14,FALSE))-N515)^2)+(((VLOOKUP($AT$4,$A$4:$O$1021,15,FALSE))-O515)^2))</f>
        <v/>
      </c>
      <c r="AG515" s="129" t="n"/>
      <c r="AI515" s="129">
        <f>SQRT((((VLOOKUP($AT$4,$A$4:$D$1021,4,FALSE))-D515)^2)+(((VLOOKUP($AT$4,$A$4:$E$1021,5,FALSE))-E515)^2)+(((VLOOKUP($AT$4,$A$4:$R$1021,18,FALSE))-R515)^2)+(((VLOOKUP($AT$4,$A$4:$S$1021,19,FALSE))-S515)^2))</f>
        <v/>
      </c>
      <c r="AJ515" s="125" t="inlineStr">
        <is>
          <t>HY950X254</t>
        </is>
      </c>
      <c r="AK515" s="125" t="n"/>
      <c r="AL515" s="125" t="n"/>
      <c r="AM515" s="125">
        <f>SQRT(((VLOOKUP($AT$4,$A$4:$J$1021,10,FALSE))-J515)^2)</f>
        <v/>
      </c>
      <c r="AN515" s="125" t="n"/>
      <c r="AO515" s="125" t="n"/>
      <c r="AP515" s="125">
        <f>SQRT(((VLOOKUP($AT$4,$A$4:$R$1021,18,FALSE))-R515)^2)</f>
        <v/>
      </c>
      <c r="AQ515" s="125" t="inlineStr">
        <is>
          <t>HY950X254</t>
        </is>
      </c>
      <c r="BB515" s="125">
        <f>SQRT(($J$1022-J515)^2)</f>
        <v/>
      </c>
      <c r="BC515" s="125">
        <f>SQRT(($R$1022-R515)^2)</f>
        <v/>
      </c>
      <c r="BD515" s="125" t="inlineStr">
        <is>
          <t>HY950X254</t>
        </is>
      </c>
      <c r="BI515">
        <f>SQRT(($J$1023-J515)^2)</f>
        <v/>
      </c>
      <c r="BJ515">
        <f>SQRT(($R$1023-R515)^2)</f>
        <v/>
      </c>
      <c r="BK515" s="125" t="inlineStr">
        <is>
          <t>HY950X254</t>
        </is>
      </c>
      <c r="BP515">
        <f>SQRT(($J$1024-J515)^2)</f>
        <v/>
      </c>
      <c r="BQ515">
        <f>SQRT(($R$1024-R515)^2)</f>
        <v/>
      </c>
      <c r="BR515" s="125" t="inlineStr">
        <is>
          <t>HY950X254</t>
        </is>
      </c>
      <c r="BW515">
        <f>SQRT(($J$1025-J515)^2)</f>
        <v/>
      </c>
      <c r="BX515">
        <f>SQRT(($R$1025-R515)^2)</f>
        <v/>
      </c>
      <c r="BY515" s="125" t="inlineStr">
        <is>
          <t>HY950X254</t>
        </is>
      </c>
      <c r="CD515">
        <f>SQRT(($J$1026-J515)^2)</f>
        <v/>
      </c>
      <c r="CE515">
        <f>SQRT(($R$1026-R515)^2)</f>
        <v/>
      </c>
      <c r="CF515" s="125" t="inlineStr">
        <is>
          <t>HY950X254</t>
        </is>
      </c>
    </row>
    <row r="516">
      <c r="A516" s="125" t="inlineStr">
        <is>
          <t>HY950X372</t>
        </is>
      </c>
      <c r="B516" s="129" t="inlineStr">
        <is>
          <t>HY</t>
        </is>
      </c>
      <c r="C516" s="125" t="n">
        <v>372</v>
      </c>
      <c r="D516" s="125" t="n">
        <v>950</v>
      </c>
      <c r="E516" s="125" t="n">
        <v>350</v>
      </c>
      <c r="F516" s="125" t="n">
        <v>40</v>
      </c>
      <c r="G516" s="125" t="n">
        <v>22</v>
      </c>
      <c r="H516" s="125" t="n">
        <v>18</v>
      </c>
      <c r="I516" s="125">
        <f>D516-(2*(H516+F516))</f>
        <v/>
      </c>
      <c r="J516" s="125">
        <f>(2*E516/10*F516/10)+((D516-F516-F516)/10*G516/10)+((H516/10+H516/10)^2)-(PI()*H516/10*H516/10)</f>
        <v/>
      </c>
      <c r="K516" s="125">
        <f>((E516-G516)/2)/F516</f>
        <v/>
      </c>
      <c r="L516" s="125">
        <f>I516/G516</f>
        <v/>
      </c>
      <c r="M516" s="125">
        <f>(E516*2+F516*4+((E516-G516)/2-H516)*4+2*PI()*H516+(D516-2*F516-2*H516)*2)/1000</f>
        <v/>
      </c>
      <c r="N516" s="5" t="n">
        <v>706000</v>
      </c>
      <c r="O516" s="5" t="n">
        <v>28700</v>
      </c>
      <c r="P516" s="125" t="n">
        <v>38.6</v>
      </c>
      <c r="Q516" s="125" t="n">
        <v>7.8</v>
      </c>
      <c r="R516" s="5" t="n">
        <v>14900</v>
      </c>
      <c r="S516" s="5" t="n">
        <v>1640</v>
      </c>
      <c r="T516" s="5" t="n">
        <v>17000</v>
      </c>
      <c r="U516" s="5" t="n">
        <v>2560</v>
      </c>
      <c r="X516" s="129">
        <f t="array" ref="X516">_xlfn.IFS((D516/F516) &lt;= (640/SQRT($AT$32)), "Compact", L516 &lt;= ($AT$32*(0.79-(0.002*((E516-G516/2)/(2*F516))*SQRT($AT$32)))), "Non-Compact", L516 &gt; ($AT$32*(0.79-(0.002*((E516-G516/2)/(2*F516))*SQRT($AT$32)))), "Slender")</f>
        <v/>
      </c>
      <c r="Y516" s="129">
        <f t="array" ref="Y516">_xlfn.IFS(K516 &lt;= (65/SQRT($AT$32)), "Compact", K516 &lt;= (95/SQRT($AT$32)), "Non-Compact", K516 &gt; (95/SQRT($AT$32)), "Slender")</f>
        <v/>
      </c>
      <c r="Z516" s="125">
        <f>E516/F516</f>
        <v/>
      </c>
      <c r="AA516" s="125">
        <f>D516/G516</f>
        <v/>
      </c>
      <c r="AB516" s="125">
        <f t="array" ref="AB516">_xlfn.IFS(Z516 &lt;= 9, "1", Z516 &lt;= 12, "2", Z516 &lt;= 15, "3", Z516 &gt; 15, "4")</f>
        <v/>
      </c>
      <c r="AC516" s="125">
        <f t="array" ref="AC516">_xlfn.IFS(AA516 &lt;= 200, "1", L516 &lt;= 300, "2", L516 &lt;= 400, "3", L516 &gt; 400, "4")</f>
        <v/>
      </c>
      <c r="AF516" s="129">
        <f>SQRT((((VLOOKUP($AT$4,$A$4:$D$1021,4,FALSE))-D516)^2)+(((VLOOKUP($AT$4,$A$4:$E$1021,5,FALSE))-E516)^2)+(((VLOOKUP($AT$4,$A$4:$N$1021,14,FALSE))-N516)^2)+(((VLOOKUP($AT$4,$A$4:$O$1021,15,FALSE))-O516)^2))</f>
        <v/>
      </c>
      <c r="AG516" s="129" t="n"/>
      <c r="AI516" s="129">
        <f>SQRT((((VLOOKUP($AT$4,$A$4:$D$1021,4,FALSE))-D516)^2)+(((VLOOKUP($AT$4,$A$4:$E$1021,5,FALSE))-E516)^2)+(((VLOOKUP($AT$4,$A$4:$R$1021,18,FALSE))-R516)^2)+(((VLOOKUP($AT$4,$A$4:$S$1021,19,FALSE))-S516)^2))</f>
        <v/>
      </c>
      <c r="AJ516" s="125" t="inlineStr">
        <is>
          <t>HY950X372</t>
        </is>
      </c>
      <c r="AK516" s="125" t="n"/>
      <c r="AL516" s="125" t="n"/>
      <c r="AM516" s="125">
        <f>SQRT(((VLOOKUP($AT$4,$A$4:$J$1021,10,FALSE))-J516)^2)</f>
        <v/>
      </c>
      <c r="AN516" s="125" t="n"/>
      <c r="AO516" s="125" t="n"/>
      <c r="AP516" s="125">
        <f>SQRT(((VLOOKUP($AT$4,$A$4:$R$1021,18,FALSE))-R516)^2)</f>
        <v/>
      </c>
      <c r="AQ516" s="125" t="inlineStr">
        <is>
          <t>HY950X372</t>
        </is>
      </c>
      <c r="BB516" s="125">
        <f>SQRT(($J$1022-J516)^2)</f>
        <v/>
      </c>
      <c r="BC516" s="125">
        <f>SQRT(($R$1022-R516)^2)</f>
        <v/>
      </c>
      <c r="BD516" s="125" t="inlineStr">
        <is>
          <t>HY950X372</t>
        </is>
      </c>
      <c r="BI516">
        <f>SQRT(($J$1023-J516)^2)</f>
        <v/>
      </c>
      <c r="BJ516">
        <f>SQRT(($R$1023-R516)^2)</f>
        <v/>
      </c>
      <c r="BK516" s="125" t="inlineStr">
        <is>
          <t>HY950X372</t>
        </is>
      </c>
      <c r="BP516">
        <f>SQRT(($J$1024-J516)^2)</f>
        <v/>
      </c>
      <c r="BQ516">
        <f>SQRT(($R$1024-R516)^2)</f>
        <v/>
      </c>
      <c r="BR516" s="125" t="inlineStr">
        <is>
          <t>HY950X372</t>
        </is>
      </c>
      <c r="BW516">
        <f>SQRT(($J$1025-J516)^2)</f>
        <v/>
      </c>
      <c r="BX516">
        <f>SQRT(($R$1025-R516)^2)</f>
        <v/>
      </c>
      <c r="BY516" s="125" t="inlineStr">
        <is>
          <t>HY950X372</t>
        </is>
      </c>
      <c r="CD516">
        <f>SQRT(($J$1026-J516)^2)</f>
        <v/>
      </c>
      <c r="CE516">
        <f>SQRT(($R$1026-R516)^2)</f>
        <v/>
      </c>
      <c r="CF516" s="125" t="inlineStr">
        <is>
          <t>HY950X372</t>
        </is>
      </c>
    </row>
    <row r="517">
      <c r="A517" s="125" t="inlineStr">
        <is>
          <t>HY950X352</t>
        </is>
      </c>
      <c r="B517" s="129" t="inlineStr">
        <is>
          <t>HY</t>
        </is>
      </c>
      <c r="C517" s="125" t="n">
        <v>352</v>
      </c>
      <c r="D517" s="125" t="n">
        <v>950</v>
      </c>
      <c r="E517" s="125" t="n">
        <v>350</v>
      </c>
      <c r="F517" s="125" t="n">
        <v>36</v>
      </c>
      <c r="G517" s="125" t="n">
        <v>22</v>
      </c>
      <c r="H517" s="125" t="n">
        <v>18</v>
      </c>
      <c r="I517" s="125">
        <f>D517-(2*(H517+F517))</f>
        <v/>
      </c>
      <c r="J517" s="125">
        <f>(2*E517/10*F517/10)+((D517-F517-F517)/10*G517/10)+((H517/10+H517/10)^2)-(PI()*H517/10*H517/10)</f>
        <v/>
      </c>
      <c r="K517" s="125">
        <f>((E517-G517)/2)/F517</f>
        <v/>
      </c>
      <c r="L517" s="125">
        <f>I517/G517</f>
        <v/>
      </c>
      <c r="M517" s="125">
        <f>(E517*2+F517*4+((E517-G517)/2-H517)*4+2*PI()*H517+(D517-2*F517-2*H517)*2)/1000</f>
        <v/>
      </c>
      <c r="N517" s="5" t="n">
        <v>656000</v>
      </c>
      <c r="O517" s="5" t="n">
        <v>25800</v>
      </c>
      <c r="P517" s="125" t="n">
        <v>38.3</v>
      </c>
      <c r="Q517" s="125" t="n">
        <v>7.6</v>
      </c>
      <c r="R517" s="5" t="n">
        <v>13800</v>
      </c>
      <c r="S517" s="5" t="n">
        <v>1470</v>
      </c>
      <c r="T517" s="5" t="n">
        <v>15900</v>
      </c>
      <c r="U517" s="5" t="n">
        <v>2320</v>
      </c>
      <c r="X517" s="129">
        <f t="array" ref="X517">_xlfn.IFS((D517/F517) &lt;= (640/SQRT($AT$32)), "Compact", L517 &lt;= ($AT$32*(0.79-(0.002*((E517-G517/2)/(2*F517))*SQRT($AT$32)))), "Non-Compact", L517 &gt; ($AT$32*(0.79-(0.002*((E517-G517/2)/(2*F517))*SQRT($AT$32)))), "Slender")</f>
        <v/>
      </c>
      <c r="Y517" s="129">
        <f t="array" ref="Y517">_xlfn.IFS(K517 &lt;= (65/SQRT($AT$32)), "Compact", K517 &lt;= (95/SQRT($AT$32)), "Non-Compact", K517 &gt; (95/SQRT($AT$32)), "Slender")</f>
        <v/>
      </c>
      <c r="Z517" s="125">
        <f>E517/F517</f>
        <v/>
      </c>
      <c r="AA517" s="125">
        <f>D517/G517</f>
        <v/>
      </c>
      <c r="AB517" s="125">
        <f t="array" ref="AB517">_xlfn.IFS(Z517 &lt;= 9, "1", Z517 &lt;= 12, "2", Z517 &lt;= 15, "3", Z517 &gt; 15, "4")</f>
        <v/>
      </c>
      <c r="AC517" s="125">
        <f t="array" ref="AC517">_xlfn.IFS(AA517 &lt;= 200, "1", L517 &lt;= 300, "2", L517 &lt;= 400, "3", L517 &gt; 400, "4")</f>
        <v/>
      </c>
      <c r="AF517" s="129">
        <f>SQRT((((VLOOKUP($AT$4,$A$4:$D$1021,4,FALSE))-D517)^2)+(((VLOOKUP($AT$4,$A$4:$E$1021,5,FALSE))-E517)^2)+(((VLOOKUP($AT$4,$A$4:$N$1021,14,FALSE))-N517)^2)+(((VLOOKUP($AT$4,$A$4:$O$1021,15,FALSE))-O517)^2))</f>
        <v/>
      </c>
      <c r="AG517" s="129" t="n"/>
      <c r="AI517" s="129">
        <f>SQRT((((VLOOKUP($AT$4,$A$4:$D$1021,4,FALSE))-D517)^2)+(((VLOOKUP($AT$4,$A$4:$E$1021,5,FALSE))-E517)^2)+(((VLOOKUP($AT$4,$A$4:$R$1021,18,FALSE))-R517)^2)+(((VLOOKUP($AT$4,$A$4:$S$1021,19,FALSE))-S517)^2))</f>
        <v/>
      </c>
      <c r="AJ517" s="125" t="inlineStr">
        <is>
          <t>HY950X352</t>
        </is>
      </c>
      <c r="AK517" s="125" t="n"/>
      <c r="AL517" s="125" t="n"/>
      <c r="AM517" s="125">
        <f>SQRT(((VLOOKUP($AT$4,$A$4:$J$1021,10,FALSE))-J517)^2)</f>
        <v/>
      </c>
      <c r="AN517" s="125" t="n"/>
      <c r="AO517" s="125" t="n"/>
      <c r="AP517" s="125">
        <f>SQRT(((VLOOKUP($AT$4,$A$4:$R$1021,18,FALSE))-R517)^2)</f>
        <v/>
      </c>
      <c r="AQ517" s="125" t="inlineStr">
        <is>
          <t>HY950X352</t>
        </is>
      </c>
      <c r="BB517" s="125">
        <f>SQRT(($J$1022-J517)^2)</f>
        <v/>
      </c>
      <c r="BC517" s="125">
        <f>SQRT(($R$1022-R517)^2)</f>
        <v/>
      </c>
      <c r="BD517" s="125" t="inlineStr">
        <is>
          <t>HY950X352</t>
        </is>
      </c>
      <c r="BI517">
        <f>SQRT(($J$1023-J517)^2)</f>
        <v/>
      </c>
      <c r="BJ517">
        <f>SQRT(($R$1023-R517)^2)</f>
        <v/>
      </c>
      <c r="BK517" s="125" t="inlineStr">
        <is>
          <t>HY950X352</t>
        </is>
      </c>
      <c r="BP517">
        <f>SQRT(($J$1024-J517)^2)</f>
        <v/>
      </c>
      <c r="BQ517">
        <f>SQRT(($R$1024-R517)^2)</f>
        <v/>
      </c>
      <c r="BR517" s="125" t="inlineStr">
        <is>
          <t>HY950X352</t>
        </is>
      </c>
      <c r="BW517">
        <f>SQRT(($J$1025-J517)^2)</f>
        <v/>
      </c>
      <c r="BX517">
        <f>SQRT(($R$1025-R517)^2)</f>
        <v/>
      </c>
      <c r="BY517" s="125" t="inlineStr">
        <is>
          <t>HY950X352</t>
        </is>
      </c>
      <c r="CD517">
        <f>SQRT(($J$1026-J517)^2)</f>
        <v/>
      </c>
      <c r="CE517">
        <f>SQRT(($R$1026-R517)^2)</f>
        <v/>
      </c>
      <c r="CF517" s="125" t="inlineStr">
        <is>
          <t>HY950X352</t>
        </is>
      </c>
    </row>
    <row r="518">
      <c r="A518" s="125" t="inlineStr">
        <is>
          <t>HY950X331</t>
        </is>
      </c>
      <c r="B518" s="129" t="inlineStr">
        <is>
          <t>HY</t>
        </is>
      </c>
      <c r="C518" s="125" t="n">
        <v>331</v>
      </c>
      <c r="D518" s="125" t="n">
        <v>950</v>
      </c>
      <c r="E518" s="125" t="n">
        <v>350</v>
      </c>
      <c r="F518" s="125" t="n">
        <v>32</v>
      </c>
      <c r="G518" s="125" t="n">
        <v>22</v>
      </c>
      <c r="H518" s="125" t="n">
        <v>18</v>
      </c>
      <c r="I518" s="125">
        <f>D518-(2*(H518+F518))</f>
        <v/>
      </c>
      <c r="J518" s="125">
        <f>(2*E518/10*F518/10)+((D518-F518-F518)/10*G518/10)+((H518/10+H518/10)^2)-(PI()*H518/10*H518/10)</f>
        <v/>
      </c>
      <c r="K518" s="125">
        <f>((E518-G518)/2)/F518</f>
        <v/>
      </c>
      <c r="L518" s="125">
        <f>I518/G518</f>
        <v/>
      </c>
      <c r="M518" s="125">
        <f>(E518*2+F518*4+((E518-G518)/2-H518)*4+2*PI()*H518+(D518-2*F518-2*H518)*2)/1000</f>
        <v/>
      </c>
      <c r="N518" s="5" t="n">
        <v>605000</v>
      </c>
      <c r="O518" s="5" t="n">
        <v>23000</v>
      </c>
      <c r="P518" s="125" t="n">
        <v>37.9</v>
      </c>
      <c r="Q518" s="125" t="n">
        <v>7.4</v>
      </c>
      <c r="R518" s="5" t="n">
        <v>12700</v>
      </c>
      <c r="S518" s="5" t="n">
        <v>1310</v>
      </c>
      <c r="T518" s="5" t="n">
        <v>14700</v>
      </c>
      <c r="U518" s="5" t="n">
        <v>2070</v>
      </c>
      <c r="X518" s="129">
        <f t="array" ref="X518">_xlfn.IFS((D518/F518) &lt;= (640/SQRT($AT$32)), "Compact", L518 &lt;= ($AT$32*(0.79-(0.002*((E518-G518/2)/(2*F518))*SQRT($AT$32)))), "Non-Compact", L518 &gt; ($AT$32*(0.79-(0.002*((E518-G518/2)/(2*F518))*SQRT($AT$32)))), "Slender")</f>
        <v/>
      </c>
      <c r="Y518" s="129">
        <f t="array" ref="Y518">_xlfn.IFS(K518 &lt;= (65/SQRT($AT$32)), "Compact", K518 &lt;= (95/SQRT($AT$32)), "Non-Compact", K518 &gt; (95/SQRT($AT$32)), "Slender")</f>
        <v/>
      </c>
      <c r="Z518" s="125">
        <f>E518/F518</f>
        <v/>
      </c>
      <c r="AA518" s="125">
        <f>D518/G518</f>
        <v/>
      </c>
      <c r="AB518" s="125">
        <f t="array" ref="AB518">_xlfn.IFS(Z518 &lt;= 9, "1", Z518 &lt;= 12, "2", Z518 &lt;= 15, "3", Z518 &gt; 15, "4")</f>
        <v/>
      </c>
      <c r="AC518" s="125">
        <f t="array" ref="AC518">_xlfn.IFS(AA518 &lt;= 200, "1", L518 &lt;= 300, "2", L518 &lt;= 400, "3", L518 &gt; 400, "4")</f>
        <v/>
      </c>
      <c r="AF518" s="129">
        <f>SQRT((((VLOOKUP($AT$4,$A$4:$D$1021,4,FALSE))-D518)^2)+(((VLOOKUP($AT$4,$A$4:$E$1021,5,FALSE))-E518)^2)+(((VLOOKUP($AT$4,$A$4:$N$1021,14,FALSE))-N518)^2)+(((VLOOKUP($AT$4,$A$4:$O$1021,15,FALSE))-O518)^2))</f>
        <v/>
      </c>
      <c r="AG518" s="129" t="n"/>
      <c r="AI518" s="129">
        <f>SQRT((((VLOOKUP($AT$4,$A$4:$D$1021,4,FALSE))-D518)^2)+(((VLOOKUP($AT$4,$A$4:$E$1021,5,FALSE))-E518)^2)+(((VLOOKUP($AT$4,$A$4:$R$1021,18,FALSE))-R518)^2)+(((VLOOKUP($AT$4,$A$4:$S$1021,19,FALSE))-S518)^2))</f>
        <v/>
      </c>
      <c r="AJ518" s="125" t="inlineStr">
        <is>
          <t>HY950X331</t>
        </is>
      </c>
      <c r="AK518" s="125" t="n"/>
      <c r="AL518" s="125" t="n"/>
      <c r="AM518" s="125">
        <f>SQRT(((VLOOKUP($AT$4,$A$4:$J$1021,10,FALSE))-J518)^2)</f>
        <v/>
      </c>
      <c r="AN518" s="125" t="n"/>
      <c r="AO518" s="125" t="n"/>
      <c r="AP518" s="125">
        <f>SQRT(((VLOOKUP($AT$4,$A$4:$R$1021,18,FALSE))-R518)^2)</f>
        <v/>
      </c>
      <c r="AQ518" s="125" t="inlineStr">
        <is>
          <t>HY950X331</t>
        </is>
      </c>
      <c r="BB518" s="125">
        <f>SQRT(($J$1022-J518)^2)</f>
        <v/>
      </c>
      <c r="BC518" s="125">
        <f>SQRT(($R$1022-R518)^2)</f>
        <v/>
      </c>
      <c r="BD518" s="125" t="inlineStr">
        <is>
          <t>HY950X331</t>
        </is>
      </c>
      <c r="BI518">
        <f>SQRT(($J$1023-J518)^2)</f>
        <v/>
      </c>
      <c r="BJ518">
        <f>SQRT(($R$1023-R518)^2)</f>
        <v/>
      </c>
      <c r="BK518" s="125" t="inlineStr">
        <is>
          <t>HY950X331</t>
        </is>
      </c>
      <c r="BP518">
        <f>SQRT(($J$1024-J518)^2)</f>
        <v/>
      </c>
      <c r="BQ518">
        <f>SQRT(($R$1024-R518)^2)</f>
        <v/>
      </c>
      <c r="BR518" s="125" t="inlineStr">
        <is>
          <t>HY950X331</t>
        </is>
      </c>
      <c r="BW518">
        <f>SQRT(($J$1025-J518)^2)</f>
        <v/>
      </c>
      <c r="BX518">
        <f>SQRT(($R$1025-R518)^2)</f>
        <v/>
      </c>
      <c r="BY518" s="125" t="inlineStr">
        <is>
          <t>HY950X331</t>
        </is>
      </c>
      <c r="CD518">
        <f>SQRT(($J$1026-J518)^2)</f>
        <v/>
      </c>
      <c r="CE518">
        <f>SQRT(($R$1026-R518)^2)</f>
        <v/>
      </c>
      <c r="CF518" s="125" t="inlineStr">
        <is>
          <t>HY950X331</t>
        </is>
      </c>
    </row>
    <row r="519">
      <c r="A519" s="125" t="inlineStr">
        <is>
          <t>HY950X310</t>
        </is>
      </c>
      <c r="B519" s="129" t="inlineStr">
        <is>
          <t>HY</t>
        </is>
      </c>
      <c r="C519" s="125" t="n">
        <v>310</v>
      </c>
      <c r="D519" s="125" t="n">
        <v>950</v>
      </c>
      <c r="E519" s="125" t="n">
        <v>350</v>
      </c>
      <c r="F519" s="125" t="n">
        <v>28</v>
      </c>
      <c r="G519" s="125" t="n">
        <v>22</v>
      </c>
      <c r="H519" s="125" t="n">
        <v>18</v>
      </c>
      <c r="I519" s="125">
        <f>D519-(2*(H519+F519))</f>
        <v/>
      </c>
      <c r="J519" s="125">
        <f>(2*E519/10*F519/10)+((D519-F519-F519)/10*G519/10)+((H519/10+H519/10)^2)-(PI()*H519/10*H519/10)</f>
        <v/>
      </c>
      <c r="K519" s="125">
        <f>((E519-G519)/2)/F519</f>
        <v/>
      </c>
      <c r="L519" s="125">
        <f>I519/G519</f>
        <v/>
      </c>
      <c r="M519" s="125">
        <f>(E519*2+F519*4+((E519-G519)/2-H519)*4+2*PI()*H519+(D519-2*F519-2*H519)*2)/1000</f>
        <v/>
      </c>
      <c r="N519" s="5" t="n">
        <v>553000</v>
      </c>
      <c r="O519" s="5" t="n">
        <v>20100</v>
      </c>
      <c r="P519" s="125" t="n">
        <v>37.4</v>
      </c>
      <c r="Q519" s="125" t="n">
        <v>7.1</v>
      </c>
      <c r="R519" s="5" t="n">
        <v>11600</v>
      </c>
      <c r="S519" s="5" t="n">
        <v>1150</v>
      </c>
      <c r="T519" s="5" t="n">
        <v>13600</v>
      </c>
      <c r="U519" s="5" t="n">
        <v>1830</v>
      </c>
      <c r="X519" s="129">
        <f t="array" ref="X519">_xlfn.IFS((D519/F519) &lt;= (640/SQRT($AT$32)), "Compact", L519 &lt;= ($AT$32*(0.79-(0.002*((E519-G519/2)/(2*F519))*SQRT($AT$32)))), "Non-Compact", L519 &gt; ($AT$32*(0.79-(0.002*((E519-G519/2)/(2*F519))*SQRT($AT$32)))), "Slender")</f>
        <v/>
      </c>
      <c r="Y519" s="129">
        <f t="array" ref="Y519">_xlfn.IFS(K519 &lt;= (65/SQRT($AT$32)), "Compact", K519 &lt;= (95/SQRT($AT$32)), "Non-Compact", K519 &gt; (95/SQRT($AT$32)), "Slender")</f>
        <v/>
      </c>
      <c r="Z519" s="125">
        <f>E519/F519</f>
        <v/>
      </c>
      <c r="AA519" s="125">
        <f>D519/G519</f>
        <v/>
      </c>
      <c r="AB519" s="125">
        <f t="array" ref="AB519">_xlfn.IFS(Z519 &lt;= 9, "1", Z519 &lt;= 12, "2", Z519 &lt;= 15, "3", Z519 &gt; 15, "4")</f>
        <v/>
      </c>
      <c r="AC519" s="125">
        <f t="array" ref="AC519">_xlfn.IFS(AA519 &lt;= 200, "1", L519 &lt;= 300, "2", L519 &lt;= 400, "3", L519 &gt; 400, "4")</f>
        <v/>
      </c>
      <c r="AF519" s="129">
        <f>SQRT((((VLOOKUP($AT$4,$A$4:$D$1021,4,FALSE))-D519)^2)+(((VLOOKUP($AT$4,$A$4:$E$1021,5,FALSE))-E519)^2)+(((VLOOKUP($AT$4,$A$4:$N$1021,14,FALSE))-N519)^2)+(((VLOOKUP($AT$4,$A$4:$O$1021,15,FALSE))-O519)^2))</f>
        <v/>
      </c>
      <c r="AG519" s="129" t="n"/>
      <c r="AI519" s="129">
        <f>SQRT((((VLOOKUP($AT$4,$A$4:$D$1021,4,FALSE))-D519)^2)+(((VLOOKUP($AT$4,$A$4:$E$1021,5,FALSE))-E519)^2)+(((VLOOKUP($AT$4,$A$4:$R$1021,18,FALSE))-R519)^2)+(((VLOOKUP($AT$4,$A$4:$S$1021,19,FALSE))-S519)^2))</f>
        <v/>
      </c>
      <c r="AJ519" s="125" t="inlineStr">
        <is>
          <t>HY950X310</t>
        </is>
      </c>
      <c r="AK519" s="125" t="n"/>
      <c r="AL519" s="125" t="n"/>
      <c r="AM519" s="125">
        <f>SQRT(((VLOOKUP($AT$4,$A$4:$J$1021,10,FALSE))-J519)^2)</f>
        <v/>
      </c>
      <c r="AN519" s="125" t="n"/>
      <c r="AO519" s="125" t="n"/>
      <c r="AP519" s="125">
        <f>SQRT(((VLOOKUP($AT$4,$A$4:$R$1021,18,FALSE))-R519)^2)</f>
        <v/>
      </c>
      <c r="AQ519" s="125" t="inlineStr">
        <is>
          <t>HY950X310</t>
        </is>
      </c>
      <c r="BB519" s="125">
        <f>SQRT(($J$1022-J519)^2)</f>
        <v/>
      </c>
      <c r="BC519" s="125">
        <f>SQRT(($R$1022-R519)^2)</f>
        <v/>
      </c>
      <c r="BD519" s="125" t="inlineStr">
        <is>
          <t>HY950X310</t>
        </is>
      </c>
      <c r="BI519">
        <f>SQRT(($J$1023-J519)^2)</f>
        <v/>
      </c>
      <c r="BJ519">
        <f>SQRT(($R$1023-R519)^2)</f>
        <v/>
      </c>
      <c r="BK519" s="125" t="inlineStr">
        <is>
          <t>HY950X310</t>
        </is>
      </c>
      <c r="BP519">
        <f>SQRT(($J$1024-J519)^2)</f>
        <v/>
      </c>
      <c r="BQ519">
        <f>SQRT(($R$1024-R519)^2)</f>
        <v/>
      </c>
      <c r="BR519" s="125" t="inlineStr">
        <is>
          <t>HY950X310</t>
        </is>
      </c>
      <c r="BW519">
        <f>SQRT(($J$1025-J519)^2)</f>
        <v/>
      </c>
      <c r="BX519">
        <f>SQRT(($R$1025-R519)^2)</f>
        <v/>
      </c>
      <c r="BY519" s="125" t="inlineStr">
        <is>
          <t>HY950X310</t>
        </is>
      </c>
      <c r="CD519">
        <f>SQRT(($J$1026-J519)^2)</f>
        <v/>
      </c>
      <c r="CE519">
        <f>SQRT(($R$1026-R519)^2)</f>
        <v/>
      </c>
      <c r="CF519" s="125" t="inlineStr">
        <is>
          <t>HY950X310</t>
        </is>
      </c>
    </row>
    <row r="520">
      <c r="A520" s="125" t="inlineStr">
        <is>
          <t>HY950X352</t>
        </is>
      </c>
      <c r="B520" s="129" t="inlineStr">
        <is>
          <t>HY</t>
        </is>
      </c>
      <c r="C520" s="125" t="n">
        <v>352</v>
      </c>
      <c r="D520" s="125" t="n">
        <v>950</v>
      </c>
      <c r="E520" s="125" t="n">
        <v>350</v>
      </c>
      <c r="F520" s="125" t="n">
        <v>40</v>
      </c>
      <c r="G520" s="125" t="n">
        <v>19</v>
      </c>
      <c r="H520" s="125" t="n">
        <v>18</v>
      </c>
      <c r="I520" s="125">
        <f>D520-(2*(H520+F520))</f>
        <v/>
      </c>
      <c r="J520" s="125">
        <f>(2*E520/10*F520/10)+((D520-F520-F520)/10*G520/10)+((H520/10+H520/10)^2)-(PI()*H520/10*H520/10)</f>
        <v/>
      </c>
      <c r="K520" s="125">
        <f>((E520-G520)/2)/F520</f>
        <v/>
      </c>
      <c r="L520" s="125">
        <f>I520/G520</f>
        <v/>
      </c>
      <c r="M520" s="125">
        <f>(E520*2+F520*4+((E520-G520)/2-H520)*4+2*PI()*H520+(D520-2*F520-2*H520)*2)/1000</f>
        <v/>
      </c>
      <c r="N520" s="5" t="n">
        <v>689000</v>
      </c>
      <c r="O520" s="5" t="n">
        <v>28600</v>
      </c>
      <c r="P520" s="125" t="n">
        <v>39.2</v>
      </c>
      <c r="Q520" s="125" t="n">
        <v>8</v>
      </c>
      <c r="R520" s="5" t="n">
        <v>14500</v>
      </c>
      <c r="S520" s="5" t="n">
        <v>1640</v>
      </c>
      <c r="T520" s="5" t="n">
        <v>16500</v>
      </c>
      <c r="U520" s="5" t="n">
        <v>2530</v>
      </c>
      <c r="X520" s="129">
        <f t="array" ref="X520">_xlfn.IFS((D520/F520) &lt;= (640/SQRT($AT$32)), "Compact", L520 &lt;= ($AT$32*(0.79-(0.002*((E520-G520/2)/(2*F520))*SQRT($AT$32)))), "Non-Compact", L520 &gt; ($AT$32*(0.79-(0.002*((E520-G520/2)/(2*F520))*SQRT($AT$32)))), "Slender")</f>
        <v/>
      </c>
      <c r="Y520" s="129">
        <f t="array" ref="Y520">_xlfn.IFS(K520 &lt;= (65/SQRT($AT$32)), "Compact", K520 &lt;= (95/SQRT($AT$32)), "Non-Compact", K520 &gt; (95/SQRT($AT$32)), "Slender")</f>
        <v/>
      </c>
      <c r="Z520" s="125">
        <f>E520/F520</f>
        <v/>
      </c>
      <c r="AA520" s="125">
        <f>D520/G520</f>
        <v/>
      </c>
      <c r="AB520" s="125">
        <f t="array" ref="AB520">_xlfn.IFS(Z520 &lt;= 9, "1", Z520 &lt;= 12, "2", Z520 &lt;= 15, "3", Z520 &gt; 15, "4")</f>
        <v/>
      </c>
      <c r="AC520" s="125">
        <f t="array" ref="AC520">_xlfn.IFS(AA520 &lt;= 200, "1", L520 &lt;= 300, "2", L520 &lt;= 400, "3", L520 &gt; 400, "4")</f>
        <v/>
      </c>
      <c r="AF520" s="129">
        <f>SQRT((((VLOOKUP($AT$4,$A$4:$D$1021,4,FALSE))-D520)^2)+(((VLOOKUP($AT$4,$A$4:$E$1021,5,FALSE))-E520)^2)+(((VLOOKUP($AT$4,$A$4:$N$1021,14,FALSE))-N520)^2)+(((VLOOKUP($AT$4,$A$4:$O$1021,15,FALSE))-O520)^2))</f>
        <v/>
      </c>
      <c r="AG520" s="129" t="n"/>
      <c r="AI520" s="129">
        <f>SQRT((((VLOOKUP($AT$4,$A$4:$D$1021,4,FALSE))-D520)^2)+(((VLOOKUP($AT$4,$A$4:$E$1021,5,FALSE))-E520)^2)+(((VLOOKUP($AT$4,$A$4:$R$1021,18,FALSE))-R520)^2)+(((VLOOKUP($AT$4,$A$4:$S$1021,19,FALSE))-S520)^2))</f>
        <v/>
      </c>
      <c r="AJ520" s="125" t="inlineStr">
        <is>
          <t>HY950X352</t>
        </is>
      </c>
      <c r="AK520" s="125" t="n"/>
      <c r="AL520" s="125" t="n"/>
      <c r="AM520" s="125">
        <f>SQRT(((VLOOKUP($AT$4,$A$4:$J$1021,10,FALSE))-J520)^2)</f>
        <v/>
      </c>
      <c r="AN520" s="125" t="n"/>
      <c r="AO520" s="125" t="n"/>
      <c r="AP520" s="125">
        <f>SQRT(((VLOOKUP($AT$4,$A$4:$R$1021,18,FALSE))-R520)^2)</f>
        <v/>
      </c>
      <c r="AQ520" s="125" t="inlineStr">
        <is>
          <t>HY950X352</t>
        </is>
      </c>
      <c r="BB520" s="125">
        <f>SQRT(($J$1022-J520)^2)</f>
        <v/>
      </c>
      <c r="BC520" s="125">
        <f>SQRT(($R$1022-R520)^2)</f>
        <v/>
      </c>
      <c r="BD520" s="125" t="inlineStr">
        <is>
          <t>HY950X352</t>
        </is>
      </c>
      <c r="BI520">
        <f>SQRT(($J$1023-J520)^2)</f>
        <v/>
      </c>
      <c r="BJ520">
        <f>SQRT(($R$1023-R520)^2)</f>
        <v/>
      </c>
      <c r="BK520" s="125" t="inlineStr">
        <is>
          <t>HY950X352</t>
        </is>
      </c>
      <c r="BP520">
        <f>SQRT(($J$1024-J520)^2)</f>
        <v/>
      </c>
      <c r="BQ520">
        <f>SQRT(($R$1024-R520)^2)</f>
        <v/>
      </c>
      <c r="BR520" s="125" t="inlineStr">
        <is>
          <t>HY950X352</t>
        </is>
      </c>
      <c r="BW520">
        <f>SQRT(($J$1025-J520)^2)</f>
        <v/>
      </c>
      <c r="BX520">
        <f>SQRT(($R$1025-R520)^2)</f>
        <v/>
      </c>
      <c r="BY520" s="125" t="inlineStr">
        <is>
          <t>HY950X352</t>
        </is>
      </c>
      <c r="CD520">
        <f>SQRT(($J$1026-J520)^2)</f>
        <v/>
      </c>
      <c r="CE520">
        <f>SQRT(($R$1026-R520)^2)</f>
        <v/>
      </c>
      <c r="CF520" s="125" t="inlineStr">
        <is>
          <t>HY950X352</t>
        </is>
      </c>
    </row>
    <row r="521">
      <c r="A521" s="125" t="inlineStr">
        <is>
          <t>HY950X331</t>
        </is>
      </c>
      <c r="B521" s="129" t="inlineStr">
        <is>
          <t>HY</t>
        </is>
      </c>
      <c r="C521" s="125" t="n">
        <v>331</v>
      </c>
      <c r="D521" s="125" t="n">
        <v>950</v>
      </c>
      <c r="E521" s="125" t="n">
        <v>350</v>
      </c>
      <c r="F521" s="125" t="n">
        <v>36</v>
      </c>
      <c r="G521" s="125" t="n">
        <v>19</v>
      </c>
      <c r="H521" s="125" t="n">
        <v>18</v>
      </c>
      <c r="I521" s="125">
        <f>D521-(2*(H521+F521))</f>
        <v/>
      </c>
      <c r="J521" s="125">
        <f>(2*E521/10*F521/10)+((D521-F521-F521)/10*G521/10)+((H521/10+H521/10)^2)-(PI()*H521/10*H521/10)</f>
        <v/>
      </c>
      <c r="K521" s="125">
        <f>((E521-G521)/2)/F521</f>
        <v/>
      </c>
      <c r="L521" s="125">
        <f>I521/G521</f>
        <v/>
      </c>
      <c r="M521" s="125">
        <f>(E521*2+F521*4+((E521-G521)/2-H521)*4+2*PI()*H521+(D521-2*F521-2*H521)*2)/1000</f>
        <v/>
      </c>
      <c r="N521" s="5" t="n">
        <v>639000</v>
      </c>
      <c r="O521" s="5" t="n">
        <v>25800</v>
      </c>
      <c r="P521" s="125" t="n">
        <v>38.9</v>
      </c>
      <c r="Q521" s="125" t="n">
        <v>7.8</v>
      </c>
      <c r="R521" s="5" t="n">
        <v>13500</v>
      </c>
      <c r="S521" s="5" t="n">
        <v>1470</v>
      </c>
      <c r="T521" s="5" t="n">
        <v>15300</v>
      </c>
      <c r="U521" s="5" t="n">
        <v>2290</v>
      </c>
      <c r="X521" s="129">
        <f t="array" ref="X521">_xlfn.IFS((D521/F521) &lt;= (640/SQRT($AT$32)), "Compact", L521 &lt;= ($AT$32*(0.79-(0.002*((E521-G521/2)/(2*F521))*SQRT($AT$32)))), "Non-Compact", L521 &gt; ($AT$32*(0.79-(0.002*((E521-G521/2)/(2*F521))*SQRT($AT$32)))), "Slender")</f>
        <v/>
      </c>
      <c r="Y521" s="129">
        <f t="array" ref="Y521">_xlfn.IFS(K521 &lt;= (65/SQRT($AT$32)), "Compact", K521 &lt;= (95/SQRT($AT$32)), "Non-Compact", K521 &gt; (95/SQRT($AT$32)), "Slender")</f>
        <v/>
      </c>
      <c r="Z521" s="125">
        <f>E521/F521</f>
        <v/>
      </c>
      <c r="AA521" s="125">
        <f>D521/G521</f>
        <v/>
      </c>
      <c r="AB521" s="125">
        <f t="array" ref="AB521">_xlfn.IFS(Z521 &lt;= 9, "1", Z521 &lt;= 12, "2", Z521 &lt;= 15, "3", Z521 &gt; 15, "4")</f>
        <v/>
      </c>
      <c r="AC521" s="125">
        <f t="array" ref="AC521">_xlfn.IFS(AA521 &lt;= 200, "1", L521 &lt;= 300, "2", L521 &lt;= 400, "3", L521 &gt; 400, "4")</f>
        <v/>
      </c>
      <c r="AF521" s="129">
        <f>SQRT((((VLOOKUP($AT$4,$A$4:$D$1021,4,FALSE))-D521)^2)+(((VLOOKUP($AT$4,$A$4:$E$1021,5,FALSE))-E521)^2)+(((VLOOKUP($AT$4,$A$4:$N$1021,14,FALSE))-N521)^2)+(((VLOOKUP($AT$4,$A$4:$O$1021,15,FALSE))-O521)^2))</f>
        <v/>
      </c>
      <c r="AG521" s="129" t="n"/>
      <c r="AI521" s="129">
        <f>SQRT((((VLOOKUP($AT$4,$A$4:$D$1021,4,FALSE))-D521)^2)+(((VLOOKUP($AT$4,$A$4:$E$1021,5,FALSE))-E521)^2)+(((VLOOKUP($AT$4,$A$4:$R$1021,18,FALSE))-R521)^2)+(((VLOOKUP($AT$4,$A$4:$S$1021,19,FALSE))-S521)^2))</f>
        <v/>
      </c>
      <c r="AJ521" s="125" t="inlineStr">
        <is>
          <t>HY950X331</t>
        </is>
      </c>
      <c r="AK521" s="125" t="n"/>
      <c r="AL521" s="125" t="n"/>
      <c r="AM521" s="125">
        <f>SQRT(((VLOOKUP($AT$4,$A$4:$J$1021,10,FALSE))-J521)^2)</f>
        <v/>
      </c>
      <c r="AN521" s="125" t="n"/>
      <c r="AO521" s="125" t="n"/>
      <c r="AP521" s="125">
        <f>SQRT(((VLOOKUP($AT$4,$A$4:$R$1021,18,FALSE))-R521)^2)</f>
        <v/>
      </c>
      <c r="AQ521" s="125" t="inlineStr">
        <is>
          <t>HY950X331</t>
        </is>
      </c>
      <c r="BB521" s="125">
        <f>SQRT(($J$1022-J521)^2)</f>
        <v/>
      </c>
      <c r="BC521" s="125">
        <f>SQRT(($R$1022-R521)^2)</f>
        <v/>
      </c>
      <c r="BD521" s="125" t="inlineStr">
        <is>
          <t>HY950X331</t>
        </is>
      </c>
      <c r="BI521">
        <f>SQRT(($J$1023-J521)^2)</f>
        <v/>
      </c>
      <c r="BJ521">
        <f>SQRT(($R$1023-R521)^2)</f>
        <v/>
      </c>
      <c r="BK521" s="125" t="inlineStr">
        <is>
          <t>HY950X331</t>
        </is>
      </c>
      <c r="BP521">
        <f>SQRT(($J$1024-J521)^2)</f>
        <v/>
      </c>
      <c r="BQ521">
        <f>SQRT(($R$1024-R521)^2)</f>
        <v/>
      </c>
      <c r="BR521" s="125" t="inlineStr">
        <is>
          <t>HY950X331</t>
        </is>
      </c>
      <c r="BW521">
        <f>SQRT(($J$1025-J521)^2)</f>
        <v/>
      </c>
      <c r="BX521">
        <f>SQRT(($R$1025-R521)^2)</f>
        <v/>
      </c>
      <c r="BY521" s="125" t="inlineStr">
        <is>
          <t>HY950X331</t>
        </is>
      </c>
      <c r="CD521">
        <f>SQRT(($J$1026-J521)^2)</f>
        <v/>
      </c>
      <c r="CE521">
        <f>SQRT(($R$1026-R521)^2)</f>
        <v/>
      </c>
      <c r="CF521" s="125" t="inlineStr">
        <is>
          <t>HY950X331</t>
        </is>
      </c>
    </row>
    <row r="522">
      <c r="A522" s="125" t="inlineStr">
        <is>
          <t>HY950X310</t>
        </is>
      </c>
      <c r="B522" s="129" t="inlineStr">
        <is>
          <t>HY</t>
        </is>
      </c>
      <c r="C522" s="125" t="n">
        <v>310</v>
      </c>
      <c r="D522" s="125" t="n">
        <v>950</v>
      </c>
      <c r="E522" s="125" t="n">
        <v>350</v>
      </c>
      <c r="F522" s="125" t="n">
        <v>32</v>
      </c>
      <c r="G522" s="125" t="n">
        <v>19</v>
      </c>
      <c r="H522" s="125" t="n">
        <v>18</v>
      </c>
      <c r="I522" s="125">
        <f>D522-(2*(H522+F522))</f>
        <v/>
      </c>
      <c r="J522" s="125">
        <f>(2*E522/10*F522/10)+((D522-F522-F522)/10*G522/10)+((H522/10+H522/10)^2)-(PI()*H522/10*H522/10)</f>
        <v/>
      </c>
      <c r="K522" s="125">
        <f>((E522-G522)/2)/F522</f>
        <v/>
      </c>
      <c r="L522" s="125">
        <f>I522/G522</f>
        <v/>
      </c>
      <c r="M522" s="125">
        <f>(E522*2+F522*4+((E522-G522)/2-H522)*4+2*PI()*H522+(D522-2*F522-2*H522)*2)/1000</f>
        <v/>
      </c>
      <c r="N522" s="5" t="n">
        <v>588000</v>
      </c>
      <c r="O522" s="5" t="n">
        <v>22900</v>
      </c>
      <c r="P522" s="125" t="n">
        <v>38.6</v>
      </c>
      <c r="Q522" s="125" t="n">
        <v>7.6</v>
      </c>
      <c r="R522" s="5" t="n">
        <v>12400</v>
      </c>
      <c r="S522" s="5" t="n">
        <v>1310</v>
      </c>
      <c r="T522" s="5" t="n">
        <v>14100</v>
      </c>
      <c r="U522" s="5" t="n">
        <v>2040</v>
      </c>
      <c r="X522" s="129">
        <f t="array" ref="X522">_xlfn.IFS((D522/F522) &lt;= (640/SQRT($AT$32)), "Compact", L522 &lt;= ($AT$32*(0.79-(0.002*((E522-G522/2)/(2*F522))*SQRT($AT$32)))), "Non-Compact", L522 &gt; ($AT$32*(0.79-(0.002*((E522-G522/2)/(2*F522))*SQRT($AT$32)))), "Slender")</f>
        <v/>
      </c>
      <c r="Y522" s="129">
        <f t="array" ref="Y522">_xlfn.IFS(K522 &lt;= (65/SQRT($AT$32)), "Compact", K522 &lt;= (95/SQRT($AT$32)), "Non-Compact", K522 &gt; (95/SQRT($AT$32)), "Slender")</f>
        <v/>
      </c>
      <c r="Z522" s="125">
        <f>E522/F522</f>
        <v/>
      </c>
      <c r="AA522" s="125">
        <f>D522/G522</f>
        <v/>
      </c>
      <c r="AB522" s="125">
        <f t="array" ref="AB522">_xlfn.IFS(Z522 &lt;= 9, "1", Z522 &lt;= 12, "2", Z522 &lt;= 15, "3", Z522 &gt; 15, "4")</f>
        <v/>
      </c>
      <c r="AC522" s="125">
        <f t="array" ref="AC522">_xlfn.IFS(AA522 &lt;= 200, "1", L522 &lt;= 300, "2", L522 &lt;= 400, "3", L522 &gt; 400, "4")</f>
        <v/>
      </c>
      <c r="AF522" s="129">
        <f>SQRT((((VLOOKUP($AT$4,$A$4:$D$1021,4,FALSE))-D522)^2)+(((VLOOKUP($AT$4,$A$4:$E$1021,5,FALSE))-E522)^2)+(((VLOOKUP($AT$4,$A$4:$N$1021,14,FALSE))-N522)^2)+(((VLOOKUP($AT$4,$A$4:$O$1021,15,FALSE))-O522)^2))</f>
        <v/>
      </c>
      <c r="AG522" s="129" t="n"/>
      <c r="AI522" s="129">
        <f>SQRT((((VLOOKUP($AT$4,$A$4:$D$1021,4,FALSE))-D522)^2)+(((VLOOKUP($AT$4,$A$4:$E$1021,5,FALSE))-E522)^2)+(((VLOOKUP($AT$4,$A$4:$R$1021,18,FALSE))-R522)^2)+(((VLOOKUP($AT$4,$A$4:$S$1021,19,FALSE))-S522)^2))</f>
        <v/>
      </c>
      <c r="AJ522" s="125" t="inlineStr">
        <is>
          <t>HY950X310</t>
        </is>
      </c>
      <c r="AK522" s="125" t="n"/>
      <c r="AL522" s="125" t="n"/>
      <c r="AM522" s="125">
        <f>SQRT(((VLOOKUP($AT$4,$A$4:$J$1021,10,FALSE))-J522)^2)</f>
        <v/>
      </c>
      <c r="AN522" s="125" t="n"/>
      <c r="AO522" s="125" t="n"/>
      <c r="AP522" s="125">
        <f>SQRT(((VLOOKUP($AT$4,$A$4:$R$1021,18,FALSE))-R522)^2)</f>
        <v/>
      </c>
      <c r="AQ522" s="125" t="inlineStr">
        <is>
          <t>HY950X310</t>
        </is>
      </c>
      <c r="BB522" s="125">
        <f>SQRT(($J$1022-J522)^2)</f>
        <v/>
      </c>
      <c r="BC522" s="125">
        <f>SQRT(($R$1022-R522)^2)</f>
        <v/>
      </c>
      <c r="BD522" s="125" t="inlineStr">
        <is>
          <t>HY950X310</t>
        </is>
      </c>
      <c r="BI522">
        <f>SQRT(($J$1023-J522)^2)</f>
        <v/>
      </c>
      <c r="BJ522">
        <f>SQRT(($R$1023-R522)^2)</f>
        <v/>
      </c>
      <c r="BK522" s="125" t="inlineStr">
        <is>
          <t>HY950X310</t>
        </is>
      </c>
      <c r="BP522">
        <f>SQRT(($J$1024-J522)^2)</f>
        <v/>
      </c>
      <c r="BQ522">
        <f>SQRT(($R$1024-R522)^2)</f>
        <v/>
      </c>
      <c r="BR522" s="125" t="inlineStr">
        <is>
          <t>HY950X310</t>
        </is>
      </c>
      <c r="BW522">
        <f>SQRT(($J$1025-J522)^2)</f>
        <v/>
      </c>
      <c r="BX522">
        <f>SQRT(($R$1025-R522)^2)</f>
        <v/>
      </c>
      <c r="BY522" s="125" t="inlineStr">
        <is>
          <t>HY950X310</t>
        </is>
      </c>
      <c r="CD522">
        <f>SQRT(($J$1026-J522)^2)</f>
        <v/>
      </c>
      <c r="CE522">
        <f>SQRT(($R$1026-R522)^2)</f>
        <v/>
      </c>
      <c r="CF522" s="125" t="inlineStr">
        <is>
          <t>HY950X310</t>
        </is>
      </c>
    </row>
    <row r="523">
      <c r="A523" s="125" t="inlineStr">
        <is>
          <t>HY950X289</t>
        </is>
      </c>
      <c r="B523" s="129" t="inlineStr">
        <is>
          <t>HY</t>
        </is>
      </c>
      <c r="C523" s="125" t="n">
        <v>289</v>
      </c>
      <c r="D523" s="125" t="n">
        <v>950</v>
      </c>
      <c r="E523" s="125" t="n">
        <v>350</v>
      </c>
      <c r="F523" s="125" t="n">
        <v>28</v>
      </c>
      <c r="G523" s="125" t="n">
        <v>19</v>
      </c>
      <c r="H523" s="125" t="n">
        <v>18</v>
      </c>
      <c r="I523" s="125">
        <f>D523-(2*(H523+F523))</f>
        <v/>
      </c>
      <c r="J523" s="125">
        <f>(2*E523/10*F523/10)+((D523-F523-F523)/10*G523/10)+((H523/10+H523/10)^2)-(PI()*H523/10*H523/10)</f>
        <v/>
      </c>
      <c r="K523" s="125">
        <f>((E523-G523)/2)/F523</f>
        <v/>
      </c>
      <c r="L523" s="125">
        <f>I523/G523</f>
        <v/>
      </c>
      <c r="M523" s="125">
        <f>(E523*2+F523*4+((E523-G523)/2-H523)*4+2*PI()*H523+(D523-2*F523-2*H523)*2)/1000</f>
        <v/>
      </c>
      <c r="N523" s="5" t="n">
        <v>535000</v>
      </c>
      <c r="O523" s="5" t="n">
        <v>20100</v>
      </c>
      <c r="P523" s="125" t="n">
        <v>38.1</v>
      </c>
      <c r="Q523" s="125" t="n">
        <v>7.4</v>
      </c>
      <c r="R523" s="5" t="n">
        <v>11300</v>
      </c>
      <c r="S523" s="5" t="n">
        <v>1150</v>
      </c>
      <c r="T523" s="5" t="n">
        <v>13000</v>
      </c>
      <c r="U523" s="5" t="n">
        <v>1800</v>
      </c>
      <c r="X523" s="129">
        <f t="array" ref="X523">_xlfn.IFS((D523/F523) &lt;= (640/SQRT($AT$32)), "Compact", L523 &lt;= ($AT$32*(0.79-(0.002*((E523-G523/2)/(2*F523))*SQRT($AT$32)))), "Non-Compact", L523 &gt; ($AT$32*(0.79-(0.002*((E523-G523/2)/(2*F523))*SQRT($AT$32)))), "Slender")</f>
        <v/>
      </c>
      <c r="Y523" s="129">
        <f t="array" ref="Y523">_xlfn.IFS(K523 &lt;= (65/SQRT($AT$32)), "Compact", K523 &lt;= (95/SQRT($AT$32)), "Non-Compact", K523 &gt; (95/SQRT($AT$32)), "Slender")</f>
        <v/>
      </c>
      <c r="Z523" s="125">
        <f>E523/F523</f>
        <v/>
      </c>
      <c r="AA523" s="125">
        <f>D523/G523</f>
        <v/>
      </c>
      <c r="AB523" s="125">
        <f t="array" ref="AB523">_xlfn.IFS(Z523 &lt;= 9, "1", Z523 &lt;= 12, "2", Z523 &lt;= 15, "3", Z523 &gt; 15, "4")</f>
        <v/>
      </c>
      <c r="AC523" s="125">
        <f t="array" ref="AC523">_xlfn.IFS(AA523 &lt;= 200, "1", L523 &lt;= 300, "2", L523 &lt;= 400, "3", L523 &gt; 400, "4")</f>
        <v/>
      </c>
      <c r="AF523" s="129">
        <f>SQRT((((VLOOKUP($AT$4,$A$4:$D$1021,4,FALSE))-D523)^2)+(((VLOOKUP($AT$4,$A$4:$E$1021,5,FALSE))-E523)^2)+(((VLOOKUP($AT$4,$A$4:$N$1021,14,FALSE))-N523)^2)+(((VLOOKUP($AT$4,$A$4:$O$1021,15,FALSE))-O523)^2))</f>
        <v/>
      </c>
      <c r="AG523" s="129" t="n"/>
      <c r="AI523" s="129">
        <f>SQRT((((VLOOKUP($AT$4,$A$4:$D$1021,4,FALSE))-D523)^2)+(((VLOOKUP($AT$4,$A$4:$E$1021,5,FALSE))-E523)^2)+(((VLOOKUP($AT$4,$A$4:$R$1021,18,FALSE))-R523)^2)+(((VLOOKUP($AT$4,$A$4:$S$1021,19,FALSE))-S523)^2))</f>
        <v/>
      </c>
      <c r="AJ523" s="125" t="inlineStr">
        <is>
          <t>HY950X289</t>
        </is>
      </c>
      <c r="AK523" s="125" t="n"/>
      <c r="AL523" s="125" t="n"/>
      <c r="AM523" s="125">
        <f>SQRT(((VLOOKUP($AT$4,$A$4:$J$1021,10,FALSE))-J523)^2)</f>
        <v/>
      </c>
      <c r="AN523" s="125" t="n"/>
      <c r="AO523" s="125" t="n"/>
      <c r="AP523" s="125">
        <f>SQRT(((VLOOKUP($AT$4,$A$4:$R$1021,18,FALSE))-R523)^2)</f>
        <v/>
      </c>
      <c r="AQ523" s="125" t="inlineStr">
        <is>
          <t>HY950X289</t>
        </is>
      </c>
      <c r="BB523" s="125">
        <f>SQRT(($J$1022-J523)^2)</f>
        <v/>
      </c>
      <c r="BC523" s="125">
        <f>SQRT(($R$1022-R523)^2)</f>
        <v/>
      </c>
      <c r="BD523" s="125" t="inlineStr">
        <is>
          <t>HY950X289</t>
        </is>
      </c>
      <c r="BI523">
        <f>SQRT(($J$1023-J523)^2)</f>
        <v/>
      </c>
      <c r="BJ523">
        <f>SQRT(($R$1023-R523)^2)</f>
        <v/>
      </c>
      <c r="BK523" s="125" t="inlineStr">
        <is>
          <t>HY950X289</t>
        </is>
      </c>
      <c r="BP523">
        <f>SQRT(($J$1024-J523)^2)</f>
        <v/>
      </c>
      <c r="BQ523">
        <f>SQRT(($R$1024-R523)^2)</f>
        <v/>
      </c>
      <c r="BR523" s="125" t="inlineStr">
        <is>
          <t>HY950X289</t>
        </is>
      </c>
      <c r="BW523">
        <f>SQRT(($J$1025-J523)^2)</f>
        <v/>
      </c>
      <c r="BX523">
        <f>SQRT(($R$1025-R523)^2)</f>
        <v/>
      </c>
      <c r="BY523" s="125" t="inlineStr">
        <is>
          <t>HY950X289</t>
        </is>
      </c>
      <c r="CD523">
        <f>SQRT(($J$1026-J523)^2)</f>
        <v/>
      </c>
      <c r="CE523">
        <f>SQRT(($R$1026-R523)^2)</f>
        <v/>
      </c>
      <c r="CF523" s="125" t="inlineStr">
        <is>
          <t>HY950X289</t>
        </is>
      </c>
    </row>
    <row r="524">
      <c r="A524" s="125" t="inlineStr">
        <is>
          <t>HY950X274</t>
        </is>
      </c>
      <c r="B524" s="129" t="inlineStr">
        <is>
          <t>HY</t>
        </is>
      </c>
      <c r="C524" s="125" t="n">
        <v>274</v>
      </c>
      <c r="D524" s="125" t="n">
        <v>950</v>
      </c>
      <c r="E524" s="125" t="n">
        <v>350</v>
      </c>
      <c r="F524" s="125" t="n">
        <v>25</v>
      </c>
      <c r="G524" s="125" t="n">
        <v>19</v>
      </c>
      <c r="H524" s="125" t="n">
        <v>18</v>
      </c>
      <c r="I524" s="125">
        <f>D524-(2*(H524+F524))</f>
        <v/>
      </c>
      <c r="J524" s="125">
        <f>(2*E524/10*F524/10)+((D524-F524-F524)/10*G524/10)+((H524/10+H524/10)^2)-(PI()*H524/10*H524/10)</f>
        <v/>
      </c>
      <c r="K524" s="125">
        <f>((E524-G524)/2)/F524</f>
        <v/>
      </c>
      <c r="L524" s="125">
        <f>I524/G524</f>
        <v/>
      </c>
      <c r="M524" s="125">
        <f>(E524*2+F524*4+((E524-G524)/2-H524)*4+2*PI()*H524+(D524-2*F524-2*H524)*2)/1000</f>
        <v/>
      </c>
      <c r="N524" s="5" t="n">
        <v>495000</v>
      </c>
      <c r="O524" s="5" t="n">
        <v>17900</v>
      </c>
      <c r="P524" s="125" t="n">
        <v>37.7</v>
      </c>
      <c r="Q524" s="125" t="n">
        <v>7.2</v>
      </c>
      <c r="R524" s="5" t="n">
        <v>10400</v>
      </c>
      <c r="S524" s="5" t="n">
        <v>1020</v>
      </c>
      <c r="T524" s="5" t="n">
        <v>12100</v>
      </c>
      <c r="U524" s="5" t="n">
        <v>1620</v>
      </c>
      <c r="X524" s="129">
        <f t="array" ref="X524">_xlfn.IFS((D524/F524) &lt;= (640/SQRT($AT$32)), "Compact", L524 &lt;= ($AT$32*(0.79-(0.002*((E524-G524/2)/(2*F524))*SQRT($AT$32)))), "Non-Compact", L524 &gt; ($AT$32*(0.79-(0.002*((E524-G524/2)/(2*F524))*SQRT($AT$32)))), "Slender")</f>
        <v/>
      </c>
      <c r="Y524" s="129">
        <f t="array" ref="Y524">_xlfn.IFS(K524 &lt;= (65/SQRT($AT$32)), "Compact", K524 &lt;= (95/SQRT($AT$32)), "Non-Compact", K524 &gt; (95/SQRT($AT$32)), "Slender")</f>
        <v/>
      </c>
      <c r="Z524" s="125">
        <f>E524/F524</f>
        <v/>
      </c>
      <c r="AA524" s="125">
        <f>D524/G524</f>
        <v/>
      </c>
      <c r="AB524" s="125">
        <f t="array" ref="AB524">_xlfn.IFS(Z524 &lt;= 9, "1", Z524 &lt;= 12, "2", Z524 &lt;= 15, "3", Z524 &gt; 15, "4")</f>
        <v/>
      </c>
      <c r="AC524" s="125">
        <f t="array" ref="AC524">_xlfn.IFS(AA524 &lt;= 200, "1", L524 &lt;= 300, "2", L524 &lt;= 400, "3", L524 &gt; 400, "4")</f>
        <v/>
      </c>
      <c r="AF524" s="129">
        <f>SQRT((((VLOOKUP($AT$4,$A$4:$D$1021,4,FALSE))-D524)^2)+(((VLOOKUP($AT$4,$A$4:$E$1021,5,FALSE))-E524)^2)+(((VLOOKUP($AT$4,$A$4:$N$1021,14,FALSE))-N524)^2)+(((VLOOKUP($AT$4,$A$4:$O$1021,15,FALSE))-O524)^2))</f>
        <v/>
      </c>
      <c r="AG524" s="129" t="n"/>
      <c r="AI524" s="129">
        <f>SQRT((((VLOOKUP($AT$4,$A$4:$D$1021,4,FALSE))-D524)^2)+(((VLOOKUP($AT$4,$A$4:$E$1021,5,FALSE))-E524)^2)+(((VLOOKUP($AT$4,$A$4:$R$1021,18,FALSE))-R524)^2)+(((VLOOKUP($AT$4,$A$4:$S$1021,19,FALSE))-S524)^2))</f>
        <v/>
      </c>
      <c r="AJ524" s="125" t="inlineStr">
        <is>
          <t>HY950X274</t>
        </is>
      </c>
      <c r="AK524" s="125" t="n"/>
      <c r="AL524" s="125" t="n"/>
      <c r="AM524" s="125">
        <f>SQRT(((VLOOKUP($AT$4,$A$4:$J$1021,10,FALSE))-J524)^2)</f>
        <v/>
      </c>
      <c r="AN524" s="125" t="n"/>
      <c r="AO524" s="125" t="n"/>
      <c r="AP524" s="125">
        <f>SQRT(((VLOOKUP($AT$4,$A$4:$R$1021,18,FALSE))-R524)^2)</f>
        <v/>
      </c>
      <c r="AQ524" s="125" t="inlineStr">
        <is>
          <t>HY950X274</t>
        </is>
      </c>
      <c r="BB524" s="125">
        <f>SQRT(($J$1022-J524)^2)</f>
        <v/>
      </c>
      <c r="BC524" s="125">
        <f>SQRT(($R$1022-R524)^2)</f>
        <v/>
      </c>
      <c r="BD524" s="125" t="inlineStr">
        <is>
          <t>HY950X274</t>
        </is>
      </c>
      <c r="BI524">
        <f>SQRT(($J$1023-J524)^2)</f>
        <v/>
      </c>
      <c r="BJ524">
        <f>SQRT(($R$1023-R524)^2)</f>
        <v/>
      </c>
      <c r="BK524" s="125" t="inlineStr">
        <is>
          <t>HY950X274</t>
        </is>
      </c>
      <c r="BP524">
        <f>SQRT(($J$1024-J524)^2)</f>
        <v/>
      </c>
      <c r="BQ524">
        <f>SQRT(($R$1024-R524)^2)</f>
        <v/>
      </c>
      <c r="BR524" s="125" t="inlineStr">
        <is>
          <t>HY950X274</t>
        </is>
      </c>
      <c r="BW524">
        <f>SQRT(($J$1025-J524)^2)</f>
        <v/>
      </c>
      <c r="BX524">
        <f>SQRT(($R$1025-R524)^2)</f>
        <v/>
      </c>
      <c r="BY524" s="125" t="inlineStr">
        <is>
          <t>HY950X274</t>
        </is>
      </c>
      <c r="CD524">
        <f>SQRT(($J$1026-J524)^2)</f>
        <v/>
      </c>
      <c r="CE524">
        <f>SQRT(($R$1026-R524)^2)</f>
        <v/>
      </c>
      <c r="CF524" s="125" t="inlineStr">
        <is>
          <t>HY950X274</t>
        </is>
      </c>
    </row>
    <row r="525">
      <c r="A525" s="125" t="inlineStr">
        <is>
          <t>HY950X289</t>
        </is>
      </c>
      <c r="B525" s="129" t="inlineStr">
        <is>
          <t>HY</t>
        </is>
      </c>
      <c r="C525" s="125" t="n">
        <v>289</v>
      </c>
      <c r="D525" s="125" t="n">
        <v>950</v>
      </c>
      <c r="E525" s="125" t="n">
        <v>350</v>
      </c>
      <c r="F525" s="125" t="n">
        <v>32</v>
      </c>
      <c r="G525" s="125" t="n">
        <v>16</v>
      </c>
      <c r="H525" s="125" t="n">
        <v>18</v>
      </c>
      <c r="I525" s="125">
        <f>D525-(2*(H525+F525))</f>
        <v/>
      </c>
      <c r="J525" s="125">
        <f>(2*E525/10*F525/10)+((D525-F525-F525)/10*G525/10)+((H525/10+H525/10)^2)-(PI()*H525/10*H525/10)</f>
        <v/>
      </c>
      <c r="K525" s="125">
        <f>((E525-G525)/2)/F525</f>
        <v/>
      </c>
      <c r="L525" s="125">
        <f>I525/G525</f>
        <v/>
      </c>
      <c r="M525" s="125">
        <f>(E525*2+F525*4+((E525-G525)/2-H525)*4+2*PI()*H525+(D525-2*F525-2*H525)*2)/1000</f>
        <v/>
      </c>
      <c r="N525" s="5" t="n">
        <v>570000</v>
      </c>
      <c r="O525" s="5" t="n">
        <v>22900</v>
      </c>
      <c r="P525" s="125" t="n">
        <v>39.3</v>
      </c>
      <c r="Q525" s="125" t="n">
        <v>7.9</v>
      </c>
      <c r="R525" s="5" t="n">
        <v>12000</v>
      </c>
      <c r="S525" s="5" t="n">
        <v>1310</v>
      </c>
      <c r="T525" s="5" t="n">
        <v>13500</v>
      </c>
      <c r="U525" s="5" t="n">
        <v>2020</v>
      </c>
      <c r="X525" s="129">
        <f t="array" ref="X525">_xlfn.IFS((D525/F525) &lt;= (640/SQRT($AT$32)), "Compact", L525 &lt;= ($AT$32*(0.79-(0.002*((E525-G525/2)/(2*F525))*SQRT($AT$32)))), "Non-Compact", L525 &gt; ($AT$32*(0.79-(0.002*((E525-G525/2)/(2*F525))*SQRT($AT$32)))), "Slender")</f>
        <v/>
      </c>
      <c r="Y525" s="129">
        <f t="array" ref="Y525">_xlfn.IFS(K525 &lt;= (65/SQRT($AT$32)), "Compact", K525 &lt;= (95/SQRT($AT$32)), "Non-Compact", K525 &gt; (95/SQRT($AT$32)), "Slender")</f>
        <v/>
      </c>
      <c r="Z525" s="125">
        <f>E525/F525</f>
        <v/>
      </c>
      <c r="AA525" s="125">
        <f>D525/G525</f>
        <v/>
      </c>
      <c r="AB525" s="125">
        <f t="array" ref="AB525">_xlfn.IFS(Z525 &lt;= 9, "1", Z525 &lt;= 12, "2", Z525 &lt;= 15, "3", Z525 &gt; 15, "4")</f>
        <v/>
      </c>
      <c r="AC525" s="125">
        <f t="array" ref="AC525">_xlfn.IFS(AA525 &lt;= 200, "1", L525 &lt;= 300, "2", L525 &lt;= 400, "3", L525 &gt; 400, "4")</f>
        <v/>
      </c>
      <c r="AF525" s="129">
        <f>SQRT((((VLOOKUP($AT$4,$A$4:$D$1021,4,FALSE))-D525)^2)+(((VLOOKUP($AT$4,$A$4:$E$1021,5,FALSE))-E525)^2)+(((VLOOKUP($AT$4,$A$4:$N$1021,14,FALSE))-N525)^2)+(((VLOOKUP($AT$4,$A$4:$O$1021,15,FALSE))-O525)^2))</f>
        <v/>
      </c>
      <c r="AG525" s="129" t="n"/>
      <c r="AI525" s="129">
        <f>SQRT((((VLOOKUP($AT$4,$A$4:$D$1021,4,FALSE))-D525)^2)+(((VLOOKUP($AT$4,$A$4:$E$1021,5,FALSE))-E525)^2)+(((VLOOKUP($AT$4,$A$4:$R$1021,18,FALSE))-R525)^2)+(((VLOOKUP($AT$4,$A$4:$S$1021,19,FALSE))-S525)^2))</f>
        <v/>
      </c>
      <c r="AJ525" s="125" t="inlineStr">
        <is>
          <t>HY950X289</t>
        </is>
      </c>
      <c r="AK525" s="125" t="n"/>
      <c r="AL525" s="125" t="n"/>
      <c r="AM525" s="125">
        <f>SQRT(((VLOOKUP($AT$4,$A$4:$J$1021,10,FALSE))-J525)^2)</f>
        <v/>
      </c>
      <c r="AN525" s="125" t="n"/>
      <c r="AO525" s="125" t="n"/>
      <c r="AP525" s="125">
        <f>SQRT(((VLOOKUP($AT$4,$A$4:$R$1021,18,FALSE))-R525)^2)</f>
        <v/>
      </c>
      <c r="AQ525" s="125" t="inlineStr">
        <is>
          <t>HY950X289</t>
        </is>
      </c>
      <c r="BB525" s="125">
        <f>SQRT(($J$1022-J525)^2)</f>
        <v/>
      </c>
      <c r="BC525" s="125">
        <f>SQRT(($R$1022-R525)^2)</f>
        <v/>
      </c>
      <c r="BD525" s="125" t="inlineStr">
        <is>
          <t>HY950X289</t>
        </is>
      </c>
      <c r="BI525">
        <f>SQRT(($J$1023-J525)^2)</f>
        <v/>
      </c>
      <c r="BJ525">
        <f>SQRT(($R$1023-R525)^2)</f>
        <v/>
      </c>
      <c r="BK525" s="125" t="inlineStr">
        <is>
          <t>HY950X289</t>
        </is>
      </c>
      <c r="BP525">
        <f>SQRT(($J$1024-J525)^2)</f>
        <v/>
      </c>
      <c r="BQ525">
        <f>SQRT(($R$1024-R525)^2)</f>
        <v/>
      </c>
      <c r="BR525" s="125" t="inlineStr">
        <is>
          <t>HY950X289</t>
        </is>
      </c>
      <c r="BW525">
        <f>SQRT(($J$1025-J525)^2)</f>
        <v/>
      </c>
      <c r="BX525">
        <f>SQRT(($R$1025-R525)^2)</f>
        <v/>
      </c>
      <c r="BY525" s="125" t="inlineStr">
        <is>
          <t>HY950X289</t>
        </is>
      </c>
      <c r="CD525">
        <f>SQRT(($J$1026-J525)^2)</f>
        <v/>
      </c>
      <c r="CE525">
        <f>SQRT(($R$1026-R525)^2)</f>
        <v/>
      </c>
      <c r="CF525" s="125" t="inlineStr">
        <is>
          <t>HY950X289</t>
        </is>
      </c>
    </row>
    <row r="526">
      <c r="A526" s="125" t="inlineStr">
        <is>
          <t>HY950X268</t>
        </is>
      </c>
      <c r="B526" s="129" t="inlineStr">
        <is>
          <t>HY</t>
        </is>
      </c>
      <c r="C526" s="125" t="n">
        <v>268</v>
      </c>
      <c r="D526" s="125" t="n">
        <v>950</v>
      </c>
      <c r="E526" s="125" t="n">
        <v>350</v>
      </c>
      <c r="F526" s="125" t="n">
        <v>28</v>
      </c>
      <c r="G526" s="125" t="n">
        <v>16</v>
      </c>
      <c r="H526" s="125" t="n">
        <v>18</v>
      </c>
      <c r="I526" s="125">
        <f>D526-(2*(H526+F526))</f>
        <v/>
      </c>
      <c r="J526" s="125">
        <f>(2*E526/10*F526/10)+((D526-F526-F526)/10*G526/10)+((H526/10+H526/10)^2)-(PI()*H526/10*H526/10)</f>
        <v/>
      </c>
      <c r="K526" s="125">
        <f>((E526-G526)/2)/F526</f>
        <v/>
      </c>
      <c r="L526" s="125">
        <f>I526/G526</f>
        <v/>
      </c>
      <c r="M526" s="125">
        <f>(E526*2+F526*4+((E526-G526)/2-H526)*4+2*PI()*H526+(D526-2*F526-2*H526)*2)/1000</f>
        <v/>
      </c>
      <c r="N526" s="5" t="n">
        <v>517000</v>
      </c>
      <c r="O526" s="5" t="n">
        <v>20000</v>
      </c>
      <c r="P526" s="125" t="n">
        <v>38.9</v>
      </c>
      <c r="Q526" s="125" t="n">
        <v>7.7</v>
      </c>
      <c r="R526" s="5" t="n">
        <v>10900</v>
      </c>
      <c r="S526" s="5" t="n">
        <v>1150</v>
      </c>
      <c r="T526" s="5" t="n">
        <v>12400</v>
      </c>
      <c r="U526" s="5" t="n">
        <v>1780</v>
      </c>
      <c r="X526" s="129">
        <f t="array" ref="X526">_xlfn.IFS((D526/F526) &lt;= (640/SQRT($AT$32)), "Compact", L526 &lt;= ($AT$32*(0.79-(0.002*((E526-G526/2)/(2*F526))*SQRT($AT$32)))), "Non-Compact", L526 &gt; ($AT$32*(0.79-(0.002*((E526-G526/2)/(2*F526))*SQRT($AT$32)))), "Slender")</f>
        <v/>
      </c>
      <c r="Y526" s="129">
        <f t="array" ref="Y526">_xlfn.IFS(K526 &lt;= (65/SQRT($AT$32)), "Compact", K526 &lt;= (95/SQRT($AT$32)), "Non-Compact", K526 &gt; (95/SQRT($AT$32)), "Slender")</f>
        <v/>
      </c>
      <c r="Z526" s="125">
        <f>E526/F526</f>
        <v/>
      </c>
      <c r="AA526" s="125">
        <f>D526/G526</f>
        <v/>
      </c>
      <c r="AB526" s="125">
        <f t="array" ref="AB526">_xlfn.IFS(Z526 &lt;= 9, "1", Z526 &lt;= 12, "2", Z526 &lt;= 15, "3", Z526 &gt; 15, "4")</f>
        <v/>
      </c>
      <c r="AC526" s="125">
        <f t="array" ref="AC526">_xlfn.IFS(AA526 &lt;= 200, "1", L526 &lt;= 300, "2", L526 &lt;= 400, "3", L526 &gt; 400, "4")</f>
        <v/>
      </c>
      <c r="AF526" s="129">
        <f>SQRT((((VLOOKUP($AT$4,$A$4:$D$1021,4,FALSE))-D526)^2)+(((VLOOKUP($AT$4,$A$4:$E$1021,5,FALSE))-E526)^2)+(((VLOOKUP($AT$4,$A$4:$N$1021,14,FALSE))-N526)^2)+(((VLOOKUP($AT$4,$A$4:$O$1021,15,FALSE))-O526)^2))</f>
        <v/>
      </c>
      <c r="AG526" s="129" t="n"/>
      <c r="AI526" s="129">
        <f>SQRT((((VLOOKUP($AT$4,$A$4:$D$1021,4,FALSE))-D526)^2)+(((VLOOKUP($AT$4,$A$4:$E$1021,5,FALSE))-E526)^2)+(((VLOOKUP($AT$4,$A$4:$R$1021,18,FALSE))-R526)^2)+(((VLOOKUP($AT$4,$A$4:$S$1021,19,FALSE))-S526)^2))</f>
        <v/>
      </c>
      <c r="AJ526" s="125" t="inlineStr">
        <is>
          <t>HY950X268</t>
        </is>
      </c>
      <c r="AK526" s="125" t="n"/>
      <c r="AL526" s="125" t="n"/>
      <c r="AM526" s="125">
        <f>SQRT(((VLOOKUP($AT$4,$A$4:$J$1021,10,FALSE))-J526)^2)</f>
        <v/>
      </c>
      <c r="AN526" s="125" t="n"/>
      <c r="AO526" s="125" t="n"/>
      <c r="AP526" s="125">
        <f>SQRT(((VLOOKUP($AT$4,$A$4:$R$1021,18,FALSE))-R526)^2)</f>
        <v/>
      </c>
      <c r="AQ526" s="125" t="inlineStr">
        <is>
          <t>HY950X268</t>
        </is>
      </c>
      <c r="BB526" s="125">
        <f>SQRT(($J$1022-J526)^2)</f>
        <v/>
      </c>
      <c r="BC526" s="125">
        <f>SQRT(($R$1022-R526)^2)</f>
        <v/>
      </c>
      <c r="BD526" s="125" t="inlineStr">
        <is>
          <t>HY950X268</t>
        </is>
      </c>
      <c r="BI526">
        <f>SQRT(($J$1023-J526)^2)</f>
        <v/>
      </c>
      <c r="BJ526">
        <f>SQRT(($R$1023-R526)^2)</f>
        <v/>
      </c>
      <c r="BK526" s="125" t="inlineStr">
        <is>
          <t>HY950X268</t>
        </is>
      </c>
      <c r="BP526">
        <f>SQRT(($J$1024-J526)^2)</f>
        <v/>
      </c>
      <c r="BQ526">
        <f>SQRT(($R$1024-R526)^2)</f>
        <v/>
      </c>
      <c r="BR526" s="125" t="inlineStr">
        <is>
          <t>HY950X268</t>
        </is>
      </c>
      <c r="BW526">
        <f>SQRT(($J$1025-J526)^2)</f>
        <v/>
      </c>
      <c r="BX526">
        <f>SQRT(($R$1025-R526)^2)</f>
        <v/>
      </c>
      <c r="BY526" s="125" t="inlineStr">
        <is>
          <t>HY950X268</t>
        </is>
      </c>
      <c r="CD526">
        <f>SQRT(($J$1026-J526)^2)</f>
        <v/>
      </c>
      <c r="CE526">
        <f>SQRT(($R$1026-R526)^2)</f>
        <v/>
      </c>
      <c r="CF526" s="125" t="inlineStr">
        <is>
          <t>HY950X268</t>
        </is>
      </c>
    </row>
    <row r="527">
      <c r="A527" s="125" t="inlineStr">
        <is>
          <t>HY950X253</t>
        </is>
      </c>
      <c r="B527" s="129" t="inlineStr">
        <is>
          <t>HY</t>
        </is>
      </c>
      <c r="C527" s="125" t="n">
        <v>253</v>
      </c>
      <c r="D527" s="125" t="n">
        <v>950</v>
      </c>
      <c r="E527" s="125" t="n">
        <v>350</v>
      </c>
      <c r="F527" s="125" t="n">
        <v>25</v>
      </c>
      <c r="G527" s="125" t="n">
        <v>16</v>
      </c>
      <c r="H527" s="125" t="n">
        <v>18</v>
      </c>
      <c r="I527" s="125">
        <f>D527-(2*(H527+F527))</f>
        <v/>
      </c>
      <c r="J527" s="125">
        <f>(2*E527/10*F527/10)+((D527-F527-F527)/10*G527/10)+((H527/10+H527/10)^2)-(PI()*H527/10*H527/10)</f>
        <v/>
      </c>
      <c r="K527" s="125">
        <f>((E527-G527)/2)/F527</f>
        <v/>
      </c>
      <c r="L527" s="125">
        <f>I527/G527</f>
        <v/>
      </c>
      <c r="M527" s="125">
        <f>(E527*2+F527*4+((E527-G527)/2-H527)*4+2*PI()*H527+(D527-2*F527-2*H527)*2)/1000</f>
        <v/>
      </c>
      <c r="N527" s="5" t="n">
        <v>477000</v>
      </c>
      <c r="O527" s="5" t="n">
        <v>17900</v>
      </c>
      <c r="P527" s="125" t="n">
        <v>38.5</v>
      </c>
      <c r="Q527" s="125" t="n">
        <v>7.5</v>
      </c>
      <c r="R527" s="5" t="n">
        <v>10000</v>
      </c>
      <c r="S527" s="5" t="n">
        <v>1020</v>
      </c>
      <c r="T527" s="5" t="n">
        <v>11500</v>
      </c>
      <c r="U527" s="5" t="n">
        <v>1590</v>
      </c>
      <c r="X527" s="129">
        <f t="array" ref="X527">_xlfn.IFS((D527/F527) &lt;= (640/SQRT($AT$32)), "Compact", L527 &lt;= ($AT$32*(0.79-(0.002*((E527-G527/2)/(2*F527))*SQRT($AT$32)))), "Non-Compact", L527 &gt; ($AT$32*(0.79-(0.002*((E527-G527/2)/(2*F527))*SQRT($AT$32)))), "Slender")</f>
        <v/>
      </c>
      <c r="Y527" s="129">
        <f t="array" ref="Y527">_xlfn.IFS(K527 &lt;= (65/SQRT($AT$32)), "Compact", K527 &lt;= (95/SQRT($AT$32)), "Non-Compact", K527 &gt; (95/SQRT($AT$32)), "Slender")</f>
        <v/>
      </c>
      <c r="Z527" s="125">
        <f>E527/F527</f>
        <v/>
      </c>
      <c r="AA527" s="125">
        <f>D527/G527</f>
        <v/>
      </c>
      <c r="AB527" s="125">
        <f t="array" ref="AB527">_xlfn.IFS(Z527 &lt;= 9, "1", Z527 &lt;= 12, "2", Z527 &lt;= 15, "3", Z527 &gt; 15, "4")</f>
        <v/>
      </c>
      <c r="AC527" s="125">
        <f t="array" ref="AC527">_xlfn.IFS(AA527 &lt;= 200, "1", L527 &lt;= 300, "2", L527 &lt;= 400, "3", L527 &gt; 400, "4")</f>
        <v/>
      </c>
      <c r="AF527" s="129">
        <f>SQRT((((VLOOKUP($AT$4,$A$4:$D$1021,4,FALSE))-D527)^2)+(((VLOOKUP($AT$4,$A$4:$E$1021,5,FALSE))-E527)^2)+(((VLOOKUP($AT$4,$A$4:$N$1021,14,FALSE))-N527)^2)+(((VLOOKUP($AT$4,$A$4:$O$1021,15,FALSE))-O527)^2))</f>
        <v/>
      </c>
      <c r="AG527" s="129" t="n"/>
      <c r="AI527" s="129">
        <f>SQRT((((VLOOKUP($AT$4,$A$4:$D$1021,4,FALSE))-D527)^2)+(((VLOOKUP($AT$4,$A$4:$E$1021,5,FALSE))-E527)^2)+(((VLOOKUP($AT$4,$A$4:$R$1021,18,FALSE))-R527)^2)+(((VLOOKUP($AT$4,$A$4:$S$1021,19,FALSE))-S527)^2))</f>
        <v/>
      </c>
      <c r="AJ527" s="125" t="inlineStr">
        <is>
          <t>HY950X253</t>
        </is>
      </c>
      <c r="AK527" s="125" t="n"/>
      <c r="AL527" s="125" t="n"/>
      <c r="AM527" s="125">
        <f>SQRT(((VLOOKUP($AT$4,$A$4:$J$1021,10,FALSE))-J527)^2)</f>
        <v/>
      </c>
      <c r="AN527" s="125" t="n"/>
      <c r="AO527" s="125" t="n"/>
      <c r="AP527" s="125">
        <f>SQRT(((VLOOKUP($AT$4,$A$4:$R$1021,18,FALSE))-R527)^2)</f>
        <v/>
      </c>
      <c r="AQ527" s="125" t="inlineStr">
        <is>
          <t>HY950X253</t>
        </is>
      </c>
      <c r="BB527" s="125">
        <f>SQRT(($J$1022-J527)^2)</f>
        <v/>
      </c>
      <c r="BC527" s="125">
        <f>SQRT(($R$1022-R527)^2)</f>
        <v/>
      </c>
      <c r="BD527" s="125" t="inlineStr">
        <is>
          <t>HY950X253</t>
        </is>
      </c>
      <c r="BI527">
        <f>SQRT(($J$1023-J527)^2)</f>
        <v/>
      </c>
      <c r="BJ527">
        <f>SQRT(($R$1023-R527)^2)</f>
        <v/>
      </c>
      <c r="BK527" s="125" t="inlineStr">
        <is>
          <t>HY950X253</t>
        </is>
      </c>
      <c r="BP527">
        <f>SQRT(($J$1024-J527)^2)</f>
        <v/>
      </c>
      <c r="BQ527">
        <f>SQRT(($R$1024-R527)^2)</f>
        <v/>
      </c>
      <c r="BR527" s="125" t="inlineStr">
        <is>
          <t>HY950X253</t>
        </is>
      </c>
      <c r="BW527">
        <f>SQRT(($J$1025-J527)^2)</f>
        <v/>
      </c>
      <c r="BX527">
        <f>SQRT(($R$1025-R527)^2)</f>
        <v/>
      </c>
      <c r="BY527" s="125" t="inlineStr">
        <is>
          <t>HY950X253</t>
        </is>
      </c>
      <c r="CD527">
        <f>SQRT(($J$1026-J527)^2)</f>
        <v/>
      </c>
      <c r="CE527">
        <f>SQRT(($R$1026-R527)^2)</f>
        <v/>
      </c>
      <c r="CF527" s="125" t="inlineStr">
        <is>
          <t>HY950X253</t>
        </is>
      </c>
    </row>
    <row r="528">
      <c r="A528" s="125" t="inlineStr">
        <is>
          <t>HY950X237</t>
        </is>
      </c>
      <c r="B528" s="129" t="inlineStr">
        <is>
          <t>HY</t>
        </is>
      </c>
      <c r="C528" s="125" t="n">
        <v>237</v>
      </c>
      <c r="D528" s="125" t="n">
        <v>950</v>
      </c>
      <c r="E528" s="125" t="n">
        <v>350</v>
      </c>
      <c r="F528" s="125" t="n">
        <v>22</v>
      </c>
      <c r="G528" s="125" t="n">
        <v>16</v>
      </c>
      <c r="H528" s="125" t="n">
        <v>18</v>
      </c>
      <c r="I528" s="125">
        <f>D528-(2*(H528+F528))</f>
        <v/>
      </c>
      <c r="J528" s="125">
        <f>(2*E528/10*F528/10)+((D528-F528-F528)/10*G528/10)+((H528/10+H528/10)^2)-(PI()*H528/10*H528/10)</f>
        <v/>
      </c>
      <c r="K528" s="125">
        <f>((E528-G528)/2)/F528</f>
        <v/>
      </c>
      <c r="L528" s="125">
        <f>I528/G528</f>
        <v/>
      </c>
      <c r="M528" s="125">
        <f>(E528*2+F528*4+((E528-G528)/2-H528)*4+2*PI()*H528+(D528-2*F528-2*H528)*2)/1000</f>
        <v/>
      </c>
      <c r="N528" s="5" t="n">
        <v>436000</v>
      </c>
      <c r="O528" s="5" t="n">
        <v>15800</v>
      </c>
      <c r="P528" s="125" t="n">
        <v>38</v>
      </c>
      <c r="Q528" s="125" t="n">
        <v>7.2</v>
      </c>
      <c r="R528" s="5" t="n">
        <v>9190</v>
      </c>
      <c r="S528" s="125" t="n">
        <v>900</v>
      </c>
      <c r="T528" s="5" t="n">
        <v>10600</v>
      </c>
      <c r="U528" s="5" t="n">
        <v>1410</v>
      </c>
      <c r="X528" s="129">
        <f t="array" ref="X528">_xlfn.IFS((D528/F528) &lt;= (640/SQRT($AT$32)), "Compact", L528 &lt;= ($AT$32*(0.79-(0.002*((E528-G528/2)/(2*F528))*SQRT($AT$32)))), "Non-Compact", L528 &gt; ($AT$32*(0.79-(0.002*((E528-G528/2)/(2*F528))*SQRT($AT$32)))), "Slender")</f>
        <v/>
      </c>
      <c r="Y528" s="129">
        <f t="array" ref="Y528">_xlfn.IFS(K528 &lt;= (65/SQRT($AT$32)), "Compact", K528 &lt;= (95/SQRT($AT$32)), "Non-Compact", K528 &gt; (95/SQRT($AT$32)), "Slender")</f>
        <v/>
      </c>
      <c r="Z528" s="125">
        <f>E528/F528</f>
        <v/>
      </c>
      <c r="AA528" s="125">
        <f>D528/G528</f>
        <v/>
      </c>
      <c r="AB528" s="125">
        <f t="array" ref="AB528">_xlfn.IFS(Z528 &lt;= 9, "1", Z528 &lt;= 12, "2", Z528 &lt;= 15, "3", Z528 &gt; 15, "4")</f>
        <v/>
      </c>
      <c r="AC528" s="125">
        <f t="array" ref="AC528">_xlfn.IFS(AA528 &lt;= 200, "1", L528 &lt;= 300, "2", L528 &lt;= 400, "3", L528 &gt; 400, "4")</f>
        <v/>
      </c>
      <c r="AF528" s="129">
        <f>SQRT((((VLOOKUP($AT$4,$A$4:$D$1021,4,FALSE))-D528)^2)+(((VLOOKUP($AT$4,$A$4:$E$1021,5,FALSE))-E528)^2)+(((VLOOKUP($AT$4,$A$4:$N$1021,14,FALSE))-N528)^2)+(((VLOOKUP($AT$4,$A$4:$O$1021,15,FALSE))-O528)^2))</f>
        <v/>
      </c>
      <c r="AG528" s="129" t="n"/>
      <c r="AI528" s="129">
        <f>SQRT((((VLOOKUP($AT$4,$A$4:$D$1021,4,FALSE))-D528)^2)+(((VLOOKUP($AT$4,$A$4:$E$1021,5,FALSE))-E528)^2)+(((VLOOKUP($AT$4,$A$4:$R$1021,18,FALSE))-R528)^2)+(((VLOOKUP($AT$4,$A$4:$S$1021,19,FALSE))-S528)^2))</f>
        <v/>
      </c>
      <c r="AJ528" s="125" t="inlineStr">
        <is>
          <t>HY950X237</t>
        </is>
      </c>
      <c r="AK528" s="125" t="n"/>
      <c r="AL528" s="125" t="n"/>
      <c r="AM528" s="125">
        <f>SQRT(((VLOOKUP($AT$4,$A$4:$J$1021,10,FALSE))-J528)^2)</f>
        <v/>
      </c>
      <c r="AN528" s="125" t="n"/>
      <c r="AO528" s="125" t="n"/>
      <c r="AP528" s="125">
        <f>SQRT(((VLOOKUP($AT$4,$A$4:$R$1021,18,FALSE))-R528)^2)</f>
        <v/>
      </c>
      <c r="AQ528" s="125" t="inlineStr">
        <is>
          <t>HY950X237</t>
        </is>
      </c>
      <c r="BB528" s="125">
        <f>SQRT(($J$1022-J528)^2)</f>
        <v/>
      </c>
      <c r="BC528" s="125">
        <f>SQRT(($R$1022-R528)^2)</f>
        <v/>
      </c>
      <c r="BD528" s="125" t="inlineStr">
        <is>
          <t>HY950X237</t>
        </is>
      </c>
      <c r="BI528">
        <f>SQRT(($J$1023-J528)^2)</f>
        <v/>
      </c>
      <c r="BJ528">
        <f>SQRT(($R$1023-R528)^2)</f>
        <v/>
      </c>
      <c r="BK528" s="125" t="inlineStr">
        <is>
          <t>HY950X237</t>
        </is>
      </c>
      <c r="BP528">
        <f>SQRT(($J$1024-J528)^2)</f>
        <v/>
      </c>
      <c r="BQ528">
        <f>SQRT(($R$1024-R528)^2)</f>
        <v/>
      </c>
      <c r="BR528" s="125" t="inlineStr">
        <is>
          <t>HY950X237</t>
        </is>
      </c>
      <c r="BW528">
        <f>SQRT(($J$1025-J528)^2)</f>
        <v/>
      </c>
      <c r="BX528">
        <f>SQRT(($R$1025-R528)^2)</f>
        <v/>
      </c>
      <c r="BY528" s="125" t="inlineStr">
        <is>
          <t>HY950X237</t>
        </is>
      </c>
      <c r="CD528">
        <f>SQRT(($J$1026-J528)^2)</f>
        <v/>
      </c>
      <c r="CE528">
        <f>SQRT(($R$1026-R528)^2)</f>
        <v/>
      </c>
      <c r="CF528" s="125" t="inlineStr">
        <is>
          <t>HY950X237</t>
        </is>
      </c>
    </row>
    <row r="529">
      <c r="A529" s="125" t="inlineStr">
        <is>
          <t>HY950X341</t>
        </is>
      </c>
      <c r="B529" s="129" t="inlineStr">
        <is>
          <t>HY</t>
        </is>
      </c>
      <c r="C529" s="125" t="n">
        <v>341</v>
      </c>
      <c r="D529" s="125" t="n">
        <v>950</v>
      </c>
      <c r="E529" s="125" t="n">
        <v>300</v>
      </c>
      <c r="F529" s="125" t="n">
        <v>40</v>
      </c>
      <c r="G529" s="125" t="n">
        <v>22</v>
      </c>
      <c r="H529" s="125" t="n">
        <v>18</v>
      </c>
      <c r="I529" s="125">
        <f>D529-(2*(H529+F529))</f>
        <v/>
      </c>
      <c r="J529" s="125">
        <f>(2*E529/10*F529/10)+((D529-F529-F529)/10*G529/10)+((H529/10+H529/10)^2)-(PI()*H529/10*H529/10)</f>
        <v/>
      </c>
      <c r="K529" s="125">
        <f>((E529-G529)/2)/F529</f>
        <v/>
      </c>
      <c r="L529" s="125">
        <f>I529/G529</f>
        <v/>
      </c>
      <c r="M529" s="125">
        <f>(E529*2+F529*4+((E529-G529)/2-H529)*4+2*PI()*H529+(D529-2*F529-2*H529)*2)/1000</f>
        <v/>
      </c>
      <c r="N529" s="5" t="n">
        <v>623000</v>
      </c>
      <c r="O529" s="5" t="n">
        <v>18100</v>
      </c>
      <c r="P529" s="125" t="n">
        <v>37.9</v>
      </c>
      <c r="Q529" s="125" t="n">
        <v>6.5</v>
      </c>
      <c r="R529" s="5" t="n">
        <v>13100</v>
      </c>
      <c r="S529" s="5" t="n">
        <v>1210</v>
      </c>
      <c r="T529" s="5" t="n">
        <v>15200</v>
      </c>
      <c r="U529" s="5" t="n">
        <v>1910</v>
      </c>
      <c r="X529" s="129">
        <f t="array" ref="X529">_xlfn.IFS((D529/F529) &lt;= (640/SQRT($AT$32)), "Compact", L529 &lt;= ($AT$32*(0.79-(0.002*((E529-G529/2)/(2*F529))*SQRT($AT$32)))), "Non-Compact", L529 &gt; ($AT$32*(0.79-(0.002*((E529-G529/2)/(2*F529))*SQRT($AT$32)))), "Slender")</f>
        <v/>
      </c>
      <c r="Y529" s="129">
        <f t="array" ref="Y529">_xlfn.IFS(K529 &lt;= (65/SQRT($AT$32)), "Compact", K529 &lt;= (95/SQRT($AT$32)), "Non-Compact", K529 &gt; (95/SQRT($AT$32)), "Slender")</f>
        <v/>
      </c>
      <c r="Z529" s="125">
        <f>E529/F529</f>
        <v/>
      </c>
      <c r="AA529" s="125">
        <f>D529/G529</f>
        <v/>
      </c>
      <c r="AB529" s="125">
        <f t="array" ref="AB529">_xlfn.IFS(Z529 &lt;= 9, "1", Z529 &lt;= 12, "2", Z529 &lt;= 15, "3", Z529 &gt; 15, "4")</f>
        <v/>
      </c>
      <c r="AC529" s="125">
        <f t="array" ref="AC529">_xlfn.IFS(AA529 &lt;= 200, "1", L529 &lt;= 300, "2", L529 &lt;= 400, "3", L529 &gt; 400, "4")</f>
        <v/>
      </c>
      <c r="AF529" s="129">
        <f>SQRT((((VLOOKUP($AT$4,$A$4:$D$1021,4,FALSE))-D529)^2)+(((VLOOKUP($AT$4,$A$4:$E$1021,5,FALSE))-E529)^2)+(((VLOOKUP($AT$4,$A$4:$N$1021,14,FALSE))-N529)^2)+(((VLOOKUP($AT$4,$A$4:$O$1021,15,FALSE))-O529)^2))</f>
        <v/>
      </c>
      <c r="AG529" s="129" t="n"/>
      <c r="AI529" s="129">
        <f>SQRT((((VLOOKUP($AT$4,$A$4:$D$1021,4,FALSE))-D529)^2)+(((VLOOKUP($AT$4,$A$4:$E$1021,5,FALSE))-E529)^2)+(((VLOOKUP($AT$4,$A$4:$R$1021,18,FALSE))-R529)^2)+(((VLOOKUP($AT$4,$A$4:$S$1021,19,FALSE))-S529)^2))</f>
        <v/>
      </c>
      <c r="AJ529" s="125" t="inlineStr">
        <is>
          <t>HY950X341</t>
        </is>
      </c>
      <c r="AK529" s="125" t="n"/>
      <c r="AL529" s="125" t="n"/>
      <c r="AM529" s="125">
        <f>SQRT(((VLOOKUP($AT$4,$A$4:$J$1021,10,FALSE))-J529)^2)</f>
        <v/>
      </c>
      <c r="AN529" s="125" t="n"/>
      <c r="AO529" s="125" t="n"/>
      <c r="AP529" s="125">
        <f>SQRT(((VLOOKUP($AT$4,$A$4:$R$1021,18,FALSE))-R529)^2)</f>
        <v/>
      </c>
      <c r="AQ529" s="125" t="inlineStr">
        <is>
          <t>HY950X341</t>
        </is>
      </c>
      <c r="BB529" s="125">
        <f>SQRT(($J$1022-J529)^2)</f>
        <v/>
      </c>
      <c r="BC529" s="125">
        <f>SQRT(($R$1022-R529)^2)</f>
        <v/>
      </c>
      <c r="BD529" s="125" t="inlineStr">
        <is>
          <t>HY950X341</t>
        </is>
      </c>
      <c r="BI529">
        <f>SQRT(($J$1023-J529)^2)</f>
        <v/>
      </c>
      <c r="BJ529">
        <f>SQRT(($R$1023-R529)^2)</f>
        <v/>
      </c>
      <c r="BK529" s="125" t="inlineStr">
        <is>
          <t>HY950X341</t>
        </is>
      </c>
      <c r="BP529">
        <f>SQRT(($J$1024-J529)^2)</f>
        <v/>
      </c>
      <c r="BQ529">
        <f>SQRT(($R$1024-R529)^2)</f>
        <v/>
      </c>
      <c r="BR529" s="125" t="inlineStr">
        <is>
          <t>HY950X341</t>
        </is>
      </c>
      <c r="BW529">
        <f>SQRT(($J$1025-J529)^2)</f>
        <v/>
      </c>
      <c r="BX529">
        <f>SQRT(($R$1025-R529)^2)</f>
        <v/>
      </c>
      <c r="BY529" s="125" t="inlineStr">
        <is>
          <t>HY950X341</t>
        </is>
      </c>
      <c r="CD529">
        <f>SQRT(($J$1026-J529)^2)</f>
        <v/>
      </c>
      <c r="CE529">
        <f>SQRT(($R$1026-R529)^2)</f>
        <v/>
      </c>
      <c r="CF529" s="125" t="inlineStr">
        <is>
          <t>HY950X341</t>
        </is>
      </c>
    </row>
    <row r="530">
      <c r="A530" s="125" t="inlineStr">
        <is>
          <t>HY950X323</t>
        </is>
      </c>
      <c r="B530" s="129" t="inlineStr">
        <is>
          <t>HY</t>
        </is>
      </c>
      <c r="C530" s="125" t="n">
        <v>323</v>
      </c>
      <c r="D530" s="125" t="n">
        <v>950</v>
      </c>
      <c r="E530" s="125" t="n">
        <v>300</v>
      </c>
      <c r="F530" s="125" t="n">
        <v>36</v>
      </c>
      <c r="G530" s="125" t="n">
        <v>22</v>
      </c>
      <c r="H530" s="125" t="n">
        <v>18</v>
      </c>
      <c r="I530" s="125">
        <f>D530-(2*(H530+F530))</f>
        <v/>
      </c>
      <c r="J530" s="125">
        <f>(2*E530/10*F530/10)+((D530-F530-F530)/10*G530/10)+((H530/10+H530/10)^2)-(PI()*H530/10*H530/10)</f>
        <v/>
      </c>
      <c r="K530" s="125">
        <f>((E530-G530)/2)/F530</f>
        <v/>
      </c>
      <c r="L530" s="125">
        <f>I530/G530</f>
        <v/>
      </c>
      <c r="M530" s="125">
        <f>(E530*2+F530*4+((E530-G530)/2-H530)*4+2*PI()*H530+(D530-2*F530-2*H530)*2)/1000</f>
        <v/>
      </c>
      <c r="N530" s="5" t="n">
        <v>581000</v>
      </c>
      <c r="O530" s="5" t="n">
        <v>16300</v>
      </c>
      <c r="P530" s="125" t="n">
        <v>37.5</v>
      </c>
      <c r="Q530" s="125" t="n">
        <v>6.3</v>
      </c>
      <c r="R530" s="5" t="n">
        <v>12200</v>
      </c>
      <c r="S530" s="5" t="n">
        <v>1090</v>
      </c>
      <c r="T530" s="5" t="n">
        <v>14200</v>
      </c>
      <c r="U530" s="5" t="n">
        <v>1730</v>
      </c>
      <c r="X530" s="129">
        <f t="array" ref="X530">_xlfn.IFS((D530/F530) &lt;= (640/SQRT($AT$32)), "Compact", L530 &lt;= ($AT$32*(0.79-(0.002*((E530-G530/2)/(2*F530))*SQRT($AT$32)))), "Non-Compact", L530 &gt; ($AT$32*(0.79-(0.002*((E530-G530/2)/(2*F530))*SQRT($AT$32)))), "Slender")</f>
        <v/>
      </c>
      <c r="Y530" s="129">
        <f t="array" ref="Y530">_xlfn.IFS(K530 &lt;= (65/SQRT($AT$32)), "Compact", K530 &lt;= (95/SQRT($AT$32)), "Non-Compact", K530 &gt; (95/SQRT($AT$32)), "Slender")</f>
        <v/>
      </c>
      <c r="Z530" s="125">
        <f>E530/F530</f>
        <v/>
      </c>
      <c r="AA530" s="125">
        <f>D530/G530</f>
        <v/>
      </c>
      <c r="AB530" s="125">
        <f t="array" ref="AB530">_xlfn.IFS(Z530 &lt;= 9, "1", Z530 &lt;= 12, "2", Z530 &lt;= 15, "3", Z530 &gt; 15, "4")</f>
        <v/>
      </c>
      <c r="AC530" s="125">
        <f t="array" ref="AC530">_xlfn.IFS(AA530 &lt;= 200, "1", L530 &lt;= 300, "2", L530 &lt;= 400, "3", L530 &gt; 400, "4")</f>
        <v/>
      </c>
      <c r="AF530" s="129">
        <f>SQRT((((VLOOKUP($AT$4,$A$4:$D$1021,4,FALSE))-D530)^2)+(((VLOOKUP($AT$4,$A$4:$E$1021,5,FALSE))-E530)^2)+(((VLOOKUP($AT$4,$A$4:$N$1021,14,FALSE))-N530)^2)+(((VLOOKUP($AT$4,$A$4:$O$1021,15,FALSE))-O530)^2))</f>
        <v/>
      </c>
      <c r="AG530" s="129" t="n"/>
      <c r="AI530" s="129">
        <f>SQRT((((VLOOKUP($AT$4,$A$4:$D$1021,4,FALSE))-D530)^2)+(((VLOOKUP($AT$4,$A$4:$E$1021,5,FALSE))-E530)^2)+(((VLOOKUP($AT$4,$A$4:$R$1021,18,FALSE))-R530)^2)+(((VLOOKUP($AT$4,$A$4:$S$1021,19,FALSE))-S530)^2))</f>
        <v/>
      </c>
      <c r="AJ530" s="125" t="inlineStr">
        <is>
          <t>HY950X323</t>
        </is>
      </c>
      <c r="AK530" s="125" t="n"/>
      <c r="AL530" s="125" t="n"/>
      <c r="AM530" s="125">
        <f>SQRT(((VLOOKUP($AT$4,$A$4:$J$1021,10,FALSE))-J530)^2)</f>
        <v/>
      </c>
      <c r="AN530" s="125" t="n"/>
      <c r="AO530" s="125" t="n"/>
      <c r="AP530" s="125">
        <f>SQRT(((VLOOKUP($AT$4,$A$4:$R$1021,18,FALSE))-R530)^2)</f>
        <v/>
      </c>
      <c r="AQ530" s="125" t="inlineStr">
        <is>
          <t>HY950X323</t>
        </is>
      </c>
      <c r="BB530" s="125">
        <f>SQRT(($J$1022-J530)^2)</f>
        <v/>
      </c>
      <c r="BC530" s="125">
        <f>SQRT(($R$1022-R530)^2)</f>
        <v/>
      </c>
      <c r="BD530" s="125" t="inlineStr">
        <is>
          <t>HY950X323</t>
        </is>
      </c>
      <c r="BI530">
        <f>SQRT(($J$1023-J530)^2)</f>
        <v/>
      </c>
      <c r="BJ530">
        <f>SQRT(($R$1023-R530)^2)</f>
        <v/>
      </c>
      <c r="BK530" s="125" t="inlineStr">
        <is>
          <t>HY950X323</t>
        </is>
      </c>
      <c r="BP530">
        <f>SQRT(($J$1024-J530)^2)</f>
        <v/>
      </c>
      <c r="BQ530">
        <f>SQRT(($R$1024-R530)^2)</f>
        <v/>
      </c>
      <c r="BR530" s="125" t="inlineStr">
        <is>
          <t>HY950X323</t>
        </is>
      </c>
      <c r="BW530">
        <f>SQRT(($J$1025-J530)^2)</f>
        <v/>
      </c>
      <c r="BX530">
        <f>SQRT(($R$1025-R530)^2)</f>
        <v/>
      </c>
      <c r="BY530" s="125" t="inlineStr">
        <is>
          <t>HY950X323</t>
        </is>
      </c>
      <c r="CD530">
        <f>SQRT(($J$1026-J530)^2)</f>
        <v/>
      </c>
      <c r="CE530">
        <f>SQRT(($R$1026-R530)^2)</f>
        <v/>
      </c>
      <c r="CF530" s="125" t="inlineStr">
        <is>
          <t>HY950X323</t>
        </is>
      </c>
    </row>
    <row r="531">
      <c r="A531" s="125" t="inlineStr">
        <is>
          <t>HY950X306</t>
        </is>
      </c>
      <c r="B531" s="129" t="inlineStr">
        <is>
          <t>HY</t>
        </is>
      </c>
      <c r="C531" s="125" t="n">
        <v>306</v>
      </c>
      <c r="D531" s="125" t="n">
        <v>950</v>
      </c>
      <c r="E531" s="125" t="n">
        <v>300</v>
      </c>
      <c r="F531" s="125" t="n">
        <v>32</v>
      </c>
      <c r="G531" s="125" t="n">
        <v>22</v>
      </c>
      <c r="H531" s="125" t="n">
        <v>18</v>
      </c>
      <c r="I531" s="125">
        <f>D531-(2*(H531+F531))</f>
        <v/>
      </c>
      <c r="J531" s="125">
        <f>(2*E531/10*F531/10)+((D531-F531-F531)/10*G531/10)+((H531/10+H531/10)^2)-(PI()*H531/10*H531/10)</f>
        <v/>
      </c>
      <c r="K531" s="125">
        <f>((E531-G531)/2)/F531</f>
        <v/>
      </c>
      <c r="L531" s="125">
        <f>I531/G531</f>
        <v/>
      </c>
      <c r="M531" s="125">
        <f>(E531*2+F531*4+((E531-G531)/2-H531)*4+2*PI()*H531+(D531-2*F531-2*H531)*2)/1000</f>
        <v/>
      </c>
      <c r="N531" s="5" t="n">
        <v>538000</v>
      </c>
      <c r="O531" s="5" t="n">
        <v>14500</v>
      </c>
      <c r="P531" s="125" t="n">
        <v>37.1</v>
      </c>
      <c r="Q531" s="125" t="n">
        <v>6.1</v>
      </c>
      <c r="R531" s="5" t="n">
        <v>11300</v>
      </c>
      <c r="S531" s="125" t="n">
        <v>966</v>
      </c>
      <c r="T531" s="5" t="n">
        <v>13300</v>
      </c>
      <c r="U531" s="5" t="n">
        <v>1550</v>
      </c>
      <c r="X531" s="129">
        <f t="array" ref="X531">_xlfn.IFS((D531/F531) &lt;= (640/SQRT($AT$32)), "Compact", L531 &lt;= ($AT$32*(0.79-(0.002*((E531-G531/2)/(2*F531))*SQRT($AT$32)))), "Non-Compact", L531 &gt; ($AT$32*(0.79-(0.002*((E531-G531/2)/(2*F531))*SQRT($AT$32)))), "Slender")</f>
        <v/>
      </c>
      <c r="Y531" s="129">
        <f t="array" ref="Y531">_xlfn.IFS(K531 &lt;= (65/SQRT($AT$32)), "Compact", K531 &lt;= (95/SQRT($AT$32)), "Non-Compact", K531 &gt; (95/SQRT($AT$32)), "Slender")</f>
        <v/>
      </c>
      <c r="Z531" s="125">
        <f>E531/F531</f>
        <v/>
      </c>
      <c r="AA531" s="125">
        <f>D531/G531</f>
        <v/>
      </c>
      <c r="AB531" s="125">
        <f t="array" ref="AB531">_xlfn.IFS(Z531 &lt;= 9, "1", Z531 &lt;= 12, "2", Z531 &lt;= 15, "3", Z531 &gt; 15, "4")</f>
        <v/>
      </c>
      <c r="AC531" s="125">
        <f t="array" ref="AC531">_xlfn.IFS(AA531 &lt;= 200, "1", L531 &lt;= 300, "2", L531 &lt;= 400, "3", L531 &gt; 400, "4")</f>
        <v/>
      </c>
      <c r="AF531" s="129">
        <f>SQRT((((VLOOKUP($AT$4,$A$4:$D$1021,4,FALSE))-D531)^2)+(((VLOOKUP($AT$4,$A$4:$E$1021,5,FALSE))-E531)^2)+(((VLOOKUP($AT$4,$A$4:$N$1021,14,FALSE))-N531)^2)+(((VLOOKUP($AT$4,$A$4:$O$1021,15,FALSE))-O531)^2))</f>
        <v/>
      </c>
      <c r="AG531" s="129" t="n"/>
      <c r="AI531" s="129">
        <f>SQRT((((VLOOKUP($AT$4,$A$4:$D$1021,4,FALSE))-D531)^2)+(((VLOOKUP($AT$4,$A$4:$E$1021,5,FALSE))-E531)^2)+(((VLOOKUP($AT$4,$A$4:$R$1021,18,FALSE))-R531)^2)+(((VLOOKUP($AT$4,$A$4:$S$1021,19,FALSE))-S531)^2))</f>
        <v/>
      </c>
      <c r="AJ531" s="125" t="inlineStr">
        <is>
          <t>HY950X306</t>
        </is>
      </c>
      <c r="AK531" s="125" t="n"/>
      <c r="AL531" s="125" t="n"/>
      <c r="AM531" s="125">
        <f>SQRT(((VLOOKUP($AT$4,$A$4:$J$1021,10,FALSE))-J531)^2)</f>
        <v/>
      </c>
      <c r="AN531" s="125" t="n"/>
      <c r="AO531" s="125" t="n"/>
      <c r="AP531" s="125">
        <f>SQRT(((VLOOKUP($AT$4,$A$4:$R$1021,18,FALSE))-R531)^2)</f>
        <v/>
      </c>
      <c r="AQ531" s="125" t="inlineStr">
        <is>
          <t>HY950X306</t>
        </is>
      </c>
      <c r="BB531" s="125">
        <f>SQRT(($J$1022-J531)^2)</f>
        <v/>
      </c>
      <c r="BC531" s="125">
        <f>SQRT(($R$1022-R531)^2)</f>
        <v/>
      </c>
      <c r="BD531" s="125" t="inlineStr">
        <is>
          <t>HY950X306</t>
        </is>
      </c>
      <c r="BI531">
        <f>SQRT(($J$1023-J531)^2)</f>
        <v/>
      </c>
      <c r="BJ531">
        <f>SQRT(($R$1023-R531)^2)</f>
        <v/>
      </c>
      <c r="BK531" s="125" t="inlineStr">
        <is>
          <t>HY950X306</t>
        </is>
      </c>
      <c r="BP531">
        <f>SQRT(($J$1024-J531)^2)</f>
        <v/>
      </c>
      <c r="BQ531">
        <f>SQRT(($R$1024-R531)^2)</f>
        <v/>
      </c>
      <c r="BR531" s="125" t="inlineStr">
        <is>
          <t>HY950X306</t>
        </is>
      </c>
      <c r="BW531">
        <f>SQRT(($J$1025-J531)^2)</f>
        <v/>
      </c>
      <c r="BX531">
        <f>SQRT(($R$1025-R531)^2)</f>
        <v/>
      </c>
      <c r="BY531" s="125" t="inlineStr">
        <is>
          <t>HY950X306</t>
        </is>
      </c>
      <c r="CD531">
        <f>SQRT(($J$1026-J531)^2)</f>
        <v/>
      </c>
      <c r="CE531">
        <f>SQRT(($R$1026-R531)^2)</f>
        <v/>
      </c>
      <c r="CF531" s="125" t="inlineStr">
        <is>
          <t>HY950X306</t>
        </is>
      </c>
    </row>
    <row r="532">
      <c r="A532" s="125" t="inlineStr">
        <is>
          <t>HY950X288</t>
        </is>
      </c>
      <c r="B532" s="129" t="inlineStr">
        <is>
          <t>HY</t>
        </is>
      </c>
      <c r="C532" s="125" t="n">
        <v>288</v>
      </c>
      <c r="D532" s="125" t="n">
        <v>950</v>
      </c>
      <c r="E532" s="125" t="n">
        <v>300</v>
      </c>
      <c r="F532" s="125" t="n">
        <v>28</v>
      </c>
      <c r="G532" s="125" t="n">
        <v>22</v>
      </c>
      <c r="H532" s="125" t="n">
        <v>18</v>
      </c>
      <c r="I532" s="125">
        <f>D532-(2*(H532+F532))</f>
        <v/>
      </c>
      <c r="J532" s="125">
        <f>(2*E532/10*F532/10)+((D532-F532-F532)/10*G532/10)+((H532/10+H532/10)^2)-(PI()*H532/10*H532/10)</f>
        <v/>
      </c>
      <c r="K532" s="125">
        <f>((E532-G532)/2)/F532</f>
        <v/>
      </c>
      <c r="L532" s="125">
        <f>I532/G532</f>
        <v/>
      </c>
      <c r="M532" s="125">
        <f>(E532*2+F532*4+((E532-G532)/2-H532)*4+2*PI()*H532+(D532-2*F532-2*H532)*2)/1000</f>
        <v/>
      </c>
      <c r="N532" s="5" t="n">
        <v>494000</v>
      </c>
      <c r="O532" s="5" t="n">
        <v>12700</v>
      </c>
      <c r="P532" s="125" t="n">
        <v>36.7</v>
      </c>
      <c r="Q532" s="125" t="n">
        <v>5.9</v>
      </c>
      <c r="R532" s="5" t="n">
        <v>10400</v>
      </c>
      <c r="S532" s="125" t="n">
        <v>846</v>
      </c>
      <c r="T532" s="5" t="n">
        <v>12300</v>
      </c>
      <c r="U532" s="5" t="n">
        <v>1370</v>
      </c>
      <c r="X532" s="129">
        <f t="array" ref="X532">_xlfn.IFS((D532/F532) &lt;= (640/SQRT($AT$32)), "Compact", L532 &lt;= ($AT$32*(0.79-(0.002*((E532-G532/2)/(2*F532))*SQRT($AT$32)))), "Non-Compact", L532 &gt; ($AT$32*(0.79-(0.002*((E532-G532/2)/(2*F532))*SQRT($AT$32)))), "Slender")</f>
        <v/>
      </c>
      <c r="Y532" s="129">
        <f t="array" ref="Y532">_xlfn.IFS(K532 &lt;= (65/SQRT($AT$32)), "Compact", K532 &lt;= (95/SQRT($AT$32)), "Non-Compact", K532 &gt; (95/SQRT($AT$32)), "Slender")</f>
        <v/>
      </c>
      <c r="Z532" s="125">
        <f>E532/F532</f>
        <v/>
      </c>
      <c r="AA532" s="125">
        <f>D532/G532</f>
        <v/>
      </c>
      <c r="AB532" s="125">
        <f t="array" ref="AB532">_xlfn.IFS(Z532 &lt;= 9, "1", Z532 &lt;= 12, "2", Z532 &lt;= 15, "3", Z532 &gt; 15, "4")</f>
        <v/>
      </c>
      <c r="AC532" s="125">
        <f t="array" ref="AC532">_xlfn.IFS(AA532 &lt;= 200, "1", L532 &lt;= 300, "2", L532 &lt;= 400, "3", L532 &gt; 400, "4")</f>
        <v/>
      </c>
      <c r="AF532" s="129">
        <f>SQRT((((VLOOKUP($AT$4,$A$4:$D$1021,4,FALSE))-D532)^2)+(((VLOOKUP($AT$4,$A$4:$E$1021,5,FALSE))-E532)^2)+(((VLOOKUP($AT$4,$A$4:$N$1021,14,FALSE))-N532)^2)+(((VLOOKUP($AT$4,$A$4:$O$1021,15,FALSE))-O532)^2))</f>
        <v/>
      </c>
      <c r="AG532" s="129" t="n"/>
      <c r="AI532" s="129">
        <f>SQRT((((VLOOKUP($AT$4,$A$4:$D$1021,4,FALSE))-D532)^2)+(((VLOOKUP($AT$4,$A$4:$E$1021,5,FALSE))-E532)^2)+(((VLOOKUP($AT$4,$A$4:$R$1021,18,FALSE))-R532)^2)+(((VLOOKUP($AT$4,$A$4:$S$1021,19,FALSE))-S532)^2))</f>
        <v/>
      </c>
      <c r="AJ532" s="125" t="inlineStr">
        <is>
          <t>HY950X288</t>
        </is>
      </c>
      <c r="AK532" s="125" t="n"/>
      <c r="AL532" s="125" t="n"/>
      <c r="AM532" s="125">
        <f>SQRT(((VLOOKUP($AT$4,$A$4:$J$1021,10,FALSE))-J532)^2)</f>
        <v/>
      </c>
      <c r="AN532" s="125" t="n"/>
      <c r="AO532" s="125" t="n"/>
      <c r="AP532" s="125">
        <f>SQRT(((VLOOKUP($AT$4,$A$4:$R$1021,18,FALSE))-R532)^2)</f>
        <v/>
      </c>
      <c r="AQ532" s="125" t="inlineStr">
        <is>
          <t>HY950X288</t>
        </is>
      </c>
      <c r="BB532" s="125">
        <f>SQRT(($J$1022-J532)^2)</f>
        <v/>
      </c>
      <c r="BC532" s="125">
        <f>SQRT(($R$1022-R532)^2)</f>
        <v/>
      </c>
      <c r="BD532" s="125" t="inlineStr">
        <is>
          <t>HY950X288</t>
        </is>
      </c>
      <c r="BI532">
        <f>SQRT(($J$1023-J532)^2)</f>
        <v/>
      </c>
      <c r="BJ532">
        <f>SQRT(($R$1023-R532)^2)</f>
        <v/>
      </c>
      <c r="BK532" s="125" t="inlineStr">
        <is>
          <t>HY950X288</t>
        </is>
      </c>
      <c r="BP532">
        <f>SQRT(($J$1024-J532)^2)</f>
        <v/>
      </c>
      <c r="BQ532">
        <f>SQRT(($R$1024-R532)^2)</f>
        <v/>
      </c>
      <c r="BR532" s="125" t="inlineStr">
        <is>
          <t>HY950X288</t>
        </is>
      </c>
      <c r="BW532">
        <f>SQRT(($J$1025-J532)^2)</f>
        <v/>
      </c>
      <c r="BX532">
        <f>SQRT(($R$1025-R532)^2)</f>
        <v/>
      </c>
      <c r="BY532" s="125" t="inlineStr">
        <is>
          <t>HY950X288</t>
        </is>
      </c>
      <c r="CD532">
        <f>SQRT(($J$1026-J532)^2)</f>
        <v/>
      </c>
      <c r="CE532">
        <f>SQRT(($R$1026-R532)^2)</f>
        <v/>
      </c>
      <c r="CF532" s="125" t="inlineStr">
        <is>
          <t>HY950X288</t>
        </is>
      </c>
    </row>
    <row r="533">
      <c r="A533" s="125" t="inlineStr">
        <is>
          <t>HY950X320</t>
        </is>
      </c>
      <c r="B533" s="129" t="inlineStr">
        <is>
          <t>HY</t>
        </is>
      </c>
      <c r="C533" s="125" t="n">
        <v>320</v>
      </c>
      <c r="D533" s="125" t="n">
        <v>950</v>
      </c>
      <c r="E533" s="125" t="n">
        <v>300</v>
      </c>
      <c r="F533" s="125" t="n">
        <v>40</v>
      </c>
      <c r="G533" s="125" t="n">
        <v>19</v>
      </c>
      <c r="H533" s="125" t="n">
        <v>18</v>
      </c>
      <c r="I533" s="125">
        <f>D533-(2*(H533+F533))</f>
        <v/>
      </c>
      <c r="J533" s="125">
        <f>(2*E533/10*F533/10)+((D533-F533-F533)/10*G533/10)+((H533/10+H533/10)^2)-(PI()*H533/10*H533/10)</f>
        <v/>
      </c>
      <c r="K533" s="125">
        <f>((E533-G533)/2)/F533</f>
        <v/>
      </c>
      <c r="L533" s="125">
        <f>I533/G533</f>
        <v/>
      </c>
      <c r="M533" s="125">
        <f>(E533*2+F533*4+((E533-G533)/2-H533)*4+2*PI()*H533+(D533-2*F533-2*H533)*2)/1000</f>
        <v/>
      </c>
      <c r="N533" s="5" t="n">
        <v>607000</v>
      </c>
      <c r="O533" s="5" t="n">
        <v>18100</v>
      </c>
      <c r="P533" s="125" t="n">
        <v>38.6</v>
      </c>
      <c r="Q533" s="125" t="n">
        <v>6.7</v>
      </c>
      <c r="R533" s="5" t="n">
        <v>12800</v>
      </c>
      <c r="S533" s="5" t="n">
        <v>1200</v>
      </c>
      <c r="T533" s="5" t="n">
        <v>14600</v>
      </c>
      <c r="U533" s="5" t="n">
        <v>1880</v>
      </c>
      <c r="X533" s="129">
        <f t="array" ref="X533">_xlfn.IFS((D533/F533) &lt;= (640/SQRT($AT$32)), "Compact", L533 &lt;= ($AT$32*(0.79-(0.002*((E533-G533/2)/(2*F533))*SQRT($AT$32)))), "Non-Compact", L533 &gt; ($AT$32*(0.79-(0.002*((E533-G533/2)/(2*F533))*SQRT($AT$32)))), "Slender")</f>
        <v/>
      </c>
      <c r="Y533" s="129">
        <f t="array" ref="Y533">_xlfn.IFS(K533 &lt;= (65/SQRT($AT$32)), "Compact", K533 &lt;= (95/SQRT($AT$32)), "Non-Compact", K533 &gt; (95/SQRT($AT$32)), "Slender")</f>
        <v/>
      </c>
      <c r="Z533" s="125">
        <f>E533/F533</f>
        <v/>
      </c>
      <c r="AA533" s="125">
        <f>D533/G533</f>
        <v/>
      </c>
      <c r="AB533" s="125">
        <f t="array" ref="AB533">_xlfn.IFS(Z533 &lt;= 9, "1", Z533 &lt;= 12, "2", Z533 &lt;= 15, "3", Z533 &gt; 15, "4")</f>
        <v/>
      </c>
      <c r="AC533" s="125">
        <f t="array" ref="AC533">_xlfn.IFS(AA533 &lt;= 200, "1", L533 &lt;= 300, "2", L533 &lt;= 400, "3", L533 &gt; 400, "4")</f>
        <v/>
      </c>
      <c r="AF533" s="129">
        <f>SQRT((((VLOOKUP($AT$4,$A$4:$D$1021,4,FALSE))-D533)^2)+(((VLOOKUP($AT$4,$A$4:$E$1021,5,FALSE))-E533)^2)+(((VLOOKUP($AT$4,$A$4:$N$1021,14,FALSE))-N533)^2)+(((VLOOKUP($AT$4,$A$4:$O$1021,15,FALSE))-O533)^2))</f>
        <v/>
      </c>
      <c r="AG533" s="129" t="n"/>
      <c r="AI533" s="129">
        <f>SQRT((((VLOOKUP($AT$4,$A$4:$D$1021,4,FALSE))-D533)^2)+(((VLOOKUP($AT$4,$A$4:$E$1021,5,FALSE))-E533)^2)+(((VLOOKUP($AT$4,$A$4:$R$1021,18,FALSE))-R533)^2)+(((VLOOKUP($AT$4,$A$4:$S$1021,19,FALSE))-S533)^2))</f>
        <v/>
      </c>
      <c r="AJ533" s="125" t="inlineStr">
        <is>
          <t>HY950X320</t>
        </is>
      </c>
      <c r="AK533" s="125" t="n"/>
      <c r="AL533" s="125" t="n"/>
      <c r="AM533" s="125">
        <f>SQRT(((VLOOKUP($AT$4,$A$4:$J$1021,10,FALSE))-J533)^2)</f>
        <v/>
      </c>
      <c r="AN533" s="125" t="n"/>
      <c r="AO533" s="125" t="n"/>
      <c r="AP533" s="125">
        <f>SQRT(((VLOOKUP($AT$4,$A$4:$R$1021,18,FALSE))-R533)^2)</f>
        <v/>
      </c>
      <c r="AQ533" s="125" t="inlineStr">
        <is>
          <t>HY950X320</t>
        </is>
      </c>
      <c r="BB533" s="125">
        <f>SQRT(($J$1022-J533)^2)</f>
        <v/>
      </c>
      <c r="BC533" s="125">
        <f>SQRT(($R$1022-R533)^2)</f>
        <v/>
      </c>
      <c r="BD533" s="125" t="inlineStr">
        <is>
          <t>HY950X320</t>
        </is>
      </c>
      <c r="BI533">
        <f>SQRT(($J$1023-J533)^2)</f>
        <v/>
      </c>
      <c r="BJ533">
        <f>SQRT(($R$1023-R533)^2)</f>
        <v/>
      </c>
      <c r="BK533" s="125" t="inlineStr">
        <is>
          <t>HY950X320</t>
        </is>
      </c>
      <c r="BP533">
        <f>SQRT(($J$1024-J533)^2)</f>
        <v/>
      </c>
      <c r="BQ533">
        <f>SQRT(($R$1024-R533)^2)</f>
        <v/>
      </c>
      <c r="BR533" s="125" t="inlineStr">
        <is>
          <t>HY950X320</t>
        </is>
      </c>
      <c r="BW533">
        <f>SQRT(($J$1025-J533)^2)</f>
        <v/>
      </c>
      <c r="BX533">
        <f>SQRT(($R$1025-R533)^2)</f>
        <v/>
      </c>
      <c r="BY533" s="125" t="inlineStr">
        <is>
          <t>HY950X320</t>
        </is>
      </c>
      <c r="CD533">
        <f>SQRT(($J$1026-J533)^2)</f>
        <v/>
      </c>
      <c r="CE533">
        <f>SQRT(($R$1026-R533)^2)</f>
        <v/>
      </c>
      <c r="CF533" s="125" t="inlineStr">
        <is>
          <t>HY950X320</t>
        </is>
      </c>
    </row>
    <row r="534">
      <c r="A534" s="125" t="inlineStr">
        <is>
          <t>HY950X303</t>
        </is>
      </c>
      <c r="B534" s="129" t="inlineStr">
        <is>
          <t>HY</t>
        </is>
      </c>
      <c r="C534" s="125" t="n">
        <v>303</v>
      </c>
      <c r="D534" s="125" t="n">
        <v>950</v>
      </c>
      <c r="E534" s="125" t="n">
        <v>300</v>
      </c>
      <c r="F534" s="125" t="n">
        <v>36</v>
      </c>
      <c r="G534" s="125" t="n">
        <v>19</v>
      </c>
      <c r="H534" s="125" t="n">
        <v>18</v>
      </c>
      <c r="I534" s="125">
        <f>D534-(2*(H534+F534))</f>
        <v/>
      </c>
      <c r="J534" s="125">
        <f>(2*E534/10*F534/10)+((D534-F534-F534)/10*G534/10)+((H534/10+H534/10)^2)-(PI()*H534/10*H534/10)</f>
        <v/>
      </c>
      <c r="K534" s="125">
        <f>((E534-G534)/2)/F534</f>
        <v/>
      </c>
      <c r="L534" s="125">
        <f>I534/G534</f>
        <v/>
      </c>
      <c r="M534" s="125">
        <f>(E534*2+F534*4+((E534-G534)/2-H534)*4+2*PI()*H534+(D534-2*F534-2*H534)*2)/1000</f>
        <v/>
      </c>
      <c r="N534" s="5" t="n">
        <v>564000</v>
      </c>
      <c r="O534" s="5" t="n">
        <v>16300</v>
      </c>
      <c r="P534" s="125" t="n">
        <v>38.2</v>
      </c>
      <c r="Q534" s="125" t="n">
        <v>6.5</v>
      </c>
      <c r="R534" s="5" t="n">
        <v>11900</v>
      </c>
      <c r="S534" s="5" t="n">
        <v>1080</v>
      </c>
      <c r="T534" s="5" t="n">
        <v>13700</v>
      </c>
      <c r="U534" s="5" t="n">
        <v>1700</v>
      </c>
      <c r="X534" s="129">
        <f t="array" ref="X534">_xlfn.IFS((D534/F534) &lt;= (640/SQRT($AT$32)), "Compact", L534 &lt;= ($AT$32*(0.79-(0.002*((E534-G534/2)/(2*F534))*SQRT($AT$32)))), "Non-Compact", L534 &gt; ($AT$32*(0.79-(0.002*((E534-G534/2)/(2*F534))*SQRT($AT$32)))), "Slender")</f>
        <v/>
      </c>
      <c r="Y534" s="129">
        <f t="array" ref="Y534">_xlfn.IFS(K534 &lt;= (65/SQRT($AT$32)), "Compact", K534 &lt;= (95/SQRT($AT$32)), "Non-Compact", K534 &gt; (95/SQRT($AT$32)), "Slender")</f>
        <v/>
      </c>
      <c r="Z534" s="125">
        <f>E534/F534</f>
        <v/>
      </c>
      <c r="AA534" s="125">
        <f>D534/G534</f>
        <v/>
      </c>
      <c r="AB534" s="125">
        <f t="array" ref="AB534">_xlfn.IFS(Z534 &lt;= 9, "1", Z534 &lt;= 12, "2", Z534 &lt;= 15, "3", Z534 &gt; 15, "4")</f>
        <v/>
      </c>
      <c r="AC534" s="125">
        <f t="array" ref="AC534">_xlfn.IFS(AA534 &lt;= 200, "1", L534 &lt;= 300, "2", L534 &lt;= 400, "3", L534 &gt; 400, "4")</f>
        <v/>
      </c>
      <c r="AF534" s="129">
        <f>SQRT((((VLOOKUP($AT$4,$A$4:$D$1021,4,FALSE))-D534)^2)+(((VLOOKUP($AT$4,$A$4:$E$1021,5,FALSE))-E534)^2)+(((VLOOKUP($AT$4,$A$4:$N$1021,14,FALSE))-N534)^2)+(((VLOOKUP($AT$4,$A$4:$O$1021,15,FALSE))-O534)^2))</f>
        <v/>
      </c>
      <c r="AG534" s="129" t="n"/>
      <c r="AI534" s="129">
        <f>SQRT((((VLOOKUP($AT$4,$A$4:$D$1021,4,FALSE))-D534)^2)+(((VLOOKUP($AT$4,$A$4:$E$1021,5,FALSE))-E534)^2)+(((VLOOKUP($AT$4,$A$4:$R$1021,18,FALSE))-R534)^2)+(((VLOOKUP($AT$4,$A$4:$S$1021,19,FALSE))-S534)^2))</f>
        <v/>
      </c>
      <c r="AJ534" s="125" t="inlineStr">
        <is>
          <t>HY950X303</t>
        </is>
      </c>
      <c r="AK534" s="125" t="n"/>
      <c r="AL534" s="125" t="n"/>
      <c r="AM534" s="125">
        <f>SQRT(((VLOOKUP($AT$4,$A$4:$J$1021,10,FALSE))-J534)^2)</f>
        <v/>
      </c>
      <c r="AN534" s="125" t="n"/>
      <c r="AO534" s="125" t="n"/>
      <c r="AP534" s="125">
        <f>SQRT(((VLOOKUP($AT$4,$A$4:$R$1021,18,FALSE))-R534)^2)</f>
        <v/>
      </c>
      <c r="AQ534" s="125" t="inlineStr">
        <is>
          <t>HY950X303</t>
        </is>
      </c>
      <c r="BB534" s="125">
        <f>SQRT(($J$1022-J534)^2)</f>
        <v/>
      </c>
      <c r="BC534" s="125">
        <f>SQRT(($R$1022-R534)^2)</f>
        <v/>
      </c>
      <c r="BD534" s="125" t="inlineStr">
        <is>
          <t>HY950X303</t>
        </is>
      </c>
      <c r="BI534">
        <f>SQRT(($J$1023-J534)^2)</f>
        <v/>
      </c>
      <c r="BJ534">
        <f>SQRT(($R$1023-R534)^2)</f>
        <v/>
      </c>
      <c r="BK534" s="125" t="inlineStr">
        <is>
          <t>HY950X303</t>
        </is>
      </c>
      <c r="BP534">
        <f>SQRT(($J$1024-J534)^2)</f>
        <v/>
      </c>
      <c r="BQ534">
        <f>SQRT(($R$1024-R534)^2)</f>
        <v/>
      </c>
      <c r="BR534" s="125" t="inlineStr">
        <is>
          <t>HY950X303</t>
        </is>
      </c>
      <c r="BW534">
        <f>SQRT(($J$1025-J534)^2)</f>
        <v/>
      </c>
      <c r="BX534">
        <f>SQRT(($R$1025-R534)^2)</f>
        <v/>
      </c>
      <c r="BY534" s="125" t="inlineStr">
        <is>
          <t>HY950X303</t>
        </is>
      </c>
      <c r="CD534">
        <f>SQRT(($J$1026-J534)^2)</f>
        <v/>
      </c>
      <c r="CE534">
        <f>SQRT(($R$1026-R534)^2)</f>
        <v/>
      </c>
      <c r="CF534" s="125" t="inlineStr">
        <is>
          <t>HY950X303</t>
        </is>
      </c>
    </row>
    <row r="535">
      <c r="A535" s="125" t="inlineStr">
        <is>
          <t>HY950X285</t>
        </is>
      </c>
      <c r="B535" s="129" t="inlineStr">
        <is>
          <t>HY</t>
        </is>
      </c>
      <c r="C535" s="125" t="n">
        <v>285</v>
      </c>
      <c r="D535" s="125" t="n">
        <v>950</v>
      </c>
      <c r="E535" s="125" t="n">
        <v>300</v>
      </c>
      <c r="F535" s="125" t="n">
        <v>32</v>
      </c>
      <c r="G535" s="125" t="n">
        <v>19</v>
      </c>
      <c r="H535" s="125" t="n">
        <v>18</v>
      </c>
      <c r="I535" s="125">
        <f>D535-(2*(H535+F535))</f>
        <v/>
      </c>
      <c r="J535" s="125">
        <f>(2*E535/10*F535/10)+((D535-F535-F535)/10*G535/10)+((H535/10+H535/10)^2)-(PI()*H535/10*H535/10)</f>
        <v/>
      </c>
      <c r="K535" s="125">
        <f>((E535-G535)/2)/F535</f>
        <v/>
      </c>
      <c r="L535" s="125">
        <f>I535/G535</f>
        <v/>
      </c>
      <c r="M535" s="125">
        <f>(E535*2+F535*4+((E535-G535)/2-H535)*4+2*PI()*H535+(D535-2*F535-2*H535)*2)/1000</f>
        <v/>
      </c>
      <c r="N535" s="5" t="n">
        <v>520000</v>
      </c>
      <c r="O535" s="5" t="n">
        <v>14500</v>
      </c>
      <c r="P535" s="125" t="n">
        <v>37.8</v>
      </c>
      <c r="Q535" s="125" t="n">
        <v>6.3</v>
      </c>
      <c r="R535" s="5" t="n">
        <v>11000</v>
      </c>
      <c r="S535" s="125" t="n">
        <v>964</v>
      </c>
      <c r="T535" s="5" t="n">
        <v>12700</v>
      </c>
      <c r="U535" s="5" t="n">
        <v>1520</v>
      </c>
      <c r="X535" s="129">
        <f t="array" ref="X535">_xlfn.IFS((D535/F535) &lt;= (640/SQRT($AT$32)), "Compact", L535 &lt;= ($AT$32*(0.79-(0.002*((E535-G535/2)/(2*F535))*SQRT($AT$32)))), "Non-Compact", L535 &gt; ($AT$32*(0.79-(0.002*((E535-G535/2)/(2*F535))*SQRT($AT$32)))), "Slender")</f>
        <v/>
      </c>
      <c r="Y535" s="129">
        <f t="array" ref="Y535">_xlfn.IFS(K535 &lt;= (65/SQRT($AT$32)), "Compact", K535 &lt;= (95/SQRT($AT$32)), "Non-Compact", K535 &gt; (95/SQRT($AT$32)), "Slender")</f>
        <v/>
      </c>
      <c r="Z535" s="125">
        <f>E535/F535</f>
        <v/>
      </c>
      <c r="AA535" s="125">
        <f>D535/G535</f>
        <v/>
      </c>
      <c r="AB535" s="125">
        <f t="array" ref="AB535">_xlfn.IFS(Z535 &lt;= 9, "1", Z535 &lt;= 12, "2", Z535 &lt;= 15, "3", Z535 &gt; 15, "4")</f>
        <v/>
      </c>
      <c r="AC535" s="125">
        <f t="array" ref="AC535">_xlfn.IFS(AA535 &lt;= 200, "1", L535 &lt;= 300, "2", L535 &lt;= 400, "3", L535 &gt; 400, "4")</f>
        <v/>
      </c>
      <c r="AF535" s="129">
        <f>SQRT((((VLOOKUP($AT$4,$A$4:$D$1021,4,FALSE))-D535)^2)+(((VLOOKUP($AT$4,$A$4:$E$1021,5,FALSE))-E535)^2)+(((VLOOKUP($AT$4,$A$4:$N$1021,14,FALSE))-N535)^2)+(((VLOOKUP($AT$4,$A$4:$O$1021,15,FALSE))-O535)^2))</f>
        <v/>
      </c>
      <c r="AG535" s="129" t="n"/>
      <c r="AI535" s="129">
        <f>SQRT((((VLOOKUP($AT$4,$A$4:$D$1021,4,FALSE))-D535)^2)+(((VLOOKUP($AT$4,$A$4:$E$1021,5,FALSE))-E535)^2)+(((VLOOKUP($AT$4,$A$4:$R$1021,18,FALSE))-R535)^2)+(((VLOOKUP($AT$4,$A$4:$S$1021,19,FALSE))-S535)^2))</f>
        <v/>
      </c>
      <c r="AJ535" s="125" t="inlineStr">
        <is>
          <t>HY950X285</t>
        </is>
      </c>
      <c r="AK535" s="125" t="n"/>
      <c r="AL535" s="125" t="n"/>
      <c r="AM535" s="125">
        <f>SQRT(((VLOOKUP($AT$4,$A$4:$J$1021,10,FALSE))-J535)^2)</f>
        <v/>
      </c>
      <c r="AN535" s="125" t="n"/>
      <c r="AO535" s="125" t="n"/>
      <c r="AP535" s="125">
        <f>SQRT(((VLOOKUP($AT$4,$A$4:$R$1021,18,FALSE))-R535)^2)</f>
        <v/>
      </c>
      <c r="AQ535" s="125" t="inlineStr">
        <is>
          <t>HY950X285</t>
        </is>
      </c>
      <c r="BB535" s="125">
        <f>SQRT(($J$1022-J535)^2)</f>
        <v/>
      </c>
      <c r="BC535" s="125">
        <f>SQRT(($R$1022-R535)^2)</f>
        <v/>
      </c>
      <c r="BD535" s="125" t="inlineStr">
        <is>
          <t>HY950X285</t>
        </is>
      </c>
      <c r="BI535">
        <f>SQRT(($J$1023-J535)^2)</f>
        <v/>
      </c>
      <c r="BJ535">
        <f>SQRT(($R$1023-R535)^2)</f>
        <v/>
      </c>
      <c r="BK535" s="125" t="inlineStr">
        <is>
          <t>HY950X285</t>
        </is>
      </c>
      <c r="BP535">
        <f>SQRT(($J$1024-J535)^2)</f>
        <v/>
      </c>
      <c r="BQ535">
        <f>SQRT(($R$1024-R535)^2)</f>
        <v/>
      </c>
      <c r="BR535" s="125" t="inlineStr">
        <is>
          <t>HY950X285</t>
        </is>
      </c>
      <c r="BW535">
        <f>SQRT(($J$1025-J535)^2)</f>
        <v/>
      </c>
      <c r="BX535">
        <f>SQRT(($R$1025-R535)^2)</f>
        <v/>
      </c>
      <c r="BY535" s="125" t="inlineStr">
        <is>
          <t>HY950X285</t>
        </is>
      </c>
      <c r="CD535">
        <f>SQRT(($J$1026-J535)^2)</f>
        <v/>
      </c>
      <c r="CE535">
        <f>SQRT(($R$1026-R535)^2)</f>
        <v/>
      </c>
      <c r="CF535" s="125" t="inlineStr">
        <is>
          <t>HY950X285</t>
        </is>
      </c>
    </row>
    <row r="536">
      <c r="A536" s="125" t="inlineStr">
        <is>
          <t>HY950X267</t>
        </is>
      </c>
      <c r="B536" s="129" t="inlineStr">
        <is>
          <t>HY</t>
        </is>
      </c>
      <c r="C536" s="125" t="n">
        <v>267</v>
      </c>
      <c r="D536" s="125" t="n">
        <v>950</v>
      </c>
      <c r="E536" s="125" t="n">
        <v>300</v>
      </c>
      <c r="F536" s="125" t="n">
        <v>28</v>
      </c>
      <c r="G536" s="125" t="n">
        <v>19</v>
      </c>
      <c r="H536" s="125" t="n">
        <v>18</v>
      </c>
      <c r="I536" s="125">
        <f>D536-(2*(H536+F536))</f>
        <v/>
      </c>
      <c r="J536" s="125">
        <f>(2*E536/10*F536/10)+((D536-F536-F536)/10*G536/10)+((H536/10+H536/10)^2)-(PI()*H536/10*H536/10)</f>
        <v/>
      </c>
      <c r="K536" s="125">
        <f>((E536-G536)/2)/F536</f>
        <v/>
      </c>
      <c r="L536" s="125">
        <f>I536/G536</f>
        <v/>
      </c>
      <c r="M536" s="125">
        <f>(E536*2+F536*4+((E536-G536)/2-H536)*4+2*PI()*H536+(D536-2*F536-2*H536)*2)/1000</f>
        <v/>
      </c>
      <c r="N536" s="5" t="n">
        <v>476000</v>
      </c>
      <c r="O536" s="5" t="n">
        <v>12700</v>
      </c>
      <c r="P536" s="125" t="n">
        <v>37.4</v>
      </c>
      <c r="Q536" s="125" t="n">
        <v>6.1</v>
      </c>
      <c r="R536" s="5" t="n">
        <v>10000</v>
      </c>
      <c r="S536" s="125" t="n">
        <v>844</v>
      </c>
      <c r="T536" s="5" t="n">
        <v>11700</v>
      </c>
      <c r="U536" s="5" t="n">
        <v>1340</v>
      </c>
      <c r="X536" s="129">
        <f t="array" ref="X536">_xlfn.IFS((D536/F536) &lt;= (640/SQRT($AT$32)), "Compact", L536 &lt;= ($AT$32*(0.79-(0.002*((E536-G536/2)/(2*F536))*SQRT($AT$32)))), "Non-Compact", L536 &gt; ($AT$32*(0.79-(0.002*((E536-G536/2)/(2*F536))*SQRT($AT$32)))), "Slender")</f>
        <v/>
      </c>
      <c r="Y536" s="129">
        <f t="array" ref="Y536">_xlfn.IFS(K536 &lt;= (65/SQRT($AT$32)), "Compact", K536 &lt;= (95/SQRT($AT$32)), "Non-Compact", K536 &gt; (95/SQRT($AT$32)), "Slender")</f>
        <v/>
      </c>
      <c r="Z536" s="125">
        <f>E536/F536</f>
        <v/>
      </c>
      <c r="AA536" s="125">
        <f>D536/G536</f>
        <v/>
      </c>
      <c r="AB536" s="125">
        <f t="array" ref="AB536">_xlfn.IFS(Z536 &lt;= 9, "1", Z536 &lt;= 12, "2", Z536 &lt;= 15, "3", Z536 &gt; 15, "4")</f>
        <v/>
      </c>
      <c r="AC536" s="125">
        <f t="array" ref="AC536">_xlfn.IFS(AA536 &lt;= 200, "1", L536 &lt;= 300, "2", L536 &lt;= 400, "3", L536 &gt; 400, "4")</f>
        <v/>
      </c>
      <c r="AF536" s="129">
        <f>SQRT((((VLOOKUP($AT$4,$A$4:$D$1021,4,FALSE))-D536)^2)+(((VLOOKUP($AT$4,$A$4:$E$1021,5,FALSE))-E536)^2)+(((VLOOKUP($AT$4,$A$4:$N$1021,14,FALSE))-N536)^2)+(((VLOOKUP($AT$4,$A$4:$O$1021,15,FALSE))-O536)^2))</f>
        <v/>
      </c>
      <c r="AG536" s="129" t="n"/>
      <c r="AI536" s="129">
        <f>SQRT((((VLOOKUP($AT$4,$A$4:$D$1021,4,FALSE))-D536)^2)+(((VLOOKUP($AT$4,$A$4:$E$1021,5,FALSE))-E536)^2)+(((VLOOKUP($AT$4,$A$4:$R$1021,18,FALSE))-R536)^2)+(((VLOOKUP($AT$4,$A$4:$S$1021,19,FALSE))-S536)^2))</f>
        <v/>
      </c>
      <c r="AJ536" s="125" t="inlineStr">
        <is>
          <t>HY950X267</t>
        </is>
      </c>
      <c r="AK536" s="125" t="n"/>
      <c r="AL536" s="125" t="n"/>
      <c r="AM536" s="125">
        <f>SQRT(((VLOOKUP($AT$4,$A$4:$J$1021,10,FALSE))-J536)^2)</f>
        <v/>
      </c>
      <c r="AN536" s="125" t="n"/>
      <c r="AO536" s="125" t="n"/>
      <c r="AP536" s="125">
        <f>SQRT(((VLOOKUP($AT$4,$A$4:$R$1021,18,FALSE))-R536)^2)</f>
        <v/>
      </c>
      <c r="AQ536" s="125" t="inlineStr">
        <is>
          <t>HY950X267</t>
        </is>
      </c>
      <c r="BB536" s="125">
        <f>SQRT(($J$1022-J536)^2)</f>
        <v/>
      </c>
      <c r="BC536" s="125">
        <f>SQRT(($R$1022-R536)^2)</f>
        <v/>
      </c>
      <c r="BD536" s="125" t="inlineStr">
        <is>
          <t>HY950X267</t>
        </is>
      </c>
      <c r="BI536">
        <f>SQRT(($J$1023-J536)^2)</f>
        <v/>
      </c>
      <c r="BJ536">
        <f>SQRT(($R$1023-R536)^2)</f>
        <v/>
      </c>
      <c r="BK536" s="125" t="inlineStr">
        <is>
          <t>HY950X267</t>
        </is>
      </c>
      <c r="BP536">
        <f>SQRT(($J$1024-J536)^2)</f>
        <v/>
      </c>
      <c r="BQ536">
        <f>SQRT(($R$1024-R536)^2)</f>
        <v/>
      </c>
      <c r="BR536" s="125" t="inlineStr">
        <is>
          <t>HY950X267</t>
        </is>
      </c>
      <c r="BW536">
        <f>SQRT(($J$1025-J536)^2)</f>
        <v/>
      </c>
      <c r="BX536">
        <f>SQRT(($R$1025-R536)^2)</f>
        <v/>
      </c>
      <c r="BY536" s="125" t="inlineStr">
        <is>
          <t>HY950X267</t>
        </is>
      </c>
      <c r="CD536">
        <f>SQRT(($J$1026-J536)^2)</f>
        <v/>
      </c>
      <c r="CE536">
        <f>SQRT(($R$1026-R536)^2)</f>
        <v/>
      </c>
      <c r="CF536" s="125" t="inlineStr">
        <is>
          <t>HY950X267</t>
        </is>
      </c>
    </row>
    <row r="537">
      <c r="A537" s="125" t="inlineStr">
        <is>
          <t>HY950X254</t>
        </is>
      </c>
      <c r="B537" s="129" t="inlineStr">
        <is>
          <t>HY</t>
        </is>
      </c>
      <c r="C537" s="125" t="n">
        <v>254</v>
      </c>
      <c r="D537" s="125" t="n">
        <v>950</v>
      </c>
      <c r="E537" s="125" t="n">
        <v>300</v>
      </c>
      <c r="F537" s="125" t="n">
        <v>25</v>
      </c>
      <c r="G537" s="125" t="n">
        <v>19</v>
      </c>
      <c r="H537" s="125" t="n">
        <v>18</v>
      </c>
      <c r="I537" s="125">
        <f>D537-(2*(H537+F537))</f>
        <v/>
      </c>
      <c r="J537" s="125">
        <f>(2*E537/10*F537/10)+((D537-F537-F537)/10*G537/10)+((H537/10+H537/10)^2)-(PI()*H537/10*H537/10)</f>
        <v/>
      </c>
      <c r="K537" s="125">
        <f>((E537-G537)/2)/F537</f>
        <v/>
      </c>
      <c r="L537" s="125">
        <f>I537/G537</f>
        <v/>
      </c>
      <c r="M537" s="125">
        <f>(E537*2+F537*4+((E537-G537)/2-H537)*4+2*PI()*H537+(D537-2*F537-2*H537)*2)/1000</f>
        <v/>
      </c>
      <c r="N537" s="5" t="n">
        <v>442000</v>
      </c>
      <c r="O537" s="5" t="n">
        <v>11300</v>
      </c>
      <c r="P537" s="125" t="n">
        <v>36.9</v>
      </c>
      <c r="Q537" s="125" t="n">
        <v>5.9</v>
      </c>
      <c r="R537" s="5" t="n">
        <v>9300</v>
      </c>
      <c r="S537" s="125" t="n">
        <v>754</v>
      </c>
      <c r="T537" s="5" t="n">
        <v>10900</v>
      </c>
      <c r="U537" s="5" t="n">
        <v>1210</v>
      </c>
      <c r="X537" s="129">
        <f t="array" ref="X537">_xlfn.IFS((D537/F537) &lt;= (640/SQRT($AT$32)), "Compact", L537 &lt;= ($AT$32*(0.79-(0.002*((E537-G537/2)/(2*F537))*SQRT($AT$32)))), "Non-Compact", L537 &gt; ($AT$32*(0.79-(0.002*((E537-G537/2)/(2*F537))*SQRT($AT$32)))), "Slender")</f>
        <v/>
      </c>
      <c r="Y537" s="129">
        <f t="array" ref="Y537">_xlfn.IFS(K537 &lt;= (65/SQRT($AT$32)), "Compact", K537 &lt;= (95/SQRT($AT$32)), "Non-Compact", K537 &gt; (95/SQRT($AT$32)), "Slender")</f>
        <v/>
      </c>
      <c r="Z537" s="125">
        <f>E537/F537</f>
        <v/>
      </c>
      <c r="AA537" s="125">
        <f>D537/G537</f>
        <v/>
      </c>
      <c r="AB537" s="125">
        <f t="array" ref="AB537">_xlfn.IFS(Z537 &lt;= 9, "1", Z537 &lt;= 12, "2", Z537 &lt;= 15, "3", Z537 &gt; 15, "4")</f>
        <v/>
      </c>
      <c r="AC537" s="125">
        <f t="array" ref="AC537">_xlfn.IFS(AA537 &lt;= 200, "1", L537 &lt;= 300, "2", L537 &lt;= 400, "3", L537 &gt; 400, "4")</f>
        <v/>
      </c>
      <c r="AF537" s="129">
        <f>SQRT((((VLOOKUP($AT$4,$A$4:$D$1021,4,FALSE))-D537)^2)+(((VLOOKUP($AT$4,$A$4:$E$1021,5,FALSE))-E537)^2)+(((VLOOKUP($AT$4,$A$4:$N$1021,14,FALSE))-N537)^2)+(((VLOOKUP($AT$4,$A$4:$O$1021,15,FALSE))-O537)^2))</f>
        <v/>
      </c>
      <c r="AG537" s="129" t="n"/>
      <c r="AI537" s="129">
        <f>SQRT((((VLOOKUP($AT$4,$A$4:$D$1021,4,FALSE))-D537)^2)+(((VLOOKUP($AT$4,$A$4:$E$1021,5,FALSE))-E537)^2)+(((VLOOKUP($AT$4,$A$4:$R$1021,18,FALSE))-R537)^2)+(((VLOOKUP($AT$4,$A$4:$S$1021,19,FALSE))-S537)^2))</f>
        <v/>
      </c>
      <c r="AJ537" s="125" t="inlineStr">
        <is>
          <t>HY950X254</t>
        </is>
      </c>
      <c r="AK537" s="125" t="n"/>
      <c r="AL537" s="125" t="n"/>
      <c r="AM537" s="125">
        <f>SQRT(((VLOOKUP($AT$4,$A$4:$J$1021,10,FALSE))-J537)^2)</f>
        <v/>
      </c>
      <c r="AN537" s="125" t="n"/>
      <c r="AO537" s="125" t="n"/>
      <c r="AP537" s="125">
        <f>SQRT(((VLOOKUP($AT$4,$A$4:$R$1021,18,FALSE))-R537)^2)</f>
        <v/>
      </c>
      <c r="AQ537" s="125" t="inlineStr">
        <is>
          <t>HY950X254</t>
        </is>
      </c>
      <c r="BB537" s="125">
        <f>SQRT(($J$1022-J537)^2)</f>
        <v/>
      </c>
      <c r="BC537" s="125">
        <f>SQRT(($R$1022-R537)^2)</f>
        <v/>
      </c>
      <c r="BD537" s="125" t="inlineStr">
        <is>
          <t>HY950X254</t>
        </is>
      </c>
      <c r="BI537">
        <f>SQRT(($J$1023-J537)^2)</f>
        <v/>
      </c>
      <c r="BJ537">
        <f>SQRT(($R$1023-R537)^2)</f>
        <v/>
      </c>
      <c r="BK537" s="125" t="inlineStr">
        <is>
          <t>HY950X254</t>
        </is>
      </c>
      <c r="BP537">
        <f>SQRT(($J$1024-J537)^2)</f>
        <v/>
      </c>
      <c r="BQ537">
        <f>SQRT(($R$1024-R537)^2)</f>
        <v/>
      </c>
      <c r="BR537" s="125" t="inlineStr">
        <is>
          <t>HY950X254</t>
        </is>
      </c>
      <c r="BW537">
        <f>SQRT(($J$1025-J537)^2)</f>
        <v/>
      </c>
      <c r="BX537">
        <f>SQRT(($R$1025-R537)^2)</f>
        <v/>
      </c>
      <c r="BY537" s="125" t="inlineStr">
        <is>
          <t>HY950X254</t>
        </is>
      </c>
      <c r="CD537">
        <f>SQRT(($J$1026-J537)^2)</f>
        <v/>
      </c>
      <c r="CE537">
        <f>SQRT(($R$1026-R537)^2)</f>
        <v/>
      </c>
      <c r="CF537" s="125" t="inlineStr">
        <is>
          <t>HY950X254</t>
        </is>
      </c>
    </row>
    <row r="538">
      <c r="A538" s="125" t="inlineStr">
        <is>
          <t>HY950X264</t>
        </is>
      </c>
      <c r="B538" s="129" t="inlineStr">
        <is>
          <t>HY</t>
        </is>
      </c>
      <c r="C538" s="125" t="n">
        <v>264</v>
      </c>
      <c r="D538" s="125" t="n">
        <v>950</v>
      </c>
      <c r="E538" s="125" t="n">
        <v>300</v>
      </c>
      <c r="F538" s="125" t="n">
        <v>32</v>
      </c>
      <c r="G538" s="125" t="n">
        <v>16</v>
      </c>
      <c r="H538" s="125" t="n">
        <v>18</v>
      </c>
      <c r="I538" s="125">
        <f>D538-(2*(H538+F538))</f>
        <v/>
      </c>
      <c r="J538" s="125">
        <f>(2*E538/10*F538/10)+((D538-F538-F538)/10*G538/10)+((H538/10+H538/10)^2)-(PI()*H538/10*H538/10)</f>
        <v/>
      </c>
      <c r="K538" s="125">
        <f>((E538-G538)/2)/F538</f>
        <v/>
      </c>
      <c r="L538" s="125">
        <f>I538/G538</f>
        <v/>
      </c>
      <c r="M538" s="125">
        <f>(E538*2+F538*4+((E538-G538)/2-H538)*4+2*PI()*H538+(D538-2*F538-2*H538)*2)/1000</f>
        <v/>
      </c>
      <c r="N538" s="5" t="n">
        <v>503000</v>
      </c>
      <c r="O538" s="5" t="n">
        <v>14400</v>
      </c>
      <c r="P538" s="125" t="n">
        <v>38.7</v>
      </c>
      <c r="Q538" s="125" t="n">
        <v>6.6</v>
      </c>
      <c r="R538" s="5" t="n">
        <v>10600</v>
      </c>
      <c r="S538" s="125" t="n">
        <v>962</v>
      </c>
      <c r="T538" s="5" t="n">
        <v>12100</v>
      </c>
      <c r="U538" s="5" t="n">
        <v>1500</v>
      </c>
      <c r="X538" s="129">
        <f t="array" ref="X538">_xlfn.IFS((D538/F538) &lt;= (640/SQRT($AT$32)), "Compact", L538 &lt;= ($AT$32*(0.79-(0.002*((E538-G538/2)/(2*F538))*SQRT($AT$32)))), "Non-Compact", L538 &gt; ($AT$32*(0.79-(0.002*((E538-G538/2)/(2*F538))*SQRT($AT$32)))), "Slender")</f>
        <v/>
      </c>
      <c r="Y538" s="129">
        <f t="array" ref="Y538">_xlfn.IFS(K538 &lt;= (65/SQRT($AT$32)), "Compact", K538 &lt;= (95/SQRT($AT$32)), "Non-Compact", K538 &gt; (95/SQRT($AT$32)), "Slender")</f>
        <v/>
      </c>
      <c r="Z538" s="125">
        <f>E538/F538</f>
        <v/>
      </c>
      <c r="AA538" s="125">
        <f>D538/G538</f>
        <v/>
      </c>
      <c r="AB538" s="125">
        <f t="array" ref="AB538">_xlfn.IFS(Z538 &lt;= 9, "1", Z538 &lt;= 12, "2", Z538 &lt;= 15, "3", Z538 &gt; 15, "4")</f>
        <v/>
      </c>
      <c r="AC538" s="125">
        <f t="array" ref="AC538">_xlfn.IFS(AA538 &lt;= 200, "1", L538 &lt;= 300, "2", L538 &lt;= 400, "3", L538 &gt; 400, "4")</f>
        <v/>
      </c>
      <c r="AF538" s="129">
        <f>SQRT((((VLOOKUP($AT$4,$A$4:$D$1021,4,FALSE))-D538)^2)+(((VLOOKUP($AT$4,$A$4:$E$1021,5,FALSE))-E538)^2)+(((VLOOKUP($AT$4,$A$4:$N$1021,14,FALSE))-N538)^2)+(((VLOOKUP($AT$4,$A$4:$O$1021,15,FALSE))-O538)^2))</f>
        <v/>
      </c>
      <c r="AG538" s="129" t="n"/>
      <c r="AI538" s="129">
        <f>SQRT((((VLOOKUP($AT$4,$A$4:$D$1021,4,FALSE))-D538)^2)+(((VLOOKUP($AT$4,$A$4:$E$1021,5,FALSE))-E538)^2)+(((VLOOKUP($AT$4,$A$4:$R$1021,18,FALSE))-R538)^2)+(((VLOOKUP($AT$4,$A$4:$S$1021,19,FALSE))-S538)^2))</f>
        <v/>
      </c>
      <c r="AJ538" s="125" t="inlineStr">
        <is>
          <t>HY950X264</t>
        </is>
      </c>
      <c r="AK538" s="125" t="n"/>
      <c r="AL538" s="125" t="n"/>
      <c r="AM538" s="125">
        <f>SQRT(((VLOOKUP($AT$4,$A$4:$J$1021,10,FALSE))-J538)^2)</f>
        <v/>
      </c>
      <c r="AN538" s="125" t="n"/>
      <c r="AO538" s="125" t="n"/>
      <c r="AP538" s="125">
        <f>SQRT(((VLOOKUP($AT$4,$A$4:$R$1021,18,FALSE))-R538)^2)</f>
        <v/>
      </c>
      <c r="AQ538" s="125" t="inlineStr">
        <is>
          <t>HY950X264</t>
        </is>
      </c>
      <c r="BB538" s="125">
        <f>SQRT(($J$1022-J538)^2)</f>
        <v/>
      </c>
      <c r="BC538" s="125">
        <f>SQRT(($R$1022-R538)^2)</f>
        <v/>
      </c>
      <c r="BD538" s="125" t="inlineStr">
        <is>
          <t>HY950X264</t>
        </is>
      </c>
      <c r="BI538">
        <f>SQRT(($J$1023-J538)^2)</f>
        <v/>
      </c>
      <c r="BJ538">
        <f>SQRT(($R$1023-R538)^2)</f>
        <v/>
      </c>
      <c r="BK538" s="125" t="inlineStr">
        <is>
          <t>HY950X264</t>
        </is>
      </c>
      <c r="BP538">
        <f>SQRT(($J$1024-J538)^2)</f>
        <v/>
      </c>
      <c r="BQ538">
        <f>SQRT(($R$1024-R538)^2)</f>
        <v/>
      </c>
      <c r="BR538" s="125" t="inlineStr">
        <is>
          <t>HY950X264</t>
        </is>
      </c>
      <c r="BW538">
        <f>SQRT(($J$1025-J538)^2)</f>
        <v/>
      </c>
      <c r="BX538">
        <f>SQRT(($R$1025-R538)^2)</f>
        <v/>
      </c>
      <c r="BY538" s="125" t="inlineStr">
        <is>
          <t>HY950X264</t>
        </is>
      </c>
      <c r="CD538">
        <f>SQRT(($J$1026-J538)^2)</f>
        <v/>
      </c>
      <c r="CE538">
        <f>SQRT(($R$1026-R538)^2)</f>
        <v/>
      </c>
      <c r="CF538" s="125" t="inlineStr">
        <is>
          <t>HY950X264</t>
        </is>
      </c>
    </row>
    <row r="539">
      <c r="A539" s="125" t="inlineStr">
        <is>
          <t>HY950X246</t>
        </is>
      </c>
      <c r="B539" s="129" t="inlineStr">
        <is>
          <t>HY</t>
        </is>
      </c>
      <c r="C539" s="125" t="n">
        <v>246</v>
      </c>
      <c r="D539" s="125" t="n">
        <v>950</v>
      </c>
      <c r="E539" s="125" t="n">
        <v>300</v>
      </c>
      <c r="F539" s="125" t="n">
        <v>28</v>
      </c>
      <c r="G539" s="125" t="n">
        <v>16</v>
      </c>
      <c r="H539" s="125" t="n">
        <v>18</v>
      </c>
      <c r="I539" s="125">
        <f>D539-(2*(H539+F539))</f>
        <v/>
      </c>
      <c r="J539" s="125">
        <f>(2*E539/10*F539/10)+((D539-F539-F539)/10*G539/10)+((H539/10+H539/10)^2)-(PI()*H539/10*H539/10)</f>
        <v/>
      </c>
      <c r="K539" s="125">
        <f>((E539-G539)/2)/F539</f>
        <v/>
      </c>
      <c r="L539" s="125">
        <f>I539/G539</f>
        <v/>
      </c>
      <c r="M539" s="125">
        <f>(E539*2+F539*4+((E539-G539)/2-H539)*4+2*PI()*H539+(D539-2*F539-2*H539)*2)/1000</f>
        <v/>
      </c>
      <c r="N539" s="5" t="n">
        <v>458000</v>
      </c>
      <c r="O539" s="5" t="n">
        <v>12600</v>
      </c>
      <c r="P539" s="125" t="n">
        <v>38.2</v>
      </c>
      <c r="Q539" s="125" t="n">
        <v>6.4</v>
      </c>
      <c r="R539" s="5" t="n">
        <v>9640</v>
      </c>
      <c r="S539" s="125" t="n">
        <v>842</v>
      </c>
      <c r="T539" s="5" t="n">
        <v>11100</v>
      </c>
      <c r="U539" s="5" t="n">
        <v>1320</v>
      </c>
      <c r="X539" s="129">
        <f t="array" ref="X539">_xlfn.IFS((D539/F539) &lt;= (640/SQRT($AT$32)), "Compact", L539 &lt;= ($AT$32*(0.79-(0.002*((E539-G539/2)/(2*F539))*SQRT($AT$32)))), "Non-Compact", L539 &gt; ($AT$32*(0.79-(0.002*((E539-G539/2)/(2*F539))*SQRT($AT$32)))), "Slender")</f>
        <v/>
      </c>
      <c r="Y539" s="129">
        <f t="array" ref="Y539">_xlfn.IFS(K539 &lt;= (65/SQRT($AT$32)), "Compact", K539 &lt;= (95/SQRT($AT$32)), "Non-Compact", K539 &gt; (95/SQRT($AT$32)), "Slender")</f>
        <v/>
      </c>
      <c r="Z539" s="125">
        <f>E539/F539</f>
        <v/>
      </c>
      <c r="AA539" s="125">
        <f>D539/G539</f>
        <v/>
      </c>
      <c r="AB539" s="125">
        <f t="array" ref="AB539">_xlfn.IFS(Z539 &lt;= 9, "1", Z539 &lt;= 12, "2", Z539 &lt;= 15, "3", Z539 &gt; 15, "4")</f>
        <v/>
      </c>
      <c r="AC539" s="125">
        <f t="array" ref="AC539">_xlfn.IFS(AA539 &lt;= 200, "1", L539 &lt;= 300, "2", L539 &lt;= 400, "3", L539 &gt; 400, "4")</f>
        <v/>
      </c>
      <c r="AF539" s="129">
        <f>SQRT((((VLOOKUP($AT$4,$A$4:$D$1021,4,FALSE))-D539)^2)+(((VLOOKUP($AT$4,$A$4:$E$1021,5,FALSE))-E539)^2)+(((VLOOKUP($AT$4,$A$4:$N$1021,14,FALSE))-N539)^2)+(((VLOOKUP($AT$4,$A$4:$O$1021,15,FALSE))-O539)^2))</f>
        <v/>
      </c>
      <c r="AG539" s="129" t="n"/>
      <c r="AI539" s="129">
        <f>SQRT((((VLOOKUP($AT$4,$A$4:$D$1021,4,FALSE))-D539)^2)+(((VLOOKUP($AT$4,$A$4:$E$1021,5,FALSE))-E539)^2)+(((VLOOKUP($AT$4,$A$4:$R$1021,18,FALSE))-R539)^2)+(((VLOOKUP($AT$4,$A$4:$S$1021,19,FALSE))-S539)^2))</f>
        <v/>
      </c>
      <c r="AJ539" s="125" t="inlineStr">
        <is>
          <t>HY950X246</t>
        </is>
      </c>
      <c r="AK539" s="125" t="n"/>
      <c r="AL539" s="125" t="n"/>
      <c r="AM539" s="125">
        <f>SQRT(((VLOOKUP($AT$4,$A$4:$J$1021,10,FALSE))-J539)^2)</f>
        <v/>
      </c>
      <c r="AN539" s="125" t="n"/>
      <c r="AO539" s="125" t="n"/>
      <c r="AP539" s="125">
        <f>SQRT(((VLOOKUP($AT$4,$A$4:$R$1021,18,FALSE))-R539)^2)</f>
        <v/>
      </c>
      <c r="AQ539" s="125" t="inlineStr">
        <is>
          <t>HY950X246</t>
        </is>
      </c>
      <c r="BB539" s="125">
        <f>SQRT(($J$1022-J539)^2)</f>
        <v/>
      </c>
      <c r="BC539" s="125">
        <f>SQRT(($R$1022-R539)^2)</f>
        <v/>
      </c>
      <c r="BD539" s="125" t="inlineStr">
        <is>
          <t>HY950X246</t>
        </is>
      </c>
      <c r="BI539">
        <f>SQRT(($J$1023-J539)^2)</f>
        <v/>
      </c>
      <c r="BJ539">
        <f>SQRT(($R$1023-R539)^2)</f>
        <v/>
      </c>
      <c r="BK539" s="125" t="inlineStr">
        <is>
          <t>HY950X246</t>
        </is>
      </c>
      <c r="BP539">
        <f>SQRT(($J$1024-J539)^2)</f>
        <v/>
      </c>
      <c r="BQ539">
        <f>SQRT(($R$1024-R539)^2)</f>
        <v/>
      </c>
      <c r="BR539" s="125" t="inlineStr">
        <is>
          <t>HY950X246</t>
        </is>
      </c>
      <c r="BW539">
        <f>SQRT(($J$1025-J539)^2)</f>
        <v/>
      </c>
      <c r="BX539">
        <f>SQRT(($R$1025-R539)^2)</f>
        <v/>
      </c>
      <c r="BY539" s="125" t="inlineStr">
        <is>
          <t>HY950X246</t>
        </is>
      </c>
      <c r="CD539">
        <f>SQRT(($J$1026-J539)^2)</f>
        <v/>
      </c>
      <c r="CE539">
        <f>SQRT(($R$1026-R539)^2)</f>
        <v/>
      </c>
      <c r="CF539" s="125" t="inlineStr">
        <is>
          <t>HY950X246</t>
        </is>
      </c>
    </row>
    <row r="540">
      <c r="A540" s="125" t="inlineStr">
        <is>
          <t>HY950X233</t>
        </is>
      </c>
      <c r="B540" s="129" t="inlineStr">
        <is>
          <t>HY</t>
        </is>
      </c>
      <c r="C540" s="125" t="n">
        <v>233</v>
      </c>
      <c r="D540" s="125" t="n">
        <v>950</v>
      </c>
      <c r="E540" s="125" t="n">
        <v>300</v>
      </c>
      <c r="F540" s="125" t="n">
        <v>25</v>
      </c>
      <c r="G540" s="125" t="n">
        <v>16</v>
      </c>
      <c r="H540" s="125" t="n">
        <v>18</v>
      </c>
      <c r="I540" s="125">
        <f>D540-(2*(H540+F540))</f>
        <v/>
      </c>
      <c r="J540" s="125">
        <f>(2*E540/10*F540/10)+((D540-F540-F540)/10*G540/10)+((H540/10+H540/10)^2)-(PI()*H540/10*H540/10)</f>
        <v/>
      </c>
      <c r="K540" s="125">
        <f>((E540-G540)/2)/F540</f>
        <v/>
      </c>
      <c r="L540" s="125">
        <f>I540/G540</f>
        <v/>
      </c>
      <c r="M540" s="125">
        <f>(E540*2+F540*4+((E540-G540)/2-H540)*4+2*PI()*H540+(D540-2*F540-2*H540)*2)/1000</f>
        <v/>
      </c>
      <c r="N540" s="5" t="n">
        <v>424000</v>
      </c>
      <c r="O540" s="5" t="n">
        <v>11300</v>
      </c>
      <c r="P540" s="125" t="n">
        <v>37.8</v>
      </c>
      <c r="Q540" s="125" t="n">
        <v>6.2</v>
      </c>
      <c r="R540" s="5" t="n">
        <v>8920</v>
      </c>
      <c r="S540" s="125" t="n">
        <v>752</v>
      </c>
      <c r="T540" s="5" t="n">
        <v>10300</v>
      </c>
      <c r="U540" s="5" t="n">
        <v>1190</v>
      </c>
      <c r="X540" s="129">
        <f t="array" ref="X540">_xlfn.IFS((D540/F540) &lt;= (640/SQRT($AT$32)), "Compact", L540 &lt;= ($AT$32*(0.79-(0.002*((E540-G540/2)/(2*F540))*SQRT($AT$32)))), "Non-Compact", L540 &gt; ($AT$32*(0.79-(0.002*((E540-G540/2)/(2*F540))*SQRT($AT$32)))), "Slender")</f>
        <v/>
      </c>
      <c r="Y540" s="129">
        <f t="array" ref="Y540">_xlfn.IFS(K540 &lt;= (65/SQRT($AT$32)), "Compact", K540 &lt;= (95/SQRT($AT$32)), "Non-Compact", K540 &gt; (95/SQRT($AT$32)), "Slender")</f>
        <v/>
      </c>
      <c r="Z540" s="125">
        <f>E540/F540</f>
        <v/>
      </c>
      <c r="AA540" s="125">
        <f>D540/G540</f>
        <v/>
      </c>
      <c r="AB540" s="125">
        <f t="array" ref="AB540">_xlfn.IFS(Z540 &lt;= 9, "1", Z540 &lt;= 12, "2", Z540 &lt;= 15, "3", Z540 &gt; 15, "4")</f>
        <v/>
      </c>
      <c r="AC540" s="125">
        <f t="array" ref="AC540">_xlfn.IFS(AA540 &lt;= 200, "1", L540 &lt;= 300, "2", L540 &lt;= 400, "3", L540 &gt; 400, "4")</f>
        <v/>
      </c>
      <c r="AF540" s="129">
        <f>SQRT((((VLOOKUP($AT$4,$A$4:$D$1021,4,FALSE))-D540)^2)+(((VLOOKUP($AT$4,$A$4:$E$1021,5,FALSE))-E540)^2)+(((VLOOKUP($AT$4,$A$4:$N$1021,14,FALSE))-N540)^2)+(((VLOOKUP($AT$4,$A$4:$O$1021,15,FALSE))-O540)^2))</f>
        <v/>
      </c>
      <c r="AG540" s="129" t="n"/>
      <c r="AI540" s="129">
        <f>SQRT((((VLOOKUP($AT$4,$A$4:$D$1021,4,FALSE))-D540)^2)+(((VLOOKUP($AT$4,$A$4:$E$1021,5,FALSE))-E540)^2)+(((VLOOKUP($AT$4,$A$4:$R$1021,18,FALSE))-R540)^2)+(((VLOOKUP($AT$4,$A$4:$S$1021,19,FALSE))-S540)^2))</f>
        <v/>
      </c>
      <c r="AJ540" s="125" t="inlineStr">
        <is>
          <t>HY950X233</t>
        </is>
      </c>
      <c r="AK540" s="125" t="n"/>
      <c r="AL540" s="125" t="n"/>
      <c r="AM540" s="125">
        <f>SQRT(((VLOOKUP($AT$4,$A$4:$J$1021,10,FALSE))-J540)^2)</f>
        <v/>
      </c>
      <c r="AN540" s="125" t="n"/>
      <c r="AO540" s="125" t="n"/>
      <c r="AP540" s="125">
        <f>SQRT(((VLOOKUP($AT$4,$A$4:$R$1021,18,FALSE))-R540)^2)</f>
        <v/>
      </c>
      <c r="AQ540" s="125" t="inlineStr">
        <is>
          <t>HY950X233</t>
        </is>
      </c>
      <c r="BB540" s="125">
        <f>SQRT(($J$1022-J540)^2)</f>
        <v/>
      </c>
      <c r="BC540" s="125">
        <f>SQRT(($R$1022-R540)^2)</f>
        <v/>
      </c>
      <c r="BD540" s="125" t="inlineStr">
        <is>
          <t>HY950X233</t>
        </is>
      </c>
      <c r="BI540">
        <f>SQRT(($J$1023-J540)^2)</f>
        <v/>
      </c>
      <c r="BJ540">
        <f>SQRT(($R$1023-R540)^2)</f>
        <v/>
      </c>
      <c r="BK540" s="125" t="inlineStr">
        <is>
          <t>HY950X233</t>
        </is>
      </c>
      <c r="BP540">
        <f>SQRT(($J$1024-J540)^2)</f>
        <v/>
      </c>
      <c r="BQ540">
        <f>SQRT(($R$1024-R540)^2)</f>
        <v/>
      </c>
      <c r="BR540" s="125" t="inlineStr">
        <is>
          <t>HY950X233</t>
        </is>
      </c>
      <c r="BW540">
        <f>SQRT(($J$1025-J540)^2)</f>
        <v/>
      </c>
      <c r="BX540">
        <f>SQRT(($R$1025-R540)^2)</f>
        <v/>
      </c>
      <c r="BY540" s="125" t="inlineStr">
        <is>
          <t>HY950X233</t>
        </is>
      </c>
      <c r="CD540">
        <f>SQRT(($J$1026-J540)^2)</f>
        <v/>
      </c>
      <c r="CE540">
        <f>SQRT(($R$1026-R540)^2)</f>
        <v/>
      </c>
      <c r="CF540" s="125" t="inlineStr">
        <is>
          <t>HY950X233</t>
        </is>
      </c>
    </row>
    <row r="541">
      <c r="A541" s="125" t="inlineStr">
        <is>
          <t>HY950X220</t>
        </is>
      </c>
      <c r="B541" s="129" t="inlineStr">
        <is>
          <t>HY</t>
        </is>
      </c>
      <c r="C541" s="125" t="n">
        <v>220</v>
      </c>
      <c r="D541" s="125" t="n">
        <v>950</v>
      </c>
      <c r="E541" s="125" t="n">
        <v>300</v>
      </c>
      <c r="F541" s="125" t="n">
        <v>22</v>
      </c>
      <c r="G541" s="125" t="n">
        <v>16</v>
      </c>
      <c r="H541" s="125" t="n">
        <v>18</v>
      </c>
      <c r="I541" s="125">
        <f>D541-(2*(H541+F541))</f>
        <v/>
      </c>
      <c r="J541" s="125">
        <f>(2*E541/10*F541/10)+((D541-F541-F541)/10*G541/10)+((H541/10+H541/10)^2)-(PI()*H541/10*H541/10)</f>
        <v/>
      </c>
      <c r="K541" s="125">
        <f>((E541-G541)/2)/F541</f>
        <v/>
      </c>
      <c r="L541" s="125">
        <f>I541/G541</f>
        <v/>
      </c>
      <c r="M541" s="125">
        <f>(E541*2+F541*4+((E541-G541)/2-H541)*4+2*PI()*H541+(D541-2*F541-2*H541)*2)/1000</f>
        <v/>
      </c>
      <c r="N541" s="5" t="n">
        <v>389000</v>
      </c>
      <c r="O541" s="5" t="n">
        <v>9940</v>
      </c>
      <c r="P541" s="125" t="n">
        <v>37.3</v>
      </c>
      <c r="Q541" s="125" t="n">
        <v>6</v>
      </c>
      <c r="R541" s="5" t="n">
        <v>8190</v>
      </c>
      <c r="S541" s="125" t="n">
        <v>662</v>
      </c>
      <c r="T541" s="5" t="n">
        <v>9530</v>
      </c>
      <c r="U541" s="5" t="n">
        <v>1050</v>
      </c>
      <c r="X541" s="129">
        <f t="array" ref="X541">_xlfn.IFS((D541/F541) &lt;= (640/SQRT($AT$32)), "Compact", L541 &lt;= ($AT$32*(0.79-(0.002*((E541-G541/2)/(2*F541))*SQRT($AT$32)))), "Non-Compact", L541 &gt; ($AT$32*(0.79-(0.002*((E541-G541/2)/(2*F541))*SQRT($AT$32)))), "Slender")</f>
        <v/>
      </c>
      <c r="Y541" s="129">
        <f t="array" ref="Y541">_xlfn.IFS(K541 &lt;= (65/SQRT($AT$32)), "Compact", K541 &lt;= (95/SQRT($AT$32)), "Non-Compact", K541 &gt; (95/SQRT($AT$32)), "Slender")</f>
        <v/>
      </c>
      <c r="Z541" s="125">
        <f>E541/F541</f>
        <v/>
      </c>
      <c r="AA541" s="125">
        <f>D541/G541</f>
        <v/>
      </c>
      <c r="AB541" s="125">
        <f t="array" ref="AB541">_xlfn.IFS(Z541 &lt;= 9, "1", Z541 &lt;= 12, "2", Z541 &lt;= 15, "3", Z541 &gt; 15, "4")</f>
        <v/>
      </c>
      <c r="AC541" s="125">
        <f t="array" ref="AC541">_xlfn.IFS(AA541 &lt;= 200, "1", L541 &lt;= 300, "2", L541 &lt;= 400, "3", L541 &gt; 400, "4")</f>
        <v/>
      </c>
      <c r="AF541" s="129">
        <f>SQRT((((VLOOKUP($AT$4,$A$4:$D$1021,4,FALSE))-D541)^2)+(((VLOOKUP($AT$4,$A$4:$E$1021,5,FALSE))-E541)^2)+(((VLOOKUP($AT$4,$A$4:$N$1021,14,FALSE))-N541)^2)+(((VLOOKUP($AT$4,$A$4:$O$1021,15,FALSE))-O541)^2))</f>
        <v/>
      </c>
      <c r="AG541" s="129" t="n"/>
      <c r="AI541" s="129">
        <f>SQRT((((VLOOKUP($AT$4,$A$4:$D$1021,4,FALSE))-D541)^2)+(((VLOOKUP($AT$4,$A$4:$E$1021,5,FALSE))-E541)^2)+(((VLOOKUP($AT$4,$A$4:$R$1021,18,FALSE))-R541)^2)+(((VLOOKUP($AT$4,$A$4:$S$1021,19,FALSE))-S541)^2))</f>
        <v/>
      </c>
      <c r="AJ541" s="125" t="inlineStr">
        <is>
          <t>HY950X220</t>
        </is>
      </c>
      <c r="AK541" s="125" t="n"/>
      <c r="AL541" s="125" t="n"/>
      <c r="AM541" s="125">
        <f>SQRT(((VLOOKUP($AT$4,$A$4:$J$1021,10,FALSE))-J541)^2)</f>
        <v/>
      </c>
      <c r="AN541" s="125" t="n"/>
      <c r="AO541" s="125" t="n"/>
      <c r="AP541" s="125">
        <f>SQRT(((VLOOKUP($AT$4,$A$4:$R$1021,18,FALSE))-R541)^2)</f>
        <v/>
      </c>
      <c r="AQ541" s="125" t="inlineStr">
        <is>
          <t>HY950X220</t>
        </is>
      </c>
      <c r="BB541" s="125">
        <f>SQRT(($J$1022-J541)^2)</f>
        <v/>
      </c>
      <c r="BC541" s="125">
        <f>SQRT(($R$1022-R541)^2)</f>
        <v/>
      </c>
      <c r="BD541" s="125" t="inlineStr">
        <is>
          <t>HY950X220</t>
        </is>
      </c>
      <c r="BI541">
        <f>SQRT(($J$1023-J541)^2)</f>
        <v/>
      </c>
      <c r="BJ541">
        <f>SQRT(($R$1023-R541)^2)</f>
        <v/>
      </c>
      <c r="BK541" s="125" t="inlineStr">
        <is>
          <t>HY950X220</t>
        </is>
      </c>
      <c r="BP541">
        <f>SQRT(($J$1024-J541)^2)</f>
        <v/>
      </c>
      <c r="BQ541">
        <f>SQRT(($R$1024-R541)^2)</f>
        <v/>
      </c>
      <c r="BR541" s="125" t="inlineStr">
        <is>
          <t>HY950X220</t>
        </is>
      </c>
      <c r="BW541">
        <f>SQRT(($J$1025-J541)^2)</f>
        <v/>
      </c>
      <c r="BX541">
        <f>SQRT(($R$1025-R541)^2)</f>
        <v/>
      </c>
      <c r="BY541" s="125" t="inlineStr">
        <is>
          <t>HY950X220</t>
        </is>
      </c>
      <c r="CD541">
        <f>SQRT(($J$1026-J541)^2)</f>
        <v/>
      </c>
      <c r="CE541">
        <f>SQRT(($R$1026-R541)^2)</f>
        <v/>
      </c>
      <c r="CF541" s="125" t="inlineStr">
        <is>
          <t>HY950X220</t>
        </is>
      </c>
    </row>
    <row r="542">
      <c r="A542" s="125" t="inlineStr">
        <is>
          <t>HY950X274</t>
        </is>
      </c>
      <c r="B542" s="129" t="inlineStr">
        <is>
          <t>HY</t>
        </is>
      </c>
      <c r="C542" s="125" t="n">
        <v>274</v>
      </c>
      <c r="D542" s="125" t="n">
        <v>950</v>
      </c>
      <c r="E542" s="125" t="n">
        <v>250</v>
      </c>
      <c r="F542" s="125" t="n">
        <v>36</v>
      </c>
      <c r="G542" s="125" t="n">
        <v>19</v>
      </c>
      <c r="H542" s="125" t="n">
        <v>18</v>
      </c>
      <c r="I542" s="125">
        <f>D542-(2*(H542+F542))</f>
        <v/>
      </c>
      <c r="J542" s="125">
        <f>(2*E542/10*F542/10)+((D542-F542-F542)/10*G542/10)+((H542/10+H542/10)^2)-(PI()*H542/10*H542/10)</f>
        <v/>
      </c>
      <c r="K542" s="125">
        <f>((E542-G542)/2)/F542</f>
        <v/>
      </c>
      <c r="L542" s="125">
        <f>I542/G542</f>
        <v/>
      </c>
      <c r="M542" s="125">
        <f>(E542*2+F542*4+((E542-G542)/2-H542)*4+2*PI()*H542+(D542-2*F542-2*H542)*2)/1000</f>
        <v/>
      </c>
      <c r="N542" s="5" t="n">
        <v>489000</v>
      </c>
      <c r="O542" s="5" t="n">
        <v>9430</v>
      </c>
      <c r="P542" s="125" t="n">
        <v>37.4</v>
      </c>
      <c r="Q542" s="125" t="n">
        <v>5.2</v>
      </c>
      <c r="R542" s="5" t="n">
        <v>10300</v>
      </c>
      <c r="S542" s="125" t="n">
        <v>754</v>
      </c>
      <c r="T542" s="5" t="n">
        <v>12000</v>
      </c>
      <c r="U542" s="5" t="n">
        <v>1210</v>
      </c>
      <c r="X542" s="129">
        <f t="array" ref="X542">_xlfn.IFS((D542/F542) &lt;= (640/SQRT($AT$32)), "Compact", L542 &lt;= ($AT$32*(0.79-(0.002*((E542-G542/2)/(2*F542))*SQRT($AT$32)))), "Non-Compact", L542 &gt; ($AT$32*(0.79-(0.002*((E542-G542/2)/(2*F542))*SQRT($AT$32)))), "Slender")</f>
        <v/>
      </c>
      <c r="Y542" s="129">
        <f t="array" ref="Y542">_xlfn.IFS(K542 &lt;= (65/SQRT($AT$32)), "Compact", K542 &lt;= (95/SQRT($AT$32)), "Non-Compact", K542 &gt; (95/SQRT($AT$32)), "Slender")</f>
        <v/>
      </c>
      <c r="Z542" s="125">
        <f>E542/F542</f>
        <v/>
      </c>
      <c r="AA542" s="125">
        <f>D542/G542</f>
        <v/>
      </c>
      <c r="AB542" s="125">
        <f t="array" ref="AB542">_xlfn.IFS(Z542 &lt;= 9, "1", Z542 &lt;= 12, "2", Z542 &lt;= 15, "3", Z542 &gt; 15, "4")</f>
        <v/>
      </c>
      <c r="AC542" s="125">
        <f t="array" ref="AC542">_xlfn.IFS(AA542 &lt;= 200, "1", L542 &lt;= 300, "2", L542 &lt;= 400, "3", L542 &gt; 400, "4")</f>
        <v/>
      </c>
      <c r="AF542" s="129">
        <f>SQRT((((VLOOKUP($AT$4,$A$4:$D$1021,4,FALSE))-D542)^2)+(((VLOOKUP($AT$4,$A$4:$E$1021,5,FALSE))-E542)^2)+(((VLOOKUP($AT$4,$A$4:$N$1021,14,FALSE))-N542)^2)+(((VLOOKUP($AT$4,$A$4:$O$1021,15,FALSE))-O542)^2))</f>
        <v/>
      </c>
      <c r="AG542" s="129" t="n"/>
      <c r="AI542" s="129">
        <f>SQRT((((VLOOKUP($AT$4,$A$4:$D$1021,4,FALSE))-D542)^2)+(((VLOOKUP($AT$4,$A$4:$E$1021,5,FALSE))-E542)^2)+(((VLOOKUP($AT$4,$A$4:$R$1021,18,FALSE))-R542)^2)+(((VLOOKUP($AT$4,$A$4:$S$1021,19,FALSE))-S542)^2))</f>
        <v/>
      </c>
      <c r="AJ542" s="125" t="inlineStr">
        <is>
          <t>HY950X274</t>
        </is>
      </c>
      <c r="AK542" s="125" t="n"/>
      <c r="AL542" s="125" t="n"/>
      <c r="AM542" s="125">
        <f>SQRT(((VLOOKUP($AT$4,$A$4:$J$1021,10,FALSE))-J542)^2)</f>
        <v/>
      </c>
      <c r="AN542" s="125" t="n"/>
      <c r="AO542" s="125" t="n"/>
      <c r="AP542" s="125">
        <f>SQRT(((VLOOKUP($AT$4,$A$4:$R$1021,18,FALSE))-R542)^2)</f>
        <v/>
      </c>
      <c r="AQ542" s="125" t="inlineStr">
        <is>
          <t>HY950X274</t>
        </is>
      </c>
      <c r="BB542" s="125">
        <f>SQRT(($J$1022-J542)^2)</f>
        <v/>
      </c>
      <c r="BC542" s="125">
        <f>SQRT(($R$1022-R542)^2)</f>
        <v/>
      </c>
      <c r="BD542" s="125" t="inlineStr">
        <is>
          <t>HY950X274</t>
        </is>
      </c>
      <c r="BI542">
        <f>SQRT(($J$1023-J542)^2)</f>
        <v/>
      </c>
      <c r="BJ542">
        <f>SQRT(($R$1023-R542)^2)</f>
        <v/>
      </c>
      <c r="BK542" s="125" t="inlineStr">
        <is>
          <t>HY950X274</t>
        </is>
      </c>
      <c r="BP542">
        <f>SQRT(($J$1024-J542)^2)</f>
        <v/>
      </c>
      <c r="BQ542">
        <f>SQRT(($R$1024-R542)^2)</f>
        <v/>
      </c>
      <c r="BR542" s="125" t="inlineStr">
        <is>
          <t>HY950X274</t>
        </is>
      </c>
      <c r="BW542">
        <f>SQRT(($J$1025-J542)^2)</f>
        <v/>
      </c>
      <c r="BX542">
        <f>SQRT(($R$1025-R542)^2)</f>
        <v/>
      </c>
      <c r="BY542" s="125" t="inlineStr">
        <is>
          <t>HY950X274</t>
        </is>
      </c>
      <c r="CD542">
        <f>SQRT(($J$1026-J542)^2)</f>
        <v/>
      </c>
      <c r="CE542">
        <f>SQRT(($R$1026-R542)^2)</f>
        <v/>
      </c>
      <c r="CF542" s="125" t="inlineStr">
        <is>
          <t>HY950X274</t>
        </is>
      </c>
    </row>
    <row r="543">
      <c r="A543" s="125" t="inlineStr">
        <is>
          <t>HY950X260</t>
        </is>
      </c>
      <c r="B543" s="129" t="inlineStr">
        <is>
          <t>HY</t>
        </is>
      </c>
      <c r="C543" s="125" t="n">
        <v>260</v>
      </c>
      <c r="D543" s="125" t="n">
        <v>950</v>
      </c>
      <c r="E543" s="125" t="n">
        <v>250</v>
      </c>
      <c r="F543" s="125" t="n">
        <v>32</v>
      </c>
      <c r="G543" s="125" t="n">
        <v>19</v>
      </c>
      <c r="H543" s="125" t="n">
        <v>18</v>
      </c>
      <c r="I543" s="125">
        <f>D543-(2*(H543+F543))</f>
        <v/>
      </c>
      <c r="J543" s="125">
        <f>(2*E543/10*F543/10)+((D543-F543-F543)/10*G543/10)+((H543/10+H543/10)^2)-(PI()*H543/10*H543/10)</f>
        <v/>
      </c>
      <c r="K543" s="125">
        <f>((E543-G543)/2)/F543</f>
        <v/>
      </c>
      <c r="L543" s="125">
        <f>I543/G543</f>
        <v/>
      </c>
      <c r="M543" s="125">
        <f>(E543*2+F543*4+((E543-G543)/2-H543)*4+2*PI()*H543+(D543-2*F543-2*H543)*2)/1000</f>
        <v/>
      </c>
      <c r="N543" s="5" t="n">
        <v>453000</v>
      </c>
      <c r="O543" s="5" t="n">
        <v>8390</v>
      </c>
      <c r="P543" s="125" t="n">
        <v>37</v>
      </c>
      <c r="Q543" s="125" t="n">
        <v>5</v>
      </c>
      <c r="R543" s="5" t="n">
        <v>9530</v>
      </c>
      <c r="S543" s="125" t="n">
        <v>671</v>
      </c>
      <c r="T543" s="5" t="n">
        <v>11200</v>
      </c>
      <c r="U543" s="5" t="n">
        <v>1080</v>
      </c>
      <c r="X543" s="129">
        <f t="array" ref="X543">_xlfn.IFS((D543/F543) &lt;= (640/SQRT($AT$32)), "Compact", L543 &lt;= ($AT$32*(0.79-(0.002*((E543-G543/2)/(2*F543))*SQRT($AT$32)))), "Non-Compact", L543 &gt; ($AT$32*(0.79-(0.002*((E543-G543/2)/(2*F543))*SQRT($AT$32)))), "Slender")</f>
        <v/>
      </c>
      <c r="Y543" s="129">
        <f t="array" ref="Y543">_xlfn.IFS(K543 &lt;= (65/SQRT($AT$32)), "Compact", K543 &lt;= (95/SQRT($AT$32)), "Non-Compact", K543 &gt; (95/SQRT($AT$32)), "Slender")</f>
        <v/>
      </c>
      <c r="Z543" s="125">
        <f>E543/F543</f>
        <v/>
      </c>
      <c r="AA543" s="125">
        <f>D543/G543</f>
        <v/>
      </c>
      <c r="AB543" s="125">
        <f t="array" ref="AB543">_xlfn.IFS(Z543 &lt;= 9, "1", Z543 &lt;= 12, "2", Z543 &lt;= 15, "3", Z543 &gt; 15, "4")</f>
        <v/>
      </c>
      <c r="AC543" s="125">
        <f t="array" ref="AC543">_xlfn.IFS(AA543 &lt;= 200, "1", L543 &lt;= 300, "2", L543 &lt;= 400, "3", L543 &gt; 400, "4")</f>
        <v/>
      </c>
      <c r="AF543" s="129">
        <f>SQRT((((VLOOKUP($AT$4,$A$4:$D$1021,4,FALSE))-D543)^2)+(((VLOOKUP($AT$4,$A$4:$E$1021,5,FALSE))-E543)^2)+(((VLOOKUP($AT$4,$A$4:$N$1021,14,FALSE))-N543)^2)+(((VLOOKUP($AT$4,$A$4:$O$1021,15,FALSE))-O543)^2))</f>
        <v/>
      </c>
      <c r="AG543" s="129" t="n"/>
      <c r="AI543" s="129">
        <f>SQRT((((VLOOKUP($AT$4,$A$4:$D$1021,4,FALSE))-D543)^2)+(((VLOOKUP($AT$4,$A$4:$E$1021,5,FALSE))-E543)^2)+(((VLOOKUP($AT$4,$A$4:$R$1021,18,FALSE))-R543)^2)+(((VLOOKUP($AT$4,$A$4:$S$1021,19,FALSE))-S543)^2))</f>
        <v/>
      </c>
      <c r="AJ543" s="125" t="inlineStr">
        <is>
          <t>HY950X260</t>
        </is>
      </c>
      <c r="AK543" s="125" t="n"/>
      <c r="AL543" s="125" t="n"/>
      <c r="AM543" s="125">
        <f>SQRT(((VLOOKUP($AT$4,$A$4:$J$1021,10,FALSE))-J543)^2)</f>
        <v/>
      </c>
      <c r="AN543" s="125" t="n"/>
      <c r="AO543" s="125" t="n"/>
      <c r="AP543" s="125">
        <f>SQRT(((VLOOKUP($AT$4,$A$4:$R$1021,18,FALSE))-R543)^2)</f>
        <v/>
      </c>
      <c r="AQ543" s="125" t="inlineStr">
        <is>
          <t>HY950X260</t>
        </is>
      </c>
      <c r="BB543" s="125">
        <f>SQRT(($J$1022-J543)^2)</f>
        <v/>
      </c>
      <c r="BC543" s="125">
        <f>SQRT(($R$1022-R543)^2)</f>
        <v/>
      </c>
      <c r="BD543" s="125" t="inlineStr">
        <is>
          <t>HY950X260</t>
        </is>
      </c>
      <c r="BI543">
        <f>SQRT(($J$1023-J543)^2)</f>
        <v/>
      </c>
      <c r="BJ543">
        <f>SQRT(($R$1023-R543)^2)</f>
        <v/>
      </c>
      <c r="BK543" s="125" t="inlineStr">
        <is>
          <t>HY950X260</t>
        </is>
      </c>
      <c r="BP543">
        <f>SQRT(($J$1024-J543)^2)</f>
        <v/>
      </c>
      <c r="BQ543">
        <f>SQRT(($R$1024-R543)^2)</f>
        <v/>
      </c>
      <c r="BR543" s="125" t="inlineStr">
        <is>
          <t>HY950X260</t>
        </is>
      </c>
      <c r="BW543">
        <f>SQRT(($J$1025-J543)^2)</f>
        <v/>
      </c>
      <c r="BX543">
        <f>SQRT(($R$1025-R543)^2)</f>
        <v/>
      </c>
      <c r="BY543" s="125" t="inlineStr">
        <is>
          <t>HY950X260</t>
        </is>
      </c>
      <c r="CD543">
        <f>SQRT(($J$1026-J543)^2)</f>
        <v/>
      </c>
      <c r="CE543">
        <f>SQRT(($R$1026-R543)^2)</f>
        <v/>
      </c>
      <c r="CF543" s="125" t="inlineStr">
        <is>
          <t>HY950X260</t>
        </is>
      </c>
    </row>
    <row r="544">
      <c r="A544" s="125" t="inlineStr">
        <is>
          <t>HY950X245</t>
        </is>
      </c>
      <c r="B544" s="129" t="inlineStr">
        <is>
          <t>HY</t>
        </is>
      </c>
      <c r="C544" s="125" t="n">
        <v>245</v>
      </c>
      <c r="D544" s="125" t="n">
        <v>950</v>
      </c>
      <c r="E544" s="125" t="n">
        <v>250</v>
      </c>
      <c r="F544" s="125" t="n">
        <v>28</v>
      </c>
      <c r="G544" s="125" t="n">
        <v>19</v>
      </c>
      <c r="H544" s="125" t="n">
        <v>18</v>
      </c>
      <c r="I544" s="125">
        <f>D544-(2*(H544+F544))</f>
        <v/>
      </c>
      <c r="J544" s="125">
        <f>(2*E544/10*F544/10)+((D544-F544-F544)/10*G544/10)+((H544/10+H544/10)^2)-(PI()*H544/10*H544/10)</f>
        <v/>
      </c>
      <c r="K544" s="125">
        <f>((E544-G544)/2)/F544</f>
        <v/>
      </c>
      <c r="L544" s="125">
        <f>I544/G544</f>
        <v/>
      </c>
      <c r="M544" s="125">
        <f>(E544*2+F544*4+((E544-G544)/2-H544)*4+2*PI()*H544+(D544-2*F544-2*H544)*2)/1000</f>
        <v/>
      </c>
      <c r="N544" s="5" t="n">
        <v>416000</v>
      </c>
      <c r="O544" s="5" t="n">
        <v>7350</v>
      </c>
      <c r="P544" s="125" t="n">
        <v>36.5</v>
      </c>
      <c r="Q544" s="125" t="n">
        <v>4.9</v>
      </c>
      <c r="R544" s="5" t="n">
        <v>8760</v>
      </c>
      <c r="S544" s="125" t="n">
        <v>588</v>
      </c>
      <c r="T544" s="5" t="n">
        <v>10400</v>
      </c>
      <c r="U544" s="125" t="n">
        <v>959</v>
      </c>
      <c r="X544" s="129">
        <f t="array" ref="X544">_xlfn.IFS((D544/F544) &lt;= (640/SQRT($AT$32)), "Compact", L544 &lt;= ($AT$32*(0.79-(0.002*((E544-G544/2)/(2*F544))*SQRT($AT$32)))), "Non-Compact", L544 &gt; ($AT$32*(0.79-(0.002*((E544-G544/2)/(2*F544))*SQRT($AT$32)))), "Slender")</f>
        <v/>
      </c>
      <c r="Y544" s="129">
        <f t="array" ref="Y544">_xlfn.IFS(K544 &lt;= (65/SQRT($AT$32)), "Compact", K544 &lt;= (95/SQRT($AT$32)), "Non-Compact", K544 &gt; (95/SQRT($AT$32)), "Slender")</f>
        <v/>
      </c>
      <c r="Z544" s="125">
        <f>E544/F544</f>
        <v/>
      </c>
      <c r="AA544" s="125">
        <f>D544/G544</f>
        <v/>
      </c>
      <c r="AB544" s="125">
        <f t="array" ref="AB544">_xlfn.IFS(Z544 &lt;= 9, "1", Z544 &lt;= 12, "2", Z544 &lt;= 15, "3", Z544 &gt; 15, "4")</f>
        <v/>
      </c>
      <c r="AC544" s="125">
        <f t="array" ref="AC544">_xlfn.IFS(AA544 &lt;= 200, "1", L544 &lt;= 300, "2", L544 &lt;= 400, "3", L544 &gt; 400, "4")</f>
        <v/>
      </c>
      <c r="AF544" s="129">
        <f>SQRT((((VLOOKUP($AT$4,$A$4:$D$1021,4,FALSE))-D544)^2)+(((VLOOKUP($AT$4,$A$4:$E$1021,5,FALSE))-E544)^2)+(((VLOOKUP($AT$4,$A$4:$N$1021,14,FALSE))-N544)^2)+(((VLOOKUP($AT$4,$A$4:$O$1021,15,FALSE))-O544)^2))</f>
        <v/>
      </c>
      <c r="AG544" s="129" t="n"/>
      <c r="AI544" s="129">
        <f>SQRT((((VLOOKUP($AT$4,$A$4:$D$1021,4,FALSE))-D544)^2)+(((VLOOKUP($AT$4,$A$4:$E$1021,5,FALSE))-E544)^2)+(((VLOOKUP($AT$4,$A$4:$R$1021,18,FALSE))-R544)^2)+(((VLOOKUP($AT$4,$A$4:$S$1021,19,FALSE))-S544)^2))</f>
        <v/>
      </c>
      <c r="AJ544" s="125" t="inlineStr">
        <is>
          <t>HY950X245</t>
        </is>
      </c>
      <c r="AK544" s="125" t="n"/>
      <c r="AL544" s="125" t="n"/>
      <c r="AM544" s="125">
        <f>SQRT(((VLOOKUP($AT$4,$A$4:$J$1021,10,FALSE))-J544)^2)</f>
        <v/>
      </c>
      <c r="AN544" s="125" t="n"/>
      <c r="AO544" s="125" t="n"/>
      <c r="AP544" s="125">
        <f>SQRT(((VLOOKUP($AT$4,$A$4:$R$1021,18,FALSE))-R544)^2)</f>
        <v/>
      </c>
      <c r="AQ544" s="125" t="inlineStr">
        <is>
          <t>HY950X245</t>
        </is>
      </c>
      <c r="BB544" s="125">
        <f>SQRT(($J$1022-J544)^2)</f>
        <v/>
      </c>
      <c r="BC544" s="125">
        <f>SQRT(($R$1022-R544)^2)</f>
        <v/>
      </c>
      <c r="BD544" s="125" t="inlineStr">
        <is>
          <t>HY950X245</t>
        </is>
      </c>
      <c r="BI544">
        <f>SQRT(($J$1023-J544)^2)</f>
        <v/>
      </c>
      <c r="BJ544">
        <f>SQRT(($R$1023-R544)^2)</f>
        <v/>
      </c>
      <c r="BK544" s="125" t="inlineStr">
        <is>
          <t>HY950X245</t>
        </is>
      </c>
      <c r="BP544">
        <f>SQRT(($J$1024-J544)^2)</f>
        <v/>
      </c>
      <c r="BQ544">
        <f>SQRT(($R$1024-R544)^2)</f>
        <v/>
      </c>
      <c r="BR544" s="125" t="inlineStr">
        <is>
          <t>HY950X245</t>
        </is>
      </c>
      <c r="BW544">
        <f>SQRT(($J$1025-J544)^2)</f>
        <v/>
      </c>
      <c r="BX544">
        <f>SQRT(($R$1025-R544)^2)</f>
        <v/>
      </c>
      <c r="BY544" s="125" t="inlineStr">
        <is>
          <t>HY950X245</t>
        </is>
      </c>
      <c r="CD544">
        <f>SQRT(($J$1026-J544)^2)</f>
        <v/>
      </c>
      <c r="CE544">
        <f>SQRT(($R$1026-R544)^2)</f>
        <v/>
      </c>
      <c r="CF544" s="125" t="inlineStr">
        <is>
          <t>HY950X245</t>
        </is>
      </c>
    </row>
    <row r="545">
      <c r="A545" s="125" t="inlineStr">
        <is>
          <t>HY950X235</t>
        </is>
      </c>
      <c r="B545" s="129" t="inlineStr">
        <is>
          <t>HY</t>
        </is>
      </c>
      <c r="C545" s="125" t="n">
        <v>235</v>
      </c>
      <c r="D545" s="125" t="n">
        <v>950</v>
      </c>
      <c r="E545" s="125" t="n">
        <v>250</v>
      </c>
      <c r="F545" s="125" t="n">
        <v>25</v>
      </c>
      <c r="G545" s="125" t="n">
        <v>19</v>
      </c>
      <c r="H545" s="125" t="n">
        <v>18</v>
      </c>
      <c r="I545" s="125">
        <f>D545-(2*(H545+F545))</f>
        <v/>
      </c>
      <c r="J545" s="125">
        <f>(2*E545/10*F545/10)+((D545-F545-F545)/10*G545/10)+((H545/10+H545/10)^2)-(PI()*H545/10*H545/10)</f>
        <v/>
      </c>
      <c r="K545" s="125">
        <f>((E545-G545)/2)/F545</f>
        <v/>
      </c>
      <c r="L545" s="125">
        <f>I545/G545</f>
        <v/>
      </c>
      <c r="M545" s="125">
        <f>(E545*2+F545*4+((E545-G545)/2-H545)*4+2*PI()*H545+(D545-2*F545-2*H545)*2)/1000</f>
        <v/>
      </c>
      <c r="N545" s="5" t="n">
        <v>388000</v>
      </c>
      <c r="O545" s="5" t="n">
        <v>6570</v>
      </c>
      <c r="P545" s="125" t="n">
        <v>36.1</v>
      </c>
      <c r="Q545" s="125" t="n">
        <v>4.7</v>
      </c>
      <c r="R545" s="5" t="n">
        <v>8180</v>
      </c>
      <c r="S545" s="125" t="n">
        <v>525</v>
      </c>
      <c r="T545" s="5" t="n">
        <v>9750</v>
      </c>
      <c r="U545" s="125" t="n">
        <v>866</v>
      </c>
      <c r="X545" s="129">
        <f t="array" ref="X545">_xlfn.IFS((D545/F545) &lt;= (640/SQRT($AT$32)), "Compact", L545 &lt;= ($AT$32*(0.79-(0.002*((E545-G545/2)/(2*F545))*SQRT($AT$32)))), "Non-Compact", L545 &gt; ($AT$32*(0.79-(0.002*((E545-G545/2)/(2*F545))*SQRT($AT$32)))), "Slender")</f>
        <v/>
      </c>
      <c r="Y545" s="129">
        <f t="array" ref="Y545">_xlfn.IFS(K545 &lt;= (65/SQRT($AT$32)), "Compact", K545 &lt;= (95/SQRT($AT$32)), "Non-Compact", K545 &gt; (95/SQRT($AT$32)), "Slender")</f>
        <v/>
      </c>
      <c r="Z545" s="125">
        <f>E545/F545</f>
        <v/>
      </c>
      <c r="AA545" s="125">
        <f>D545/G545</f>
        <v/>
      </c>
      <c r="AB545" s="125">
        <f t="array" ref="AB545">_xlfn.IFS(Z545 &lt;= 9, "1", Z545 &lt;= 12, "2", Z545 &lt;= 15, "3", Z545 &gt; 15, "4")</f>
        <v/>
      </c>
      <c r="AC545" s="125">
        <f t="array" ref="AC545">_xlfn.IFS(AA545 &lt;= 200, "1", L545 &lt;= 300, "2", L545 &lt;= 400, "3", L545 &gt; 400, "4")</f>
        <v/>
      </c>
      <c r="AF545" s="129">
        <f>SQRT((((VLOOKUP($AT$4,$A$4:$D$1021,4,FALSE))-D545)^2)+(((VLOOKUP($AT$4,$A$4:$E$1021,5,FALSE))-E545)^2)+(((VLOOKUP($AT$4,$A$4:$N$1021,14,FALSE))-N545)^2)+(((VLOOKUP($AT$4,$A$4:$O$1021,15,FALSE))-O545)^2))</f>
        <v/>
      </c>
      <c r="AG545" s="129" t="n"/>
      <c r="AI545" s="129">
        <f>SQRT((((VLOOKUP($AT$4,$A$4:$D$1021,4,FALSE))-D545)^2)+(((VLOOKUP($AT$4,$A$4:$E$1021,5,FALSE))-E545)^2)+(((VLOOKUP($AT$4,$A$4:$R$1021,18,FALSE))-R545)^2)+(((VLOOKUP($AT$4,$A$4:$S$1021,19,FALSE))-S545)^2))</f>
        <v/>
      </c>
      <c r="AJ545" s="125" t="inlineStr">
        <is>
          <t>HY950X235</t>
        </is>
      </c>
      <c r="AK545" s="125" t="n"/>
      <c r="AL545" s="125" t="n"/>
      <c r="AM545" s="125">
        <f>SQRT(((VLOOKUP($AT$4,$A$4:$J$1021,10,FALSE))-J545)^2)</f>
        <v/>
      </c>
      <c r="AN545" s="125" t="n"/>
      <c r="AO545" s="125" t="n"/>
      <c r="AP545" s="125">
        <f>SQRT(((VLOOKUP($AT$4,$A$4:$R$1021,18,FALSE))-R545)^2)</f>
        <v/>
      </c>
      <c r="AQ545" s="125" t="inlineStr">
        <is>
          <t>HY950X235</t>
        </is>
      </c>
      <c r="BB545" s="125">
        <f>SQRT(($J$1022-J545)^2)</f>
        <v/>
      </c>
      <c r="BC545" s="125">
        <f>SQRT(($R$1022-R545)^2)</f>
        <v/>
      </c>
      <c r="BD545" s="125" t="inlineStr">
        <is>
          <t>HY950X235</t>
        </is>
      </c>
      <c r="BI545">
        <f>SQRT(($J$1023-J545)^2)</f>
        <v/>
      </c>
      <c r="BJ545">
        <f>SQRT(($R$1023-R545)^2)</f>
        <v/>
      </c>
      <c r="BK545" s="125" t="inlineStr">
        <is>
          <t>HY950X235</t>
        </is>
      </c>
      <c r="BP545">
        <f>SQRT(($J$1024-J545)^2)</f>
        <v/>
      </c>
      <c r="BQ545">
        <f>SQRT(($R$1024-R545)^2)</f>
        <v/>
      </c>
      <c r="BR545" s="125" t="inlineStr">
        <is>
          <t>HY950X235</t>
        </is>
      </c>
      <c r="BW545">
        <f>SQRT(($J$1025-J545)^2)</f>
        <v/>
      </c>
      <c r="BX545">
        <f>SQRT(($R$1025-R545)^2)</f>
        <v/>
      </c>
      <c r="BY545" s="125" t="inlineStr">
        <is>
          <t>HY950X235</t>
        </is>
      </c>
      <c r="CD545">
        <f>SQRT(($J$1026-J545)^2)</f>
        <v/>
      </c>
      <c r="CE545">
        <f>SQRT(($R$1026-R545)^2)</f>
        <v/>
      </c>
      <c r="CF545" s="125" t="inlineStr">
        <is>
          <t>HY950X235</t>
        </is>
      </c>
    </row>
    <row r="546">
      <c r="A546" s="125" t="inlineStr">
        <is>
          <t>HY950X239</t>
        </is>
      </c>
      <c r="B546" s="129" t="inlineStr">
        <is>
          <t>HY</t>
        </is>
      </c>
      <c r="C546" s="125" t="n">
        <v>239</v>
      </c>
      <c r="D546" s="125" t="n">
        <v>950</v>
      </c>
      <c r="E546" s="125" t="n">
        <v>250</v>
      </c>
      <c r="F546" s="125" t="n">
        <v>32</v>
      </c>
      <c r="G546" s="125" t="n">
        <v>16</v>
      </c>
      <c r="H546" s="125" t="n">
        <v>18</v>
      </c>
      <c r="I546" s="125">
        <f>D546-(2*(H546+F546))</f>
        <v/>
      </c>
      <c r="J546" s="125">
        <f>(2*E546/10*F546/10)+((D546-F546-F546)/10*G546/10)+((H546/10+H546/10)^2)-(PI()*H546/10*H546/10)</f>
        <v/>
      </c>
      <c r="K546" s="125">
        <f>((E546-G546)/2)/F546</f>
        <v/>
      </c>
      <c r="L546" s="125">
        <f>I546/G546</f>
        <v/>
      </c>
      <c r="M546" s="125">
        <f>(E546*2+F546*4+((E546-G546)/2-H546)*4+2*PI()*H546+(D546-2*F546-2*H546)*2)/1000</f>
        <v/>
      </c>
      <c r="N546" s="5" t="n">
        <v>435000</v>
      </c>
      <c r="O546" s="5" t="n">
        <v>8370</v>
      </c>
      <c r="P546" s="125" t="n">
        <v>37.8</v>
      </c>
      <c r="Q546" s="125" t="n">
        <v>5.2</v>
      </c>
      <c r="R546" s="5" t="n">
        <v>9160</v>
      </c>
      <c r="S546" s="125" t="n">
        <v>669</v>
      </c>
      <c r="T546" s="5" t="n">
        <v>10600</v>
      </c>
      <c r="U546" s="5" t="n">
        <v>1060</v>
      </c>
      <c r="X546" s="129">
        <f t="array" ref="X546">_xlfn.IFS((D546/F546) &lt;= (640/SQRT($AT$32)), "Compact", L546 &lt;= ($AT$32*(0.79-(0.002*((E546-G546/2)/(2*F546))*SQRT($AT$32)))), "Non-Compact", L546 &gt; ($AT$32*(0.79-(0.002*((E546-G546/2)/(2*F546))*SQRT($AT$32)))), "Slender")</f>
        <v/>
      </c>
      <c r="Y546" s="129">
        <f t="array" ref="Y546">_xlfn.IFS(K546 &lt;= (65/SQRT($AT$32)), "Compact", K546 &lt;= (95/SQRT($AT$32)), "Non-Compact", K546 &gt; (95/SQRT($AT$32)), "Slender")</f>
        <v/>
      </c>
      <c r="Z546" s="125">
        <f>E546/F546</f>
        <v/>
      </c>
      <c r="AA546" s="125">
        <f>D546/G546</f>
        <v/>
      </c>
      <c r="AB546" s="125">
        <f t="array" ref="AB546">_xlfn.IFS(Z546 &lt;= 9, "1", Z546 &lt;= 12, "2", Z546 &lt;= 15, "3", Z546 &gt; 15, "4")</f>
        <v/>
      </c>
      <c r="AC546" s="125">
        <f t="array" ref="AC546">_xlfn.IFS(AA546 &lt;= 200, "1", L546 &lt;= 300, "2", L546 &lt;= 400, "3", L546 &gt; 400, "4")</f>
        <v/>
      </c>
      <c r="AF546" s="129">
        <f>SQRT((((VLOOKUP($AT$4,$A$4:$D$1021,4,FALSE))-D546)^2)+(((VLOOKUP($AT$4,$A$4:$E$1021,5,FALSE))-E546)^2)+(((VLOOKUP($AT$4,$A$4:$N$1021,14,FALSE))-N546)^2)+(((VLOOKUP($AT$4,$A$4:$O$1021,15,FALSE))-O546)^2))</f>
        <v/>
      </c>
      <c r="AG546" s="129" t="n"/>
      <c r="AI546" s="129">
        <f>SQRT((((VLOOKUP($AT$4,$A$4:$D$1021,4,FALSE))-D546)^2)+(((VLOOKUP($AT$4,$A$4:$E$1021,5,FALSE))-E546)^2)+(((VLOOKUP($AT$4,$A$4:$R$1021,18,FALSE))-R546)^2)+(((VLOOKUP($AT$4,$A$4:$S$1021,19,FALSE))-S546)^2))</f>
        <v/>
      </c>
      <c r="AJ546" s="125" t="inlineStr">
        <is>
          <t>HY950X239</t>
        </is>
      </c>
      <c r="AK546" s="125" t="n"/>
      <c r="AL546" s="125" t="n"/>
      <c r="AM546" s="125">
        <f>SQRT(((VLOOKUP($AT$4,$A$4:$J$1021,10,FALSE))-J546)^2)</f>
        <v/>
      </c>
      <c r="AN546" s="125" t="n"/>
      <c r="AO546" s="125" t="n"/>
      <c r="AP546" s="125">
        <f>SQRT(((VLOOKUP($AT$4,$A$4:$R$1021,18,FALSE))-R546)^2)</f>
        <v/>
      </c>
      <c r="AQ546" s="125" t="inlineStr">
        <is>
          <t>HY950X239</t>
        </is>
      </c>
      <c r="BB546" s="125">
        <f>SQRT(($J$1022-J546)^2)</f>
        <v/>
      </c>
      <c r="BC546" s="125">
        <f>SQRT(($R$1022-R546)^2)</f>
        <v/>
      </c>
      <c r="BD546" s="125" t="inlineStr">
        <is>
          <t>HY950X239</t>
        </is>
      </c>
      <c r="BI546">
        <f>SQRT(($J$1023-J546)^2)</f>
        <v/>
      </c>
      <c r="BJ546">
        <f>SQRT(($R$1023-R546)^2)</f>
        <v/>
      </c>
      <c r="BK546" s="125" t="inlineStr">
        <is>
          <t>HY950X239</t>
        </is>
      </c>
      <c r="BP546">
        <f>SQRT(($J$1024-J546)^2)</f>
        <v/>
      </c>
      <c r="BQ546">
        <f>SQRT(($R$1024-R546)^2)</f>
        <v/>
      </c>
      <c r="BR546" s="125" t="inlineStr">
        <is>
          <t>HY950X239</t>
        </is>
      </c>
      <c r="BW546">
        <f>SQRT(($J$1025-J546)^2)</f>
        <v/>
      </c>
      <c r="BX546">
        <f>SQRT(($R$1025-R546)^2)</f>
        <v/>
      </c>
      <c r="BY546" s="125" t="inlineStr">
        <is>
          <t>HY950X239</t>
        </is>
      </c>
      <c r="CD546">
        <f>SQRT(($J$1026-J546)^2)</f>
        <v/>
      </c>
      <c r="CE546">
        <f>SQRT(($R$1026-R546)^2)</f>
        <v/>
      </c>
      <c r="CF546" s="125" t="inlineStr">
        <is>
          <t>HY950X239</t>
        </is>
      </c>
    </row>
    <row r="547">
      <c r="A547" s="125" t="inlineStr">
        <is>
          <t>HY950X224</t>
        </is>
      </c>
      <c r="B547" s="129" t="inlineStr">
        <is>
          <t>HY</t>
        </is>
      </c>
      <c r="C547" s="125" t="n">
        <v>224</v>
      </c>
      <c r="D547" s="125" t="n">
        <v>950</v>
      </c>
      <c r="E547" s="125" t="n">
        <v>250</v>
      </c>
      <c r="F547" s="125" t="n">
        <v>28</v>
      </c>
      <c r="G547" s="125" t="n">
        <v>16</v>
      </c>
      <c r="H547" s="125" t="n">
        <v>18</v>
      </c>
      <c r="I547" s="125">
        <f>D547-(2*(H547+F547))</f>
        <v/>
      </c>
      <c r="J547" s="125">
        <f>(2*E547/10*F547/10)+((D547-F547-F547)/10*G547/10)+((H547/10+H547/10)^2)-(PI()*H547/10*H547/10)</f>
        <v/>
      </c>
      <c r="K547" s="125">
        <f>((E547-G547)/2)/F547</f>
        <v/>
      </c>
      <c r="L547" s="125">
        <f>I547/G547</f>
        <v/>
      </c>
      <c r="M547" s="125">
        <f>(E547*2+F547*4+((E547-G547)/2-H547)*4+2*PI()*H547+(D547-2*F547-2*H547)*2)/1000</f>
        <v/>
      </c>
      <c r="N547" s="5" t="n">
        <v>398000</v>
      </c>
      <c r="O547" s="5" t="n">
        <v>7330</v>
      </c>
      <c r="P547" s="125" t="n">
        <v>37.3</v>
      </c>
      <c r="Q547" s="125" t="n">
        <v>5.1</v>
      </c>
      <c r="R547" s="5" t="n">
        <v>8390</v>
      </c>
      <c r="S547" s="125" t="n">
        <v>586</v>
      </c>
      <c r="T547" s="5" t="n">
        <v>9770</v>
      </c>
      <c r="U547" s="125" t="n">
        <v>936</v>
      </c>
      <c r="X547" s="129">
        <f t="array" ref="X547">_xlfn.IFS((D547/F547) &lt;= (640/SQRT($AT$32)), "Compact", L547 &lt;= ($AT$32*(0.79-(0.002*((E547-G547/2)/(2*F547))*SQRT($AT$32)))), "Non-Compact", L547 &gt; ($AT$32*(0.79-(0.002*((E547-G547/2)/(2*F547))*SQRT($AT$32)))), "Slender")</f>
        <v/>
      </c>
      <c r="Y547" s="129">
        <f t="array" ref="Y547">_xlfn.IFS(K547 &lt;= (65/SQRT($AT$32)), "Compact", K547 &lt;= (95/SQRT($AT$32)), "Non-Compact", K547 &gt; (95/SQRT($AT$32)), "Slender")</f>
        <v/>
      </c>
      <c r="Z547" s="125">
        <f>E547/F547</f>
        <v/>
      </c>
      <c r="AA547" s="125">
        <f>D547/G547</f>
        <v/>
      </c>
      <c r="AB547" s="125">
        <f t="array" ref="AB547">_xlfn.IFS(Z547 &lt;= 9, "1", Z547 &lt;= 12, "2", Z547 &lt;= 15, "3", Z547 &gt; 15, "4")</f>
        <v/>
      </c>
      <c r="AC547" s="125">
        <f t="array" ref="AC547">_xlfn.IFS(AA547 &lt;= 200, "1", L547 &lt;= 300, "2", L547 &lt;= 400, "3", L547 &gt; 400, "4")</f>
        <v/>
      </c>
      <c r="AF547" s="129">
        <f>SQRT((((VLOOKUP($AT$4,$A$4:$D$1021,4,FALSE))-D547)^2)+(((VLOOKUP($AT$4,$A$4:$E$1021,5,FALSE))-E547)^2)+(((VLOOKUP($AT$4,$A$4:$N$1021,14,FALSE))-N547)^2)+(((VLOOKUP($AT$4,$A$4:$O$1021,15,FALSE))-O547)^2))</f>
        <v/>
      </c>
      <c r="AG547" s="129" t="n"/>
      <c r="AI547" s="129">
        <f>SQRT((((VLOOKUP($AT$4,$A$4:$D$1021,4,FALSE))-D547)^2)+(((VLOOKUP($AT$4,$A$4:$E$1021,5,FALSE))-E547)^2)+(((VLOOKUP($AT$4,$A$4:$R$1021,18,FALSE))-R547)^2)+(((VLOOKUP($AT$4,$A$4:$S$1021,19,FALSE))-S547)^2))</f>
        <v/>
      </c>
      <c r="AJ547" s="125" t="inlineStr">
        <is>
          <t>HY950X224</t>
        </is>
      </c>
      <c r="AK547" s="125" t="n"/>
      <c r="AL547" s="125" t="n"/>
      <c r="AM547" s="125">
        <f>SQRT(((VLOOKUP($AT$4,$A$4:$J$1021,10,FALSE))-J547)^2)</f>
        <v/>
      </c>
      <c r="AN547" s="125" t="n"/>
      <c r="AO547" s="125" t="n"/>
      <c r="AP547" s="125">
        <f>SQRT(((VLOOKUP($AT$4,$A$4:$R$1021,18,FALSE))-R547)^2)</f>
        <v/>
      </c>
      <c r="AQ547" s="125" t="inlineStr">
        <is>
          <t>HY950X224</t>
        </is>
      </c>
      <c r="BB547" s="125">
        <f>SQRT(($J$1022-J547)^2)</f>
        <v/>
      </c>
      <c r="BC547" s="125">
        <f>SQRT(($R$1022-R547)^2)</f>
        <v/>
      </c>
      <c r="BD547" s="125" t="inlineStr">
        <is>
          <t>HY950X224</t>
        </is>
      </c>
      <c r="BI547">
        <f>SQRT(($J$1023-J547)^2)</f>
        <v/>
      </c>
      <c r="BJ547">
        <f>SQRT(($R$1023-R547)^2)</f>
        <v/>
      </c>
      <c r="BK547" s="125" t="inlineStr">
        <is>
          <t>HY950X224</t>
        </is>
      </c>
      <c r="BP547">
        <f>SQRT(($J$1024-J547)^2)</f>
        <v/>
      </c>
      <c r="BQ547">
        <f>SQRT(($R$1024-R547)^2)</f>
        <v/>
      </c>
      <c r="BR547" s="125" t="inlineStr">
        <is>
          <t>HY950X224</t>
        </is>
      </c>
      <c r="BW547">
        <f>SQRT(($J$1025-J547)^2)</f>
        <v/>
      </c>
      <c r="BX547">
        <f>SQRT(($R$1025-R547)^2)</f>
        <v/>
      </c>
      <c r="BY547" s="125" t="inlineStr">
        <is>
          <t>HY950X224</t>
        </is>
      </c>
      <c r="CD547">
        <f>SQRT(($J$1026-J547)^2)</f>
        <v/>
      </c>
      <c r="CE547">
        <f>SQRT(($R$1026-R547)^2)</f>
        <v/>
      </c>
      <c r="CF547" s="125" t="inlineStr">
        <is>
          <t>HY950X224</t>
        </is>
      </c>
    </row>
    <row r="548">
      <c r="A548" s="125" t="inlineStr">
        <is>
          <t>HY950X213</t>
        </is>
      </c>
      <c r="B548" s="129" t="inlineStr">
        <is>
          <t>HY</t>
        </is>
      </c>
      <c r="C548" s="125" t="n">
        <v>213</v>
      </c>
      <c r="D548" s="125" t="n">
        <v>950</v>
      </c>
      <c r="E548" s="125" t="n">
        <v>250</v>
      </c>
      <c r="F548" s="125" t="n">
        <v>25</v>
      </c>
      <c r="G548" s="125" t="n">
        <v>16</v>
      </c>
      <c r="H548" s="125" t="n">
        <v>18</v>
      </c>
      <c r="I548" s="125">
        <f>D548-(2*(H548+F548))</f>
        <v/>
      </c>
      <c r="J548" s="125">
        <f>(2*E548/10*F548/10)+((D548-F548-F548)/10*G548/10)+((H548/10+H548/10)^2)-(PI()*H548/10*H548/10)</f>
        <v/>
      </c>
      <c r="K548" s="125">
        <f>((E548-G548)/2)/F548</f>
        <v/>
      </c>
      <c r="L548" s="125">
        <f>I548/G548</f>
        <v/>
      </c>
      <c r="M548" s="125">
        <f>(E548*2+F548*4+((E548-G548)/2-H548)*4+2*PI()*H548+(D548-2*F548-2*H548)*2)/1000</f>
        <v/>
      </c>
      <c r="N548" s="5" t="n">
        <v>370000</v>
      </c>
      <c r="O548" s="5" t="n">
        <v>6550</v>
      </c>
      <c r="P548" s="125" t="n">
        <v>36.9</v>
      </c>
      <c r="Q548" s="125" t="n">
        <v>4.9</v>
      </c>
      <c r="R548" s="5" t="n">
        <v>7790</v>
      </c>
      <c r="S548" s="125" t="n">
        <v>524</v>
      </c>
      <c r="T548" s="5" t="n">
        <v>9150</v>
      </c>
      <c r="U548" s="125" t="n">
        <v>842</v>
      </c>
      <c r="X548" s="129">
        <f t="array" ref="X548">_xlfn.IFS((D548/F548) &lt;= (640/SQRT($AT$32)), "Compact", L548 &lt;= ($AT$32*(0.79-(0.002*((E548-G548/2)/(2*F548))*SQRT($AT$32)))), "Non-Compact", L548 &gt; ($AT$32*(0.79-(0.002*((E548-G548/2)/(2*F548))*SQRT($AT$32)))), "Slender")</f>
        <v/>
      </c>
      <c r="Y548" s="129">
        <f t="array" ref="Y548">_xlfn.IFS(K548 &lt;= (65/SQRT($AT$32)), "Compact", K548 &lt;= (95/SQRT($AT$32)), "Non-Compact", K548 &gt; (95/SQRT($AT$32)), "Slender")</f>
        <v/>
      </c>
      <c r="Z548" s="125">
        <f>E548/F548</f>
        <v/>
      </c>
      <c r="AA548" s="125">
        <f>D548/G548</f>
        <v/>
      </c>
      <c r="AB548" s="125">
        <f t="array" ref="AB548">_xlfn.IFS(Z548 &lt;= 9, "1", Z548 &lt;= 12, "2", Z548 &lt;= 15, "3", Z548 &gt; 15, "4")</f>
        <v/>
      </c>
      <c r="AC548" s="125">
        <f t="array" ref="AC548">_xlfn.IFS(AA548 &lt;= 200, "1", L548 &lt;= 300, "2", L548 &lt;= 400, "3", L548 &gt; 400, "4")</f>
        <v/>
      </c>
      <c r="AF548" s="129">
        <f>SQRT((((VLOOKUP($AT$4,$A$4:$D$1021,4,FALSE))-D548)^2)+(((VLOOKUP($AT$4,$A$4:$E$1021,5,FALSE))-E548)^2)+(((VLOOKUP($AT$4,$A$4:$N$1021,14,FALSE))-N548)^2)+(((VLOOKUP($AT$4,$A$4:$O$1021,15,FALSE))-O548)^2))</f>
        <v/>
      </c>
      <c r="AG548" s="129" t="n"/>
      <c r="AI548" s="129">
        <f>SQRT((((VLOOKUP($AT$4,$A$4:$D$1021,4,FALSE))-D548)^2)+(((VLOOKUP($AT$4,$A$4:$E$1021,5,FALSE))-E548)^2)+(((VLOOKUP($AT$4,$A$4:$R$1021,18,FALSE))-R548)^2)+(((VLOOKUP($AT$4,$A$4:$S$1021,19,FALSE))-S548)^2))</f>
        <v/>
      </c>
      <c r="AJ548" s="125" t="inlineStr">
        <is>
          <t>HY950X213</t>
        </is>
      </c>
      <c r="AK548" s="125" t="n"/>
      <c r="AL548" s="125" t="n"/>
      <c r="AM548" s="125">
        <f>SQRT(((VLOOKUP($AT$4,$A$4:$J$1021,10,FALSE))-J548)^2)</f>
        <v/>
      </c>
      <c r="AN548" s="125" t="n"/>
      <c r="AO548" s="125" t="n"/>
      <c r="AP548" s="125">
        <f>SQRT(((VLOOKUP($AT$4,$A$4:$R$1021,18,FALSE))-R548)^2)</f>
        <v/>
      </c>
      <c r="AQ548" s="125" t="inlineStr">
        <is>
          <t>HY950X213</t>
        </is>
      </c>
      <c r="BB548" s="125">
        <f>SQRT(($J$1022-J548)^2)</f>
        <v/>
      </c>
      <c r="BC548" s="125">
        <f>SQRT(($R$1022-R548)^2)</f>
        <v/>
      </c>
      <c r="BD548" s="125" t="inlineStr">
        <is>
          <t>HY950X213</t>
        </is>
      </c>
      <c r="BI548">
        <f>SQRT(($J$1023-J548)^2)</f>
        <v/>
      </c>
      <c r="BJ548">
        <f>SQRT(($R$1023-R548)^2)</f>
        <v/>
      </c>
      <c r="BK548" s="125" t="inlineStr">
        <is>
          <t>HY950X213</t>
        </is>
      </c>
      <c r="BP548">
        <f>SQRT(($J$1024-J548)^2)</f>
        <v/>
      </c>
      <c r="BQ548">
        <f>SQRT(($R$1024-R548)^2)</f>
        <v/>
      </c>
      <c r="BR548" s="125" t="inlineStr">
        <is>
          <t>HY950X213</t>
        </is>
      </c>
      <c r="BW548">
        <f>SQRT(($J$1025-J548)^2)</f>
        <v/>
      </c>
      <c r="BX548">
        <f>SQRT(($R$1025-R548)^2)</f>
        <v/>
      </c>
      <c r="BY548" s="125" t="inlineStr">
        <is>
          <t>HY950X213</t>
        </is>
      </c>
      <c r="CD548">
        <f>SQRT(($J$1026-J548)^2)</f>
        <v/>
      </c>
      <c r="CE548">
        <f>SQRT(($R$1026-R548)^2)</f>
        <v/>
      </c>
      <c r="CF548" s="125" t="inlineStr">
        <is>
          <t>HY950X213</t>
        </is>
      </c>
    </row>
    <row r="549">
      <c r="A549" s="125" t="inlineStr">
        <is>
          <t>HY950X202</t>
        </is>
      </c>
      <c r="B549" s="129" t="inlineStr">
        <is>
          <t>HY</t>
        </is>
      </c>
      <c r="C549" s="125" t="n">
        <v>202</v>
      </c>
      <c r="D549" s="125" t="n">
        <v>950</v>
      </c>
      <c r="E549" s="125" t="n">
        <v>250</v>
      </c>
      <c r="F549" s="125" t="n">
        <v>22</v>
      </c>
      <c r="G549" s="125" t="n">
        <v>16</v>
      </c>
      <c r="H549" s="125" t="n">
        <v>18</v>
      </c>
      <c r="I549" s="125">
        <f>D549-(2*(H549+F549))</f>
        <v/>
      </c>
      <c r="J549" s="125">
        <f>(2*E549/10*F549/10)+((D549-F549-F549)/10*G549/10)+((H549/10+H549/10)^2)-(PI()*H549/10*H549/10)</f>
        <v/>
      </c>
      <c r="K549" s="125">
        <f>((E549-G549)/2)/F549</f>
        <v/>
      </c>
      <c r="L549" s="125">
        <f>I549/G549</f>
        <v/>
      </c>
      <c r="M549" s="125">
        <f>(E549*2+F549*4+((E549-G549)/2-H549)*4+2*PI()*H549+(D549-2*F549-2*H549)*2)/1000</f>
        <v/>
      </c>
      <c r="N549" s="5" t="n">
        <v>342000</v>
      </c>
      <c r="O549" s="5" t="n">
        <v>5760</v>
      </c>
      <c r="P549" s="125" t="n">
        <v>36.4</v>
      </c>
      <c r="Q549" s="125" t="n">
        <v>4.7</v>
      </c>
      <c r="R549" s="5" t="n">
        <v>7190</v>
      </c>
      <c r="S549" s="125" t="n">
        <v>461</v>
      </c>
      <c r="T549" s="5" t="n">
        <v>8510</v>
      </c>
      <c r="U549" s="125" t="n">
        <v>749</v>
      </c>
      <c r="X549" s="129">
        <f t="array" ref="X549">_xlfn.IFS((D549/F549) &lt;= (640/SQRT($AT$32)), "Compact", L549 &lt;= ($AT$32*(0.79-(0.002*((E549-G549/2)/(2*F549))*SQRT($AT$32)))), "Non-Compact", L549 &gt; ($AT$32*(0.79-(0.002*((E549-G549/2)/(2*F549))*SQRT($AT$32)))), "Slender")</f>
        <v/>
      </c>
      <c r="Y549" s="129">
        <f t="array" ref="Y549">_xlfn.IFS(K549 &lt;= (65/SQRT($AT$32)), "Compact", K549 &lt;= (95/SQRT($AT$32)), "Non-Compact", K549 &gt; (95/SQRT($AT$32)), "Slender")</f>
        <v/>
      </c>
      <c r="Z549" s="125">
        <f>E549/F549</f>
        <v/>
      </c>
      <c r="AA549" s="125">
        <f>D549/G549</f>
        <v/>
      </c>
      <c r="AB549" s="125">
        <f t="array" ref="AB549">_xlfn.IFS(Z549 &lt;= 9, "1", Z549 &lt;= 12, "2", Z549 &lt;= 15, "3", Z549 &gt; 15, "4")</f>
        <v/>
      </c>
      <c r="AC549" s="125">
        <f t="array" ref="AC549">_xlfn.IFS(AA549 &lt;= 200, "1", L549 &lt;= 300, "2", L549 &lt;= 400, "3", L549 &gt; 400, "4")</f>
        <v/>
      </c>
      <c r="AF549" s="129">
        <f>SQRT((((VLOOKUP($AT$4,$A$4:$D$1021,4,FALSE))-D549)^2)+(((VLOOKUP($AT$4,$A$4:$E$1021,5,FALSE))-E549)^2)+(((VLOOKUP($AT$4,$A$4:$N$1021,14,FALSE))-N549)^2)+(((VLOOKUP($AT$4,$A$4:$O$1021,15,FALSE))-O549)^2))</f>
        <v/>
      </c>
      <c r="AG549" s="129" t="n"/>
      <c r="AI549" s="129">
        <f>SQRT((((VLOOKUP($AT$4,$A$4:$D$1021,4,FALSE))-D549)^2)+(((VLOOKUP($AT$4,$A$4:$E$1021,5,FALSE))-E549)^2)+(((VLOOKUP($AT$4,$A$4:$R$1021,18,FALSE))-R549)^2)+(((VLOOKUP($AT$4,$A$4:$S$1021,19,FALSE))-S549)^2))</f>
        <v/>
      </c>
      <c r="AJ549" s="125" t="inlineStr">
        <is>
          <t>HY950X202</t>
        </is>
      </c>
      <c r="AK549" s="125" t="n"/>
      <c r="AL549" s="125" t="n"/>
      <c r="AM549" s="125">
        <f>SQRT(((VLOOKUP($AT$4,$A$4:$J$1021,10,FALSE))-J549)^2)</f>
        <v/>
      </c>
      <c r="AN549" s="125" t="n"/>
      <c r="AO549" s="125" t="n"/>
      <c r="AP549" s="125">
        <f>SQRT(((VLOOKUP($AT$4,$A$4:$R$1021,18,FALSE))-R549)^2)</f>
        <v/>
      </c>
      <c r="AQ549" s="125" t="inlineStr">
        <is>
          <t>HY950X202</t>
        </is>
      </c>
      <c r="BB549" s="125">
        <f>SQRT(($J$1022-J549)^2)</f>
        <v/>
      </c>
      <c r="BC549" s="125">
        <f>SQRT(($R$1022-R549)^2)</f>
        <v/>
      </c>
      <c r="BD549" s="125" t="inlineStr">
        <is>
          <t>HY950X202</t>
        </is>
      </c>
      <c r="BI549">
        <f>SQRT(($J$1023-J549)^2)</f>
        <v/>
      </c>
      <c r="BJ549">
        <f>SQRT(($R$1023-R549)^2)</f>
        <v/>
      </c>
      <c r="BK549" s="125" t="inlineStr">
        <is>
          <t>HY950X202</t>
        </is>
      </c>
      <c r="BP549">
        <f>SQRT(($J$1024-J549)^2)</f>
        <v/>
      </c>
      <c r="BQ549">
        <f>SQRT(($R$1024-R549)^2)</f>
        <v/>
      </c>
      <c r="BR549" s="125" t="inlineStr">
        <is>
          <t>HY950X202</t>
        </is>
      </c>
      <c r="BW549">
        <f>SQRT(($J$1025-J549)^2)</f>
        <v/>
      </c>
      <c r="BX549">
        <f>SQRT(($R$1025-R549)^2)</f>
        <v/>
      </c>
      <c r="BY549" s="125" t="inlineStr">
        <is>
          <t>HY950X202</t>
        </is>
      </c>
      <c r="CD549">
        <f>SQRT(($J$1026-J549)^2)</f>
        <v/>
      </c>
      <c r="CE549">
        <f>SQRT(($R$1026-R549)^2)</f>
        <v/>
      </c>
      <c r="CF549" s="125" t="inlineStr">
        <is>
          <t>HY950X202</t>
        </is>
      </c>
    </row>
    <row r="550">
      <c r="A550" s="125" t="inlineStr">
        <is>
          <t>HY900X395</t>
        </is>
      </c>
      <c r="B550" s="129" t="inlineStr">
        <is>
          <t>HY</t>
        </is>
      </c>
      <c r="C550" s="125" t="n">
        <v>395</v>
      </c>
      <c r="D550" s="125" t="n">
        <v>900</v>
      </c>
      <c r="E550" s="125" t="n">
        <v>400</v>
      </c>
      <c r="F550" s="125" t="n">
        <v>40</v>
      </c>
      <c r="G550" s="125" t="n">
        <v>22</v>
      </c>
      <c r="H550" s="125" t="n">
        <v>18</v>
      </c>
      <c r="I550" s="125">
        <f>D550-(2*(H550+F550))</f>
        <v/>
      </c>
      <c r="J550" s="125">
        <f>(2*E550/10*F550/10)+((D550-F550-F550)/10*G550/10)+((H550/10+H550/10)^2)-(PI()*H550/10*H550/10)</f>
        <v/>
      </c>
      <c r="K550" s="125">
        <f>((E550-G550)/2)/F550</f>
        <v/>
      </c>
      <c r="L550" s="125">
        <f>I550/G550</f>
        <v/>
      </c>
      <c r="M550" s="125">
        <f>(E550*2+F550*4+((E550-G550)/2-H550)*4+2*PI()*H550+(D550-2*F550-2*H550)*2)/1000</f>
        <v/>
      </c>
      <c r="N550" s="5" t="n">
        <v>698000</v>
      </c>
      <c r="O550" s="5" t="n">
        <v>42700</v>
      </c>
      <c r="P550" s="125" t="n">
        <v>37.2</v>
      </c>
      <c r="Q550" s="125" t="n">
        <v>9.199999999999999</v>
      </c>
      <c r="R550" s="5" t="n">
        <v>15500</v>
      </c>
      <c r="S550" s="5" t="n">
        <v>2140</v>
      </c>
      <c r="T550" s="5" t="n">
        <v>17600</v>
      </c>
      <c r="U550" s="5" t="n">
        <v>3300</v>
      </c>
      <c r="X550" s="129">
        <f t="array" ref="X550">_xlfn.IFS((D550/F550) &lt;= (640/SQRT($AT$32)), "Compact", L550 &lt;= ($AT$32*(0.79-(0.002*((E550-G550/2)/(2*F550))*SQRT($AT$32)))), "Non-Compact", L550 &gt; ($AT$32*(0.79-(0.002*((E550-G550/2)/(2*F550))*SQRT($AT$32)))), "Slender")</f>
        <v/>
      </c>
      <c r="Y550" s="129">
        <f t="array" ref="Y550">_xlfn.IFS(K550 &lt;= (65/SQRT($AT$32)), "Compact", K550 &lt;= (95/SQRT($AT$32)), "Non-Compact", K550 &gt; (95/SQRT($AT$32)), "Slender")</f>
        <v/>
      </c>
      <c r="Z550" s="125">
        <f>E550/F550</f>
        <v/>
      </c>
      <c r="AA550" s="125">
        <f>D550/G550</f>
        <v/>
      </c>
      <c r="AB550" s="125">
        <f t="array" ref="AB550">_xlfn.IFS(Z550 &lt;= 9, "1", Z550 &lt;= 12, "2", Z550 &lt;= 15, "3", Z550 &gt; 15, "4")</f>
        <v/>
      </c>
      <c r="AC550" s="125">
        <f t="array" ref="AC550">_xlfn.IFS(AA550 &lt;= 200, "1", L550 &lt;= 300, "2", L550 &lt;= 400, "3", L550 &gt; 400, "4")</f>
        <v/>
      </c>
      <c r="AF550" s="129">
        <f>SQRT((((VLOOKUP($AT$4,$A$4:$D$1021,4,FALSE))-D550)^2)+(((VLOOKUP($AT$4,$A$4:$E$1021,5,FALSE))-E550)^2)+(((VLOOKUP($AT$4,$A$4:$N$1021,14,FALSE))-N550)^2)+(((VLOOKUP($AT$4,$A$4:$O$1021,15,FALSE))-O550)^2))</f>
        <v/>
      </c>
      <c r="AG550" s="129" t="n"/>
      <c r="AI550" s="129">
        <f>SQRT((((VLOOKUP($AT$4,$A$4:$D$1021,4,FALSE))-D550)^2)+(((VLOOKUP($AT$4,$A$4:$E$1021,5,FALSE))-E550)^2)+(((VLOOKUP($AT$4,$A$4:$R$1021,18,FALSE))-R550)^2)+(((VLOOKUP($AT$4,$A$4:$S$1021,19,FALSE))-S550)^2))</f>
        <v/>
      </c>
      <c r="AJ550" s="125" t="inlineStr">
        <is>
          <t>HY900X395</t>
        </is>
      </c>
      <c r="AK550" s="125" t="n"/>
      <c r="AL550" s="125" t="n"/>
      <c r="AM550" s="125">
        <f>SQRT(((VLOOKUP($AT$4,$A$4:$J$1021,10,FALSE))-J550)^2)</f>
        <v/>
      </c>
      <c r="AN550" s="125" t="n"/>
      <c r="AO550" s="125" t="n"/>
      <c r="AP550" s="125">
        <f>SQRT(((VLOOKUP($AT$4,$A$4:$R$1021,18,FALSE))-R550)^2)</f>
        <v/>
      </c>
      <c r="AQ550" s="125" t="inlineStr">
        <is>
          <t>HY900X395</t>
        </is>
      </c>
      <c r="BB550" s="125">
        <f>SQRT(($J$1022-J550)^2)</f>
        <v/>
      </c>
      <c r="BC550" s="125">
        <f>SQRT(($R$1022-R550)^2)</f>
        <v/>
      </c>
      <c r="BD550" s="125" t="inlineStr">
        <is>
          <t>HY900X395</t>
        </is>
      </c>
      <c r="BI550">
        <f>SQRT(($J$1023-J550)^2)</f>
        <v/>
      </c>
      <c r="BJ550">
        <f>SQRT(($R$1023-R550)^2)</f>
        <v/>
      </c>
      <c r="BK550" s="125" t="inlineStr">
        <is>
          <t>HY900X395</t>
        </is>
      </c>
      <c r="BP550">
        <f>SQRT(($J$1024-J550)^2)</f>
        <v/>
      </c>
      <c r="BQ550">
        <f>SQRT(($R$1024-R550)^2)</f>
        <v/>
      </c>
      <c r="BR550" s="125" t="inlineStr">
        <is>
          <t>HY900X395</t>
        </is>
      </c>
      <c r="BW550">
        <f>SQRT(($J$1025-J550)^2)</f>
        <v/>
      </c>
      <c r="BX550">
        <f>SQRT(($R$1025-R550)^2)</f>
        <v/>
      </c>
      <c r="BY550" s="125" t="inlineStr">
        <is>
          <t>HY900X395</t>
        </is>
      </c>
      <c r="CD550">
        <f>SQRT(($J$1026-J550)^2)</f>
        <v/>
      </c>
      <c r="CE550">
        <f>SQRT(($R$1026-R550)^2)</f>
        <v/>
      </c>
      <c r="CF550" s="125" t="inlineStr">
        <is>
          <t>HY900X395</t>
        </is>
      </c>
    </row>
    <row r="551">
      <c r="A551" s="125" t="inlineStr">
        <is>
          <t>HY900X371</t>
        </is>
      </c>
      <c r="B551" s="129" t="inlineStr">
        <is>
          <t>HY</t>
        </is>
      </c>
      <c r="C551" s="125" t="n">
        <v>371</v>
      </c>
      <c r="D551" s="125" t="n">
        <v>900</v>
      </c>
      <c r="E551" s="125" t="n">
        <v>400</v>
      </c>
      <c r="F551" s="125" t="n">
        <v>36</v>
      </c>
      <c r="G551" s="125" t="n">
        <v>22</v>
      </c>
      <c r="H551" s="125" t="n">
        <v>18</v>
      </c>
      <c r="I551" s="125">
        <f>D551-(2*(H551+F551))</f>
        <v/>
      </c>
      <c r="J551" s="125">
        <f>(2*E551/10*F551/10)+((D551-F551-F551)/10*G551/10)+((H551/10+H551/10)^2)-(PI()*H551/10*H551/10)</f>
        <v/>
      </c>
      <c r="K551" s="125">
        <f>((E551-G551)/2)/F551</f>
        <v/>
      </c>
      <c r="L551" s="125">
        <f>I551/G551</f>
        <v/>
      </c>
      <c r="M551" s="125">
        <f>(E551*2+F551*4+((E551-G551)/2-H551)*4+2*PI()*H551+(D551-2*F551-2*H551)*2)/1000</f>
        <v/>
      </c>
      <c r="N551" s="5" t="n">
        <v>647000</v>
      </c>
      <c r="O551" s="5" t="n">
        <v>38500</v>
      </c>
      <c r="P551" s="125" t="n">
        <v>37</v>
      </c>
      <c r="Q551" s="125" t="n">
        <v>9</v>
      </c>
      <c r="R551" s="5" t="n">
        <v>14400</v>
      </c>
      <c r="S551" s="5" t="n">
        <v>1920</v>
      </c>
      <c r="T551" s="5" t="n">
        <v>16300</v>
      </c>
      <c r="U551" s="5" t="n">
        <v>2980</v>
      </c>
      <c r="X551" s="129">
        <f t="array" ref="X551">_xlfn.IFS((D551/F551) &lt;= (640/SQRT($AT$32)), "Compact", L551 &lt;= ($AT$32*(0.79-(0.002*((E551-G551/2)/(2*F551))*SQRT($AT$32)))), "Non-Compact", L551 &gt; ($AT$32*(0.79-(0.002*((E551-G551/2)/(2*F551))*SQRT($AT$32)))), "Slender")</f>
        <v/>
      </c>
      <c r="Y551" s="129">
        <f t="array" ref="Y551">_xlfn.IFS(K551 &lt;= (65/SQRT($AT$32)), "Compact", K551 &lt;= (95/SQRT($AT$32)), "Non-Compact", K551 &gt; (95/SQRT($AT$32)), "Slender")</f>
        <v/>
      </c>
      <c r="Z551" s="125">
        <f>E551/F551</f>
        <v/>
      </c>
      <c r="AA551" s="125">
        <f>D551/G551</f>
        <v/>
      </c>
      <c r="AB551" s="125">
        <f t="array" ref="AB551">_xlfn.IFS(Z551 &lt;= 9, "1", Z551 &lt;= 12, "2", Z551 &lt;= 15, "3", Z551 &gt; 15, "4")</f>
        <v/>
      </c>
      <c r="AC551" s="125">
        <f t="array" ref="AC551">_xlfn.IFS(AA551 &lt;= 200, "1", L551 &lt;= 300, "2", L551 &lt;= 400, "3", L551 &gt; 400, "4")</f>
        <v/>
      </c>
      <c r="AF551" s="129">
        <f>SQRT((((VLOOKUP($AT$4,$A$4:$D$1021,4,FALSE))-D551)^2)+(((VLOOKUP($AT$4,$A$4:$E$1021,5,FALSE))-E551)^2)+(((VLOOKUP($AT$4,$A$4:$N$1021,14,FALSE))-N551)^2)+(((VLOOKUP($AT$4,$A$4:$O$1021,15,FALSE))-O551)^2))</f>
        <v/>
      </c>
      <c r="AG551" s="129" t="n"/>
      <c r="AI551" s="129">
        <f>SQRT((((VLOOKUP($AT$4,$A$4:$D$1021,4,FALSE))-D551)^2)+(((VLOOKUP($AT$4,$A$4:$E$1021,5,FALSE))-E551)^2)+(((VLOOKUP($AT$4,$A$4:$R$1021,18,FALSE))-R551)^2)+(((VLOOKUP($AT$4,$A$4:$S$1021,19,FALSE))-S551)^2))</f>
        <v/>
      </c>
      <c r="AJ551" s="125" t="inlineStr">
        <is>
          <t>HY900X371</t>
        </is>
      </c>
      <c r="AK551" s="125" t="n"/>
      <c r="AL551" s="125" t="n"/>
      <c r="AM551" s="125">
        <f>SQRT(((VLOOKUP($AT$4,$A$4:$J$1021,10,FALSE))-J551)^2)</f>
        <v/>
      </c>
      <c r="AN551" s="125" t="n"/>
      <c r="AO551" s="125" t="n"/>
      <c r="AP551" s="125">
        <f>SQRT(((VLOOKUP($AT$4,$A$4:$R$1021,18,FALSE))-R551)^2)</f>
        <v/>
      </c>
      <c r="AQ551" s="125" t="inlineStr">
        <is>
          <t>HY900X371</t>
        </is>
      </c>
      <c r="BB551" s="125">
        <f>SQRT(($J$1022-J551)^2)</f>
        <v/>
      </c>
      <c r="BC551" s="125">
        <f>SQRT(($R$1022-R551)^2)</f>
        <v/>
      </c>
      <c r="BD551" s="125" t="inlineStr">
        <is>
          <t>HY900X371</t>
        </is>
      </c>
      <c r="BI551">
        <f>SQRT(($J$1023-J551)^2)</f>
        <v/>
      </c>
      <c r="BJ551">
        <f>SQRT(($R$1023-R551)^2)</f>
        <v/>
      </c>
      <c r="BK551" s="125" t="inlineStr">
        <is>
          <t>HY900X371</t>
        </is>
      </c>
      <c r="BP551">
        <f>SQRT(($J$1024-J551)^2)</f>
        <v/>
      </c>
      <c r="BQ551">
        <f>SQRT(($R$1024-R551)^2)</f>
        <v/>
      </c>
      <c r="BR551" s="125" t="inlineStr">
        <is>
          <t>HY900X371</t>
        </is>
      </c>
      <c r="BW551">
        <f>SQRT(($J$1025-J551)^2)</f>
        <v/>
      </c>
      <c r="BX551">
        <f>SQRT(($R$1025-R551)^2)</f>
        <v/>
      </c>
      <c r="BY551" s="125" t="inlineStr">
        <is>
          <t>HY900X371</t>
        </is>
      </c>
      <c r="CD551">
        <f>SQRT(($J$1026-J551)^2)</f>
        <v/>
      </c>
      <c r="CE551">
        <f>SQRT(($R$1026-R551)^2)</f>
        <v/>
      </c>
      <c r="CF551" s="125" t="inlineStr">
        <is>
          <t>HY900X371</t>
        </is>
      </c>
    </row>
    <row r="552">
      <c r="A552" s="125" t="inlineStr">
        <is>
          <t>HY900X348</t>
        </is>
      </c>
      <c r="B552" s="129" t="inlineStr">
        <is>
          <t>HY</t>
        </is>
      </c>
      <c r="C552" s="125" t="n">
        <v>348</v>
      </c>
      <c r="D552" s="125" t="n">
        <v>900</v>
      </c>
      <c r="E552" s="125" t="n">
        <v>400</v>
      </c>
      <c r="F552" s="125" t="n">
        <v>32</v>
      </c>
      <c r="G552" s="125" t="n">
        <v>22</v>
      </c>
      <c r="H552" s="125" t="n">
        <v>18</v>
      </c>
      <c r="I552" s="125">
        <f>D552-(2*(H552+F552))</f>
        <v/>
      </c>
      <c r="J552" s="125">
        <f>(2*E552/10*F552/10)+((D552-F552-F552)/10*G552/10)+((H552/10+H552/10)^2)-(PI()*H552/10*H552/10)</f>
        <v/>
      </c>
      <c r="K552" s="125">
        <f>((E552-G552)/2)/F552</f>
        <v/>
      </c>
      <c r="L552" s="125">
        <f>I552/G552</f>
        <v/>
      </c>
      <c r="M552" s="125">
        <f>(E552*2+F552*4+((E552-G552)/2-H552)*4+2*PI()*H552+(D552-2*F552-2*H552)*2)/1000</f>
        <v/>
      </c>
      <c r="N552" s="5" t="n">
        <v>594000</v>
      </c>
      <c r="O552" s="5" t="n">
        <v>34200</v>
      </c>
      <c r="P552" s="125" t="n">
        <v>36.6</v>
      </c>
      <c r="Q552" s="125" t="n">
        <v>8.800000000000001</v>
      </c>
      <c r="R552" s="5" t="n">
        <v>13200</v>
      </c>
      <c r="S552" s="5" t="n">
        <v>1710</v>
      </c>
      <c r="T552" s="5" t="n">
        <v>15100</v>
      </c>
      <c r="U552" s="5" t="n">
        <v>2670</v>
      </c>
      <c r="X552" s="129">
        <f t="array" ref="X552">_xlfn.IFS((D552/F552) &lt;= (640/SQRT($AT$32)), "Compact", L552 &lt;= ($AT$32*(0.79-(0.002*((E552-G552/2)/(2*F552))*SQRT($AT$32)))), "Non-Compact", L552 &gt; ($AT$32*(0.79-(0.002*((E552-G552/2)/(2*F552))*SQRT($AT$32)))), "Slender")</f>
        <v/>
      </c>
      <c r="Y552" s="129">
        <f t="array" ref="Y552">_xlfn.IFS(K552 &lt;= (65/SQRT($AT$32)), "Compact", K552 &lt;= (95/SQRT($AT$32)), "Non-Compact", K552 &gt; (95/SQRT($AT$32)), "Slender")</f>
        <v/>
      </c>
      <c r="Z552" s="125">
        <f>E552/F552</f>
        <v/>
      </c>
      <c r="AA552" s="125">
        <f>D552/G552</f>
        <v/>
      </c>
      <c r="AB552" s="125">
        <f t="array" ref="AB552">_xlfn.IFS(Z552 &lt;= 9, "1", Z552 &lt;= 12, "2", Z552 &lt;= 15, "3", Z552 &gt; 15, "4")</f>
        <v/>
      </c>
      <c r="AC552" s="125">
        <f t="array" ref="AC552">_xlfn.IFS(AA552 &lt;= 200, "1", L552 &lt;= 300, "2", L552 &lt;= 400, "3", L552 &gt; 400, "4")</f>
        <v/>
      </c>
      <c r="AF552" s="129">
        <f>SQRT((((VLOOKUP($AT$4,$A$4:$D$1021,4,FALSE))-D552)^2)+(((VLOOKUP($AT$4,$A$4:$E$1021,5,FALSE))-E552)^2)+(((VLOOKUP($AT$4,$A$4:$N$1021,14,FALSE))-N552)^2)+(((VLOOKUP($AT$4,$A$4:$O$1021,15,FALSE))-O552)^2))</f>
        <v/>
      </c>
      <c r="AG552" s="129" t="n"/>
      <c r="AI552" s="129">
        <f>SQRT((((VLOOKUP($AT$4,$A$4:$D$1021,4,FALSE))-D552)^2)+(((VLOOKUP($AT$4,$A$4:$E$1021,5,FALSE))-E552)^2)+(((VLOOKUP($AT$4,$A$4:$R$1021,18,FALSE))-R552)^2)+(((VLOOKUP($AT$4,$A$4:$S$1021,19,FALSE))-S552)^2))</f>
        <v/>
      </c>
      <c r="AJ552" s="125" t="inlineStr">
        <is>
          <t>HY900X348</t>
        </is>
      </c>
      <c r="AK552" s="125" t="n"/>
      <c r="AL552" s="125" t="n"/>
      <c r="AM552" s="125">
        <f>SQRT(((VLOOKUP($AT$4,$A$4:$J$1021,10,FALSE))-J552)^2)</f>
        <v/>
      </c>
      <c r="AN552" s="125" t="n"/>
      <c r="AO552" s="125" t="n"/>
      <c r="AP552" s="125">
        <f>SQRT(((VLOOKUP($AT$4,$A$4:$R$1021,18,FALSE))-R552)^2)</f>
        <v/>
      </c>
      <c r="AQ552" s="125" t="inlineStr">
        <is>
          <t>HY900X348</t>
        </is>
      </c>
      <c r="BB552" s="125">
        <f>SQRT(($J$1022-J552)^2)</f>
        <v/>
      </c>
      <c r="BC552" s="125">
        <f>SQRT(($R$1022-R552)^2)</f>
        <v/>
      </c>
      <c r="BD552" s="125" t="inlineStr">
        <is>
          <t>HY900X348</t>
        </is>
      </c>
      <c r="BI552">
        <f>SQRT(($J$1023-J552)^2)</f>
        <v/>
      </c>
      <c r="BJ552">
        <f>SQRT(($R$1023-R552)^2)</f>
        <v/>
      </c>
      <c r="BK552" s="125" t="inlineStr">
        <is>
          <t>HY900X348</t>
        </is>
      </c>
      <c r="BP552">
        <f>SQRT(($J$1024-J552)^2)</f>
        <v/>
      </c>
      <c r="BQ552">
        <f>SQRT(($R$1024-R552)^2)</f>
        <v/>
      </c>
      <c r="BR552" s="125" t="inlineStr">
        <is>
          <t>HY900X348</t>
        </is>
      </c>
      <c r="BW552">
        <f>SQRT(($J$1025-J552)^2)</f>
        <v/>
      </c>
      <c r="BX552">
        <f>SQRT(($R$1025-R552)^2)</f>
        <v/>
      </c>
      <c r="BY552" s="125" t="inlineStr">
        <is>
          <t>HY900X348</t>
        </is>
      </c>
      <c r="CD552">
        <f>SQRT(($J$1026-J552)^2)</f>
        <v/>
      </c>
      <c r="CE552">
        <f>SQRT(($R$1026-R552)^2)</f>
        <v/>
      </c>
      <c r="CF552" s="125" t="inlineStr">
        <is>
          <t>HY900X348</t>
        </is>
      </c>
    </row>
    <row r="553">
      <c r="A553" s="125" t="inlineStr">
        <is>
          <t>HY900X324</t>
        </is>
      </c>
      <c r="B553" s="129" t="inlineStr">
        <is>
          <t>HY</t>
        </is>
      </c>
      <c r="C553" s="125" t="n">
        <v>324</v>
      </c>
      <c r="D553" s="125" t="n">
        <v>900</v>
      </c>
      <c r="E553" s="125" t="n">
        <v>400</v>
      </c>
      <c r="F553" s="125" t="n">
        <v>28</v>
      </c>
      <c r="G553" s="125" t="n">
        <v>22</v>
      </c>
      <c r="H553" s="125" t="n">
        <v>18</v>
      </c>
      <c r="I553" s="125">
        <f>D553-(2*(H553+F553))</f>
        <v/>
      </c>
      <c r="J553" s="125">
        <f>(2*E553/10*F553/10)+((D553-F553-F553)/10*G553/10)+((H553/10+H553/10)^2)-(PI()*H553/10*H553/10)</f>
        <v/>
      </c>
      <c r="K553" s="125">
        <f>((E553-G553)/2)/F553</f>
        <v/>
      </c>
      <c r="L553" s="125">
        <f>I553/G553</f>
        <v/>
      </c>
      <c r="M553" s="125">
        <f>(E553*2+F553*4+((E553-G553)/2-H553)*4+2*PI()*H553+(D553-2*F553-2*H553)*2)/1000</f>
        <v/>
      </c>
      <c r="N553" s="5" t="n">
        <v>541000</v>
      </c>
      <c r="O553" s="5" t="n">
        <v>29900</v>
      </c>
      <c r="P553" s="125" t="n">
        <v>36.2</v>
      </c>
      <c r="Q553" s="125" t="n">
        <v>8.5</v>
      </c>
      <c r="R553" s="5" t="n">
        <v>12000</v>
      </c>
      <c r="S553" s="5" t="n">
        <v>1500</v>
      </c>
      <c r="T553" s="5" t="n">
        <v>13800</v>
      </c>
      <c r="U553" s="5" t="n">
        <v>2350</v>
      </c>
      <c r="X553" s="129">
        <f t="array" ref="X553">_xlfn.IFS((D553/F553) &lt;= (640/SQRT($AT$32)), "Compact", L553 &lt;= ($AT$32*(0.79-(0.002*((E553-G553/2)/(2*F553))*SQRT($AT$32)))), "Non-Compact", L553 &gt; ($AT$32*(0.79-(0.002*((E553-G553/2)/(2*F553))*SQRT($AT$32)))), "Slender")</f>
        <v/>
      </c>
      <c r="Y553" s="129">
        <f t="array" ref="Y553">_xlfn.IFS(K553 &lt;= (65/SQRT($AT$32)), "Compact", K553 &lt;= (95/SQRT($AT$32)), "Non-Compact", K553 &gt; (95/SQRT($AT$32)), "Slender")</f>
        <v/>
      </c>
      <c r="Z553" s="125">
        <f>E553/F553</f>
        <v/>
      </c>
      <c r="AA553" s="125">
        <f>D553/G553</f>
        <v/>
      </c>
      <c r="AB553" s="125">
        <f t="array" ref="AB553">_xlfn.IFS(Z553 &lt;= 9, "1", Z553 &lt;= 12, "2", Z553 &lt;= 15, "3", Z553 &gt; 15, "4")</f>
        <v/>
      </c>
      <c r="AC553" s="125">
        <f t="array" ref="AC553">_xlfn.IFS(AA553 &lt;= 200, "1", L553 &lt;= 300, "2", L553 &lt;= 400, "3", L553 &gt; 400, "4")</f>
        <v/>
      </c>
      <c r="AF553" s="129">
        <f>SQRT((((VLOOKUP($AT$4,$A$4:$D$1021,4,FALSE))-D553)^2)+(((VLOOKUP($AT$4,$A$4:$E$1021,5,FALSE))-E553)^2)+(((VLOOKUP($AT$4,$A$4:$N$1021,14,FALSE))-N553)^2)+(((VLOOKUP($AT$4,$A$4:$O$1021,15,FALSE))-O553)^2))</f>
        <v/>
      </c>
      <c r="AG553" s="129" t="n"/>
      <c r="AI553" s="129">
        <f>SQRT((((VLOOKUP($AT$4,$A$4:$D$1021,4,FALSE))-D553)^2)+(((VLOOKUP($AT$4,$A$4:$E$1021,5,FALSE))-E553)^2)+(((VLOOKUP($AT$4,$A$4:$R$1021,18,FALSE))-R553)^2)+(((VLOOKUP($AT$4,$A$4:$S$1021,19,FALSE))-S553)^2))</f>
        <v/>
      </c>
      <c r="AJ553" s="125" t="inlineStr">
        <is>
          <t>HY900X324</t>
        </is>
      </c>
      <c r="AK553" s="125" t="n"/>
      <c r="AL553" s="125" t="n"/>
      <c r="AM553" s="125">
        <f>SQRT(((VLOOKUP($AT$4,$A$4:$J$1021,10,FALSE))-J553)^2)</f>
        <v/>
      </c>
      <c r="AN553" s="125" t="n"/>
      <c r="AO553" s="125" t="n"/>
      <c r="AP553" s="125">
        <f>SQRT(((VLOOKUP($AT$4,$A$4:$R$1021,18,FALSE))-R553)^2)</f>
        <v/>
      </c>
      <c r="AQ553" s="125" t="inlineStr">
        <is>
          <t>HY900X324</t>
        </is>
      </c>
      <c r="BB553" s="125">
        <f>SQRT(($J$1022-J553)^2)</f>
        <v/>
      </c>
      <c r="BC553" s="125">
        <f>SQRT(($R$1022-R553)^2)</f>
        <v/>
      </c>
      <c r="BD553" s="125" t="inlineStr">
        <is>
          <t>HY900X324</t>
        </is>
      </c>
      <c r="BI553">
        <f>SQRT(($J$1023-J553)^2)</f>
        <v/>
      </c>
      <c r="BJ553">
        <f>SQRT(($R$1023-R553)^2)</f>
        <v/>
      </c>
      <c r="BK553" s="125" t="inlineStr">
        <is>
          <t>HY900X324</t>
        </is>
      </c>
      <c r="BP553">
        <f>SQRT(($J$1024-J553)^2)</f>
        <v/>
      </c>
      <c r="BQ553">
        <f>SQRT(($R$1024-R553)^2)</f>
        <v/>
      </c>
      <c r="BR553" s="125" t="inlineStr">
        <is>
          <t>HY900X324</t>
        </is>
      </c>
      <c r="BW553">
        <f>SQRT(($J$1025-J553)^2)</f>
        <v/>
      </c>
      <c r="BX553">
        <f>SQRT(($R$1025-R553)^2)</f>
        <v/>
      </c>
      <c r="BY553" s="125" t="inlineStr">
        <is>
          <t>HY900X324</t>
        </is>
      </c>
      <c r="CD553">
        <f>SQRT(($J$1026-J553)^2)</f>
        <v/>
      </c>
      <c r="CE553">
        <f>SQRT(($R$1026-R553)^2)</f>
        <v/>
      </c>
      <c r="CF553" s="125" t="inlineStr">
        <is>
          <t>HY900X324</t>
        </is>
      </c>
    </row>
    <row r="554">
      <c r="A554" s="125" t="inlineStr">
        <is>
          <t>HY900X376</t>
        </is>
      </c>
      <c r="B554" s="129" t="inlineStr">
        <is>
          <t>HY</t>
        </is>
      </c>
      <c r="C554" s="125" t="n">
        <v>376</v>
      </c>
      <c r="D554" s="125" t="n">
        <v>900</v>
      </c>
      <c r="E554" s="125" t="n">
        <v>400</v>
      </c>
      <c r="F554" s="125" t="n">
        <v>40</v>
      </c>
      <c r="G554" s="125" t="n">
        <v>19</v>
      </c>
      <c r="H554" s="125" t="n">
        <v>18</v>
      </c>
      <c r="I554" s="125">
        <f>D554-(2*(H554+F554))</f>
        <v/>
      </c>
      <c r="J554" s="125">
        <f>(2*E554/10*F554/10)+((D554-F554-F554)/10*G554/10)+((H554/10+H554/10)^2)-(PI()*H554/10*H554/10)</f>
        <v/>
      </c>
      <c r="K554" s="125">
        <f>((E554-G554)/2)/F554</f>
        <v/>
      </c>
      <c r="L554" s="125">
        <f>I554/G554</f>
        <v/>
      </c>
      <c r="M554" s="125">
        <f>(E554*2+F554*4+((E554-G554)/2-H554)*4+2*PI()*H554+(D554-2*F554-2*H554)*2)/1000</f>
        <v/>
      </c>
      <c r="N554" s="5" t="n">
        <v>684000</v>
      </c>
      <c r="O554" s="5" t="n">
        <v>42700</v>
      </c>
      <c r="P554" s="125" t="n">
        <v>37.8</v>
      </c>
      <c r="Q554" s="125" t="n">
        <v>9.5</v>
      </c>
      <c r="R554" s="5" t="n">
        <v>15200</v>
      </c>
      <c r="S554" s="5" t="n">
        <v>2140</v>
      </c>
      <c r="T554" s="5" t="n">
        <v>17100</v>
      </c>
      <c r="U554" s="5" t="n">
        <v>3280</v>
      </c>
      <c r="X554" s="129">
        <f t="array" ref="X554">_xlfn.IFS((D554/F554) &lt;= (640/SQRT($AT$32)), "Compact", L554 &lt;= ($AT$32*(0.79-(0.002*((E554-G554/2)/(2*F554))*SQRT($AT$32)))), "Non-Compact", L554 &gt; ($AT$32*(0.79-(0.002*((E554-G554/2)/(2*F554))*SQRT($AT$32)))), "Slender")</f>
        <v/>
      </c>
      <c r="Y554" s="129">
        <f t="array" ref="Y554">_xlfn.IFS(K554 &lt;= (65/SQRT($AT$32)), "Compact", K554 &lt;= (95/SQRT($AT$32)), "Non-Compact", K554 &gt; (95/SQRT($AT$32)), "Slender")</f>
        <v/>
      </c>
      <c r="Z554" s="125">
        <f>E554/F554</f>
        <v/>
      </c>
      <c r="AA554" s="125">
        <f>D554/G554</f>
        <v/>
      </c>
      <c r="AB554" s="125">
        <f t="array" ref="AB554">_xlfn.IFS(Z554 &lt;= 9, "1", Z554 &lt;= 12, "2", Z554 &lt;= 15, "3", Z554 &gt; 15, "4")</f>
        <v/>
      </c>
      <c r="AC554" s="125">
        <f t="array" ref="AC554">_xlfn.IFS(AA554 &lt;= 200, "1", L554 &lt;= 300, "2", L554 &lt;= 400, "3", L554 &gt; 400, "4")</f>
        <v/>
      </c>
      <c r="AF554" s="129">
        <f>SQRT((((VLOOKUP($AT$4,$A$4:$D$1021,4,FALSE))-D554)^2)+(((VLOOKUP($AT$4,$A$4:$E$1021,5,FALSE))-E554)^2)+(((VLOOKUP($AT$4,$A$4:$N$1021,14,FALSE))-N554)^2)+(((VLOOKUP($AT$4,$A$4:$O$1021,15,FALSE))-O554)^2))</f>
        <v/>
      </c>
      <c r="AG554" s="129" t="n"/>
      <c r="AI554" s="129">
        <f>SQRT((((VLOOKUP($AT$4,$A$4:$D$1021,4,FALSE))-D554)^2)+(((VLOOKUP($AT$4,$A$4:$E$1021,5,FALSE))-E554)^2)+(((VLOOKUP($AT$4,$A$4:$R$1021,18,FALSE))-R554)^2)+(((VLOOKUP($AT$4,$A$4:$S$1021,19,FALSE))-S554)^2))</f>
        <v/>
      </c>
      <c r="AJ554" s="125" t="inlineStr">
        <is>
          <t>HY900X376</t>
        </is>
      </c>
      <c r="AK554" s="125" t="n"/>
      <c r="AL554" s="125" t="n"/>
      <c r="AM554" s="125">
        <f>SQRT(((VLOOKUP($AT$4,$A$4:$J$1021,10,FALSE))-J554)^2)</f>
        <v/>
      </c>
      <c r="AN554" s="125" t="n"/>
      <c r="AO554" s="125" t="n"/>
      <c r="AP554" s="125">
        <f>SQRT(((VLOOKUP($AT$4,$A$4:$R$1021,18,FALSE))-R554)^2)</f>
        <v/>
      </c>
      <c r="AQ554" s="125" t="inlineStr">
        <is>
          <t>HY900X376</t>
        </is>
      </c>
      <c r="BB554" s="125">
        <f>SQRT(($J$1022-J554)^2)</f>
        <v/>
      </c>
      <c r="BC554" s="125">
        <f>SQRT(($R$1022-R554)^2)</f>
        <v/>
      </c>
      <c r="BD554" s="125" t="inlineStr">
        <is>
          <t>HY900X376</t>
        </is>
      </c>
      <c r="BI554">
        <f>SQRT(($J$1023-J554)^2)</f>
        <v/>
      </c>
      <c r="BJ554">
        <f>SQRT(($R$1023-R554)^2)</f>
        <v/>
      </c>
      <c r="BK554" s="125" t="inlineStr">
        <is>
          <t>HY900X376</t>
        </is>
      </c>
      <c r="BP554">
        <f>SQRT(($J$1024-J554)^2)</f>
        <v/>
      </c>
      <c r="BQ554">
        <f>SQRT(($R$1024-R554)^2)</f>
        <v/>
      </c>
      <c r="BR554" s="125" t="inlineStr">
        <is>
          <t>HY900X376</t>
        </is>
      </c>
      <c r="BW554">
        <f>SQRT(($J$1025-J554)^2)</f>
        <v/>
      </c>
      <c r="BX554">
        <f>SQRT(($R$1025-R554)^2)</f>
        <v/>
      </c>
      <c r="BY554" s="125" t="inlineStr">
        <is>
          <t>HY900X376</t>
        </is>
      </c>
      <c r="CD554">
        <f>SQRT(($J$1026-J554)^2)</f>
        <v/>
      </c>
      <c r="CE554">
        <f>SQRT(($R$1026-R554)^2)</f>
        <v/>
      </c>
      <c r="CF554" s="125" t="inlineStr">
        <is>
          <t>HY900X376</t>
        </is>
      </c>
    </row>
    <row r="555">
      <c r="A555" s="125" t="inlineStr">
        <is>
          <t>HY900X352</t>
        </is>
      </c>
      <c r="B555" s="129" t="inlineStr">
        <is>
          <t>HY</t>
        </is>
      </c>
      <c r="C555" s="125" t="n">
        <v>352</v>
      </c>
      <c r="D555" s="125" t="n">
        <v>900</v>
      </c>
      <c r="E555" s="125" t="n">
        <v>400</v>
      </c>
      <c r="F555" s="125" t="n">
        <v>36</v>
      </c>
      <c r="G555" s="125" t="n">
        <v>19</v>
      </c>
      <c r="H555" s="125" t="n">
        <v>18</v>
      </c>
      <c r="I555" s="125">
        <f>D555-(2*(H555+F555))</f>
        <v/>
      </c>
      <c r="J555" s="125">
        <f>(2*E555/10*F555/10)+((D555-F555-F555)/10*G555/10)+((H555/10+H555/10)^2)-(PI()*H555/10*H555/10)</f>
        <v/>
      </c>
      <c r="K555" s="125">
        <f>((E555-G555)/2)/F555</f>
        <v/>
      </c>
      <c r="L555" s="125">
        <f>I555/G555</f>
        <v/>
      </c>
      <c r="M555" s="125">
        <f>(E555*2+F555*4+((E555-G555)/2-H555)*4+2*PI()*H555+(D555-2*F555-2*H555)*2)/1000</f>
        <v/>
      </c>
      <c r="N555" s="5" t="n">
        <v>632000</v>
      </c>
      <c r="O555" s="5" t="n">
        <v>38500</v>
      </c>
      <c r="P555" s="125" t="n">
        <v>37.6</v>
      </c>
      <c r="Q555" s="125" t="n">
        <v>9.300000000000001</v>
      </c>
      <c r="R555" s="5" t="n">
        <v>14100</v>
      </c>
      <c r="S555" s="5" t="n">
        <v>1920</v>
      </c>
      <c r="T555" s="5" t="n">
        <v>15800</v>
      </c>
      <c r="U555" s="5" t="n">
        <v>2960</v>
      </c>
      <c r="X555" s="129">
        <f t="array" ref="X555">_xlfn.IFS((D555/F555) &lt;= (640/SQRT($AT$32)), "Compact", L555 &lt;= ($AT$32*(0.79-(0.002*((E555-G555/2)/(2*F555))*SQRT($AT$32)))), "Non-Compact", L555 &gt; ($AT$32*(0.79-(0.002*((E555-G555/2)/(2*F555))*SQRT($AT$32)))), "Slender")</f>
        <v/>
      </c>
      <c r="Y555" s="129">
        <f t="array" ref="Y555">_xlfn.IFS(K555 &lt;= (65/SQRT($AT$32)), "Compact", K555 &lt;= (95/SQRT($AT$32)), "Non-Compact", K555 &gt; (95/SQRT($AT$32)), "Slender")</f>
        <v/>
      </c>
      <c r="Z555" s="125">
        <f>E555/F555</f>
        <v/>
      </c>
      <c r="AA555" s="125">
        <f>D555/G555</f>
        <v/>
      </c>
      <c r="AB555" s="125">
        <f t="array" ref="AB555">_xlfn.IFS(Z555 &lt;= 9, "1", Z555 &lt;= 12, "2", Z555 &lt;= 15, "3", Z555 &gt; 15, "4")</f>
        <v/>
      </c>
      <c r="AC555" s="125">
        <f t="array" ref="AC555">_xlfn.IFS(AA555 &lt;= 200, "1", L555 &lt;= 300, "2", L555 &lt;= 400, "3", L555 &gt; 400, "4")</f>
        <v/>
      </c>
      <c r="AF555" s="129">
        <f>SQRT((((VLOOKUP($AT$4,$A$4:$D$1021,4,FALSE))-D555)^2)+(((VLOOKUP($AT$4,$A$4:$E$1021,5,FALSE))-E555)^2)+(((VLOOKUP($AT$4,$A$4:$N$1021,14,FALSE))-N555)^2)+(((VLOOKUP($AT$4,$A$4:$O$1021,15,FALSE))-O555)^2))</f>
        <v/>
      </c>
      <c r="AG555" s="129" t="n"/>
      <c r="AI555" s="129">
        <f>SQRT((((VLOOKUP($AT$4,$A$4:$D$1021,4,FALSE))-D555)^2)+(((VLOOKUP($AT$4,$A$4:$E$1021,5,FALSE))-E555)^2)+(((VLOOKUP($AT$4,$A$4:$R$1021,18,FALSE))-R555)^2)+(((VLOOKUP($AT$4,$A$4:$S$1021,19,FALSE))-S555)^2))</f>
        <v/>
      </c>
      <c r="AJ555" s="125" t="inlineStr">
        <is>
          <t>HY900X352</t>
        </is>
      </c>
      <c r="AK555" s="125" t="n"/>
      <c r="AL555" s="125" t="n"/>
      <c r="AM555" s="125">
        <f>SQRT(((VLOOKUP($AT$4,$A$4:$J$1021,10,FALSE))-J555)^2)</f>
        <v/>
      </c>
      <c r="AN555" s="125" t="n"/>
      <c r="AO555" s="125" t="n"/>
      <c r="AP555" s="125">
        <f>SQRT(((VLOOKUP($AT$4,$A$4:$R$1021,18,FALSE))-R555)^2)</f>
        <v/>
      </c>
      <c r="AQ555" s="125" t="inlineStr">
        <is>
          <t>HY900X352</t>
        </is>
      </c>
      <c r="BB555" s="125">
        <f>SQRT(($J$1022-J555)^2)</f>
        <v/>
      </c>
      <c r="BC555" s="125">
        <f>SQRT(($R$1022-R555)^2)</f>
        <v/>
      </c>
      <c r="BD555" s="125" t="inlineStr">
        <is>
          <t>HY900X352</t>
        </is>
      </c>
      <c r="BI555">
        <f>SQRT(($J$1023-J555)^2)</f>
        <v/>
      </c>
      <c r="BJ555">
        <f>SQRT(($R$1023-R555)^2)</f>
        <v/>
      </c>
      <c r="BK555" s="125" t="inlineStr">
        <is>
          <t>HY900X352</t>
        </is>
      </c>
      <c r="BP555">
        <f>SQRT(($J$1024-J555)^2)</f>
        <v/>
      </c>
      <c r="BQ555">
        <f>SQRT(($R$1024-R555)^2)</f>
        <v/>
      </c>
      <c r="BR555" s="125" t="inlineStr">
        <is>
          <t>HY900X352</t>
        </is>
      </c>
      <c r="BW555">
        <f>SQRT(($J$1025-J555)^2)</f>
        <v/>
      </c>
      <c r="BX555">
        <f>SQRT(($R$1025-R555)^2)</f>
        <v/>
      </c>
      <c r="BY555" s="125" t="inlineStr">
        <is>
          <t>HY900X352</t>
        </is>
      </c>
      <c r="CD555">
        <f>SQRT(($J$1026-J555)^2)</f>
        <v/>
      </c>
      <c r="CE555">
        <f>SQRT(($R$1026-R555)^2)</f>
        <v/>
      </c>
      <c r="CF555" s="125" t="inlineStr">
        <is>
          <t>HY900X352</t>
        </is>
      </c>
    </row>
    <row r="556">
      <c r="A556" s="125" t="inlineStr">
        <is>
          <t>HY900X328</t>
        </is>
      </c>
      <c r="B556" s="129" t="inlineStr">
        <is>
          <t>HY</t>
        </is>
      </c>
      <c r="C556" s="125" t="n">
        <v>328</v>
      </c>
      <c r="D556" s="125" t="n">
        <v>900</v>
      </c>
      <c r="E556" s="125" t="n">
        <v>400</v>
      </c>
      <c r="F556" s="125" t="n">
        <v>32</v>
      </c>
      <c r="G556" s="125" t="n">
        <v>19</v>
      </c>
      <c r="H556" s="125" t="n">
        <v>18</v>
      </c>
      <c r="I556" s="125">
        <f>D556-(2*(H556+F556))</f>
        <v/>
      </c>
      <c r="J556" s="125">
        <f>(2*E556/10*F556/10)+((D556-F556-F556)/10*G556/10)+((H556/10+H556/10)^2)-(PI()*H556/10*H556/10)</f>
        <v/>
      </c>
      <c r="K556" s="125">
        <f>((E556-G556)/2)/F556</f>
        <v/>
      </c>
      <c r="L556" s="125">
        <f>I556/G556</f>
        <v/>
      </c>
      <c r="M556" s="125">
        <f>(E556*2+F556*4+((E556-G556)/2-H556)*4+2*PI()*H556+(D556-2*F556-2*H556)*2)/1000</f>
        <v/>
      </c>
      <c r="N556" s="5" t="n">
        <v>580000</v>
      </c>
      <c r="O556" s="5" t="n">
        <v>34200</v>
      </c>
      <c r="P556" s="125" t="n">
        <v>37.3</v>
      </c>
      <c r="Q556" s="125" t="n">
        <v>9.1</v>
      </c>
      <c r="R556" s="5" t="n">
        <v>12900</v>
      </c>
      <c r="S556" s="5" t="n">
        <v>1710</v>
      </c>
      <c r="T556" s="5" t="n">
        <v>14500</v>
      </c>
      <c r="U556" s="5" t="n">
        <v>2640</v>
      </c>
      <c r="X556" s="129">
        <f t="array" ref="X556">_xlfn.IFS((D556/F556) &lt;= (640/SQRT($AT$32)), "Compact", L556 &lt;= ($AT$32*(0.79-(0.002*((E556-G556/2)/(2*F556))*SQRT($AT$32)))), "Non-Compact", L556 &gt; ($AT$32*(0.79-(0.002*((E556-G556/2)/(2*F556))*SQRT($AT$32)))), "Slender")</f>
        <v/>
      </c>
      <c r="Y556" s="129">
        <f t="array" ref="Y556">_xlfn.IFS(K556 &lt;= (65/SQRT($AT$32)), "Compact", K556 &lt;= (95/SQRT($AT$32)), "Non-Compact", K556 &gt; (95/SQRT($AT$32)), "Slender")</f>
        <v/>
      </c>
      <c r="Z556" s="125">
        <f>E556/F556</f>
        <v/>
      </c>
      <c r="AA556" s="125">
        <f>D556/G556</f>
        <v/>
      </c>
      <c r="AB556" s="125">
        <f t="array" ref="AB556">_xlfn.IFS(Z556 &lt;= 9, "1", Z556 &lt;= 12, "2", Z556 &lt;= 15, "3", Z556 &gt; 15, "4")</f>
        <v/>
      </c>
      <c r="AC556" s="125">
        <f t="array" ref="AC556">_xlfn.IFS(AA556 &lt;= 200, "1", L556 &lt;= 300, "2", L556 &lt;= 400, "3", L556 &gt; 400, "4")</f>
        <v/>
      </c>
      <c r="AF556" s="129">
        <f>SQRT((((VLOOKUP($AT$4,$A$4:$D$1021,4,FALSE))-D556)^2)+(((VLOOKUP($AT$4,$A$4:$E$1021,5,FALSE))-E556)^2)+(((VLOOKUP($AT$4,$A$4:$N$1021,14,FALSE))-N556)^2)+(((VLOOKUP($AT$4,$A$4:$O$1021,15,FALSE))-O556)^2))</f>
        <v/>
      </c>
      <c r="AG556" s="129" t="n"/>
      <c r="AI556" s="129">
        <f>SQRT((((VLOOKUP($AT$4,$A$4:$D$1021,4,FALSE))-D556)^2)+(((VLOOKUP($AT$4,$A$4:$E$1021,5,FALSE))-E556)^2)+(((VLOOKUP($AT$4,$A$4:$R$1021,18,FALSE))-R556)^2)+(((VLOOKUP($AT$4,$A$4:$S$1021,19,FALSE))-S556)^2))</f>
        <v/>
      </c>
      <c r="AJ556" s="125" t="inlineStr">
        <is>
          <t>HY900X328</t>
        </is>
      </c>
      <c r="AK556" s="125" t="n"/>
      <c r="AL556" s="125" t="n"/>
      <c r="AM556" s="125">
        <f>SQRT(((VLOOKUP($AT$4,$A$4:$J$1021,10,FALSE))-J556)^2)</f>
        <v/>
      </c>
      <c r="AN556" s="125" t="n"/>
      <c r="AO556" s="125" t="n"/>
      <c r="AP556" s="125">
        <f>SQRT(((VLOOKUP($AT$4,$A$4:$R$1021,18,FALSE))-R556)^2)</f>
        <v/>
      </c>
      <c r="AQ556" s="125" t="inlineStr">
        <is>
          <t>HY900X328</t>
        </is>
      </c>
      <c r="BB556" s="125">
        <f>SQRT(($J$1022-J556)^2)</f>
        <v/>
      </c>
      <c r="BC556" s="125">
        <f>SQRT(($R$1022-R556)^2)</f>
        <v/>
      </c>
      <c r="BD556" s="125" t="inlineStr">
        <is>
          <t>HY900X328</t>
        </is>
      </c>
      <c r="BI556">
        <f>SQRT(($J$1023-J556)^2)</f>
        <v/>
      </c>
      <c r="BJ556">
        <f>SQRT(($R$1023-R556)^2)</f>
        <v/>
      </c>
      <c r="BK556" s="125" t="inlineStr">
        <is>
          <t>HY900X328</t>
        </is>
      </c>
      <c r="BP556">
        <f>SQRT(($J$1024-J556)^2)</f>
        <v/>
      </c>
      <c r="BQ556">
        <f>SQRT(($R$1024-R556)^2)</f>
        <v/>
      </c>
      <c r="BR556" s="125" t="inlineStr">
        <is>
          <t>HY900X328</t>
        </is>
      </c>
      <c r="BW556">
        <f>SQRT(($J$1025-J556)^2)</f>
        <v/>
      </c>
      <c r="BX556">
        <f>SQRT(($R$1025-R556)^2)</f>
        <v/>
      </c>
      <c r="BY556" s="125" t="inlineStr">
        <is>
          <t>HY900X328</t>
        </is>
      </c>
      <c r="CD556">
        <f>SQRT(($J$1026-J556)^2)</f>
        <v/>
      </c>
      <c r="CE556">
        <f>SQRT(($R$1026-R556)^2)</f>
        <v/>
      </c>
      <c r="CF556" s="125" t="inlineStr">
        <is>
          <t>HY900X328</t>
        </is>
      </c>
    </row>
    <row r="557">
      <c r="A557" s="125" t="inlineStr">
        <is>
          <t>HY900X304</t>
        </is>
      </c>
      <c r="B557" s="129" t="inlineStr">
        <is>
          <t>HY</t>
        </is>
      </c>
      <c r="C557" s="125" t="n">
        <v>304</v>
      </c>
      <c r="D557" s="125" t="n">
        <v>900</v>
      </c>
      <c r="E557" s="125" t="n">
        <v>400</v>
      </c>
      <c r="F557" s="125" t="n">
        <v>28</v>
      </c>
      <c r="G557" s="125" t="n">
        <v>19</v>
      </c>
      <c r="H557" s="125" t="n">
        <v>18</v>
      </c>
      <c r="I557" s="125">
        <f>D557-(2*(H557+F557))</f>
        <v/>
      </c>
      <c r="J557" s="125">
        <f>(2*E557/10*F557/10)+((D557-F557-F557)/10*G557/10)+((H557/10+H557/10)^2)-(PI()*H557/10*H557/10)</f>
        <v/>
      </c>
      <c r="K557" s="125">
        <f>((E557-G557)/2)/F557</f>
        <v/>
      </c>
      <c r="L557" s="125">
        <f>I557/G557</f>
        <v/>
      </c>
      <c r="M557" s="125">
        <f>(E557*2+F557*4+((E557-G557)/2-H557)*4+2*PI()*H557+(D557-2*F557-2*H557)*2)/1000</f>
        <v/>
      </c>
      <c r="N557" s="5" t="n">
        <v>526000</v>
      </c>
      <c r="O557" s="5" t="n">
        <v>29900</v>
      </c>
      <c r="P557" s="125" t="n">
        <v>36.9</v>
      </c>
      <c r="Q557" s="125" t="n">
        <v>8.800000000000001</v>
      </c>
      <c r="R557" s="5" t="n">
        <v>11700</v>
      </c>
      <c r="S557" s="5" t="n">
        <v>1500</v>
      </c>
      <c r="T557" s="5" t="n">
        <v>13300</v>
      </c>
      <c r="U557" s="5" t="n">
        <v>2320</v>
      </c>
      <c r="X557" s="129">
        <f t="array" ref="X557">_xlfn.IFS((D557/F557) &lt;= (640/SQRT($AT$32)), "Compact", L557 &lt;= ($AT$32*(0.79-(0.002*((E557-G557/2)/(2*F557))*SQRT($AT$32)))), "Non-Compact", L557 &gt; ($AT$32*(0.79-(0.002*((E557-G557/2)/(2*F557))*SQRT($AT$32)))), "Slender")</f>
        <v/>
      </c>
      <c r="Y557" s="129">
        <f t="array" ref="Y557">_xlfn.IFS(K557 &lt;= (65/SQRT($AT$32)), "Compact", K557 &lt;= (95/SQRT($AT$32)), "Non-Compact", K557 &gt; (95/SQRT($AT$32)), "Slender")</f>
        <v/>
      </c>
      <c r="Z557" s="125">
        <f>E557/F557</f>
        <v/>
      </c>
      <c r="AA557" s="125">
        <f>D557/G557</f>
        <v/>
      </c>
      <c r="AB557" s="125">
        <f t="array" ref="AB557">_xlfn.IFS(Z557 &lt;= 9, "1", Z557 &lt;= 12, "2", Z557 &lt;= 15, "3", Z557 &gt; 15, "4")</f>
        <v/>
      </c>
      <c r="AC557" s="125">
        <f t="array" ref="AC557">_xlfn.IFS(AA557 &lt;= 200, "1", L557 &lt;= 300, "2", L557 &lt;= 400, "3", L557 &gt; 400, "4")</f>
        <v/>
      </c>
      <c r="AF557" s="129">
        <f>SQRT((((VLOOKUP($AT$4,$A$4:$D$1021,4,FALSE))-D557)^2)+(((VLOOKUP($AT$4,$A$4:$E$1021,5,FALSE))-E557)^2)+(((VLOOKUP($AT$4,$A$4:$N$1021,14,FALSE))-N557)^2)+(((VLOOKUP($AT$4,$A$4:$O$1021,15,FALSE))-O557)^2))</f>
        <v/>
      </c>
      <c r="AG557" s="129" t="n"/>
      <c r="AI557" s="129">
        <f>SQRT((((VLOOKUP($AT$4,$A$4:$D$1021,4,FALSE))-D557)^2)+(((VLOOKUP($AT$4,$A$4:$E$1021,5,FALSE))-E557)^2)+(((VLOOKUP($AT$4,$A$4:$R$1021,18,FALSE))-R557)^2)+(((VLOOKUP($AT$4,$A$4:$S$1021,19,FALSE))-S557)^2))</f>
        <v/>
      </c>
      <c r="AJ557" s="125" t="inlineStr">
        <is>
          <t>HY900X304</t>
        </is>
      </c>
      <c r="AK557" s="125" t="n"/>
      <c r="AL557" s="125" t="n"/>
      <c r="AM557" s="125">
        <f>SQRT(((VLOOKUP($AT$4,$A$4:$J$1021,10,FALSE))-J557)^2)</f>
        <v/>
      </c>
      <c r="AN557" s="125" t="n"/>
      <c r="AO557" s="125" t="n"/>
      <c r="AP557" s="125">
        <f>SQRT(((VLOOKUP($AT$4,$A$4:$R$1021,18,FALSE))-R557)^2)</f>
        <v/>
      </c>
      <c r="AQ557" s="125" t="inlineStr">
        <is>
          <t>HY900X304</t>
        </is>
      </c>
      <c r="BB557" s="125">
        <f>SQRT(($J$1022-J557)^2)</f>
        <v/>
      </c>
      <c r="BC557" s="125">
        <f>SQRT(($R$1022-R557)^2)</f>
        <v/>
      </c>
      <c r="BD557" s="125" t="inlineStr">
        <is>
          <t>HY900X304</t>
        </is>
      </c>
      <c r="BI557">
        <f>SQRT(($J$1023-J557)^2)</f>
        <v/>
      </c>
      <c r="BJ557">
        <f>SQRT(($R$1023-R557)^2)</f>
        <v/>
      </c>
      <c r="BK557" s="125" t="inlineStr">
        <is>
          <t>HY900X304</t>
        </is>
      </c>
      <c r="BP557">
        <f>SQRT(($J$1024-J557)^2)</f>
        <v/>
      </c>
      <c r="BQ557">
        <f>SQRT(($R$1024-R557)^2)</f>
        <v/>
      </c>
      <c r="BR557" s="125" t="inlineStr">
        <is>
          <t>HY900X304</t>
        </is>
      </c>
      <c r="BW557">
        <f>SQRT(($J$1025-J557)^2)</f>
        <v/>
      </c>
      <c r="BX557">
        <f>SQRT(($R$1025-R557)^2)</f>
        <v/>
      </c>
      <c r="BY557" s="125" t="inlineStr">
        <is>
          <t>HY900X304</t>
        </is>
      </c>
      <c r="CD557">
        <f>SQRT(($J$1026-J557)^2)</f>
        <v/>
      </c>
      <c r="CE557">
        <f>SQRT(($R$1026-R557)^2)</f>
        <v/>
      </c>
      <c r="CF557" s="125" t="inlineStr">
        <is>
          <t>HY900X304</t>
        </is>
      </c>
    </row>
    <row r="558">
      <c r="A558" s="125" t="inlineStr">
        <is>
          <t>HY900X286</t>
        </is>
      </c>
      <c r="B558" s="129" t="inlineStr">
        <is>
          <t>HY</t>
        </is>
      </c>
      <c r="C558" s="125" t="n">
        <v>286</v>
      </c>
      <c r="D558" s="125" t="n">
        <v>900</v>
      </c>
      <c r="E558" s="125" t="n">
        <v>400</v>
      </c>
      <c r="F558" s="125" t="n">
        <v>25</v>
      </c>
      <c r="G558" s="125" t="n">
        <v>19</v>
      </c>
      <c r="H558" s="125" t="n">
        <v>18</v>
      </c>
      <c r="I558" s="125">
        <f>D558-(2*(H558+F558))</f>
        <v/>
      </c>
      <c r="J558" s="125">
        <f>(2*E558/10*F558/10)+((D558-F558-F558)/10*G558/10)+((H558/10+H558/10)^2)-(PI()*H558/10*H558/10)</f>
        <v/>
      </c>
      <c r="K558" s="125">
        <f>((E558-G558)/2)/F558</f>
        <v/>
      </c>
      <c r="L558" s="125">
        <f>I558/G558</f>
        <v/>
      </c>
      <c r="M558" s="125">
        <f>(E558*2+F558*4+((E558-G558)/2-H558)*4+2*PI()*H558+(D558-2*F558-2*H558)*2)/1000</f>
        <v/>
      </c>
      <c r="N558" s="5" t="n">
        <v>485000</v>
      </c>
      <c r="O558" s="5" t="n">
        <v>26700</v>
      </c>
      <c r="P558" s="125" t="n">
        <v>36.5</v>
      </c>
      <c r="Q558" s="125" t="n">
        <v>8.6</v>
      </c>
      <c r="R558" s="5" t="n">
        <v>10800</v>
      </c>
      <c r="S558" s="5" t="n">
        <v>1340</v>
      </c>
      <c r="T558" s="5" t="n">
        <v>12300</v>
      </c>
      <c r="U558" s="5" t="n">
        <v>2080</v>
      </c>
      <c r="X558" s="129">
        <f t="array" ref="X558">_xlfn.IFS((D558/F558) &lt;= (640/SQRT($AT$32)), "Compact", L558 &lt;= ($AT$32*(0.79-(0.002*((E558-G558/2)/(2*F558))*SQRT($AT$32)))), "Non-Compact", L558 &gt; ($AT$32*(0.79-(0.002*((E558-G558/2)/(2*F558))*SQRT($AT$32)))), "Slender")</f>
        <v/>
      </c>
      <c r="Y558" s="129">
        <f t="array" ref="Y558">_xlfn.IFS(K558 &lt;= (65/SQRT($AT$32)), "Compact", K558 &lt;= (95/SQRT($AT$32)), "Non-Compact", K558 &gt; (95/SQRT($AT$32)), "Slender")</f>
        <v/>
      </c>
      <c r="Z558" s="125">
        <f>E558/F558</f>
        <v/>
      </c>
      <c r="AA558" s="125">
        <f>D558/G558</f>
        <v/>
      </c>
      <c r="AB558" s="125">
        <f t="array" ref="AB558">_xlfn.IFS(Z558 &lt;= 9, "1", Z558 &lt;= 12, "2", Z558 &lt;= 15, "3", Z558 &gt; 15, "4")</f>
        <v/>
      </c>
      <c r="AC558" s="125">
        <f t="array" ref="AC558">_xlfn.IFS(AA558 &lt;= 200, "1", L558 &lt;= 300, "2", L558 &lt;= 400, "3", L558 &gt; 400, "4")</f>
        <v/>
      </c>
      <c r="AF558" s="129">
        <f>SQRT((((VLOOKUP($AT$4,$A$4:$D$1021,4,FALSE))-D558)^2)+(((VLOOKUP($AT$4,$A$4:$E$1021,5,FALSE))-E558)^2)+(((VLOOKUP($AT$4,$A$4:$N$1021,14,FALSE))-N558)^2)+(((VLOOKUP($AT$4,$A$4:$O$1021,15,FALSE))-O558)^2))</f>
        <v/>
      </c>
      <c r="AG558" s="129" t="n"/>
      <c r="AI558" s="129">
        <f>SQRT((((VLOOKUP($AT$4,$A$4:$D$1021,4,FALSE))-D558)^2)+(((VLOOKUP($AT$4,$A$4:$E$1021,5,FALSE))-E558)^2)+(((VLOOKUP($AT$4,$A$4:$R$1021,18,FALSE))-R558)^2)+(((VLOOKUP($AT$4,$A$4:$S$1021,19,FALSE))-S558)^2))</f>
        <v/>
      </c>
      <c r="AJ558" s="125" t="inlineStr">
        <is>
          <t>HY900X286</t>
        </is>
      </c>
      <c r="AK558" s="125" t="n"/>
      <c r="AL558" s="125" t="n"/>
      <c r="AM558" s="125">
        <f>SQRT(((VLOOKUP($AT$4,$A$4:$J$1021,10,FALSE))-J558)^2)</f>
        <v/>
      </c>
      <c r="AN558" s="125" t="n"/>
      <c r="AO558" s="125" t="n"/>
      <c r="AP558" s="125">
        <f>SQRT(((VLOOKUP($AT$4,$A$4:$R$1021,18,FALSE))-R558)^2)</f>
        <v/>
      </c>
      <c r="AQ558" s="125" t="inlineStr">
        <is>
          <t>HY900X286</t>
        </is>
      </c>
      <c r="BB558" s="125">
        <f>SQRT(($J$1022-J558)^2)</f>
        <v/>
      </c>
      <c r="BC558" s="125">
        <f>SQRT(($R$1022-R558)^2)</f>
        <v/>
      </c>
      <c r="BD558" s="125" t="inlineStr">
        <is>
          <t>HY900X286</t>
        </is>
      </c>
      <c r="BI558">
        <f>SQRT(($J$1023-J558)^2)</f>
        <v/>
      </c>
      <c r="BJ558">
        <f>SQRT(($R$1023-R558)^2)</f>
        <v/>
      </c>
      <c r="BK558" s="125" t="inlineStr">
        <is>
          <t>HY900X286</t>
        </is>
      </c>
      <c r="BP558">
        <f>SQRT(($J$1024-J558)^2)</f>
        <v/>
      </c>
      <c r="BQ558">
        <f>SQRT(($R$1024-R558)^2)</f>
        <v/>
      </c>
      <c r="BR558" s="125" t="inlineStr">
        <is>
          <t>HY900X286</t>
        </is>
      </c>
      <c r="BW558">
        <f>SQRT(($J$1025-J558)^2)</f>
        <v/>
      </c>
      <c r="BX558">
        <f>SQRT(($R$1025-R558)^2)</f>
        <v/>
      </c>
      <c r="BY558" s="125" t="inlineStr">
        <is>
          <t>HY900X286</t>
        </is>
      </c>
      <c r="CD558">
        <f>SQRT(($J$1026-J558)^2)</f>
        <v/>
      </c>
      <c r="CE558">
        <f>SQRT(($R$1026-R558)^2)</f>
        <v/>
      </c>
      <c r="CF558" s="125" t="inlineStr">
        <is>
          <t>HY900X286</t>
        </is>
      </c>
    </row>
    <row r="559">
      <c r="A559" s="125" t="inlineStr">
        <is>
          <t>HY900X332</t>
        </is>
      </c>
      <c r="B559" s="129" t="inlineStr">
        <is>
          <t>HY</t>
        </is>
      </c>
      <c r="C559" s="125" t="n">
        <v>332</v>
      </c>
      <c r="D559" s="125" t="n">
        <v>900</v>
      </c>
      <c r="E559" s="125" t="n">
        <v>400</v>
      </c>
      <c r="F559" s="125" t="n">
        <v>36</v>
      </c>
      <c r="G559" s="125" t="n">
        <v>16</v>
      </c>
      <c r="H559" s="125" t="n">
        <v>18</v>
      </c>
      <c r="I559" s="125">
        <f>D559-(2*(H559+F559))</f>
        <v/>
      </c>
      <c r="J559" s="125">
        <f>(2*E559/10*F559/10)+((D559-F559-F559)/10*G559/10)+((H559/10+H559/10)^2)-(PI()*H559/10*H559/10)</f>
        <v/>
      </c>
      <c r="K559" s="125">
        <f>((E559-G559)/2)/F559</f>
        <v/>
      </c>
      <c r="L559" s="125">
        <f>I559/G559</f>
        <v/>
      </c>
      <c r="M559" s="125">
        <f>(E559*2+F559*4+((E559-G559)/2-H559)*4+2*PI()*H559+(D559-2*F559-2*H559)*2)/1000</f>
        <v/>
      </c>
      <c r="N559" s="5" t="n">
        <v>618000</v>
      </c>
      <c r="O559" s="5" t="n">
        <v>38400</v>
      </c>
      <c r="P559" s="125" t="n">
        <v>38.2</v>
      </c>
      <c r="Q559" s="125" t="n">
        <v>9.5</v>
      </c>
      <c r="R559" s="5" t="n">
        <v>13700</v>
      </c>
      <c r="S559" s="5" t="n">
        <v>1920</v>
      </c>
      <c r="T559" s="5" t="n">
        <v>15300</v>
      </c>
      <c r="U559" s="5" t="n">
        <v>2940</v>
      </c>
      <c r="X559" s="129">
        <f t="array" ref="X559">_xlfn.IFS((D559/F559) &lt;= (640/SQRT($AT$32)), "Compact", L559 &lt;= ($AT$32*(0.79-(0.002*((E559-G559/2)/(2*F559))*SQRT($AT$32)))), "Non-Compact", L559 &gt; ($AT$32*(0.79-(0.002*((E559-G559/2)/(2*F559))*SQRT($AT$32)))), "Slender")</f>
        <v/>
      </c>
      <c r="Y559" s="129">
        <f t="array" ref="Y559">_xlfn.IFS(K559 &lt;= (65/SQRT($AT$32)), "Compact", K559 &lt;= (95/SQRT($AT$32)), "Non-Compact", K559 &gt; (95/SQRT($AT$32)), "Slender")</f>
        <v/>
      </c>
      <c r="Z559" s="125">
        <f>E559/F559</f>
        <v/>
      </c>
      <c r="AA559" s="125">
        <f>D559/G559</f>
        <v/>
      </c>
      <c r="AB559" s="125">
        <f t="array" ref="AB559">_xlfn.IFS(Z559 &lt;= 9, "1", Z559 &lt;= 12, "2", Z559 &lt;= 15, "3", Z559 &gt; 15, "4")</f>
        <v/>
      </c>
      <c r="AC559" s="125">
        <f t="array" ref="AC559">_xlfn.IFS(AA559 &lt;= 200, "1", L559 &lt;= 300, "2", L559 &lt;= 400, "3", L559 &gt; 400, "4")</f>
        <v/>
      </c>
      <c r="AF559" s="129">
        <f>SQRT((((VLOOKUP($AT$4,$A$4:$D$1021,4,FALSE))-D559)^2)+(((VLOOKUP($AT$4,$A$4:$E$1021,5,FALSE))-E559)^2)+(((VLOOKUP($AT$4,$A$4:$N$1021,14,FALSE))-N559)^2)+(((VLOOKUP($AT$4,$A$4:$O$1021,15,FALSE))-O559)^2))</f>
        <v/>
      </c>
      <c r="AG559" s="129" t="n"/>
      <c r="AI559" s="129">
        <f>SQRT((((VLOOKUP($AT$4,$A$4:$D$1021,4,FALSE))-D559)^2)+(((VLOOKUP($AT$4,$A$4:$E$1021,5,FALSE))-E559)^2)+(((VLOOKUP($AT$4,$A$4:$R$1021,18,FALSE))-R559)^2)+(((VLOOKUP($AT$4,$A$4:$S$1021,19,FALSE))-S559)^2))</f>
        <v/>
      </c>
      <c r="AJ559" s="125" t="inlineStr">
        <is>
          <t>HY900X332</t>
        </is>
      </c>
      <c r="AK559" s="125" t="n"/>
      <c r="AL559" s="125" t="n"/>
      <c r="AM559" s="125">
        <f>SQRT(((VLOOKUP($AT$4,$A$4:$J$1021,10,FALSE))-J559)^2)</f>
        <v/>
      </c>
      <c r="AN559" s="125" t="n"/>
      <c r="AO559" s="125" t="n"/>
      <c r="AP559" s="125">
        <f>SQRT(((VLOOKUP($AT$4,$A$4:$R$1021,18,FALSE))-R559)^2)</f>
        <v/>
      </c>
      <c r="AQ559" s="125" t="inlineStr">
        <is>
          <t>HY900X332</t>
        </is>
      </c>
      <c r="BB559" s="125">
        <f>SQRT(($J$1022-J559)^2)</f>
        <v/>
      </c>
      <c r="BC559" s="125">
        <f>SQRT(($R$1022-R559)^2)</f>
        <v/>
      </c>
      <c r="BD559" s="125" t="inlineStr">
        <is>
          <t>HY900X332</t>
        </is>
      </c>
      <c r="BI559">
        <f>SQRT(($J$1023-J559)^2)</f>
        <v/>
      </c>
      <c r="BJ559">
        <f>SQRT(($R$1023-R559)^2)</f>
        <v/>
      </c>
      <c r="BK559" s="125" t="inlineStr">
        <is>
          <t>HY900X332</t>
        </is>
      </c>
      <c r="BP559">
        <f>SQRT(($J$1024-J559)^2)</f>
        <v/>
      </c>
      <c r="BQ559">
        <f>SQRT(($R$1024-R559)^2)</f>
        <v/>
      </c>
      <c r="BR559" s="125" t="inlineStr">
        <is>
          <t>HY900X332</t>
        </is>
      </c>
      <c r="BW559">
        <f>SQRT(($J$1025-J559)^2)</f>
        <v/>
      </c>
      <c r="BX559">
        <f>SQRT(($R$1025-R559)^2)</f>
        <v/>
      </c>
      <c r="BY559" s="125" t="inlineStr">
        <is>
          <t>HY900X332</t>
        </is>
      </c>
      <c r="CD559">
        <f>SQRT(($J$1026-J559)^2)</f>
        <v/>
      </c>
      <c r="CE559">
        <f>SQRT(($R$1026-R559)^2)</f>
        <v/>
      </c>
      <c r="CF559" s="125" t="inlineStr">
        <is>
          <t>HY900X332</t>
        </is>
      </c>
    </row>
    <row r="560">
      <c r="A560" s="125" t="inlineStr">
        <is>
          <t>HY900X308</t>
        </is>
      </c>
      <c r="B560" s="129" t="inlineStr">
        <is>
          <t>HY</t>
        </is>
      </c>
      <c r="C560" s="125" t="n">
        <v>308</v>
      </c>
      <c r="D560" s="125" t="n">
        <v>900</v>
      </c>
      <c r="E560" s="125" t="n">
        <v>400</v>
      </c>
      <c r="F560" s="125" t="n">
        <v>32</v>
      </c>
      <c r="G560" s="125" t="n">
        <v>16</v>
      </c>
      <c r="H560" s="125" t="n">
        <v>18</v>
      </c>
      <c r="I560" s="125">
        <f>D560-(2*(H560+F560))</f>
        <v/>
      </c>
      <c r="J560" s="125">
        <f>(2*E560/10*F560/10)+((D560-F560-F560)/10*G560/10)+((H560/10+H560/10)^2)-(PI()*H560/10*H560/10)</f>
        <v/>
      </c>
      <c r="K560" s="125">
        <f>((E560-G560)/2)/F560</f>
        <v/>
      </c>
      <c r="L560" s="125">
        <f>I560/G560</f>
        <v/>
      </c>
      <c r="M560" s="125">
        <f>(E560*2+F560*4+((E560-G560)/2-H560)*4+2*PI()*H560+(D560-2*F560-2*H560)*2)/1000</f>
        <v/>
      </c>
      <c r="N560" s="5" t="n">
        <v>565000</v>
      </c>
      <c r="O560" s="5" t="n">
        <v>34200</v>
      </c>
      <c r="P560" s="125" t="n">
        <v>37.9</v>
      </c>
      <c r="Q560" s="125" t="n">
        <v>9.300000000000001</v>
      </c>
      <c r="R560" s="5" t="n">
        <v>12600</v>
      </c>
      <c r="S560" s="5" t="n">
        <v>1710</v>
      </c>
      <c r="T560" s="5" t="n">
        <v>14000</v>
      </c>
      <c r="U560" s="5" t="n">
        <v>2620</v>
      </c>
      <c r="X560" s="129">
        <f t="array" ref="X560">_xlfn.IFS((D560/F560) &lt;= (640/SQRT($AT$32)), "Compact", L560 &lt;= ($AT$32*(0.79-(0.002*((E560-G560/2)/(2*F560))*SQRT($AT$32)))), "Non-Compact", L560 &gt; ($AT$32*(0.79-(0.002*((E560-G560/2)/(2*F560))*SQRT($AT$32)))), "Slender")</f>
        <v/>
      </c>
      <c r="Y560" s="129">
        <f t="array" ref="Y560">_xlfn.IFS(K560 &lt;= (65/SQRT($AT$32)), "Compact", K560 &lt;= (95/SQRT($AT$32)), "Non-Compact", K560 &gt; (95/SQRT($AT$32)), "Slender")</f>
        <v/>
      </c>
      <c r="Z560" s="125">
        <f>E560/F560</f>
        <v/>
      </c>
      <c r="AA560" s="125">
        <f>D560/G560</f>
        <v/>
      </c>
      <c r="AB560" s="125">
        <f t="array" ref="AB560">_xlfn.IFS(Z560 &lt;= 9, "1", Z560 &lt;= 12, "2", Z560 &lt;= 15, "3", Z560 &gt; 15, "4")</f>
        <v/>
      </c>
      <c r="AC560" s="125">
        <f t="array" ref="AC560">_xlfn.IFS(AA560 &lt;= 200, "1", L560 &lt;= 300, "2", L560 &lt;= 400, "3", L560 &gt; 400, "4")</f>
        <v/>
      </c>
      <c r="AF560" s="129">
        <f>SQRT((((VLOOKUP($AT$4,$A$4:$D$1021,4,FALSE))-D560)^2)+(((VLOOKUP($AT$4,$A$4:$E$1021,5,FALSE))-E560)^2)+(((VLOOKUP($AT$4,$A$4:$N$1021,14,FALSE))-N560)^2)+(((VLOOKUP($AT$4,$A$4:$O$1021,15,FALSE))-O560)^2))</f>
        <v/>
      </c>
      <c r="AG560" s="129" t="n"/>
      <c r="AI560" s="129">
        <f>SQRT((((VLOOKUP($AT$4,$A$4:$D$1021,4,FALSE))-D560)^2)+(((VLOOKUP($AT$4,$A$4:$E$1021,5,FALSE))-E560)^2)+(((VLOOKUP($AT$4,$A$4:$R$1021,18,FALSE))-R560)^2)+(((VLOOKUP($AT$4,$A$4:$S$1021,19,FALSE))-S560)^2))</f>
        <v/>
      </c>
      <c r="AJ560" s="125" t="inlineStr">
        <is>
          <t>HY900X308</t>
        </is>
      </c>
      <c r="AK560" s="125" t="n"/>
      <c r="AL560" s="125" t="n"/>
      <c r="AM560" s="125">
        <f>SQRT(((VLOOKUP($AT$4,$A$4:$J$1021,10,FALSE))-J560)^2)</f>
        <v/>
      </c>
      <c r="AN560" s="125" t="n"/>
      <c r="AO560" s="125" t="n"/>
      <c r="AP560" s="125">
        <f>SQRT(((VLOOKUP($AT$4,$A$4:$R$1021,18,FALSE))-R560)^2)</f>
        <v/>
      </c>
      <c r="AQ560" s="125" t="inlineStr">
        <is>
          <t>HY900X308</t>
        </is>
      </c>
      <c r="BB560" s="125">
        <f>SQRT(($J$1022-J560)^2)</f>
        <v/>
      </c>
      <c r="BC560" s="125">
        <f>SQRT(($R$1022-R560)^2)</f>
        <v/>
      </c>
      <c r="BD560" s="125" t="inlineStr">
        <is>
          <t>HY900X308</t>
        </is>
      </c>
      <c r="BI560">
        <f>SQRT(($J$1023-J560)^2)</f>
        <v/>
      </c>
      <c r="BJ560">
        <f>SQRT(($R$1023-R560)^2)</f>
        <v/>
      </c>
      <c r="BK560" s="125" t="inlineStr">
        <is>
          <t>HY900X308</t>
        </is>
      </c>
      <c r="BP560">
        <f>SQRT(($J$1024-J560)^2)</f>
        <v/>
      </c>
      <c r="BQ560">
        <f>SQRT(($R$1024-R560)^2)</f>
        <v/>
      </c>
      <c r="BR560" s="125" t="inlineStr">
        <is>
          <t>HY900X308</t>
        </is>
      </c>
      <c r="BW560">
        <f>SQRT(($J$1025-J560)^2)</f>
        <v/>
      </c>
      <c r="BX560">
        <f>SQRT(($R$1025-R560)^2)</f>
        <v/>
      </c>
      <c r="BY560" s="125" t="inlineStr">
        <is>
          <t>HY900X308</t>
        </is>
      </c>
      <c r="CD560">
        <f>SQRT(($J$1026-J560)^2)</f>
        <v/>
      </c>
      <c r="CE560">
        <f>SQRT(($R$1026-R560)^2)</f>
        <v/>
      </c>
      <c r="CF560" s="125" t="inlineStr">
        <is>
          <t>HY900X308</t>
        </is>
      </c>
    </row>
    <row r="561">
      <c r="A561" s="125" t="inlineStr">
        <is>
          <t>HY900X284</t>
        </is>
      </c>
      <c r="B561" s="129" t="inlineStr">
        <is>
          <t>HY</t>
        </is>
      </c>
      <c r="C561" s="125" t="n">
        <v>284</v>
      </c>
      <c r="D561" s="125" t="n">
        <v>900</v>
      </c>
      <c r="E561" s="125" t="n">
        <v>400</v>
      </c>
      <c r="F561" s="125" t="n">
        <v>28</v>
      </c>
      <c r="G561" s="125" t="n">
        <v>16</v>
      </c>
      <c r="H561" s="125" t="n">
        <v>18</v>
      </c>
      <c r="I561" s="125">
        <f>D561-(2*(H561+F561))</f>
        <v/>
      </c>
      <c r="J561" s="125">
        <f>(2*E561/10*F561/10)+((D561-F561-F561)/10*G561/10)+((H561/10+H561/10)^2)-(PI()*H561/10*H561/10)</f>
        <v/>
      </c>
      <c r="K561" s="125">
        <f>((E561-G561)/2)/F561</f>
        <v/>
      </c>
      <c r="L561" s="125">
        <f>I561/G561</f>
        <v/>
      </c>
      <c r="M561" s="125">
        <f>(E561*2+F561*4+((E561-G561)/2-H561)*4+2*PI()*H561+(D561-2*F561-2*H561)*2)/1000</f>
        <v/>
      </c>
      <c r="N561" s="5" t="n">
        <v>511000</v>
      </c>
      <c r="O561" s="5" t="n">
        <v>29900</v>
      </c>
      <c r="P561" s="125" t="n">
        <v>37.6</v>
      </c>
      <c r="Q561" s="125" t="n">
        <v>9.1</v>
      </c>
      <c r="R561" s="5" t="n">
        <v>11400</v>
      </c>
      <c r="S561" s="5" t="n">
        <v>1490</v>
      </c>
      <c r="T561" s="5" t="n">
        <v>12700</v>
      </c>
      <c r="U561" s="5" t="n">
        <v>2300</v>
      </c>
      <c r="X561" s="129">
        <f t="array" ref="X561">_xlfn.IFS((D561/F561) &lt;= (640/SQRT($AT$32)), "Compact", L561 &lt;= ($AT$32*(0.79-(0.002*((E561-G561/2)/(2*F561))*SQRT($AT$32)))), "Non-Compact", L561 &gt; ($AT$32*(0.79-(0.002*((E561-G561/2)/(2*F561))*SQRT($AT$32)))), "Slender")</f>
        <v/>
      </c>
      <c r="Y561" s="129">
        <f t="array" ref="Y561">_xlfn.IFS(K561 &lt;= (65/SQRT($AT$32)), "Compact", K561 &lt;= (95/SQRT($AT$32)), "Non-Compact", K561 &gt; (95/SQRT($AT$32)), "Slender")</f>
        <v/>
      </c>
      <c r="Z561" s="125">
        <f>E561/F561</f>
        <v/>
      </c>
      <c r="AA561" s="125">
        <f>D561/G561</f>
        <v/>
      </c>
      <c r="AB561" s="125">
        <f t="array" ref="AB561">_xlfn.IFS(Z561 &lt;= 9, "1", Z561 &lt;= 12, "2", Z561 &lt;= 15, "3", Z561 &gt; 15, "4")</f>
        <v/>
      </c>
      <c r="AC561" s="125">
        <f t="array" ref="AC561">_xlfn.IFS(AA561 &lt;= 200, "1", L561 &lt;= 300, "2", L561 &lt;= 400, "3", L561 &gt; 400, "4")</f>
        <v/>
      </c>
      <c r="AF561" s="129">
        <f>SQRT((((VLOOKUP($AT$4,$A$4:$D$1021,4,FALSE))-D561)^2)+(((VLOOKUP($AT$4,$A$4:$E$1021,5,FALSE))-E561)^2)+(((VLOOKUP($AT$4,$A$4:$N$1021,14,FALSE))-N561)^2)+(((VLOOKUP($AT$4,$A$4:$O$1021,15,FALSE))-O561)^2))</f>
        <v/>
      </c>
      <c r="AG561" s="129" t="n"/>
      <c r="AI561" s="129">
        <f>SQRT((((VLOOKUP($AT$4,$A$4:$D$1021,4,FALSE))-D561)^2)+(((VLOOKUP($AT$4,$A$4:$E$1021,5,FALSE))-E561)^2)+(((VLOOKUP($AT$4,$A$4:$R$1021,18,FALSE))-R561)^2)+(((VLOOKUP($AT$4,$A$4:$S$1021,19,FALSE))-S561)^2))</f>
        <v/>
      </c>
      <c r="AJ561" s="125" t="inlineStr">
        <is>
          <t>HY900X284</t>
        </is>
      </c>
      <c r="AK561" s="125" t="n"/>
      <c r="AL561" s="125" t="n"/>
      <c r="AM561" s="125">
        <f>SQRT(((VLOOKUP($AT$4,$A$4:$J$1021,10,FALSE))-J561)^2)</f>
        <v/>
      </c>
      <c r="AN561" s="125" t="n"/>
      <c r="AO561" s="125" t="n"/>
      <c r="AP561" s="125">
        <f>SQRT(((VLOOKUP($AT$4,$A$4:$R$1021,18,FALSE))-R561)^2)</f>
        <v/>
      </c>
      <c r="AQ561" s="125" t="inlineStr">
        <is>
          <t>HY900X284</t>
        </is>
      </c>
      <c r="BB561" s="125">
        <f>SQRT(($J$1022-J561)^2)</f>
        <v/>
      </c>
      <c r="BC561" s="125">
        <f>SQRT(($R$1022-R561)^2)</f>
        <v/>
      </c>
      <c r="BD561" s="125" t="inlineStr">
        <is>
          <t>HY900X284</t>
        </is>
      </c>
      <c r="BI561">
        <f>SQRT(($J$1023-J561)^2)</f>
        <v/>
      </c>
      <c r="BJ561">
        <f>SQRT(($R$1023-R561)^2)</f>
        <v/>
      </c>
      <c r="BK561" s="125" t="inlineStr">
        <is>
          <t>HY900X284</t>
        </is>
      </c>
      <c r="BP561">
        <f>SQRT(($J$1024-J561)^2)</f>
        <v/>
      </c>
      <c r="BQ561">
        <f>SQRT(($R$1024-R561)^2)</f>
        <v/>
      </c>
      <c r="BR561" s="125" t="inlineStr">
        <is>
          <t>HY900X284</t>
        </is>
      </c>
      <c r="BW561">
        <f>SQRT(($J$1025-J561)^2)</f>
        <v/>
      </c>
      <c r="BX561">
        <f>SQRT(($R$1025-R561)^2)</f>
        <v/>
      </c>
      <c r="BY561" s="125" t="inlineStr">
        <is>
          <t>HY900X284</t>
        </is>
      </c>
      <c r="CD561">
        <f>SQRT(($J$1026-J561)^2)</f>
        <v/>
      </c>
      <c r="CE561">
        <f>SQRT(($R$1026-R561)^2)</f>
        <v/>
      </c>
      <c r="CF561" s="125" t="inlineStr">
        <is>
          <t>HY900X284</t>
        </is>
      </c>
    </row>
    <row r="562">
      <c r="A562" s="125" t="inlineStr">
        <is>
          <t>HY900X266</t>
        </is>
      </c>
      <c r="B562" s="129" t="inlineStr">
        <is>
          <t>HY</t>
        </is>
      </c>
      <c r="C562" s="125" t="n">
        <v>266</v>
      </c>
      <c r="D562" s="125" t="n">
        <v>900</v>
      </c>
      <c r="E562" s="125" t="n">
        <v>400</v>
      </c>
      <c r="F562" s="125" t="n">
        <v>25</v>
      </c>
      <c r="G562" s="125" t="n">
        <v>16</v>
      </c>
      <c r="H562" s="125" t="n">
        <v>18</v>
      </c>
      <c r="I562" s="125">
        <f>D562-(2*(H562+F562))</f>
        <v/>
      </c>
      <c r="J562" s="125">
        <f>(2*E562/10*F562/10)+((D562-F562-F562)/10*G562/10)+((H562/10+H562/10)^2)-(PI()*H562/10*H562/10)</f>
        <v/>
      </c>
      <c r="K562" s="125">
        <f>((E562-G562)/2)/F562</f>
        <v/>
      </c>
      <c r="L562" s="125">
        <f>I562/G562</f>
        <v/>
      </c>
      <c r="M562" s="125">
        <f>(E562*2+F562*4+((E562-G562)/2-H562)*4+2*PI()*H562+(D562-2*F562-2*H562)*2)/1000</f>
        <v/>
      </c>
      <c r="N562" s="5" t="n">
        <v>470000</v>
      </c>
      <c r="O562" s="5" t="n">
        <v>26700</v>
      </c>
      <c r="P562" s="125" t="n">
        <v>37.2</v>
      </c>
      <c r="Q562" s="125" t="n">
        <v>8.9</v>
      </c>
      <c r="R562" s="5" t="n">
        <v>10400</v>
      </c>
      <c r="S562" s="5" t="n">
        <v>1340</v>
      </c>
      <c r="T562" s="5" t="n">
        <v>11800</v>
      </c>
      <c r="U562" s="5" t="n">
        <v>2060</v>
      </c>
      <c r="X562" s="129">
        <f t="array" ref="X562">_xlfn.IFS((D562/F562) &lt;= (640/SQRT($AT$32)), "Compact", L562 &lt;= ($AT$32*(0.79-(0.002*((E562-G562/2)/(2*F562))*SQRT($AT$32)))), "Non-Compact", L562 &gt; ($AT$32*(0.79-(0.002*((E562-G562/2)/(2*F562))*SQRT($AT$32)))), "Slender")</f>
        <v/>
      </c>
      <c r="Y562" s="129">
        <f t="array" ref="Y562">_xlfn.IFS(K562 &lt;= (65/SQRT($AT$32)), "Compact", K562 &lt;= (95/SQRT($AT$32)), "Non-Compact", K562 &gt; (95/SQRT($AT$32)), "Slender")</f>
        <v/>
      </c>
      <c r="Z562" s="125">
        <f>E562/F562</f>
        <v/>
      </c>
      <c r="AA562" s="125">
        <f>D562/G562</f>
        <v/>
      </c>
      <c r="AB562" s="125">
        <f t="array" ref="AB562">_xlfn.IFS(Z562 &lt;= 9, "1", Z562 &lt;= 12, "2", Z562 &lt;= 15, "3", Z562 &gt; 15, "4")</f>
        <v/>
      </c>
      <c r="AC562" s="125">
        <f t="array" ref="AC562">_xlfn.IFS(AA562 &lt;= 200, "1", L562 &lt;= 300, "2", L562 &lt;= 400, "3", L562 &gt; 400, "4")</f>
        <v/>
      </c>
      <c r="AF562" s="129">
        <f>SQRT((((VLOOKUP($AT$4,$A$4:$D$1021,4,FALSE))-D562)^2)+(((VLOOKUP($AT$4,$A$4:$E$1021,5,FALSE))-E562)^2)+(((VLOOKUP($AT$4,$A$4:$N$1021,14,FALSE))-N562)^2)+(((VLOOKUP($AT$4,$A$4:$O$1021,15,FALSE))-O562)^2))</f>
        <v/>
      </c>
      <c r="AG562" s="129" t="n"/>
      <c r="AI562" s="129">
        <f>SQRT((((VLOOKUP($AT$4,$A$4:$D$1021,4,FALSE))-D562)^2)+(((VLOOKUP($AT$4,$A$4:$E$1021,5,FALSE))-E562)^2)+(((VLOOKUP($AT$4,$A$4:$R$1021,18,FALSE))-R562)^2)+(((VLOOKUP($AT$4,$A$4:$S$1021,19,FALSE))-S562)^2))</f>
        <v/>
      </c>
      <c r="AJ562" s="125" t="inlineStr">
        <is>
          <t>HY900X266</t>
        </is>
      </c>
      <c r="AK562" s="125" t="n"/>
      <c r="AL562" s="125" t="n"/>
      <c r="AM562" s="125">
        <f>SQRT(((VLOOKUP($AT$4,$A$4:$J$1021,10,FALSE))-J562)^2)</f>
        <v/>
      </c>
      <c r="AN562" s="125" t="n"/>
      <c r="AO562" s="125" t="n"/>
      <c r="AP562" s="125">
        <f>SQRT(((VLOOKUP($AT$4,$A$4:$R$1021,18,FALSE))-R562)^2)</f>
        <v/>
      </c>
      <c r="AQ562" s="125" t="inlineStr">
        <is>
          <t>HY900X266</t>
        </is>
      </c>
      <c r="BB562" s="125">
        <f>SQRT(($J$1022-J562)^2)</f>
        <v/>
      </c>
      <c r="BC562" s="125">
        <f>SQRT(($R$1022-R562)^2)</f>
        <v/>
      </c>
      <c r="BD562" s="125" t="inlineStr">
        <is>
          <t>HY900X266</t>
        </is>
      </c>
      <c r="BI562">
        <f>SQRT(($J$1023-J562)^2)</f>
        <v/>
      </c>
      <c r="BJ562">
        <f>SQRT(($R$1023-R562)^2)</f>
        <v/>
      </c>
      <c r="BK562" s="125" t="inlineStr">
        <is>
          <t>HY900X266</t>
        </is>
      </c>
      <c r="BP562">
        <f>SQRT(($J$1024-J562)^2)</f>
        <v/>
      </c>
      <c r="BQ562">
        <f>SQRT(($R$1024-R562)^2)</f>
        <v/>
      </c>
      <c r="BR562" s="125" t="inlineStr">
        <is>
          <t>HY900X266</t>
        </is>
      </c>
      <c r="BW562">
        <f>SQRT(($J$1025-J562)^2)</f>
        <v/>
      </c>
      <c r="BX562">
        <f>SQRT(($R$1025-R562)^2)</f>
        <v/>
      </c>
      <c r="BY562" s="125" t="inlineStr">
        <is>
          <t>HY900X266</t>
        </is>
      </c>
      <c r="CD562">
        <f>SQRT(($J$1026-J562)^2)</f>
        <v/>
      </c>
      <c r="CE562">
        <f>SQRT(($R$1026-R562)^2)</f>
        <v/>
      </c>
      <c r="CF562" s="125" t="inlineStr">
        <is>
          <t>HY900X266</t>
        </is>
      </c>
    </row>
    <row r="563">
      <c r="A563" s="125" t="inlineStr">
        <is>
          <t>HY900X248</t>
        </is>
      </c>
      <c r="B563" s="129" t="inlineStr">
        <is>
          <t>HY</t>
        </is>
      </c>
      <c r="C563" s="125" t="n">
        <v>248</v>
      </c>
      <c r="D563" s="125" t="n">
        <v>900</v>
      </c>
      <c r="E563" s="125" t="n">
        <v>400</v>
      </c>
      <c r="F563" s="125" t="n">
        <v>22</v>
      </c>
      <c r="G563" s="125" t="n">
        <v>16</v>
      </c>
      <c r="H563" s="125" t="n">
        <v>18</v>
      </c>
      <c r="I563" s="125">
        <f>D563-(2*(H563+F563))</f>
        <v/>
      </c>
      <c r="J563" s="125">
        <f>(2*E563/10*F563/10)+((D563-F563-F563)/10*G563/10)+((H563/10+H563/10)^2)-(PI()*H563/10*H563/10)</f>
        <v/>
      </c>
      <c r="K563" s="125">
        <f>((E563-G563)/2)/F563</f>
        <v/>
      </c>
      <c r="L563" s="125">
        <f>I563/G563</f>
        <v/>
      </c>
      <c r="M563" s="125">
        <f>(E563*2+F563*4+((E563-G563)/2-H563)*4+2*PI()*H563+(D563-2*F563-2*H563)*2)/1000</f>
        <v/>
      </c>
      <c r="N563" s="5" t="n">
        <v>428000</v>
      </c>
      <c r="O563" s="5" t="n">
        <v>23500</v>
      </c>
      <c r="P563" s="125" t="n">
        <v>36.8</v>
      </c>
      <c r="Q563" s="125" t="n">
        <v>8.6</v>
      </c>
      <c r="R563" s="5" t="n">
        <v>9510</v>
      </c>
      <c r="S563" s="5" t="n">
        <v>1180</v>
      </c>
      <c r="T563" s="5" t="n">
        <v>10800</v>
      </c>
      <c r="U563" s="5" t="n">
        <v>1820</v>
      </c>
      <c r="X563" s="129">
        <f t="array" ref="X563">_xlfn.IFS((D563/F563) &lt;= (640/SQRT($AT$32)), "Compact", L563 &lt;= ($AT$32*(0.79-(0.002*((E563-G563/2)/(2*F563))*SQRT($AT$32)))), "Non-Compact", L563 &gt; ($AT$32*(0.79-(0.002*((E563-G563/2)/(2*F563))*SQRT($AT$32)))), "Slender")</f>
        <v/>
      </c>
      <c r="Y563" s="129">
        <f t="array" ref="Y563">_xlfn.IFS(K563 &lt;= (65/SQRT($AT$32)), "Compact", K563 &lt;= (95/SQRT($AT$32)), "Non-Compact", K563 &gt; (95/SQRT($AT$32)), "Slender")</f>
        <v/>
      </c>
      <c r="Z563" s="125">
        <f>E563/F563</f>
        <v/>
      </c>
      <c r="AA563" s="125">
        <f>D563/G563</f>
        <v/>
      </c>
      <c r="AB563" s="125">
        <f t="array" ref="AB563">_xlfn.IFS(Z563 &lt;= 9, "1", Z563 &lt;= 12, "2", Z563 &lt;= 15, "3", Z563 &gt; 15, "4")</f>
        <v/>
      </c>
      <c r="AC563" s="125">
        <f t="array" ref="AC563">_xlfn.IFS(AA563 &lt;= 200, "1", L563 &lt;= 300, "2", L563 &lt;= 400, "3", L563 &gt; 400, "4")</f>
        <v/>
      </c>
      <c r="AF563" s="129">
        <f>SQRT((((VLOOKUP($AT$4,$A$4:$D$1021,4,FALSE))-D563)^2)+(((VLOOKUP($AT$4,$A$4:$E$1021,5,FALSE))-E563)^2)+(((VLOOKUP($AT$4,$A$4:$N$1021,14,FALSE))-N563)^2)+(((VLOOKUP($AT$4,$A$4:$O$1021,15,FALSE))-O563)^2))</f>
        <v/>
      </c>
      <c r="AG563" s="129" t="n"/>
      <c r="AI563" s="129">
        <f>SQRT((((VLOOKUP($AT$4,$A$4:$D$1021,4,FALSE))-D563)^2)+(((VLOOKUP($AT$4,$A$4:$E$1021,5,FALSE))-E563)^2)+(((VLOOKUP($AT$4,$A$4:$R$1021,18,FALSE))-R563)^2)+(((VLOOKUP($AT$4,$A$4:$S$1021,19,FALSE))-S563)^2))</f>
        <v/>
      </c>
      <c r="AJ563" s="125" t="inlineStr">
        <is>
          <t>HY900X248</t>
        </is>
      </c>
      <c r="AK563" s="125" t="n"/>
      <c r="AL563" s="125" t="n"/>
      <c r="AM563" s="125">
        <f>SQRT(((VLOOKUP($AT$4,$A$4:$J$1021,10,FALSE))-J563)^2)</f>
        <v/>
      </c>
      <c r="AN563" s="125" t="n"/>
      <c r="AO563" s="125" t="n"/>
      <c r="AP563" s="125">
        <f>SQRT(((VLOOKUP($AT$4,$A$4:$R$1021,18,FALSE))-R563)^2)</f>
        <v/>
      </c>
      <c r="AQ563" s="125" t="inlineStr">
        <is>
          <t>HY900X248</t>
        </is>
      </c>
      <c r="BB563" s="125">
        <f>SQRT(($J$1022-J563)^2)</f>
        <v/>
      </c>
      <c r="BC563" s="125">
        <f>SQRT(($R$1022-R563)^2)</f>
        <v/>
      </c>
      <c r="BD563" s="125" t="inlineStr">
        <is>
          <t>HY900X248</t>
        </is>
      </c>
      <c r="BI563">
        <f>SQRT(($J$1023-J563)^2)</f>
        <v/>
      </c>
      <c r="BJ563">
        <f>SQRT(($R$1023-R563)^2)</f>
        <v/>
      </c>
      <c r="BK563" s="125" t="inlineStr">
        <is>
          <t>HY900X248</t>
        </is>
      </c>
      <c r="BP563">
        <f>SQRT(($J$1024-J563)^2)</f>
        <v/>
      </c>
      <c r="BQ563">
        <f>SQRT(($R$1024-R563)^2)</f>
        <v/>
      </c>
      <c r="BR563" s="125" t="inlineStr">
        <is>
          <t>HY900X248</t>
        </is>
      </c>
      <c r="BW563">
        <f>SQRT(($J$1025-J563)^2)</f>
        <v/>
      </c>
      <c r="BX563">
        <f>SQRT(($R$1025-R563)^2)</f>
        <v/>
      </c>
      <c r="BY563" s="125" t="inlineStr">
        <is>
          <t>HY900X248</t>
        </is>
      </c>
      <c r="CD563">
        <f>SQRT(($J$1026-J563)^2)</f>
        <v/>
      </c>
      <c r="CE563">
        <f>SQRT(($R$1026-R563)^2)</f>
        <v/>
      </c>
      <c r="CF563" s="125" t="inlineStr">
        <is>
          <t>HY900X248</t>
        </is>
      </c>
    </row>
    <row r="564">
      <c r="A564" s="125" t="inlineStr">
        <is>
          <t>HY900X271</t>
        </is>
      </c>
      <c r="B564" s="129" t="inlineStr">
        <is>
          <t>HY</t>
        </is>
      </c>
      <c r="C564" s="125" t="n">
        <v>271</v>
      </c>
      <c r="D564" s="125" t="n">
        <v>900</v>
      </c>
      <c r="E564" s="125" t="n">
        <v>400</v>
      </c>
      <c r="F564" s="125" t="n">
        <v>28</v>
      </c>
      <c r="G564" s="125" t="n">
        <v>14</v>
      </c>
      <c r="H564" s="125" t="n">
        <v>18</v>
      </c>
      <c r="I564" s="125">
        <f>D564-(2*(H564+F564))</f>
        <v/>
      </c>
      <c r="J564" s="125">
        <f>(2*E564/10*F564/10)+((D564-F564-F564)/10*G564/10)+((H564/10+H564/10)^2)-(PI()*H564/10*H564/10)</f>
        <v/>
      </c>
      <c r="K564" s="125">
        <f>((E564-G564)/2)/F564</f>
        <v/>
      </c>
      <c r="L564" s="125">
        <f>I564/G564</f>
        <v/>
      </c>
      <c r="M564" s="125">
        <f>(E564*2+F564*4+((E564-G564)/2-H564)*4+2*PI()*H564+(D564-2*F564-2*H564)*2)/1000</f>
        <v/>
      </c>
      <c r="N564" s="5" t="n">
        <v>501000</v>
      </c>
      <c r="O564" s="5" t="n">
        <v>29900</v>
      </c>
      <c r="P564" s="125" t="n">
        <v>38.1</v>
      </c>
      <c r="Q564" s="125" t="n">
        <v>9.300000000000001</v>
      </c>
      <c r="R564" s="5" t="n">
        <v>11100</v>
      </c>
      <c r="S564" s="5" t="n">
        <v>1490</v>
      </c>
      <c r="T564" s="5" t="n">
        <v>12400</v>
      </c>
      <c r="U564" s="5" t="n">
        <v>2280</v>
      </c>
      <c r="X564" s="129">
        <f t="array" ref="X564">_xlfn.IFS((D564/F564) &lt;= (640/SQRT($AT$32)), "Compact", L564 &lt;= ($AT$32*(0.79-(0.002*((E564-G564/2)/(2*F564))*SQRT($AT$32)))), "Non-Compact", L564 &gt; ($AT$32*(0.79-(0.002*((E564-G564/2)/(2*F564))*SQRT($AT$32)))), "Slender")</f>
        <v/>
      </c>
      <c r="Y564" s="129">
        <f t="array" ref="Y564">_xlfn.IFS(K564 &lt;= (65/SQRT($AT$32)), "Compact", K564 &lt;= (95/SQRT($AT$32)), "Non-Compact", K564 &gt; (95/SQRT($AT$32)), "Slender")</f>
        <v/>
      </c>
      <c r="Z564" s="125">
        <f>E564/F564</f>
        <v/>
      </c>
      <c r="AA564" s="125">
        <f>D564/G564</f>
        <v/>
      </c>
      <c r="AB564" s="125">
        <f t="array" ref="AB564">_xlfn.IFS(Z564 &lt;= 9, "1", Z564 &lt;= 12, "2", Z564 &lt;= 15, "3", Z564 &gt; 15, "4")</f>
        <v/>
      </c>
      <c r="AC564" s="125">
        <f t="array" ref="AC564">_xlfn.IFS(AA564 &lt;= 200, "1", L564 &lt;= 300, "2", L564 &lt;= 400, "3", L564 &gt; 400, "4")</f>
        <v/>
      </c>
      <c r="AF564" s="129">
        <f>SQRT((((VLOOKUP($AT$4,$A$4:$D$1021,4,FALSE))-D564)^2)+(((VLOOKUP($AT$4,$A$4:$E$1021,5,FALSE))-E564)^2)+(((VLOOKUP($AT$4,$A$4:$N$1021,14,FALSE))-N564)^2)+(((VLOOKUP($AT$4,$A$4:$O$1021,15,FALSE))-O564)^2))</f>
        <v/>
      </c>
      <c r="AG564" s="129" t="n"/>
      <c r="AI564" s="129">
        <f>SQRT((((VLOOKUP($AT$4,$A$4:$D$1021,4,FALSE))-D564)^2)+(((VLOOKUP($AT$4,$A$4:$E$1021,5,FALSE))-E564)^2)+(((VLOOKUP($AT$4,$A$4:$R$1021,18,FALSE))-R564)^2)+(((VLOOKUP($AT$4,$A$4:$S$1021,19,FALSE))-S564)^2))</f>
        <v/>
      </c>
      <c r="AJ564" s="125" t="inlineStr">
        <is>
          <t>HY900X271</t>
        </is>
      </c>
      <c r="AK564" s="125" t="n"/>
      <c r="AL564" s="125" t="n"/>
      <c r="AM564" s="125">
        <f>SQRT(((VLOOKUP($AT$4,$A$4:$J$1021,10,FALSE))-J564)^2)</f>
        <v/>
      </c>
      <c r="AN564" s="125" t="n"/>
      <c r="AO564" s="125" t="n"/>
      <c r="AP564" s="125">
        <f>SQRT(((VLOOKUP($AT$4,$A$4:$R$1021,18,FALSE))-R564)^2)</f>
        <v/>
      </c>
      <c r="AQ564" s="125" t="inlineStr">
        <is>
          <t>HY900X271</t>
        </is>
      </c>
      <c r="BB564" s="125">
        <f>SQRT(($J$1022-J564)^2)</f>
        <v/>
      </c>
      <c r="BC564" s="125">
        <f>SQRT(($R$1022-R564)^2)</f>
        <v/>
      </c>
      <c r="BD564" s="125" t="inlineStr">
        <is>
          <t>HY900X271</t>
        </is>
      </c>
      <c r="BI564">
        <f>SQRT(($J$1023-J564)^2)</f>
        <v/>
      </c>
      <c r="BJ564">
        <f>SQRT(($R$1023-R564)^2)</f>
        <v/>
      </c>
      <c r="BK564" s="125" t="inlineStr">
        <is>
          <t>HY900X271</t>
        </is>
      </c>
      <c r="BP564">
        <f>SQRT(($J$1024-J564)^2)</f>
        <v/>
      </c>
      <c r="BQ564">
        <f>SQRT(($R$1024-R564)^2)</f>
        <v/>
      </c>
      <c r="BR564" s="125" t="inlineStr">
        <is>
          <t>HY900X271</t>
        </is>
      </c>
      <c r="BW564">
        <f>SQRT(($J$1025-J564)^2)</f>
        <v/>
      </c>
      <c r="BX564">
        <f>SQRT(($R$1025-R564)^2)</f>
        <v/>
      </c>
      <c r="BY564" s="125" t="inlineStr">
        <is>
          <t>HY900X271</t>
        </is>
      </c>
      <c r="CD564">
        <f>SQRT(($J$1026-J564)^2)</f>
        <v/>
      </c>
      <c r="CE564">
        <f>SQRT(($R$1026-R564)^2)</f>
        <v/>
      </c>
      <c r="CF564" s="125" t="inlineStr">
        <is>
          <t>HY900X271</t>
        </is>
      </c>
    </row>
    <row r="565">
      <c r="A565" s="125" t="inlineStr">
        <is>
          <t>HY900X253</t>
        </is>
      </c>
      <c r="B565" s="129" t="inlineStr">
        <is>
          <t>HY</t>
        </is>
      </c>
      <c r="C565" s="125" t="n">
        <v>253</v>
      </c>
      <c r="D565" s="125" t="n">
        <v>900</v>
      </c>
      <c r="E565" s="125" t="n">
        <v>400</v>
      </c>
      <c r="F565" s="125" t="n">
        <v>25</v>
      </c>
      <c r="G565" s="125" t="n">
        <v>14</v>
      </c>
      <c r="H565" s="125" t="n">
        <v>18</v>
      </c>
      <c r="I565" s="125">
        <f>D565-(2*(H565+F565))</f>
        <v/>
      </c>
      <c r="J565" s="125">
        <f>(2*E565/10*F565/10)+((D565-F565-F565)/10*G565/10)+((H565/10+H565/10)^2)-(PI()*H565/10*H565/10)</f>
        <v/>
      </c>
      <c r="K565" s="125">
        <f>((E565-G565)/2)/F565</f>
        <v/>
      </c>
      <c r="L565" s="125">
        <f>I565/G565</f>
        <v/>
      </c>
      <c r="M565" s="125">
        <f>(E565*2+F565*4+((E565-G565)/2-H565)*4+2*PI()*H565+(D565-2*F565-2*H565)*2)/1000</f>
        <v/>
      </c>
      <c r="N565" s="5" t="n">
        <v>459000</v>
      </c>
      <c r="O565" s="5" t="n">
        <v>26700</v>
      </c>
      <c r="P565" s="125" t="n">
        <v>37.8</v>
      </c>
      <c r="Q565" s="125" t="n">
        <v>9.1</v>
      </c>
      <c r="R565" s="5" t="n">
        <v>10200</v>
      </c>
      <c r="S565" s="5" t="n">
        <v>1330</v>
      </c>
      <c r="T565" s="5" t="n">
        <v>11400</v>
      </c>
      <c r="U565" s="5" t="n">
        <v>2040</v>
      </c>
      <c r="X565" s="129">
        <f t="array" ref="X565">_xlfn.IFS((D565/F565) &lt;= (640/SQRT($AT$32)), "Compact", L565 &lt;= ($AT$32*(0.79-(0.002*((E565-G565/2)/(2*F565))*SQRT($AT$32)))), "Non-Compact", L565 &gt; ($AT$32*(0.79-(0.002*((E565-G565/2)/(2*F565))*SQRT($AT$32)))), "Slender")</f>
        <v/>
      </c>
      <c r="Y565" s="129">
        <f t="array" ref="Y565">_xlfn.IFS(K565 &lt;= (65/SQRT($AT$32)), "Compact", K565 &lt;= (95/SQRT($AT$32)), "Non-Compact", K565 &gt; (95/SQRT($AT$32)), "Slender")</f>
        <v/>
      </c>
      <c r="Z565" s="125">
        <f>E565/F565</f>
        <v/>
      </c>
      <c r="AA565" s="125">
        <f>D565/G565</f>
        <v/>
      </c>
      <c r="AB565" s="125">
        <f t="array" ref="AB565">_xlfn.IFS(Z565 &lt;= 9, "1", Z565 &lt;= 12, "2", Z565 &lt;= 15, "3", Z565 &gt; 15, "4")</f>
        <v/>
      </c>
      <c r="AC565" s="125">
        <f t="array" ref="AC565">_xlfn.IFS(AA565 &lt;= 200, "1", L565 &lt;= 300, "2", L565 &lt;= 400, "3", L565 &gt; 400, "4")</f>
        <v/>
      </c>
      <c r="AF565" s="129">
        <f>SQRT((((VLOOKUP($AT$4,$A$4:$D$1021,4,FALSE))-D565)^2)+(((VLOOKUP($AT$4,$A$4:$E$1021,5,FALSE))-E565)^2)+(((VLOOKUP($AT$4,$A$4:$N$1021,14,FALSE))-N565)^2)+(((VLOOKUP($AT$4,$A$4:$O$1021,15,FALSE))-O565)^2))</f>
        <v/>
      </c>
      <c r="AG565" s="129" t="n"/>
      <c r="AI565" s="129">
        <f>SQRT((((VLOOKUP($AT$4,$A$4:$D$1021,4,FALSE))-D565)^2)+(((VLOOKUP($AT$4,$A$4:$E$1021,5,FALSE))-E565)^2)+(((VLOOKUP($AT$4,$A$4:$R$1021,18,FALSE))-R565)^2)+(((VLOOKUP($AT$4,$A$4:$S$1021,19,FALSE))-S565)^2))</f>
        <v/>
      </c>
      <c r="AJ565" s="125" t="inlineStr">
        <is>
          <t>HY900X253</t>
        </is>
      </c>
      <c r="AK565" s="125" t="n"/>
      <c r="AL565" s="125" t="n"/>
      <c r="AM565" s="125">
        <f>SQRT(((VLOOKUP($AT$4,$A$4:$J$1021,10,FALSE))-J565)^2)</f>
        <v/>
      </c>
      <c r="AN565" s="125" t="n"/>
      <c r="AO565" s="125" t="n"/>
      <c r="AP565" s="125">
        <f>SQRT(((VLOOKUP($AT$4,$A$4:$R$1021,18,FALSE))-R565)^2)</f>
        <v/>
      </c>
      <c r="AQ565" s="125" t="inlineStr">
        <is>
          <t>HY900X253</t>
        </is>
      </c>
      <c r="BB565" s="125">
        <f>SQRT(($J$1022-J565)^2)</f>
        <v/>
      </c>
      <c r="BC565" s="125">
        <f>SQRT(($R$1022-R565)^2)</f>
        <v/>
      </c>
      <c r="BD565" s="125" t="inlineStr">
        <is>
          <t>HY900X253</t>
        </is>
      </c>
      <c r="BI565">
        <f>SQRT(($J$1023-J565)^2)</f>
        <v/>
      </c>
      <c r="BJ565">
        <f>SQRT(($R$1023-R565)^2)</f>
        <v/>
      </c>
      <c r="BK565" s="125" t="inlineStr">
        <is>
          <t>HY900X253</t>
        </is>
      </c>
      <c r="BP565">
        <f>SQRT(($J$1024-J565)^2)</f>
        <v/>
      </c>
      <c r="BQ565">
        <f>SQRT(($R$1024-R565)^2)</f>
        <v/>
      </c>
      <c r="BR565" s="125" t="inlineStr">
        <is>
          <t>HY900X253</t>
        </is>
      </c>
      <c r="BW565">
        <f>SQRT(($J$1025-J565)^2)</f>
        <v/>
      </c>
      <c r="BX565">
        <f>SQRT(($R$1025-R565)^2)</f>
        <v/>
      </c>
      <c r="BY565" s="125" t="inlineStr">
        <is>
          <t>HY900X253</t>
        </is>
      </c>
      <c r="CD565">
        <f>SQRT(($J$1026-J565)^2)</f>
        <v/>
      </c>
      <c r="CE565">
        <f>SQRT(($R$1026-R565)^2)</f>
        <v/>
      </c>
      <c r="CF565" s="125" t="inlineStr">
        <is>
          <t>HY900X253</t>
        </is>
      </c>
    </row>
    <row r="566">
      <c r="A566" s="125" t="inlineStr">
        <is>
          <t>HY900X234</t>
        </is>
      </c>
      <c r="B566" s="129" t="inlineStr">
        <is>
          <t>HY</t>
        </is>
      </c>
      <c r="C566" s="125" t="n">
        <v>234</v>
      </c>
      <c r="D566" s="125" t="n">
        <v>900</v>
      </c>
      <c r="E566" s="125" t="n">
        <v>400</v>
      </c>
      <c r="F566" s="125" t="n">
        <v>22</v>
      </c>
      <c r="G566" s="125" t="n">
        <v>14</v>
      </c>
      <c r="H566" s="125" t="n">
        <v>18</v>
      </c>
      <c r="I566" s="125">
        <f>D566-(2*(H566+F566))</f>
        <v/>
      </c>
      <c r="J566" s="125">
        <f>(2*E566/10*F566/10)+((D566-F566-F566)/10*G566/10)+((H566/10+H566/10)^2)-(PI()*H566/10*H566/10)</f>
        <v/>
      </c>
      <c r="K566" s="125">
        <f>((E566-G566)/2)/F566</f>
        <v/>
      </c>
      <c r="L566" s="125">
        <f>I566/G566</f>
        <v/>
      </c>
      <c r="M566" s="125">
        <f>(E566*2+F566*4+((E566-G566)/2-H566)*4+2*PI()*H566+(D566-2*F566-2*H566)*2)/1000</f>
        <v/>
      </c>
      <c r="N566" s="5" t="n">
        <v>417000</v>
      </c>
      <c r="O566" s="5" t="n">
        <v>23500</v>
      </c>
      <c r="P566" s="125" t="n">
        <v>37.4</v>
      </c>
      <c r="Q566" s="125" t="n">
        <v>8.9</v>
      </c>
      <c r="R566" s="5" t="n">
        <v>9280</v>
      </c>
      <c r="S566" s="5" t="n">
        <v>1170</v>
      </c>
      <c r="T566" s="5" t="n">
        <v>10400</v>
      </c>
      <c r="U566" s="5" t="n">
        <v>1810</v>
      </c>
      <c r="X566" s="129">
        <f t="array" ref="X566">_xlfn.IFS((D566/F566) &lt;= (640/SQRT($AT$32)), "Compact", L566 &lt;= ($AT$32*(0.79-(0.002*((E566-G566/2)/(2*F566))*SQRT($AT$32)))), "Non-Compact", L566 &gt; ($AT$32*(0.79-(0.002*((E566-G566/2)/(2*F566))*SQRT($AT$32)))), "Slender")</f>
        <v/>
      </c>
      <c r="Y566" s="129">
        <f t="array" ref="Y566">_xlfn.IFS(K566 &lt;= (65/SQRT($AT$32)), "Compact", K566 &lt;= (95/SQRT($AT$32)), "Non-Compact", K566 &gt; (95/SQRT($AT$32)), "Slender")</f>
        <v/>
      </c>
      <c r="Z566" s="125">
        <f>E566/F566</f>
        <v/>
      </c>
      <c r="AA566" s="125">
        <f>D566/G566</f>
        <v/>
      </c>
      <c r="AB566" s="125">
        <f t="array" ref="AB566">_xlfn.IFS(Z566 &lt;= 9, "1", Z566 &lt;= 12, "2", Z566 &lt;= 15, "3", Z566 &gt; 15, "4")</f>
        <v/>
      </c>
      <c r="AC566" s="125">
        <f t="array" ref="AC566">_xlfn.IFS(AA566 &lt;= 200, "1", L566 &lt;= 300, "2", L566 &lt;= 400, "3", L566 &gt; 400, "4")</f>
        <v/>
      </c>
      <c r="AF566" s="129">
        <f>SQRT((((VLOOKUP($AT$4,$A$4:$D$1021,4,FALSE))-D566)^2)+(((VLOOKUP($AT$4,$A$4:$E$1021,5,FALSE))-E566)^2)+(((VLOOKUP($AT$4,$A$4:$N$1021,14,FALSE))-N566)^2)+(((VLOOKUP($AT$4,$A$4:$O$1021,15,FALSE))-O566)^2))</f>
        <v/>
      </c>
      <c r="AG566" s="129" t="n"/>
      <c r="AI566" s="129">
        <f>SQRT((((VLOOKUP($AT$4,$A$4:$D$1021,4,FALSE))-D566)^2)+(((VLOOKUP($AT$4,$A$4:$E$1021,5,FALSE))-E566)^2)+(((VLOOKUP($AT$4,$A$4:$R$1021,18,FALSE))-R566)^2)+(((VLOOKUP($AT$4,$A$4:$S$1021,19,FALSE))-S566)^2))</f>
        <v/>
      </c>
      <c r="AJ566" s="125" t="inlineStr">
        <is>
          <t>HY900X234</t>
        </is>
      </c>
      <c r="AK566" s="125" t="n"/>
      <c r="AL566" s="125" t="n"/>
      <c r="AM566" s="125">
        <f>SQRT(((VLOOKUP($AT$4,$A$4:$J$1021,10,FALSE))-J566)^2)</f>
        <v/>
      </c>
      <c r="AN566" s="125" t="n"/>
      <c r="AO566" s="125" t="n"/>
      <c r="AP566" s="125">
        <f>SQRT(((VLOOKUP($AT$4,$A$4:$R$1021,18,FALSE))-R566)^2)</f>
        <v/>
      </c>
      <c r="AQ566" s="125" t="inlineStr">
        <is>
          <t>HY900X234</t>
        </is>
      </c>
      <c r="BB566" s="125">
        <f>SQRT(($J$1022-J566)^2)</f>
        <v/>
      </c>
      <c r="BC566" s="125">
        <f>SQRT(($R$1022-R566)^2)</f>
        <v/>
      </c>
      <c r="BD566" s="125" t="inlineStr">
        <is>
          <t>HY900X234</t>
        </is>
      </c>
      <c r="BI566">
        <f>SQRT(($J$1023-J566)^2)</f>
        <v/>
      </c>
      <c r="BJ566">
        <f>SQRT(($R$1023-R566)^2)</f>
        <v/>
      </c>
      <c r="BK566" s="125" t="inlineStr">
        <is>
          <t>HY900X234</t>
        </is>
      </c>
      <c r="BP566">
        <f>SQRT(($J$1024-J566)^2)</f>
        <v/>
      </c>
      <c r="BQ566">
        <f>SQRT(($R$1024-R566)^2)</f>
        <v/>
      </c>
      <c r="BR566" s="125" t="inlineStr">
        <is>
          <t>HY900X234</t>
        </is>
      </c>
      <c r="BW566">
        <f>SQRT(($J$1025-J566)^2)</f>
        <v/>
      </c>
      <c r="BX566">
        <f>SQRT(($R$1025-R566)^2)</f>
        <v/>
      </c>
      <c r="BY566" s="125" t="inlineStr">
        <is>
          <t>HY900X234</t>
        </is>
      </c>
      <c r="CD566">
        <f>SQRT(($J$1026-J566)^2)</f>
        <v/>
      </c>
      <c r="CE566">
        <f>SQRT(($R$1026-R566)^2)</f>
        <v/>
      </c>
      <c r="CF566" s="125" t="inlineStr">
        <is>
          <t>HY900X234</t>
        </is>
      </c>
    </row>
    <row r="567">
      <c r="A567" s="125" t="inlineStr">
        <is>
          <t>HY900X364</t>
        </is>
      </c>
      <c r="B567" s="129" t="inlineStr">
        <is>
          <t>HY</t>
        </is>
      </c>
      <c r="C567" s="125" t="n">
        <v>364</v>
      </c>
      <c r="D567" s="125" t="n">
        <v>900</v>
      </c>
      <c r="E567" s="125" t="n">
        <v>350</v>
      </c>
      <c r="F567" s="125" t="n">
        <v>40</v>
      </c>
      <c r="G567" s="125" t="n">
        <v>22</v>
      </c>
      <c r="H567" s="125" t="n">
        <v>18</v>
      </c>
      <c r="I567" s="125">
        <f>D567-(2*(H567+F567))</f>
        <v/>
      </c>
      <c r="J567" s="125">
        <f>(2*E567/10*F567/10)+((D567-F567-F567)/10*G567/10)+((H567/10+H567/10)^2)-(PI()*H567/10*H567/10)</f>
        <v/>
      </c>
      <c r="K567" s="125">
        <f>((E567-G567)/2)/F567</f>
        <v/>
      </c>
      <c r="L567" s="125">
        <f>I567/G567</f>
        <v/>
      </c>
      <c r="M567" s="125">
        <f>(E567*2+F567*4+((E567-G567)/2-H567)*4+2*PI()*H567+(D567-2*F567-2*H567)*2)/1000</f>
        <v/>
      </c>
      <c r="N567" s="5" t="n">
        <v>624000</v>
      </c>
      <c r="O567" s="5" t="n">
        <v>28700</v>
      </c>
      <c r="P567" s="125" t="n">
        <v>36.7</v>
      </c>
      <c r="Q567" s="125" t="n">
        <v>7.9</v>
      </c>
      <c r="R567" s="5" t="n">
        <v>13900</v>
      </c>
      <c r="S567" s="5" t="n">
        <v>1640</v>
      </c>
      <c r="T567" s="5" t="n">
        <v>15900</v>
      </c>
      <c r="U567" s="5" t="n">
        <v>2550</v>
      </c>
      <c r="X567" s="129">
        <f t="array" ref="X567">_xlfn.IFS((D567/F567) &lt;= (640/SQRT($AT$32)), "Compact", L567 &lt;= ($AT$32*(0.79-(0.002*((E567-G567/2)/(2*F567))*SQRT($AT$32)))), "Non-Compact", L567 &gt; ($AT$32*(0.79-(0.002*((E567-G567/2)/(2*F567))*SQRT($AT$32)))), "Slender")</f>
        <v/>
      </c>
      <c r="Y567" s="129">
        <f t="array" ref="Y567">_xlfn.IFS(K567 &lt;= (65/SQRT($AT$32)), "Compact", K567 &lt;= (95/SQRT($AT$32)), "Non-Compact", K567 &gt; (95/SQRT($AT$32)), "Slender")</f>
        <v/>
      </c>
      <c r="Z567" s="125">
        <f>E567/F567</f>
        <v/>
      </c>
      <c r="AA567" s="125">
        <f>D567/G567</f>
        <v/>
      </c>
      <c r="AB567" s="125">
        <f t="array" ref="AB567">_xlfn.IFS(Z567 &lt;= 9, "1", Z567 &lt;= 12, "2", Z567 &lt;= 15, "3", Z567 &gt; 15, "4")</f>
        <v/>
      </c>
      <c r="AC567" s="125">
        <f t="array" ref="AC567">_xlfn.IFS(AA567 &lt;= 200, "1", L567 &lt;= 300, "2", L567 &lt;= 400, "3", L567 &gt; 400, "4")</f>
        <v/>
      </c>
      <c r="AF567" s="129">
        <f>SQRT((((VLOOKUP($AT$4,$A$4:$D$1021,4,FALSE))-D567)^2)+(((VLOOKUP($AT$4,$A$4:$E$1021,5,FALSE))-E567)^2)+(((VLOOKUP($AT$4,$A$4:$N$1021,14,FALSE))-N567)^2)+(((VLOOKUP($AT$4,$A$4:$O$1021,15,FALSE))-O567)^2))</f>
        <v/>
      </c>
      <c r="AG567" s="129" t="n"/>
      <c r="AI567" s="129">
        <f>SQRT((((VLOOKUP($AT$4,$A$4:$D$1021,4,FALSE))-D567)^2)+(((VLOOKUP($AT$4,$A$4:$E$1021,5,FALSE))-E567)^2)+(((VLOOKUP($AT$4,$A$4:$R$1021,18,FALSE))-R567)^2)+(((VLOOKUP($AT$4,$A$4:$S$1021,19,FALSE))-S567)^2))</f>
        <v/>
      </c>
      <c r="AJ567" s="125" t="inlineStr">
        <is>
          <t>HY900X364</t>
        </is>
      </c>
      <c r="AK567" s="125" t="n"/>
      <c r="AL567" s="125" t="n"/>
      <c r="AM567" s="125">
        <f>SQRT(((VLOOKUP($AT$4,$A$4:$J$1021,10,FALSE))-J567)^2)</f>
        <v/>
      </c>
      <c r="AN567" s="125" t="n"/>
      <c r="AO567" s="125" t="n"/>
      <c r="AP567" s="125">
        <f>SQRT(((VLOOKUP($AT$4,$A$4:$R$1021,18,FALSE))-R567)^2)</f>
        <v/>
      </c>
      <c r="AQ567" s="125" t="inlineStr">
        <is>
          <t>HY900X364</t>
        </is>
      </c>
      <c r="BB567" s="125">
        <f>SQRT(($J$1022-J567)^2)</f>
        <v/>
      </c>
      <c r="BC567" s="125">
        <f>SQRT(($R$1022-R567)^2)</f>
        <v/>
      </c>
      <c r="BD567" s="125" t="inlineStr">
        <is>
          <t>HY900X364</t>
        </is>
      </c>
      <c r="BI567">
        <f>SQRT(($J$1023-J567)^2)</f>
        <v/>
      </c>
      <c r="BJ567">
        <f>SQRT(($R$1023-R567)^2)</f>
        <v/>
      </c>
      <c r="BK567" s="125" t="inlineStr">
        <is>
          <t>HY900X364</t>
        </is>
      </c>
      <c r="BP567">
        <f>SQRT(($J$1024-J567)^2)</f>
        <v/>
      </c>
      <c r="BQ567">
        <f>SQRT(($R$1024-R567)^2)</f>
        <v/>
      </c>
      <c r="BR567" s="125" t="inlineStr">
        <is>
          <t>HY900X364</t>
        </is>
      </c>
      <c r="BW567">
        <f>SQRT(($J$1025-J567)^2)</f>
        <v/>
      </c>
      <c r="BX567">
        <f>SQRT(($R$1025-R567)^2)</f>
        <v/>
      </c>
      <c r="BY567" s="125" t="inlineStr">
        <is>
          <t>HY900X364</t>
        </is>
      </c>
      <c r="CD567">
        <f>SQRT(($J$1026-J567)^2)</f>
        <v/>
      </c>
      <c r="CE567">
        <f>SQRT(($R$1026-R567)^2)</f>
        <v/>
      </c>
      <c r="CF567" s="125" t="inlineStr">
        <is>
          <t>HY900X364</t>
        </is>
      </c>
    </row>
    <row r="568">
      <c r="A568" s="125" t="inlineStr">
        <is>
          <t>HY900X343</t>
        </is>
      </c>
      <c r="B568" s="129" t="inlineStr">
        <is>
          <t>HY</t>
        </is>
      </c>
      <c r="C568" s="125" t="n">
        <v>343</v>
      </c>
      <c r="D568" s="125" t="n">
        <v>900</v>
      </c>
      <c r="E568" s="125" t="n">
        <v>350</v>
      </c>
      <c r="F568" s="125" t="n">
        <v>36</v>
      </c>
      <c r="G568" s="125" t="n">
        <v>22</v>
      </c>
      <c r="H568" s="125" t="n">
        <v>18</v>
      </c>
      <c r="I568" s="125">
        <f>D568-(2*(H568+F568))</f>
        <v/>
      </c>
      <c r="J568" s="125">
        <f>(2*E568/10*F568/10)+((D568-F568-F568)/10*G568/10)+((H568/10+H568/10)^2)-(PI()*H568/10*H568/10)</f>
        <v/>
      </c>
      <c r="K568" s="125">
        <f>((E568-G568)/2)/F568</f>
        <v/>
      </c>
      <c r="L568" s="125">
        <f>I568/G568</f>
        <v/>
      </c>
      <c r="M568" s="125">
        <f>(E568*2+F568*4+((E568-G568)/2-H568)*4+2*PI()*H568+(D568-2*F568-2*H568)*2)/1000</f>
        <v/>
      </c>
      <c r="N568" s="5" t="n">
        <v>579000</v>
      </c>
      <c r="O568" s="5" t="n">
        <v>25800</v>
      </c>
      <c r="P568" s="125" t="n">
        <v>36.4</v>
      </c>
      <c r="Q568" s="125" t="n">
        <v>7.7</v>
      </c>
      <c r="R568" s="5" t="n">
        <v>12900</v>
      </c>
      <c r="S568" s="5" t="n">
        <v>1470</v>
      </c>
      <c r="T568" s="5" t="n">
        <v>14800</v>
      </c>
      <c r="U568" s="5" t="n">
        <v>2310</v>
      </c>
      <c r="X568" s="129">
        <f t="array" ref="X568">_xlfn.IFS((D568/F568) &lt;= (640/SQRT($AT$32)), "Compact", L568 &lt;= ($AT$32*(0.79-(0.002*((E568-G568/2)/(2*F568))*SQRT($AT$32)))), "Non-Compact", L568 &gt; ($AT$32*(0.79-(0.002*((E568-G568/2)/(2*F568))*SQRT($AT$32)))), "Slender")</f>
        <v/>
      </c>
      <c r="Y568" s="129">
        <f t="array" ref="Y568">_xlfn.IFS(K568 &lt;= (65/SQRT($AT$32)), "Compact", K568 &lt;= (95/SQRT($AT$32)), "Non-Compact", K568 &gt; (95/SQRT($AT$32)), "Slender")</f>
        <v/>
      </c>
      <c r="Z568" s="125">
        <f>E568/F568</f>
        <v/>
      </c>
      <c r="AA568" s="125">
        <f>D568/G568</f>
        <v/>
      </c>
      <c r="AB568" s="125">
        <f t="array" ref="AB568">_xlfn.IFS(Z568 &lt;= 9, "1", Z568 &lt;= 12, "2", Z568 &lt;= 15, "3", Z568 &gt; 15, "4")</f>
        <v/>
      </c>
      <c r="AC568" s="125">
        <f t="array" ref="AC568">_xlfn.IFS(AA568 &lt;= 200, "1", L568 &lt;= 300, "2", L568 &lt;= 400, "3", L568 &gt; 400, "4")</f>
        <v/>
      </c>
      <c r="AF568" s="129">
        <f>SQRT((((VLOOKUP($AT$4,$A$4:$D$1021,4,FALSE))-D568)^2)+(((VLOOKUP($AT$4,$A$4:$E$1021,5,FALSE))-E568)^2)+(((VLOOKUP($AT$4,$A$4:$N$1021,14,FALSE))-N568)^2)+(((VLOOKUP($AT$4,$A$4:$O$1021,15,FALSE))-O568)^2))</f>
        <v/>
      </c>
      <c r="AG568" s="129" t="n"/>
      <c r="AI568" s="129">
        <f>SQRT((((VLOOKUP($AT$4,$A$4:$D$1021,4,FALSE))-D568)^2)+(((VLOOKUP($AT$4,$A$4:$E$1021,5,FALSE))-E568)^2)+(((VLOOKUP($AT$4,$A$4:$R$1021,18,FALSE))-R568)^2)+(((VLOOKUP($AT$4,$A$4:$S$1021,19,FALSE))-S568)^2))</f>
        <v/>
      </c>
      <c r="AJ568" s="125" t="inlineStr">
        <is>
          <t>HY900X343</t>
        </is>
      </c>
      <c r="AK568" s="125" t="n"/>
      <c r="AL568" s="125" t="n"/>
      <c r="AM568" s="125">
        <f>SQRT(((VLOOKUP($AT$4,$A$4:$J$1021,10,FALSE))-J568)^2)</f>
        <v/>
      </c>
      <c r="AN568" s="125" t="n"/>
      <c r="AO568" s="125" t="n"/>
      <c r="AP568" s="125">
        <f>SQRT(((VLOOKUP($AT$4,$A$4:$R$1021,18,FALSE))-R568)^2)</f>
        <v/>
      </c>
      <c r="AQ568" s="125" t="inlineStr">
        <is>
          <t>HY900X343</t>
        </is>
      </c>
      <c r="BB568" s="125">
        <f>SQRT(($J$1022-J568)^2)</f>
        <v/>
      </c>
      <c r="BC568" s="125">
        <f>SQRT(($R$1022-R568)^2)</f>
        <v/>
      </c>
      <c r="BD568" s="125" t="inlineStr">
        <is>
          <t>HY900X343</t>
        </is>
      </c>
      <c r="BI568">
        <f>SQRT(($J$1023-J568)^2)</f>
        <v/>
      </c>
      <c r="BJ568">
        <f>SQRT(($R$1023-R568)^2)</f>
        <v/>
      </c>
      <c r="BK568" s="125" t="inlineStr">
        <is>
          <t>HY900X343</t>
        </is>
      </c>
      <c r="BP568">
        <f>SQRT(($J$1024-J568)^2)</f>
        <v/>
      </c>
      <c r="BQ568">
        <f>SQRT(($R$1024-R568)^2)</f>
        <v/>
      </c>
      <c r="BR568" s="125" t="inlineStr">
        <is>
          <t>HY900X343</t>
        </is>
      </c>
      <c r="BW568">
        <f>SQRT(($J$1025-J568)^2)</f>
        <v/>
      </c>
      <c r="BX568">
        <f>SQRT(($R$1025-R568)^2)</f>
        <v/>
      </c>
      <c r="BY568" s="125" t="inlineStr">
        <is>
          <t>HY900X343</t>
        </is>
      </c>
      <c r="CD568">
        <f>SQRT(($J$1026-J568)^2)</f>
        <v/>
      </c>
      <c r="CE568">
        <f>SQRT(($R$1026-R568)^2)</f>
        <v/>
      </c>
      <c r="CF568" s="125" t="inlineStr">
        <is>
          <t>HY900X343</t>
        </is>
      </c>
    </row>
    <row r="569">
      <c r="A569" s="125" t="inlineStr">
        <is>
          <t>HY900X322</t>
        </is>
      </c>
      <c r="B569" s="129" t="inlineStr">
        <is>
          <t>HY</t>
        </is>
      </c>
      <c r="C569" s="125" t="n">
        <v>322</v>
      </c>
      <c r="D569" s="125" t="n">
        <v>900</v>
      </c>
      <c r="E569" s="125" t="n">
        <v>350</v>
      </c>
      <c r="F569" s="125" t="n">
        <v>32</v>
      </c>
      <c r="G569" s="125" t="n">
        <v>22</v>
      </c>
      <c r="H569" s="125" t="n">
        <v>18</v>
      </c>
      <c r="I569" s="125">
        <f>D569-(2*(H569+F569))</f>
        <v/>
      </c>
      <c r="J569" s="125">
        <f>(2*E569/10*F569/10)+((D569-F569-F569)/10*G569/10)+((H569/10+H569/10)^2)-(PI()*H569/10*H569/10)</f>
        <v/>
      </c>
      <c r="K569" s="125">
        <f>((E569-G569)/2)/F569</f>
        <v/>
      </c>
      <c r="L569" s="125">
        <f>I569/G569</f>
        <v/>
      </c>
      <c r="M569" s="125">
        <f>(E569*2+F569*4+((E569-G569)/2-H569)*4+2*PI()*H569+(D569-2*F569-2*H569)*2)/1000</f>
        <v/>
      </c>
      <c r="N569" s="5" t="n">
        <v>534000</v>
      </c>
      <c r="O569" s="5" t="n">
        <v>22900</v>
      </c>
      <c r="P569" s="125" t="n">
        <v>36.1</v>
      </c>
      <c r="Q569" s="125" t="n">
        <v>7.5</v>
      </c>
      <c r="R569" s="5" t="n">
        <v>11900</v>
      </c>
      <c r="S569" s="5" t="n">
        <v>1310</v>
      </c>
      <c r="T569" s="5" t="n">
        <v>13700</v>
      </c>
      <c r="U569" s="5" t="n">
        <v>2070</v>
      </c>
      <c r="X569" s="129">
        <f t="array" ref="X569">_xlfn.IFS((D569/F569) &lt;= (640/SQRT($AT$32)), "Compact", L569 &lt;= ($AT$32*(0.79-(0.002*((E569-G569/2)/(2*F569))*SQRT($AT$32)))), "Non-Compact", L569 &gt; ($AT$32*(0.79-(0.002*((E569-G569/2)/(2*F569))*SQRT($AT$32)))), "Slender")</f>
        <v/>
      </c>
      <c r="Y569" s="129">
        <f t="array" ref="Y569">_xlfn.IFS(K569 &lt;= (65/SQRT($AT$32)), "Compact", K569 &lt;= (95/SQRT($AT$32)), "Non-Compact", K569 &gt; (95/SQRT($AT$32)), "Slender")</f>
        <v/>
      </c>
      <c r="Z569" s="125">
        <f>E569/F569</f>
        <v/>
      </c>
      <c r="AA569" s="125">
        <f>D569/G569</f>
        <v/>
      </c>
      <c r="AB569" s="125">
        <f t="array" ref="AB569">_xlfn.IFS(Z569 &lt;= 9, "1", Z569 &lt;= 12, "2", Z569 &lt;= 15, "3", Z569 &gt; 15, "4")</f>
        <v/>
      </c>
      <c r="AC569" s="125">
        <f t="array" ref="AC569">_xlfn.IFS(AA569 &lt;= 200, "1", L569 &lt;= 300, "2", L569 &lt;= 400, "3", L569 &gt; 400, "4")</f>
        <v/>
      </c>
      <c r="AF569" s="129">
        <f>SQRT((((VLOOKUP($AT$4,$A$4:$D$1021,4,FALSE))-D569)^2)+(((VLOOKUP($AT$4,$A$4:$E$1021,5,FALSE))-E569)^2)+(((VLOOKUP($AT$4,$A$4:$N$1021,14,FALSE))-N569)^2)+(((VLOOKUP($AT$4,$A$4:$O$1021,15,FALSE))-O569)^2))</f>
        <v/>
      </c>
      <c r="AG569" s="129" t="n"/>
      <c r="AI569" s="129">
        <f>SQRT((((VLOOKUP($AT$4,$A$4:$D$1021,4,FALSE))-D569)^2)+(((VLOOKUP($AT$4,$A$4:$E$1021,5,FALSE))-E569)^2)+(((VLOOKUP($AT$4,$A$4:$R$1021,18,FALSE))-R569)^2)+(((VLOOKUP($AT$4,$A$4:$S$1021,19,FALSE))-S569)^2))</f>
        <v/>
      </c>
      <c r="AJ569" s="125" t="inlineStr">
        <is>
          <t>HY900X322</t>
        </is>
      </c>
      <c r="AK569" s="125" t="n"/>
      <c r="AL569" s="125" t="n"/>
      <c r="AM569" s="125">
        <f>SQRT(((VLOOKUP($AT$4,$A$4:$J$1021,10,FALSE))-J569)^2)</f>
        <v/>
      </c>
      <c r="AN569" s="125" t="n"/>
      <c r="AO569" s="125" t="n"/>
      <c r="AP569" s="125">
        <f>SQRT(((VLOOKUP($AT$4,$A$4:$R$1021,18,FALSE))-R569)^2)</f>
        <v/>
      </c>
      <c r="AQ569" s="125" t="inlineStr">
        <is>
          <t>HY900X322</t>
        </is>
      </c>
      <c r="BB569" s="125">
        <f>SQRT(($J$1022-J569)^2)</f>
        <v/>
      </c>
      <c r="BC569" s="125">
        <f>SQRT(($R$1022-R569)^2)</f>
        <v/>
      </c>
      <c r="BD569" s="125" t="inlineStr">
        <is>
          <t>HY900X322</t>
        </is>
      </c>
      <c r="BI569">
        <f>SQRT(($J$1023-J569)^2)</f>
        <v/>
      </c>
      <c r="BJ569">
        <f>SQRT(($R$1023-R569)^2)</f>
        <v/>
      </c>
      <c r="BK569" s="125" t="inlineStr">
        <is>
          <t>HY900X322</t>
        </is>
      </c>
      <c r="BP569">
        <f>SQRT(($J$1024-J569)^2)</f>
        <v/>
      </c>
      <c r="BQ569">
        <f>SQRT(($R$1024-R569)^2)</f>
        <v/>
      </c>
      <c r="BR569" s="125" t="inlineStr">
        <is>
          <t>HY900X322</t>
        </is>
      </c>
      <c r="BW569">
        <f>SQRT(($J$1025-J569)^2)</f>
        <v/>
      </c>
      <c r="BX569">
        <f>SQRT(($R$1025-R569)^2)</f>
        <v/>
      </c>
      <c r="BY569" s="125" t="inlineStr">
        <is>
          <t>HY900X322</t>
        </is>
      </c>
      <c r="CD569">
        <f>SQRT(($J$1026-J569)^2)</f>
        <v/>
      </c>
      <c r="CE569">
        <f>SQRT(($R$1026-R569)^2)</f>
        <v/>
      </c>
      <c r="CF569" s="125" t="inlineStr">
        <is>
          <t>HY900X322</t>
        </is>
      </c>
    </row>
    <row r="570">
      <c r="A570" s="125" t="inlineStr">
        <is>
          <t>HY900X302</t>
        </is>
      </c>
      <c r="B570" s="129" t="inlineStr">
        <is>
          <t>HY</t>
        </is>
      </c>
      <c r="C570" s="125" t="n">
        <v>302</v>
      </c>
      <c r="D570" s="125" t="n">
        <v>900</v>
      </c>
      <c r="E570" s="125" t="n">
        <v>350</v>
      </c>
      <c r="F570" s="125" t="n">
        <v>28</v>
      </c>
      <c r="G570" s="125" t="n">
        <v>22</v>
      </c>
      <c r="H570" s="125" t="n">
        <v>18</v>
      </c>
      <c r="I570" s="125">
        <f>D570-(2*(H570+F570))</f>
        <v/>
      </c>
      <c r="J570" s="125">
        <f>(2*E570/10*F570/10)+((D570-F570-F570)/10*G570/10)+((H570/10+H570/10)^2)-(PI()*H570/10*H570/10)</f>
        <v/>
      </c>
      <c r="K570" s="125">
        <f>((E570-G570)/2)/F570</f>
        <v/>
      </c>
      <c r="L570" s="125">
        <f>I570/G570</f>
        <v/>
      </c>
      <c r="M570" s="125">
        <f>(E570*2+F570*4+((E570-G570)/2-H570)*4+2*PI()*H570+(D570-2*F570-2*H570)*2)/1000</f>
        <v/>
      </c>
      <c r="N570" s="5" t="n">
        <v>488000</v>
      </c>
      <c r="O570" s="5" t="n">
        <v>20100</v>
      </c>
      <c r="P570" s="125" t="n">
        <v>35.6</v>
      </c>
      <c r="Q570" s="125" t="n">
        <v>7.2</v>
      </c>
      <c r="R570" s="5" t="n">
        <v>10800</v>
      </c>
      <c r="S570" s="5" t="n">
        <v>1150</v>
      </c>
      <c r="T570" s="5" t="n">
        <v>12600</v>
      </c>
      <c r="U570" s="5" t="n">
        <v>1820</v>
      </c>
      <c r="X570" s="129">
        <f t="array" ref="X570">_xlfn.IFS((D570/F570) &lt;= (640/SQRT($AT$32)), "Compact", L570 &lt;= ($AT$32*(0.79-(0.002*((E570-G570/2)/(2*F570))*SQRT($AT$32)))), "Non-Compact", L570 &gt; ($AT$32*(0.79-(0.002*((E570-G570/2)/(2*F570))*SQRT($AT$32)))), "Slender")</f>
        <v/>
      </c>
      <c r="Y570" s="129">
        <f t="array" ref="Y570">_xlfn.IFS(K570 &lt;= (65/SQRT($AT$32)), "Compact", K570 &lt;= (95/SQRT($AT$32)), "Non-Compact", K570 &gt; (95/SQRT($AT$32)), "Slender")</f>
        <v/>
      </c>
      <c r="Z570" s="125">
        <f>E570/F570</f>
        <v/>
      </c>
      <c r="AA570" s="125">
        <f>D570/G570</f>
        <v/>
      </c>
      <c r="AB570" s="125">
        <f t="array" ref="AB570">_xlfn.IFS(Z570 &lt;= 9, "1", Z570 &lt;= 12, "2", Z570 &lt;= 15, "3", Z570 &gt; 15, "4")</f>
        <v/>
      </c>
      <c r="AC570" s="125">
        <f t="array" ref="AC570">_xlfn.IFS(AA570 &lt;= 200, "1", L570 &lt;= 300, "2", L570 &lt;= 400, "3", L570 &gt; 400, "4")</f>
        <v/>
      </c>
      <c r="AF570" s="129">
        <f>SQRT((((VLOOKUP($AT$4,$A$4:$D$1021,4,FALSE))-D570)^2)+(((VLOOKUP($AT$4,$A$4:$E$1021,5,FALSE))-E570)^2)+(((VLOOKUP($AT$4,$A$4:$N$1021,14,FALSE))-N570)^2)+(((VLOOKUP($AT$4,$A$4:$O$1021,15,FALSE))-O570)^2))</f>
        <v/>
      </c>
      <c r="AG570" s="129" t="n"/>
      <c r="AI570" s="129">
        <f>SQRT((((VLOOKUP($AT$4,$A$4:$D$1021,4,FALSE))-D570)^2)+(((VLOOKUP($AT$4,$A$4:$E$1021,5,FALSE))-E570)^2)+(((VLOOKUP($AT$4,$A$4:$R$1021,18,FALSE))-R570)^2)+(((VLOOKUP($AT$4,$A$4:$S$1021,19,FALSE))-S570)^2))</f>
        <v/>
      </c>
      <c r="AJ570" s="125" t="inlineStr">
        <is>
          <t>HY900X302</t>
        </is>
      </c>
      <c r="AK570" s="125" t="n"/>
      <c r="AL570" s="125" t="n"/>
      <c r="AM570" s="125">
        <f>SQRT(((VLOOKUP($AT$4,$A$4:$J$1021,10,FALSE))-J570)^2)</f>
        <v/>
      </c>
      <c r="AN570" s="125" t="n"/>
      <c r="AO570" s="125" t="n"/>
      <c r="AP570" s="125">
        <f>SQRT(((VLOOKUP($AT$4,$A$4:$R$1021,18,FALSE))-R570)^2)</f>
        <v/>
      </c>
      <c r="AQ570" s="125" t="inlineStr">
        <is>
          <t>HY900X302</t>
        </is>
      </c>
      <c r="BB570" s="125">
        <f>SQRT(($J$1022-J570)^2)</f>
        <v/>
      </c>
      <c r="BC570" s="125">
        <f>SQRT(($R$1022-R570)^2)</f>
        <v/>
      </c>
      <c r="BD570" s="125" t="inlineStr">
        <is>
          <t>HY900X302</t>
        </is>
      </c>
      <c r="BI570">
        <f>SQRT(($J$1023-J570)^2)</f>
        <v/>
      </c>
      <c r="BJ570">
        <f>SQRT(($R$1023-R570)^2)</f>
        <v/>
      </c>
      <c r="BK570" s="125" t="inlineStr">
        <is>
          <t>HY900X302</t>
        </is>
      </c>
      <c r="BP570">
        <f>SQRT(($J$1024-J570)^2)</f>
        <v/>
      </c>
      <c r="BQ570">
        <f>SQRT(($R$1024-R570)^2)</f>
        <v/>
      </c>
      <c r="BR570" s="125" t="inlineStr">
        <is>
          <t>HY900X302</t>
        </is>
      </c>
      <c r="BW570">
        <f>SQRT(($J$1025-J570)^2)</f>
        <v/>
      </c>
      <c r="BX570">
        <f>SQRT(($R$1025-R570)^2)</f>
        <v/>
      </c>
      <c r="BY570" s="125" t="inlineStr">
        <is>
          <t>HY900X302</t>
        </is>
      </c>
      <c r="CD570">
        <f>SQRT(($J$1026-J570)^2)</f>
        <v/>
      </c>
      <c r="CE570">
        <f>SQRT(($R$1026-R570)^2)</f>
        <v/>
      </c>
      <c r="CF570" s="125" t="inlineStr">
        <is>
          <t>HY900X302</t>
        </is>
      </c>
    </row>
    <row r="571">
      <c r="A571" s="125" t="inlineStr">
        <is>
          <t>HY900X344</t>
        </is>
      </c>
      <c r="B571" s="129" t="inlineStr">
        <is>
          <t>HY</t>
        </is>
      </c>
      <c r="C571" s="125" t="n">
        <v>344</v>
      </c>
      <c r="D571" s="125" t="n">
        <v>900</v>
      </c>
      <c r="E571" s="125" t="n">
        <v>350</v>
      </c>
      <c r="F571" s="125" t="n">
        <v>40</v>
      </c>
      <c r="G571" s="125" t="n">
        <v>19</v>
      </c>
      <c r="H571" s="125" t="n">
        <v>18</v>
      </c>
      <c r="I571" s="125">
        <f>D571-(2*(H571+F571))</f>
        <v/>
      </c>
      <c r="J571" s="125">
        <f>(2*E571/10*F571/10)+((D571-F571-F571)/10*G571/10)+((H571/10+H571/10)^2)-(PI()*H571/10*H571/10)</f>
        <v/>
      </c>
      <c r="K571" s="125">
        <f>((E571-G571)/2)/F571</f>
        <v/>
      </c>
      <c r="L571" s="125">
        <f>I571/G571</f>
        <v/>
      </c>
      <c r="M571" s="125">
        <f>(E571*2+F571*4+((E571-G571)/2-H571)*4+2*PI()*H571+(D571-2*F571-2*H571)*2)/1000</f>
        <v/>
      </c>
      <c r="N571" s="5" t="n">
        <v>610000</v>
      </c>
      <c r="O571" s="5" t="n">
        <v>28600</v>
      </c>
      <c r="P571" s="125" t="n">
        <v>37.3</v>
      </c>
      <c r="Q571" s="125" t="n">
        <v>8.1</v>
      </c>
      <c r="R571" s="5" t="n">
        <v>13600</v>
      </c>
      <c r="S571" s="5" t="n">
        <v>1640</v>
      </c>
      <c r="T571" s="5" t="n">
        <v>15300</v>
      </c>
      <c r="U571" s="5" t="n">
        <v>2530</v>
      </c>
      <c r="X571" s="129">
        <f t="array" ref="X571">_xlfn.IFS((D571/F571) &lt;= (640/SQRT($AT$32)), "Compact", L571 &lt;= ($AT$32*(0.79-(0.002*((E571-G571/2)/(2*F571))*SQRT($AT$32)))), "Non-Compact", L571 &gt; ($AT$32*(0.79-(0.002*((E571-G571/2)/(2*F571))*SQRT($AT$32)))), "Slender")</f>
        <v/>
      </c>
      <c r="Y571" s="129">
        <f t="array" ref="Y571">_xlfn.IFS(K571 &lt;= (65/SQRT($AT$32)), "Compact", K571 &lt;= (95/SQRT($AT$32)), "Non-Compact", K571 &gt; (95/SQRT($AT$32)), "Slender")</f>
        <v/>
      </c>
      <c r="Z571" s="125">
        <f>E571/F571</f>
        <v/>
      </c>
      <c r="AA571" s="125">
        <f>D571/G571</f>
        <v/>
      </c>
      <c r="AB571" s="125">
        <f t="array" ref="AB571">_xlfn.IFS(Z571 &lt;= 9, "1", Z571 &lt;= 12, "2", Z571 &lt;= 15, "3", Z571 &gt; 15, "4")</f>
        <v/>
      </c>
      <c r="AC571" s="125">
        <f t="array" ref="AC571">_xlfn.IFS(AA571 &lt;= 200, "1", L571 &lt;= 300, "2", L571 &lt;= 400, "3", L571 &gt; 400, "4")</f>
        <v/>
      </c>
      <c r="AF571" s="129">
        <f>SQRT((((VLOOKUP($AT$4,$A$4:$D$1021,4,FALSE))-D571)^2)+(((VLOOKUP($AT$4,$A$4:$E$1021,5,FALSE))-E571)^2)+(((VLOOKUP($AT$4,$A$4:$N$1021,14,FALSE))-N571)^2)+(((VLOOKUP($AT$4,$A$4:$O$1021,15,FALSE))-O571)^2))</f>
        <v/>
      </c>
      <c r="AG571" s="129" t="n"/>
      <c r="AI571" s="129">
        <f>SQRT((((VLOOKUP($AT$4,$A$4:$D$1021,4,FALSE))-D571)^2)+(((VLOOKUP($AT$4,$A$4:$E$1021,5,FALSE))-E571)^2)+(((VLOOKUP($AT$4,$A$4:$R$1021,18,FALSE))-R571)^2)+(((VLOOKUP($AT$4,$A$4:$S$1021,19,FALSE))-S571)^2))</f>
        <v/>
      </c>
      <c r="AJ571" s="125" t="inlineStr">
        <is>
          <t>HY900X344</t>
        </is>
      </c>
      <c r="AK571" s="125" t="n"/>
      <c r="AL571" s="125" t="n"/>
      <c r="AM571" s="125">
        <f>SQRT(((VLOOKUP($AT$4,$A$4:$J$1021,10,FALSE))-J571)^2)</f>
        <v/>
      </c>
      <c r="AN571" s="125" t="n"/>
      <c r="AO571" s="125" t="n"/>
      <c r="AP571" s="125">
        <f>SQRT(((VLOOKUP($AT$4,$A$4:$R$1021,18,FALSE))-R571)^2)</f>
        <v/>
      </c>
      <c r="AQ571" s="125" t="inlineStr">
        <is>
          <t>HY900X344</t>
        </is>
      </c>
      <c r="BB571" s="125">
        <f>SQRT(($J$1022-J571)^2)</f>
        <v/>
      </c>
      <c r="BC571" s="125">
        <f>SQRT(($R$1022-R571)^2)</f>
        <v/>
      </c>
      <c r="BD571" s="125" t="inlineStr">
        <is>
          <t>HY900X344</t>
        </is>
      </c>
      <c r="BI571">
        <f>SQRT(($J$1023-J571)^2)</f>
        <v/>
      </c>
      <c r="BJ571">
        <f>SQRT(($R$1023-R571)^2)</f>
        <v/>
      </c>
      <c r="BK571" s="125" t="inlineStr">
        <is>
          <t>HY900X344</t>
        </is>
      </c>
      <c r="BP571">
        <f>SQRT(($J$1024-J571)^2)</f>
        <v/>
      </c>
      <c r="BQ571">
        <f>SQRT(($R$1024-R571)^2)</f>
        <v/>
      </c>
      <c r="BR571" s="125" t="inlineStr">
        <is>
          <t>HY900X344</t>
        </is>
      </c>
      <c r="BW571">
        <f>SQRT(($J$1025-J571)^2)</f>
        <v/>
      </c>
      <c r="BX571">
        <f>SQRT(($R$1025-R571)^2)</f>
        <v/>
      </c>
      <c r="BY571" s="125" t="inlineStr">
        <is>
          <t>HY900X344</t>
        </is>
      </c>
      <c r="CD571">
        <f>SQRT(($J$1026-J571)^2)</f>
        <v/>
      </c>
      <c r="CE571">
        <f>SQRT(($R$1026-R571)^2)</f>
        <v/>
      </c>
      <c r="CF571" s="125" t="inlineStr">
        <is>
          <t>HY900X344</t>
        </is>
      </c>
    </row>
    <row r="572">
      <c r="A572" s="125" t="inlineStr">
        <is>
          <t>HY900X323</t>
        </is>
      </c>
      <c r="B572" s="129" t="inlineStr">
        <is>
          <t>HY</t>
        </is>
      </c>
      <c r="C572" s="125" t="n">
        <v>323</v>
      </c>
      <c r="D572" s="125" t="n">
        <v>900</v>
      </c>
      <c r="E572" s="125" t="n">
        <v>350</v>
      </c>
      <c r="F572" s="125" t="n">
        <v>36</v>
      </c>
      <c r="G572" s="125" t="n">
        <v>19</v>
      </c>
      <c r="H572" s="125" t="n">
        <v>18</v>
      </c>
      <c r="I572" s="125">
        <f>D572-(2*(H572+F572))</f>
        <v/>
      </c>
      <c r="J572" s="125">
        <f>(2*E572/10*F572/10)+((D572-F572-F572)/10*G572/10)+((H572/10+H572/10)^2)-(PI()*H572/10*H572/10)</f>
        <v/>
      </c>
      <c r="K572" s="125">
        <f>((E572-G572)/2)/F572</f>
        <v/>
      </c>
      <c r="L572" s="125">
        <f>I572/G572</f>
        <v/>
      </c>
      <c r="M572" s="125">
        <f>(E572*2+F572*4+((E572-G572)/2-H572)*4+2*PI()*H572+(D572-2*F572-2*H572)*2)/1000</f>
        <v/>
      </c>
      <c r="N572" s="5" t="n">
        <v>565000</v>
      </c>
      <c r="O572" s="5" t="n">
        <v>25800</v>
      </c>
      <c r="P572" s="125" t="n">
        <v>37</v>
      </c>
      <c r="Q572" s="125" t="n">
        <v>7.9</v>
      </c>
      <c r="R572" s="5" t="n">
        <v>12600</v>
      </c>
      <c r="S572" s="5" t="n">
        <v>1470</v>
      </c>
      <c r="T572" s="5" t="n">
        <v>14300</v>
      </c>
      <c r="U572" s="5" t="n">
        <v>2280</v>
      </c>
      <c r="X572" s="129">
        <f t="array" ref="X572">_xlfn.IFS((D572/F572) &lt;= (640/SQRT($AT$32)), "Compact", L572 &lt;= ($AT$32*(0.79-(0.002*((E572-G572/2)/(2*F572))*SQRT($AT$32)))), "Non-Compact", L572 &gt; ($AT$32*(0.79-(0.002*((E572-G572/2)/(2*F572))*SQRT($AT$32)))), "Slender")</f>
        <v/>
      </c>
      <c r="Y572" s="129">
        <f t="array" ref="Y572">_xlfn.IFS(K572 &lt;= (65/SQRT($AT$32)), "Compact", K572 &lt;= (95/SQRT($AT$32)), "Non-Compact", K572 &gt; (95/SQRT($AT$32)), "Slender")</f>
        <v/>
      </c>
      <c r="Z572" s="125">
        <f>E572/F572</f>
        <v/>
      </c>
      <c r="AA572" s="125">
        <f>D572/G572</f>
        <v/>
      </c>
      <c r="AB572" s="125">
        <f t="array" ref="AB572">_xlfn.IFS(Z572 &lt;= 9, "1", Z572 &lt;= 12, "2", Z572 &lt;= 15, "3", Z572 &gt; 15, "4")</f>
        <v/>
      </c>
      <c r="AC572" s="125">
        <f t="array" ref="AC572">_xlfn.IFS(AA572 &lt;= 200, "1", L572 &lt;= 300, "2", L572 &lt;= 400, "3", L572 &gt; 400, "4")</f>
        <v/>
      </c>
      <c r="AF572" s="129">
        <f>SQRT((((VLOOKUP($AT$4,$A$4:$D$1021,4,FALSE))-D572)^2)+(((VLOOKUP($AT$4,$A$4:$E$1021,5,FALSE))-E572)^2)+(((VLOOKUP($AT$4,$A$4:$N$1021,14,FALSE))-N572)^2)+(((VLOOKUP($AT$4,$A$4:$O$1021,15,FALSE))-O572)^2))</f>
        <v/>
      </c>
      <c r="AG572" s="129" t="n"/>
      <c r="AI572" s="129">
        <f>SQRT((((VLOOKUP($AT$4,$A$4:$D$1021,4,FALSE))-D572)^2)+(((VLOOKUP($AT$4,$A$4:$E$1021,5,FALSE))-E572)^2)+(((VLOOKUP($AT$4,$A$4:$R$1021,18,FALSE))-R572)^2)+(((VLOOKUP($AT$4,$A$4:$S$1021,19,FALSE))-S572)^2))</f>
        <v/>
      </c>
      <c r="AJ572" s="125" t="inlineStr">
        <is>
          <t>HY900X323</t>
        </is>
      </c>
      <c r="AK572" s="125" t="n"/>
      <c r="AL572" s="125" t="n"/>
      <c r="AM572" s="125">
        <f>SQRT(((VLOOKUP($AT$4,$A$4:$J$1021,10,FALSE))-J572)^2)</f>
        <v/>
      </c>
      <c r="AN572" s="125" t="n"/>
      <c r="AO572" s="125" t="n"/>
      <c r="AP572" s="125">
        <f>SQRT(((VLOOKUP($AT$4,$A$4:$R$1021,18,FALSE))-R572)^2)</f>
        <v/>
      </c>
      <c r="AQ572" s="125" t="inlineStr">
        <is>
          <t>HY900X323</t>
        </is>
      </c>
      <c r="BB572" s="125">
        <f>SQRT(($J$1022-J572)^2)</f>
        <v/>
      </c>
      <c r="BC572" s="125">
        <f>SQRT(($R$1022-R572)^2)</f>
        <v/>
      </c>
      <c r="BD572" s="125" t="inlineStr">
        <is>
          <t>HY900X323</t>
        </is>
      </c>
      <c r="BI572">
        <f>SQRT(($J$1023-J572)^2)</f>
        <v/>
      </c>
      <c r="BJ572">
        <f>SQRT(($R$1023-R572)^2)</f>
        <v/>
      </c>
      <c r="BK572" s="125" t="inlineStr">
        <is>
          <t>HY900X323</t>
        </is>
      </c>
      <c r="BP572">
        <f>SQRT(($J$1024-J572)^2)</f>
        <v/>
      </c>
      <c r="BQ572">
        <f>SQRT(($R$1024-R572)^2)</f>
        <v/>
      </c>
      <c r="BR572" s="125" t="inlineStr">
        <is>
          <t>HY900X323</t>
        </is>
      </c>
      <c r="BW572">
        <f>SQRT(($J$1025-J572)^2)</f>
        <v/>
      </c>
      <c r="BX572">
        <f>SQRT(($R$1025-R572)^2)</f>
        <v/>
      </c>
      <c r="BY572" s="125" t="inlineStr">
        <is>
          <t>HY900X323</t>
        </is>
      </c>
      <c r="CD572">
        <f>SQRT(($J$1026-J572)^2)</f>
        <v/>
      </c>
      <c r="CE572">
        <f>SQRT(($R$1026-R572)^2)</f>
        <v/>
      </c>
      <c r="CF572" s="125" t="inlineStr">
        <is>
          <t>HY900X323</t>
        </is>
      </c>
    </row>
    <row r="573">
      <c r="A573" s="125" t="inlineStr">
        <is>
          <t>HY900X303</t>
        </is>
      </c>
      <c r="B573" s="129" t="inlineStr">
        <is>
          <t>HY</t>
        </is>
      </c>
      <c r="C573" s="125" t="n">
        <v>303</v>
      </c>
      <c r="D573" s="125" t="n">
        <v>900</v>
      </c>
      <c r="E573" s="125" t="n">
        <v>350</v>
      </c>
      <c r="F573" s="125" t="n">
        <v>32</v>
      </c>
      <c r="G573" s="125" t="n">
        <v>19</v>
      </c>
      <c r="H573" s="125" t="n">
        <v>18</v>
      </c>
      <c r="I573" s="125">
        <f>D573-(2*(H573+F573))</f>
        <v/>
      </c>
      <c r="J573" s="125">
        <f>(2*E573/10*F573/10)+((D573-F573-F573)/10*G573/10)+((H573/10+H573/10)^2)-(PI()*H573/10*H573/10)</f>
        <v/>
      </c>
      <c r="K573" s="125">
        <f>((E573-G573)/2)/F573</f>
        <v/>
      </c>
      <c r="L573" s="125">
        <f>I573/G573</f>
        <v/>
      </c>
      <c r="M573" s="125">
        <f>(E573*2+F573*4+((E573-G573)/2-H573)*4+2*PI()*H573+(D573-2*F573-2*H573)*2)/1000</f>
        <v/>
      </c>
      <c r="N573" s="5" t="n">
        <v>519000</v>
      </c>
      <c r="O573" s="5" t="n">
        <v>22900</v>
      </c>
      <c r="P573" s="125" t="n">
        <v>36.7</v>
      </c>
      <c r="Q573" s="125" t="n">
        <v>7.7</v>
      </c>
      <c r="R573" s="5" t="n">
        <v>11500</v>
      </c>
      <c r="S573" s="5" t="n">
        <v>1310</v>
      </c>
      <c r="T573" s="5" t="n">
        <v>13200</v>
      </c>
      <c r="U573" s="5" t="n">
        <v>2040</v>
      </c>
      <c r="X573" s="129">
        <f t="array" ref="X573">_xlfn.IFS((D573/F573) &lt;= (640/SQRT($AT$32)), "Compact", L573 &lt;= ($AT$32*(0.79-(0.002*((E573-G573/2)/(2*F573))*SQRT($AT$32)))), "Non-Compact", L573 &gt; ($AT$32*(0.79-(0.002*((E573-G573/2)/(2*F573))*SQRT($AT$32)))), "Slender")</f>
        <v/>
      </c>
      <c r="Y573" s="129">
        <f t="array" ref="Y573">_xlfn.IFS(K573 &lt;= (65/SQRT($AT$32)), "Compact", K573 &lt;= (95/SQRT($AT$32)), "Non-Compact", K573 &gt; (95/SQRT($AT$32)), "Slender")</f>
        <v/>
      </c>
      <c r="Z573" s="125">
        <f>E573/F573</f>
        <v/>
      </c>
      <c r="AA573" s="125">
        <f>D573/G573</f>
        <v/>
      </c>
      <c r="AB573" s="125">
        <f t="array" ref="AB573">_xlfn.IFS(Z573 &lt;= 9, "1", Z573 &lt;= 12, "2", Z573 &lt;= 15, "3", Z573 &gt; 15, "4")</f>
        <v/>
      </c>
      <c r="AC573" s="125">
        <f t="array" ref="AC573">_xlfn.IFS(AA573 &lt;= 200, "1", L573 &lt;= 300, "2", L573 &lt;= 400, "3", L573 &gt; 400, "4")</f>
        <v/>
      </c>
      <c r="AF573" s="129">
        <f>SQRT((((VLOOKUP($AT$4,$A$4:$D$1021,4,FALSE))-D573)^2)+(((VLOOKUP($AT$4,$A$4:$E$1021,5,FALSE))-E573)^2)+(((VLOOKUP($AT$4,$A$4:$N$1021,14,FALSE))-N573)^2)+(((VLOOKUP($AT$4,$A$4:$O$1021,15,FALSE))-O573)^2))</f>
        <v/>
      </c>
      <c r="AG573" s="129" t="n"/>
      <c r="AI573" s="129">
        <f>SQRT((((VLOOKUP($AT$4,$A$4:$D$1021,4,FALSE))-D573)^2)+(((VLOOKUP($AT$4,$A$4:$E$1021,5,FALSE))-E573)^2)+(((VLOOKUP($AT$4,$A$4:$R$1021,18,FALSE))-R573)^2)+(((VLOOKUP($AT$4,$A$4:$S$1021,19,FALSE))-S573)^2))</f>
        <v/>
      </c>
      <c r="AJ573" s="125" t="inlineStr">
        <is>
          <t>HY900X303</t>
        </is>
      </c>
      <c r="AK573" s="125" t="n"/>
      <c r="AL573" s="125" t="n"/>
      <c r="AM573" s="125">
        <f>SQRT(((VLOOKUP($AT$4,$A$4:$J$1021,10,FALSE))-J573)^2)</f>
        <v/>
      </c>
      <c r="AN573" s="125" t="n"/>
      <c r="AO573" s="125" t="n"/>
      <c r="AP573" s="125">
        <f>SQRT(((VLOOKUP($AT$4,$A$4:$R$1021,18,FALSE))-R573)^2)</f>
        <v/>
      </c>
      <c r="AQ573" s="125" t="inlineStr">
        <is>
          <t>HY900X303</t>
        </is>
      </c>
      <c r="BB573" s="125">
        <f>SQRT(($J$1022-J573)^2)</f>
        <v/>
      </c>
      <c r="BC573" s="125">
        <f>SQRT(($R$1022-R573)^2)</f>
        <v/>
      </c>
      <c r="BD573" s="125" t="inlineStr">
        <is>
          <t>HY900X303</t>
        </is>
      </c>
      <c r="BI573">
        <f>SQRT(($J$1023-J573)^2)</f>
        <v/>
      </c>
      <c r="BJ573">
        <f>SQRT(($R$1023-R573)^2)</f>
        <v/>
      </c>
      <c r="BK573" s="125" t="inlineStr">
        <is>
          <t>HY900X303</t>
        </is>
      </c>
      <c r="BP573">
        <f>SQRT(($J$1024-J573)^2)</f>
        <v/>
      </c>
      <c r="BQ573">
        <f>SQRT(($R$1024-R573)^2)</f>
        <v/>
      </c>
      <c r="BR573" s="125" t="inlineStr">
        <is>
          <t>HY900X303</t>
        </is>
      </c>
      <c r="BW573">
        <f>SQRT(($J$1025-J573)^2)</f>
        <v/>
      </c>
      <c r="BX573">
        <f>SQRT(($R$1025-R573)^2)</f>
        <v/>
      </c>
      <c r="BY573" s="125" t="inlineStr">
        <is>
          <t>HY900X303</t>
        </is>
      </c>
      <c r="CD573">
        <f>SQRT(($J$1026-J573)^2)</f>
        <v/>
      </c>
      <c r="CE573">
        <f>SQRT(($R$1026-R573)^2)</f>
        <v/>
      </c>
      <c r="CF573" s="125" t="inlineStr">
        <is>
          <t>HY900X303</t>
        </is>
      </c>
    </row>
    <row r="574">
      <c r="A574" s="125" t="inlineStr">
        <is>
          <t>HY900X282</t>
        </is>
      </c>
      <c r="B574" s="129" t="inlineStr">
        <is>
          <t>HY</t>
        </is>
      </c>
      <c r="C574" s="125" t="n">
        <v>282</v>
      </c>
      <c r="D574" s="125" t="n">
        <v>900</v>
      </c>
      <c r="E574" s="125" t="n">
        <v>350</v>
      </c>
      <c r="F574" s="125" t="n">
        <v>28</v>
      </c>
      <c r="G574" s="125" t="n">
        <v>19</v>
      </c>
      <c r="H574" s="125" t="n">
        <v>18</v>
      </c>
      <c r="I574" s="125">
        <f>D574-(2*(H574+F574))</f>
        <v/>
      </c>
      <c r="J574" s="125">
        <f>(2*E574/10*F574/10)+((D574-F574-F574)/10*G574/10)+((H574/10+H574/10)^2)-(PI()*H574/10*H574/10)</f>
        <v/>
      </c>
      <c r="K574" s="125">
        <f>((E574-G574)/2)/F574</f>
        <v/>
      </c>
      <c r="L574" s="125">
        <f>I574/G574</f>
        <v/>
      </c>
      <c r="M574" s="125">
        <f>(E574*2+F574*4+((E574-G574)/2-H574)*4+2*PI()*H574+(D574-2*F574-2*H574)*2)/1000</f>
        <v/>
      </c>
      <c r="N574" s="5" t="n">
        <v>473000</v>
      </c>
      <c r="O574" s="5" t="n">
        <v>20100</v>
      </c>
      <c r="P574" s="125" t="n">
        <v>36.3</v>
      </c>
      <c r="Q574" s="125" t="n">
        <v>7.5</v>
      </c>
      <c r="R574" s="5" t="n">
        <v>10500</v>
      </c>
      <c r="S574" s="5" t="n">
        <v>1150</v>
      </c>
      <c r="T574" s="5" t="n">
        <v>12000</v>
      </c>
      <c r="U574" s="5" t="n">
        <v>1790</v>
      </c>
      <c r="X574" s="129">
        <f t="array" ref="X574">_xlfn.IFS((D574/F574) &lt;= (640/SQRT($AT$32)), "Compact", L574 &lt;= ($AT$32*(0.79-(0.002*((E574-G574/2)/(2*F574))*SQRT($AT$32)))), "Non-Compact", L574 &gt; ($AT$32*(0.79-(0.002*((E574-G574/2)/(2*F574))*SQRT($AT$32)))), "Slender")</f>
        <v/>
      </c>
      <c r="Y574" s="129">
        <f t="array" ref="Y574">_xlfn.IFS(K574 &lt;= (65/SQRT($AT$32)), "Compact", K574 &lt;= (95/SQRT($AT$32)), "Non-Compact", K574 &gt; (95/SQRT($AT$32)), "Slender")</f>
        <v/>
      </c>
      <c r="Z574" s="125">
        <f>E574/F574</f>
        <v/>
      </c>
      <c r="AA574" s="125">
        <f>D574/G574</f>
        <v/>
      </c>
      <c r="AB574" s="125">
        <f t="array" ref="AB574">_xlfn.IFS(Z574 &lt;= 9, "1", Z574 &lt;= 12, "2", Z574 &lt;= 15, "3", Z574 &gt; 15, "4")</f>
        <v/>
      </c>
      <c r="AC574" s="125">
        <f t="array" ref="AC574">_xlfn.IFS(AA574 &lt;= 200, "1", L574 &lt;= 300, "2", L574 &lt;= 400, "3", L574 &gt; 400, "4")</f>
        <v/>
      </c>
      <c r="AF574" s="129">
        <f>SQRT((((VLOOKUP($AT$4,$A$4:$D$1021,4,FALSE))-D574)^2)+(((VLOOKUP($AT$4,$A$4:$E$1021,5,FALSE))-E574)^2)+(((VLOOKUP($AT$4,$A$4:$N$1021,14,FALSE))-N574)^2)+(((VLOOKUP($AT$4,$A$4:$O$1021,15,FALSE))-O574)^2))</f>
        <v/>
      </c>
      <c r="AG574" s="129" t="n"/>
      <c r="AI574" s="129">
        <f>SQRT((((VLOOKUP($AT$4,$A$4:$D$1021,4,FALSE))-D574)^2)+(((VLOOKUP($AT$4,$A$4:$E$1021,5,FALSE))-E574)^2)+(((VLOOKUP($AT$4,$A$4:$R$1021,18,FALSE))-R574)^2)+(((VLOOKUP($AT$4,$A$4:$S$1021,19,FALSE))-S574)^2))</f>
        <v/>
      </c>
      <c r="AJ574" s="125" t="inlineStr">
        <is>
          <t>HY900X282</t>
        </is>
      </c>
      <c r="AK574" s="125" t="n"/>
      <c r="AL574" s="125" t="n"/>
      <c r="AM574" s="125">
        <f>SQRT(((VLOOKUP($AT$4,$A$4:$J$1021,10,FALSE))-J574)^2)</f>
        <v/>
      </c>
      <c r="AN574" s="125" t="n"/>
      <c r="AO574" s="125" t="n"/>
      <c r="AP574" s="125">
        <f>SQRT(((VLOOKUP($AT$4,$A$4:$R$1021,18,FALSE))-R574)^2)</f>
        <v/>
      </c>
      <c r="AQ574" s="125" t="inlineStr">
        <is>
          <t>HY900X282</t>
        </is>
      </c>
      <c r="BB574" s="125">
        <f>SQRT(($J$1022-J574)^2)</f>
        <v/>
      </c>
      <c r="BC574" s="125">
        <f>SQRT(($R$1022-R574)^2)</f>
        <v/>
      </c>
      <c r="BD574" s="125" t="inlineStr">
        <is>
          <t>HY900X282</t>
        </is>
      </c>
      <c r="BI574">
        <f>SQRT(($J$1023-J574)^2)</f>
        <v/>
      </c>
      <c r="BJ574">
        <f>SQRT(($R$1023-R574)^2)</f>
        <v/>
      </c>
      <c r="BK574" s="125" t="inlineStr">
        <is>
          <t>HY900X282</t>
        </is>
      </c>
      <c r="BP574">
        <f>SQRT(($J$1024-J574)^2)</f>
        <v/>
      </c>
      <c r="BQ574">
        <f>SQRT(($R$1024-R574)^2)</f>
        <v/>
      </c>
      <c r="BR574" s="125" t="inlineStr">
        <is>
          <t>HY900X282</t>
        </is>
      </c>
      <c r="BW574">
        <f>SQRT(($J$1025-J574)^2)</f>
        <v/>
      </c>
      <c r="BX574">
        <f>SQRT(($R$1025-R574)^2)</f>
        <v/>
      </c>
      <c r="BY574" s="125" t="inlineStr">
        <is>
          <t>HY900X282</t>
        </is>
      </c>
      <c r="CD574">
        <f>SQRT(($J$1026-J574)^2)</f>
        <v/>
      </c>
      <c r="CE574">
        <f>SQRT(($R$1026-R574)^2)</f>
        <v/>
      </c>
      <c r="CF574" s="125" t="inlineStr">
        <is>
          <t>HY900X282</t>
        </is>
      </c>
    </row>
    <row r="575">
      <c r="A575" s="125" t="inlineStr">
        <is>
          <t>HY900X266</t>
        </is>
      </c>
      <c r="B575" s="129" t="inlineStr">
        <is>
          <t>HY</t>
        </is>
      </c>
      <c r="C575" s="125" t="n">
        <v>266</v>
      </c>
      <c r="D575" s="125" t="n">
        <v>900</v>
      </c>
      <c r="E575" s="125" t="n">
        <v>350</v>
      </c>
      <c r="F575" s="125" t="n">
        <v>25</v>
      </c>
      <c r="G575" s="125" t="n">
        <v>19</v>
      </c>
      <c r="H575" s="125" t="n">
        <v>18</v>
      </c>
      <c r="I575" s="125">
        <f>D575-(2*(H575+F575))</f>
        <v/>
      </c>
      <c r="J575" s="125">
        <f>(2*E575/10*F575/10)+((D575-F575-F575)/10*G575/10)+((H575/10+H575/10)^2)-(PI()*H575/10*H575/10)</f>
        <v/>
      </c>
      <c r="K575" s="125">
        <f>((E575-G575)/2)/F575</f>
        <v/>
      </c>
      <c r="L575" s="125">
        <f>I575/G575</f>
        <v/>
      </c>
      <c r="M575" s="125">
        <f>(E575*2+F575*4+((E575-G575)/2-H575)*4+2*PI()*H575+(D575-2*F575-2*H575)*2)/1000</f>
        <v/>
      </c>
      <c r="N575" s="5" t="n">
        <v>437000</v>
      </c>
      <c r="O575" s="5" t="n">
        <v>17900</v>
      </c>
      <c r="P575" s="125" t="n">
        <v>35.9</v>
      </c>
      <c r="Q575" s="125" t="n">
        <v>7.3</v>
      </c>
      <c r="R575" s="5" t="n">
        <v>9720</v>
      </c>
      <c r="S575" s="5" t="n">
        <v>1020</v>
      </c>
      <c r="T575" s="5" t="n">
        <v>11200</v>
      </c>
      <c r="U575" s="5" t="n">
        <v>1610</v>
      </c>
      <c r="X575" s="129">
        <f t="array" ref="X575">_xlfn.IFS((D575/F575) &lt;= (640/SQRT($AT$32)), "Compact", L575 &lt;= ($AT$32*(0.79-(0.002*((E575-G575/2)/(2*F575))*SQRT($AT$32)))), "Non-Compact", L575 &gt; ($AT$32*(0.79-(0.002*((E575-G575/2)/(2*F575))*SQRT($AT$32)))), "Slender")</f>
        <v/>
      </c>
      <c r="Y575" s="129">
        <f t="array" ref="Y575">_xlfn.IFS(K575 &lt;= (65/SQRT($AT$32)), "Compact", K575 &lt;= (95/SQRT($AT$32)), "Non-Compact", K575 &gt; (95/SQRT($AT$32)), "Slender")</f>
        <v/>
      </c>
      <c r="Z575" s="125">
        <f>E575/F575</f>
        <v/>
      </c>
      <c r="AA575" s="125">
        <f>D575/G575</f>
        <v/>
      </c>
      <c r="AB575" s="125">
        <f t="array" ref="AB575">_xlfn.IFS(Z575 &lt;= 9, "1", Z575 &lt;= 12, "2", Z575 &lt;= 15, "3", Z575 &gt; 15, "4")</f>
        <v/>
      </c>
      <c r="AC575" s="125">
        <f t="array" ref="AC575">_xlfn.IFS(AA575 &lt;= 200, "1", L575 &lt;= 300, "2", L575 &lt;= 400, "3", L575 &gt; 400, "4")</f>
        <v/>
      </c>
      <c r="AF575" s="129">
        <f>SQRT((((VLOOKUP($AT$4,$A$4:$D$1021,4,FALSE))-D575)^2)+(((VLOOKUP($AT$4,$A$4:$E$1021,5,FALSE))-E575)^2)+(((VLOOKUP($AT$4,$A$4:$N$1021,14,FALSE))-N575)^2)+(((VLOOKUP($AT$4,$A$4:$O$1021,15,FALSE))-O575)^2))</f>
        <v/>
      </c>
      <c r="AG575" s="129" t="n"/>
      <c r="AI575" s="129">
        <f>SQRT((((VLOOKUP($AT$4,$A$4:$D$1021,4,FALSE))-D575)^2)+(((VLOOKUP($AT$4,$A$4:$E$1021,5,FALSE))-E575)^2)+(((VLOOKUP($AT$4,$A$4:$R$1021,18,FALSE))-R575)^2)+(((VLOOKUP($AT$4,$A$4:$S$1021,19,FALSE))-S575)^2))</f>
        <v/>
      </c>
      <c r="AJ575" s="125" t="inlineStr">
        <is>
          <t>HY900X266</t>
        </is>
      </c>
      <c r="AK575" s="125" t="n"/>
      <c r="AL575" s="125" t="n"/>
      <c r="AM575" s="125">
        <f>SQRT(((VLOOKUP($AT$4,$A$4:$J$1021,10,FALSE))-J575)^2)</f>
        <v/>
      </c>
      <c r="AN575" s="125" t="n"/>
      <c r="AO575" s="125" t="n"/>
      <c r="AP575" s="125">
        <f>SQRT(((VLOOKUP($AT$4,$A$4:$R$1021,18,FALSE))-R575)^2)</f>
        <v/>
      </c>
      <c r="AQ575" s="125" t="inlineStr">
        <is>
          <t>HY900X266</t>
        </is>
      </c>
      <c r="BB575" s="125">
        <f>SQRT(($J$1022-J575)^2)</f>
        <v/>
      </c>
      <c r="BC575" s="125">
        <f>SQRT(($R$1022-R575)^2)</f>
        <v/>
      </c>
      <c r="BD575" s="125" t="inlineStr">
        <is>
          <t>HY900X266</t>
        </is>
      </c>
      <c r="BI575">
        <f>SQRT(($J$1023-J575)^2)</f>
        <v/>
      </c>
      <c r="BJ575">
        <f>SQRT(($R$1023-R575)^2)</f>
        <v/>
      </c>
      <c r="BK575" s="125" t="inlineStr">
        <is>
          <t>HY900X266</t>
        </is>
      </c>
      <c r="BP575">
        <f>SQRT(($J$1024-J575)^2)</f>
        <v/>
      </c>
      <c r="BQ575">
        <f>SQRT(($R$1024-R575)^2)</f>
        <v/>
      </c>
      <c r="BR575" s="125" t="inlineStr">
        <is>
          <t>HY900X266</t>
        </is>
      </c>
      <c r="BW575">
        <f>SQRT(($J$1025-J575)^2)</f>
        <v/>
      </c>
      <c r="BX575">
        <f>SQRT(($R$1025-R575)^2)</f>
        <v/>
      </c>
      <c r="BY575" s="125" t="inlineStr">
        <is>
          <t>HY900X266</t>
        </is>
      </c>
      <c r="CD575">
        <f>SQRT(($J$1026-J575)^2)</f>
        <v/>
      </c>
      <c r="CE575">
        <f>SQRT(($R$1026-R575)^2)</f>
        <v/>
      </c>
      <c r="CF575" s="125" t="inlineStr">
        <is>
          <t>HY900X266</t>
        </is>
      </c>
    </row>
    <row r="576">
      <c r="A576" s="125" t="inlineStr">
        <is>
          <t>HY900X304</t>
        </is>
      </c>
      <c r="B576" s="129" t="inlineStr">
        <is>
          <t>HY</t>
        </is>
      </c>
      <c r="C576" s="125" t="n">
        <v>304</v>
      </c>
      <c r="D576" s="125" t="n">
        <v>900</v>
      </c>
      <c r="E576" s="125" t="n">
        <v>350</v>
      </c>
      <c r="F576" s="125" t="n">
        <v>36</v>
      </c>
      <c r="G576" s="125" t="n">
        <v>16</v>
      </c>
      <c r="H576" s="125" t="n">
        <v>18</v>
      </c>
      <c r="I576" s="125">
        <f>D576-(2*(H576+F576))</f>
        <v/>
      </c>
      <c r="J576" s="125">
        <f>(2*E576/10*F576/10)+((D576-F576-F576)/10*G576/10)+((H576/10+H576/10)^2)-(PI()*H576/10*H576/10)</f>
        <v/>
      </c>
      <c r="K576" s="125">
        <f>((E576-G576)/2)/F576</f>
        <v/>
      </c>
      <c r="L576" s="125">
        <f>I576/G576</f>
        <v/>
      </c>
      <c r="M576" s="125">
        <f>(E576*2+F576*4+((E576-G576)/2-H576)*4+2*PI()*H576+(D576-2*F576-2*H576)*2)/1000</f>
        <v/>
      </c>
      <c r="N576" s="5" t="n">
        <v>551000</v>
      </c>
      <c r="O576" s="5" t="n">
        <v>25800</v>
      </c>
      <c r="P576" s="125" t="n">
        <v>37.7</v>
      </c>
      <c r="Q576" s="125" t="n">
        <v>8.199999999999999</v>
      </c>
      <c r="R576" s="5" t="n">
        <v>12200</v>
      </c>
      <c r="S576" s="5" t="n">
        <v>1470</v>
      </c>
      <c r="T576" s="5" t="n">
        <v>13700</v>
      </c>
      <c r="U576" s="5" t="n">
        <v>2260</v>
      </c>
      <c r="X576" s="129">
        <f t="array" ref="X576">_xlfn.IFS((D576/F576) &lt;= (640/SQRT($AT$32)), "Compact", L576 &lt;= ($AT$32*(0.79-(0.002*((E576-G576/2)/(2*F576))*SQRT($AT$32)))), "Non-Compact", L576 &gt; ($AT$32*(0.79-(0.002*((E576-G576/2)/(2*F576))*SQRT($AT$32)))), "Slender")</f>
        <v/>
      </c>
      <c r="Y576" s="129">
        <f t="array" ref="Y576">_xlfn.IFS(K576 &lt;= (65/SQRT($AT$32)), "Compact", K576 &lt;= (95/SQRT($AT$32)), "Non-Compact", K576 &gt; (95/SQRT($AT$32)), "Slender")</f>
        <v/>
      </c>
      <c r="Z576" s="125">
        <f>E576/F576</f>
        <v/>
      </c>
      <c r="AA576" s="125">
        <f>D576/G576</f>
        <v/>
      </c>
      <c r="AB576" s="125">
        <f t="array" ref="AB576">_xlfn.IFS(Z576 &lt;= 9, "1", Z576 &lt;= 12, "2", Z576 &lt;= 15, "3", Z576 &gt; 15, "4")</f>
        <v/>
      </c>
      <c r="AC576" s="125">
        <f t="array" ref="AC576">_xlfn.IFS(AA576 &lt;= 200, "1", L576 &lt;= 300, "2", L576 &lt;= 400, "3", L576 &gt; 400, "4")</f>
        <v/>
      </c>
      <c r="AF576" s="129">
        <f>SQRT((((VLOOKUP($AT$4,$A$4:$D$1021,4,FALSE))-D576)^2)+(((VLOOKUP($AT$4,$A$4:$E$1021,5,FALSE))-E576)^2)+(((VLOOKUP($AT$4,$A$4:$N$1021,14,FALSE))-N576)^2)+(((VLOOKUP($AT$4,$A$4:$O$1021,15,FALSE))-O576)^2))</f>
        <v/>
      </c>
      <c r="AG576" s="129" t="n"/>
      <c r="AI576" s="129">
        <f>SQRT((((VLOOKUP($AT$4,$A$4:$D$1021,4,FALSE))-D576)^2)+(((VLOOKUP($AT$4,$A$4:$E$1021,5,FALSE))-E576)^2)+(((VLOOKUP($AT$4,$A$4:$R$1021,18,FALSE))-R576)^2)+(((VLOOKUP($AT$4,$A$4:$S$1021,19,FALSE))-S576)^2))</f>
        <v/>
      </c>
      <c r="AJ576" s="125" t="inlineStr">
        <is>
          <t>HY900X304</t>
        </is>
      </c>
      <c r="AK576" s="125" t="n"/>
      <c r="AL576" s="125" t="n"/>
      <c r="AM576" s="125">
        <f>SQRT(((VLOOKUP($AT$4,$A$4:$J$1021,10,FALSE))-J576)^2)</f>
        <v/>
      </c>
      <c r="AN576" s="125" t="n"/>
      <c r="AO576" s="125" t="n"/>
      <c r="AP576" s="125">
        <f>SQRT(((VLOOKUP($AT$4,$A$4:$R$1021,18,FALSE))-R576)^2)</f>
        <v/>
      </c>
      <c r="AQ576" s="125" t="inlineStr">
        <is>
          <t>HY900X304</t>
        </is>
      </c>
      <c r="BB576" s="125">
        <f>SQRT(($J$1022-J576)^2)</f>
        <v/>
      </c>
      <c r="BC576" s="125">
        <f>SQRT(($R$1022-R576)^2)</f>
        <v/>
      </c>
      <c r="BD576" s="125" t="inlineStr">
        <is>
          <t>HY900X304</t>
        </is>
      </c>
      <c r="BI576">
        <f>SQRT(($J$1023-J576)^2)</f>
        <v/>
      </c>
      <c r="BJ576">
        <f>SQRT(($R$1023-R576)^2)</f>
        <v/>
      </c>
      <c r="BK576" s="125" t="inlineStr">
        <is>
          <t>HY900X304</t>
        </is>
      </c>
      <c r="BP576">
        <f>SQRT(($J$1024-J576)^2)</f>
        <v/>
      </c>
      <c r="BQ576">
        <f>SQRT(($R$1024-R576)^2)</f>
        <v/>
      </c>
      <c r="BR576" s="125" t="inlineStr">
        <is>
          <t>HY900X304</t>
        </is>
      </c>
      <c r="BW576">
        <f>SQRT(($J$1025-J576)^2)</f>
        <v/>
      </c>
      <c r="BX576">
        <f>SQRT(($R$1025-R576)^2)</f>
        <v/>
      </c>
      <c r="BY576" s="125" t="inlineStr">
        <is>
          <t>HY900X304</t>
        </is>
      </c>
      <c r="CD576">
        <f>SQRT(($J$1026-J576)^2)</f>
        <v/>
      </c>
      <c r="CE576">
        <f>SQRT(($R$1026-R576)^2)</f>
        <v/>
      </c>
      <c r="CF576" s="125" t="inlineStr">
        <is>
          <t>HY900X304</t>
        </is>
      </c>
    </row>
    <row r="577">
      <c r="A577" s="125" t="inlineStr">
        <is>
          <t>HY900X283</t>
        </is>
      </c>
      <c r="B577" s="129" t="inlineStr">
        <is>
          <t>HY</t>
        </is>
      </c>
      <c r="C577" s="125" t="n">
        <v>283</v>
      </c>
      <c r="D577" s="125" t="n">
        <v>900</v>
      </c>
      <c r="E577" s="125" t="n">
        <v>350</v>
      </c>
      <c r="F577" s="125" t="n">
        <v>32</v>
      </c>
      <c r="G577" s="125" t="n">
        <v>16</v>
      </c>
      <c r="H577" s="125" t="n">
        <v>18</v>
      </c>
      <c r="I577" s="125">
        <f>D577-(2*(H577+F577))</f>
        <v/>
      </c>
      <c r="J577" s="125">
        <f>(2*E577/10*F577/10)+((D577-F577-F577)/10*G577/10)+((H577/10+H577/10)^2)-(PI()*H577/10*H577/10)</f>
        <v/>
      </c>
      <c r="K577" s="125">
        <f>((E577-G577)/2)/F577</f>
        <v/>
      </c>
      <c r="L577" s="125">
        <f>I577/G577</f>
        <v/>
      </c>
      <c r="M577" s="125">
        <f>(E577*2+F577*4+((E577-G577)/2-H577)*4+2*PI()*H577+(D577-2*F577-2*H577)*2)/1000</f>
        <v/>
      </c>
      <c r="N577" s="5" t="n">
        <v>505000</v>
      </c>
      <c r="O577" s="5" t="n">
        <v>22900</v>
      </c>
      <c r="P577" s="125" t="n">
        <v>37.4</v>
      </c>
      <c r="Q577" s="125" t="n">
        <v>8</v>
      </c>
      <c r="R577" s="5" t="n">
        <v>11200</v>
      </c>
      <c r="S577" s="5" t="n">
        <v>1310</v>
      </c>
      <c r="T577" s="5" t="n">
        <v>12600</v>
      </c>
      <c r="U577" s="5" t="n">
        <v>2020</v>
      </c>
      <c r="X577" s="129">
        <f t="array" ref="X577">_xlfn.IFS((D577/F577) &lt;= (640/SQRT($AT$32)), "Compact", L577 &lt;= ($AT$32*(0.79-(0.002*((E577-G577/2)/(2*F577))*SQRT($AT$32)))), "Non-Compact", L577 &gt; ($AT$32*(0.79-(0.002*((E577-G577/2)/(2*F577))*SQRT($AT$32)))), "Slender")</f>
        <v/>
      </c>
      <c r="Y577" s="129">
        <f t="array" ref="Y577">_xlfn.IFS(K577 &lt;= (65/SQRT($AT$32)), "Compact", K577 &lt;= (95/SQRT($AT$32)), "Non-Compact", K577 &gt; (95/SQRT($AT$32)), "Slender")</f>
        <v/>
      </c>
      <c r="Z577" s="125">
        <f>E577/F577</f>
        <v/>
      </c>
      <c r="AA577" s="125">
        <f>D577/G577</f>
        <v/>
      </c>
      <c r="AB577" s="125">
        <f t="array" ref="AB577">_xlfn.IFS(Z577 &lt;= 9, "1", Z577 &lt;= 12, "2", Z577 &lt;= 15, "3", Z577 &gt; 15, "4")</f>
        <v/>
      </c>
      <c r="AC577" s="125">
        <f t="array" ref="AC577">_xlfn.IFS(AA577 &lt;= 200, "1", L577 &lt;= 300, "2", L577 &lt;= 400, "3", L577 &gt; 400, "4")</f>
        <v/>
      </c>
      <c r="AF577" s="129">
        <f>SQRT((((VLOOKUP($AT$4,$A$4:$D$1021,4,FALSE))-D577)^2)+(((VLOOKUP($AT$4,$A$4:$E$1021,5,FALSE))-E577)^2)+(((VLOOKUP($AT$4,$A$4:$N$1021,14,FALSE))-N577)^2)+(((VLOOKUP($AT$4,$A$4:$O$1021,15,FALSE))-O577)^2))</f>
        <v/>
      </c>
      <c r="AG577" s="129" t="n"/>
      <c r="AI577" s="129">
        <f>SQRT((((VLOOKUP($AT$4,$A$4:$D$1021,4,FALSE))-D577)^2)+(((VLOOKUP($AT$4,$A$4:$E$1021,5,FALSE))-E577)^2)+(((VLOOKUP($AT$4,$A$4:$R$1021,18,FALSE))-R577)^2)+(((VLOOKUP($AT$4,$A$4:$S$1021,19,FALSE))-S577)^2))</f>
        <v/>
      </c>
      <c r="AJ577" s="125" t="inlineStr">
        <is>
          <t>HY900X283</t>
        </is>
      </c>
      <c r="AK577" s="125" t="n"/>
      <c r="AL577" s="125" t="n"/>
      <c r="AM577" s="125">
        <f>SQRT(((VLOOKUP($AT$4,$A$4:$J$1021,10,FALSE))-J577)^2)</f>
        <v/>
      </c>
      <c r="AN577" s="125" t="n"/>
      <c r="AO577" s="125" t="n"/>
      <c r="AP577" s="125">
        <f>SQRT(((VLOOKUP($AT$4,$A$4:$R$1021,18,FALSE))-R577)^2)</f>
        <v/>
      </c>
      <c r="AQ577" s="125" t="inlineStr">
        <is>
          <t>HY900X283</t>
        </is>
      </c>
      <c r="BB577" s="125">
        <f>SQRT(($J$1022-J577)^2)</f>
        <v/>
      </c>
      <c r="BC577" s="125">
        <f>SQRT(($R$1022-R577)^2)</f>
        <v/>
      </c>
      <c r="BD577" s="125" t="inlineStr">
        <is>
          <t>HY900X283</t>
        </is>
      </c>
      <c r="BI577">
        <f>SQRT(($J$1023-J577)^2)</f>
        <v/>
      </c>
      <c r="BJ577">
        <f>SQRT(($R$1023-R577)^2)</f>
        <v/>
      </c>
      <c r="BK577" s="125" t="inlineStr">
        <is>
          <t>HY900X283</t>
        </is>
      </c>
      <c r="BP577">
        <f>SQRT(($J$1024-J577)^2)</f>
        <v/>
      </c>
      <c r="BQ577">
        <f>SQRT(($R$1024-R577)^2)</f>
        <v/>
      </c>
      <c r="BR577" s="125" t="inlineStr">
        <is>
          <t>HY900X283</t>
        </is>
      </c>
      <c r="BW577">
        <f>SQRT(($J$1025-J577)^2)</f>
        <v/>
      </c>
      <c r="BX577">
        <f>SQRT(($R$1025-R577)^2)</f>
        <v/>
      </c>
      <c r="BY577" s="125" t="inlineStr">
        <is>
          <t>HY900X283</t>
        </is>
      </c>
      <c r="CD577">
        <f>SQRT(($J$1026-J577)^2)</f>
        <v/>
      </c>
      <c r="CE577">
        <f>SQRT(($R$1026-R577)^2)</f>
        <v/>
      </c>
      <c r="CF577" s="125" t="inlineStr">
        <is>
          <t>HY900X283</t>
        </is>
      </c>
    </row>
    <row r="578">
      <c r="A578" s="125" t="inlineStr">
        <is>
          <t>HY900X262</t>
        </is>
      </c>
      <c r="B578" s="129" t="inlineStr">
        <is>
          <t>HY</t>
        </is>
      </c>
      <c r="C578" s="125" t="n">
        <v>262</v>
      </c>
      <c r="D578" s="125" t="n">
        <v>900</v>
      </c>
      <c r="E578" s="125" t="n">
        <v>350</v>
      </c>
      <c r="F578" s="125" t="n">
        <v>28</v>
      </c>
      <c r="G578" s="125" t="n">
        <v>16</v>
      </c>
      <c r="H578" s="125" t="n">
        <v>18</v>
      </c>
      <c r="I578" s="125">
        <f>D578-(2*(H578+F578))</f>
        <v/>
      </c>
      <c r="J578" s="125">
        <f>(2*E578/10*F578/10)+((D578-F578-F578)/10*G578/10)+((H578/10+H578/10)^2)-(PI()*H578/10*H578/10)</f>
        <v/>
      </c>
      <c r="K578" s="125">
        <f>((E578-G578)/2)/F578</f>
        <v/>
      </c>
      <c r="L578" s="125">
        <f>I578/G578</f>
        <v/>
      </c>
      <c r="M578" s="125">
        <f>(E578*2+F578*4+((E578-G578)/2-H578)*4+2*PI()*H578+(D578-2*F578-2*H578)*2)/1000</f>
        <v/>
      </c>
      <c r="N578" s="5" t="n">
        <v>458000</v>
      </c>
      <c r="O578" s="5" t="n">
        <v>20000</v>
      </c>
      <c r="P578" s="125" t="n">
        <v>37</v>
      </c>
      <c r="Q578" s="125" t="n">
        <v>7.8</v>
      </c>
      <c r="R578" s="5" t="n">
        <v>10200</v>
      </c>
      <c r="S578" s="5" t="n">
        <v>1150</v>
      </c>
      <c r="T578" s="5" t="n">
        <v>11500</v>
      </c>
      <c r="U578" s="5" t="n">
        <v>1770</v>
      </c>
      <c r="X578" s="129">
        <f t="array" ref="X578">_xlfn.IFS((D578/F578) &lt;= (640/SQRT($AT$32)), "Compact", L578 &lt;= ($AT$32*(0.79-(0.002*((E578-G578/2)/(2*F578))*SQRT($AT$32)))), "Non-Compact", L578 &gt; ($AT$32*(0.79-(0.002*((E578-G578/2)/(2*F578))*SQRT($AT$32)))), "Slender")</f>
        <v/>
      </c>
      <c r="Y578" s="129">
        <f t="array" ref="Y578">_xlfn.IFS(K578 &lt;= (65/SQRT($AT$32)), "Compact", K578 &lt;= (95/SQRT($AT$32)), "Non-Compact", K578 &gt; (95/SQRT($AT$32)), "Slender")</f>
        <v/>
      </c>
      <c r="Z578" s="125">
        <f>E578/F578</f>
        <v/>
      </c>
      <c r="AA578" s="125">
        <f>D578/G578</f>
        <v/>
      </c>
      <c r="AB578" s="125">
        <f t="array" ref="AB578">_xlfn.IFS(Z578 &lt;= 9, "1", Z578 &lt;= 12, "2", Z578 &lt;= 15, "3", Z578 &gt; 15, "4")</f>
        <v/>
      </c>
      <c r="AC578" s="125">
        <f t="array" ref="AC578">_xlfn.IFS(AA578 &lt;= 200, "1", L578 &lt;= 300, "2", L578 &lt;= 400, "3", L578 &gt; 400, "4")</f>
        <v/>
      </c>
      <c r="AF578" s="129">
        <f>SQRT((((VLOOKUP($AT$4,$A$4:$D$1021,4,FALSE))-D578)^2)+(((VLOOKUP($AT$4,$A$4:$E$1021,5,FALSE))-E578)^2)+(((VLOOKUP($AT$4,$A$4:$N$1021,14,FALSE))-N578)^2)+(((VLOOKUP($AT$4,$A$4:$O$1021,15,FALSE))-O578)^2))</f>
        <v/>
      </c>
      <c r="AG578" s="129" t="n"/>
      <c r="AI578" s="129">
        <f>SQRT((((VLOOKUP($AT$4,$A$4:$D$1021,4,FALSE))-D578)^2)+(((VLOOKUP($AT$4,$A$4:$E$1021,5,FALSE))-E578)^2)+(((VLOOKUP($AT$4,$A$4:$R$1021,18,FALSE))-R578)^2)+(((VLOOKUP($AT$4,$A$4:$S$1021,19,FALSE))-S578)^2))</f>
        <v/>
      </c>
      <c r="AJ578" s="125" t="inlineStr">
        <is>
          <t>HY900X262</t>
        </is>
      </c>
      <c r="AK578" s="125" t="n"/>
      <c r="AL578" s="125" t="n"/>
      <c r="AM578" s="125">
        <f>SQRT(((VLOOKUP($AT$4,$A$4:$J$1021,10,FALSE))-J578)^2)</f>
        <v/>
      </c>
      <c r="AN578" s="125" t="n"/>
      <c r="AO578" s="125" t="n"/>
      <c r="AP578" s="125">
        <f>SQRT(((VLOOKUP($AT$4,$A$4:$R$1021,18,FALSE))-R578)^2)</f>
        <v/>
      </c>
      <c r="AQ578" s="125" t="inlineStr">
        <is>
          <t>HY900X262</t>
        </is>
      </c>
      <c r="BB578" s="125">
        <f>SQRT(($J$1022-J578)^2)</f>
        <v/>
      </c>
      <c r="BC578" s="125">
        <f>SQRT(($R$1022-R578)^2)</f>
        <v/>
      </c>
      <c r="BD578" s="125" t="inlineStr">
        <is>
          <t>HY900X262</t>
        </is>
      </c>
      <c r="BI578">
        <f>SQRT(($J$1023-J578)^2)</f>
        <v/>
      </c>
      <c r="BJ578">
        <f>SQRT(($R$1023-R578)^2)</f>
        <v/>
      </c>
      <c r="BK578" s="125" t="inlineStr">
        <is>
          <t>HY900X262</t>
        </is>
      </c>
      <c r="BP578">
        <f>SQRT(($J$1024-J578)^2)</f>
        <v/>
      </c>
      <c r="BQ578">
        <f>SQRT(($R$1024-R578)^2)</f>
        <v/>
      </c>
      <c r="BR578" s="125" t="inlineStr">
        <is>
          <t>HY900X262</t>
        </is>
      </c>
      <c r="BW578">
        <f>SQRT(($J$1025-J578)^2)</f>
        <v/>
      </c>
      <c r="BX578">
        <f>SQRT(($R$1025-R578)^2)</f>
        <v/>
      </c>
      <c r="BY578" s="125" t="inlineStr">
        <is>
          <t>HY900X262</t>
        </is>
      </c>
      <c r="CD578">
        <f>SQRT(($J$1026-J578)^2)</f>
        <v/>
      </c>
      <c r="CE578">
        <f>SQRT(($R$1026-R578)^2)</f>
        <v/>
      </c>
      <c r="CF578" s="125" t="inlineStr">
        <is>
          <t>HY900X262</t>
        </is>
      </c>
    </row>
    <row r="579">
      <c r="A579" s="125" t="inlineStr">
        <is>
          <t>HY900X246</t>
        </is>
      </c>
      <c r="B579" s="129" t="inlineStr">
        <is>
          <t>HY</t>
        </is>
      </c>
      <c r="C579" s="125" t="n">
        <v>246</v>
      </c>
      <c r="D579" s="125" t="n">
        <v>900</v>
      </c>
      <c r="E579" s="125" t="n">
        <v>350</v>
      </c>
      <c r="F579" s="125" t="n">
        <v>25</v>
      </c>
      <c r="G579" s="125" t="n">
        <v>16</v>
      </c>
      <c r="H579" s="125" t="n">
        <v>18</v>
      </c>
      <c r="I579" s="125">
        <f>D579-(2*(H579+F579))</f>
        <v/>
      </c>
      <c r="J579" s="125">
        <f>(2*E579/10*F579/10)+((D579-F579-F579)/10*G579/10)+((H579/10+H579/10)^2)-(PI()*H579/10*H579/10)</f>
        <v/>
      </c>
      <c r="K579" s="125">
        <f>((E579-G579)/2)/F579</f>
        <v/>
      </c>
      <c r="L579" s="125">
        <f>I579/G579</f>
        <v/>
      </c>
      <c r="M579" s="125">
        <f>(E579*2+F579*4+((E579-G579)/2-H579)*4+2*PI()*H579+(D579-2*F579-2*H579)*2)/1000</f>
        <v/>
      </c>
      <c r="N579" s="5" t="n">
        <v>422000</v>
      </c>
      <c r="O579" s="5" t="n">
        <v>17900</v>
      </c>
      <c r="P579" s="125" t="n">
        <v>36.7</v>
      </c>
      <c r="Q579" s="125" t="n">
        <v>7.6</v>
      </c>
      <c r="R579" s="5" t="n">
        <v>9370</v>
      </c>
      <c r="S579" s="5" t="n">
        <v>1020</v>
      </c>
      <c r="T579" s="5" t="n">
        <v>10700</v>
      </c>
      <c r="U579" s="5" t="n">
        <v>1590</v>
      </c>
      <c r="X579" s="129">
        <f t="array" ref="X579">_xlfn.IFS((D579/F579) &lt;= (640/SQRT($AT$32)), "Compact", L579 &lt;= ($AT$32*(0.79-(0.002*((E579-G579/2)/(2*F579))*SQRT($AT$32)))), "Non-Compact", L579 &gt; ($AT$32*(0.79-(0.002*((E579-G579/2)/(2*F579))*SQRT($AT$32)))), "Slender")</f>
        <v/>
      </c>
      <c r="Y579" s="129">
        <f t="array" ref="Y579">_xlfn.IFS(K579 &lt;= (65/SQRT($AT$32)), "Compact", K579 &lt;= (95/SQRT($AT$32)), "Non-Compact", K579 &gt; (95/SQRT($AT$32)), "Slender")</f>
        <v/>
      </c>
      <c r="Z579" s="125">
        <f>E579/F579</f>
        <v/>
      </c>
      <c r="AA579" s="125">
        <f>D579/G579</f>
        <v/>
      </c>
      <c r="AB579" s="125">
        <f t="array" ref="AB579">_xlfn.IFS(Z579 &lt;= 9, "1", Z579 &lt;= 12, "2", Z579 &lt;= 15, "3", Z579 &gt; 15, "4")</f>
        <v/>
      </c>
      <c r="AC579" s="125">
        <f t="array" ref="AC579">_xlfn.IFS(AA579 &lt;= 200, "1", L579 &lt;= 300, "2", L579 &lt;= 400, "3", L579 &gt; 400, "4")</f>
        <v/>
      </c>
      <c r="AF579" s="129">
        <f>SQRT((((VLOOKUP($AT$4,$A$4:$D$1021,4,FALSE))-D579)^2)+(((VLOOKUP($AT$4,$A$4:$E$1021,5,FALSE))-E579)^2)+(((VLOOKUP($AT$4,$A$4:$N$1021,14,FALSE))-N579)^2)+(((VLOOKUP($AT$4,$A$4:$O$1021,15,FALSE))-O579)^2))</f>
        <v/>
      </c>
      <c r="AG579" s="129" t="n"/>
      <c r="AI579" s="129">
        <f>SQRT((((VLOOKUP($AT$4,$A$4:$D$1021,4,FALSE))-D579)^2)+(((VLOOKUP($AT$4,$A$4:$E$1021,5,FALSE))-E579)^2)+(((VLOOKUP($AT$4,$A$4:$R$1021,18,FALSE))-R579)^2)+(((VLOOKUP($AT$4,$A$4:$S$1021,19,FALSE))-S579)^2))</f>
        <v/>
      </c>
      <c r="AJ579" s="125" t="inlineStr">
        <is>
          <t>HY900X246</t>
        </is>
      </c>
      <c r="AK579" s="125" t="n"/>
      <c r="AL579" s="125" t="n"/>
      <c r="AM579" s="125">
        <f>SQRT(((VLOOKUP($AT$4,$A$4:$J$1021,10,FALSE))-J579)^2)</f>
        <v/>
      </c>
      <c r="AN579" s="125" t="n"/>
      <c r="AO579" s="125" t="n"/>
      <c r="AP579" s="125">
        <f>SQRT(((VLOOKUP($AT$4,$A$4:$R$1021,18,FALSE))-R579)^2)</f>
        <v/>
      </c>
      <c r="AQ579" s="125" t="inlineStr">
        <is>
          <t>HY900X246</t>
        </is>
      </c>
      <c r="BB579" s="125">
        <f>SQRT(($J$1022-J579)^2)</f>
        <v/>
      </c>
      <c r="BC579" s="125">
        <f>SQRT(($R$1022-R579)^2)</f>
        <v/>
      </c>
      <c r="BD579" s="125" t="inlineStr">
        <is>
          <t>HY900X246</t>
        </is>
      </c>
      <c r="BI579">
        <f>SQRT(($J$1023-J579)^2)</f>
        <v/>
      </c>
      <c r="BJ579">
        <f>SQRT(($R$1023-R579)^2)</f>
        <v/>
      </c>
      <c r="BK579" s="125" t="inlineStr">
        <is>
          <t>HY900X246</t>
        </is>
      </c>
      <c r="BP579">
        <f>SQRT(($J$1024-J579)^2)</f>
        <v/>
      </c>
      <c r="BQ579">
        <f>SQRT(($R$1024-R579)^2)</f>
        <v/>
      </c>
      <c r="BR579" s="125" t="inlineStr">
        <is>
          <t>HY900X246</t>
        </is>
      </c>
      <c r="BW579">
        <f>SQRT(($J$1025-J579)^2)</f>
        <v/>
      </c>
      <c r="BX579">
        <f>SQRT(($R$1025-R579)^2)</f>
        <v/>
      </c>
      <c r="BY579" s="125" t="inlineStr">
        <is>
          <t>HY900X246</t>
        </is>
      </c>
      <c r="CD579">
        <f>SQRT(($J$1026-J579)^2)</f>
        <v/>
      </c>
      <c r="CE579">
        <f>SQRT(($R$1026-R579)^2)</f>
        <v/>
      </c>
      <c r="CF579" s="125" t="inlineStr">
        <is>
          <t>HY900X246</t>
        </is>
      </c>
    </row>
    <row r="580">
      <c r="A580" s="125" t="inlineStr">
        <is>
          <t>HY900X231</t>
        </is>
      </c>
      <c r="B580" s="129" t="inlineStr">
        <is>
          <t>HY</t>
        </is>
      </c>
      <c r="C580" s="125" t="n">
        <v>231</v>
      </c>
      <c r="D580" s="125" t="n">
        <v>900</v>
      </c>
      <c r="E580" s="125" t="n">
        <v>350</v>
      </c>
      <c r="F580" s="125" t="n">
        <v>22</v>
      </c>
      <c r="G580" s="125" t="n">
        <v>16</v>
      </c>
      <c r="H580" s="125" t="n">
        <v>18</v>
      </c>
      <c r="I580" s="125">
        <f>D580-(2*(H580+F580))</f>
        <v/>
      </c>
      <c r="J580" s="125">
        <f>(2*E580/10*F580/10)+((D580-F580-F580)/10*G580/10)+((H580/10+H580/10)^2)-(PI()*H580/10*H580/10)</f>
        <v/>
      </c>
      <c r="K580" s="125">
        <f>((E580-G580)/2)/F580</f>
        <v/>
      </c>
      <c r="L580" s="125">
        <f>I580/G580</f>
        <v/>
      </c>
      <c r="M580" s="125">
        <f>(E580*2+F580*4+((E580-G580)/2-H580)*4+2*PI()*H580+(D580-2*F580-2*H580)*2)/1000</f>
        <v/>
      </c>
      <c r="N580" s="5" t="n">
        <v>385000</v>
      </c>
      <c r="O580" s="5" t="n">
        <v>15800</v>
      </c>
      <c r="P580" s="125" t="n">
        <v>36.2</v>
      </c>
      <c r="Q580" s="125" t="n">
        <v>7.3</v>
      </c>
      <c r="R580" s="5" t="n">
        <v>8570</v>
      </c>
      <c r="S580" s="125" t="n">
        <v>900</v>
      </c>
      <c r="T580" s="5" t="n">
        <v>9810</v>
      </c>
      <c r="U580" s="5" t="n">
        <v>1410</v>
      </c>
      <c r="X580" s="129">
        <f t="array" ref="X580">_xlfn.IFS((D580/F580) &lt;= (640/SQRT($AT$32)), "Compact", L580 &lt;= ($AT$32*(0.79-(0.002*((E580-G580/2)/(2*F580))*SQRT($AT$32)))), "Non-Compact", L580 &gt; ($AT$32*(0.79-(0.002*((E580-G580/2)/(2*F580))*SQRT($AT$32)))), "Slender")</f>
        <v/>
      </c>
      <c r="Y580" s="129">
        <f t="array" ref="Y580">_xlfn.IFS(K580 &lt;= (65/SQRT($AT$32)), "Compact", K580 &lt;= (95/SQRT($AT$32)), "Non-Compact", K580 &gt; (95/SQRT($AT$32)), "Slender")</f>
        <v/>
      </c>
      <c r="Z580" s="125">
        <f>E580/F580</f>
        <v/>
      </c>
      <c r="AA580" s="125">
        <f>D580/G580</f>
        <v/>
      </c>
      <c r="AB580" s="125">
        <f t="array" ref="AB580">_xlfn.IFS(Z580 &lt;= 9, "1", Z580 &lt;= 12, "2", Z580 &lt;= 15, "3", Z580 &gt; 15, "4")</f>
        <v/>
      </c>
      <c r="AC580" s="125">
        <f t="array" ref="AC580">_xlfn.IFS(AA580 &lt;= 200, "1", L580 &lt;= 300, "2", L580 &lt;= 400, "3", L580 &gt; 400, "4")</f>
        <v/>
      </c>
      <c r="AF580" s="129">
        <f>SQRT((((VLOOKUP($AT$4,$A$4:$D$1021,4,FALSE))-D580)^2)+(((VLOOKUP($AT$4,$A$4:$E$1021,5,FALSE))-E580)^2)+(((VLOOKUP($AT$4,$A$4:$N$1021,14,FALSE))-N580)^2)+(((VLOOKUP($AT$4,$A$4:$O$1021,15,FALSE))-O580)^2))</f>
        <v/>
      </c>
      <c r="AG580" s="129" t="n"/>
      <c r="AI580" s="129">
        <f>SQRT((((VLOOKUP($AT$4,$A$4:$D$1021,4,FALSE))-D580)^2)+(((VLOOKUP($AT$4,$A$4:$E$1021,5,FALSE))-E580)^2)+(((VLOOKUP($AT$4,$A$4:$R$1021,18,FALSE))-R580)^2)+(((VLOOKUP($AT$4,$A$4:$S$1021,19,FALSE))-S580)^2))</f>
        <v/>
      </c>
      <c r="AJ580" s="125" t="inlineStr">
        <is>
          <t>HY900X231</t>
        </is>
      </c>
      <c r="AK580" s="125" t="n"/>
      <c r="AL580" s="125" t="n"/>
      <c r="AM580" s="125">
        <f>SQRT(((VLOOKUP($AT$4,$A$4:$J$1021,10,FALSE))-J580)^2)</f>
        <v/>
      </c>
      <c r="AN580" s="125" t="n"/>
      <c r="AO580" s="125" t="n"/>
      <c r="AP580" s="125">
        <f>SQRT(((VLOOKUP($AT$4,$A$4:$R$1021,18,FALSE))-R580)^2)</f>
        <v/>
      </c>
      <c r="AQ580" s="125" t="inlineStr">
        <is>
          <t>HY900X231</t>
        </is>
      </c>
      <c r="BB580" s="125">
        <f>SQRT(($J$1022-J580)^2)</f>
        <v/>
      </c>
      <c r="BC580" s="125">
        <f>SQRT(($R$1022-R580)^2)</f>
        <v/>
      </c>
      <c r="BD580" s="125" t="inlineStr">
        <is>
          <t>HY900X231</t>
        </is>
      </c>
      <c r="BI580">
        <f>SQRT(($J$1023-J580)^2)</f>
        <v/>
      </c>
      <c r="BJ580">
        <f>SQRT(($R$1023-R580)^2)</f>
        <v/>
      </c>
      <c r="BK580" s="125" t="inlineStr">
        <is>
          <t>HY900X231</t>
        </is>
      </c>
      <c r="BP580">
        <f>SQRT(($J$1024-J580)^2)</f>
        <v/>
      </c>
      <c r="BQ580">
        <f>SQRT(($R$1024-R580)^2)</f>
        <v/>
      </c>
      <c r="BR580" s="125" t="inlineStr">
        <is>
          <t>HY900X231</t>
        </is>
      </c>
      <c r="BW580">
        <f>SQRT(($J$1025-J580)^2)</f>
        <v/>
      </c>
      <c r="BX580">
        <f>SQRT(($R$1025-R580)^2)</f>
        <v/>
      </c>
      <c r="BY580" s="125" t="inlineStr">
        <is>
          <t>HY900X231</t>
        </is>
      </c>
      <c r="CD580">
        <f>SQRT(($J$1026-J580)^2)</f>
        <v/>
      </c>
      <c r="CE580">
        <f>SQRT(($R$1026-R580)^2)</f>
        <v/>
      </c>
      <c r="CF580" s="125" t="inlineStr">
        <is>
          <t>HY900X231</t>
        </is>
      </c>
    </row>
    <row r="581">
      <c r="A581" s="125" t="inlineStr">
        <is>
          <t>HY900X249</t>
        </is>
      </c>
      <c r="B581" s="129" t="inlineStr">
        <is>
          <t>HY</t>
        </is>
      </c>
      <c r="C581" s="125" t="n">
        <v>249</v>
      </c>
      <c r="D581" s="125" t="n">
        <v>900</v>
      </c>
      <c r="E581" s="125" t="n">
        <v>350</v>
      </c>
      <c r="F581" s="125" t="n">
        <v>28</v>
      </c>
      <c r="G581" s="125" t="n">
        <v>14</v>
      </c>
      <c r="H581" s="125" t="n">
        <v>18</v>
      </c>
      <c r="I581" s="125">
        <f>D581-(2*(H581+F581))</f>
        <v/>
      </c>
      <c r="J581" s="125">
        <f>(2*E581/10*F581/10)+((D581-F581-F581)/10*G581/10)+((H581/10+H581/10)^2)-(PI()*H581/10*H581/10)</f>
        <v/>
      </c>
      <c r="K581" s="125">
        <f>((E581-G581)/2)/F581</f>
        <v/>
      </c>
      <c r="L581" s="125">
        <f>I581/G581</f>
        <v/>
      </c>
      <c r="M581" s="125">
        <f>(E581*2+F581*4+((E581-G581)/2-H581)*4+2*PI()*H581+(D581-2*F581-2*H581)*2)/1000</f>
        <v/>
      </c>
      <c r="N581" s="5" t="n">
        <v>448000</v>
      </c>
      <c r="O581" s="5" t="n">
        <v>20000</v>
      </c>
      <c r="P581" s="125" t="n">
        <v>37.6</v>
      </c>
      <c r="Q581" s="125" t="n">
        <v>8</v>
      </c>
      <c r="R581" s="5" t="n">
        <v>9950</v>
      </c>
      <c r="S581" s="5" t="n">
        <v>1140</v>
      </c>
      <c r="T581" s="5" t="n">
        <v>11200</v>
      </c>
      <c r="U581" s="5" t="n">
        <v>1760</v>
      </c>
      <c r="X581" s="129">
        <f t="array" ref="X581">_xlfn.IFS((D581/F581) &lt;= (640/SQRT($AT$32)), "Compact", L581 &lt;= ($AT$32*(0.79-(0.002*((E581-G581/2)/(2*F581))*SQRT($AT$32)))), "Non-Compact", L581 &gt; ($AT$32*(0.79-(0.002*((E581-G581/2)/(2*F581))*SQRT($AT$32)))), "Slender")</f>
        <v/>
      </c>
      <c r="Y581" s="129">
        <f t="array" ref="Y581">_xlfn.IFS(K581 &lt;= (65/SQRT($AT$32)), "Compact", K581 &lt;= (95/SQRT($AT$32)), "Non-Compact", K581 &gt; (95/SQRT($AT$32)), "Slender")</f>
        <v/>
      </c>
      <c r="Z581" s="125">
        <f>E581/F581</f>
        <v/>
      </c>
      <c r="AA581" s="125">
        <f>D581/G581</f>
        <v/>
      </c>
      <c r="AB581" s="125">
        <f t="array" ref="AB581">_xlfn.IFS(Z581 &lt;= 9, "1", Z581 &lt;= 12, "2", Z581 &lt;= 15, "3", Z581 &gt; 15, "4")</f>
        <v/>
      </c>
      <c r="AC581" s="125">
        <f t="array" ref="AC581">_xlfn.IFS(AA581 &lt;= 200, "1", L581 &lt;= 300, "2", L581 &lt;= 400, "3", L581 &gt; 400, "4")</f>
        <v/>
      </c>
      <c r="AF581" s="129">
        <f>SQRT((((VLOOKUP($AT$4,$A$4:$D$1021,4,FALSE))-D581)^2)+(((VLOOKUP($AT$4,$A$4:$E$1021,5,FALSE))-E581)^2)+(((VLOOKUP($AT$4,$A$4:$N$1021,14,FALSE))-N581)^2)+(((VLOOKUP($AT$4,$A$4:$O$1021,15,FALSE))-O581)^2))</f>
        <v/>
      </c>
      <c r="AG581" s="129" t="n"/>
      <c r="AI581" s="129">
        <f>SQRT((((VLOOKUP($AT$4,$A$4:$D$1021,4,FALSE))-D581)^2)+(((VLOOKUP($AT$4,$A$4:$E$1021,5,FALSE))-E581)^2)+(((VLOOKUP($AT$4,$A$4:$R$1021,18,FALSE))-R581)^2)+(((VLOOKUP($AT$4,$A$4:$S$1021,19,FALSE))-S581)^2))</f>
        <v/>
      </c>
      <c r="AJ581" s="125" t="inlineStr">
        <is>
          <t>HY900X249</t>
        </is>
      </c>
      <c r="AK581" s="125" t="n"/>
      <c r="AL581" s="125" t="n"/>
      <c r="AM581" s="125">
        <f>SQRT(((VLOOKUP($AT$4,$A$4:$J$1021,10,FALSE))-J581)^2)</f>
        <v/>
      </c>
      <c r="AN581" s="125" t="n"/>
      <c r="AO581" s="125" t="n"/>
      <c r="AP581" s="125">
        <f>SQRT(((VLOOKUP($AT$4,$A$4:$R$1021,18,FALSE))-R581)^2)</f>
        <v/>
      </c>
      <c r="AQ581" s="125" t="inlineStr">
        <is>
          <t>HY900X249</t>
        </is>
      </c>
      <c r="BB581" s="125">
        <f>SQRT(($J$1022-J581)^2)</f>
        <v/>
      </c>
      <c r="BC581" s="125">
        <f>SQRT(($R$1022-R581)^2)</f>
        <v/>
      </c>
      <c r="BD581" s="125" t="inlineStr">
        <is>
          <t>HY900X249</t>
        </is>
      </c>
      <c r="BI581">
        <f>SQRT(($J$1023-J581)^2)</f>
        <v/>
      </c>
      <c r="BJ581">
        <f>SQRT(($R$1023-R581)^2)</f>
        <v/>
      </c>
      <c r="BK581" s="125" t="inlineStr">
        <is>
          <t>HY900X249</t>
        </is>
      </c>
      <c r="BP581">
        <f>SQRT(($J$1024-J581)^2)</f>
        <v/>
      </c>
      <c r="BQ581">
        <f>SQRT(($R$1024-R581)^2)</f>
        <v/>
      </c>
      <c r="BR581" s="125" t="inlineStr">
        <is>
          <t>HY900X249</t>
        </is>
      </c>
      <c r="BW581">
        <f>SQRT(($J$1025-J581)^2)</f>
        <v/>
      </c>
      <c r="BX581">
        <f>SQRT(($R$1025-R581)^2)</f>
        <v/>
      </c>
      <c r="BY581" s="125" t="inlineStr">
        <is>
          <t>HY900X249</t>
        </is>
      </c>
      <c r="CD581">
        <f>SQRT(($J$1026-J581)^2)</f>
        <v/>
      </c>
      <c r="CE581">
        <f>SQRT(($R$1026-R581)^2)</f>
        <v/>
      </c>
      <c r="CF581" s="125" t="inlineStr">
        <is>
          <t>HY900X249</t>
        </is>
      </c>
    </row>
    <row r="582">
      <c r="A582" s="125" t="inlineStr">
        <is>
          <t>HY900X233</t>
        </is>
      </c>
      <c r="B582" s="129" t="inlineStr">
        <is>
          <t>HY</t>
        </is>
      </c>
      <c r="C582" s="125" t="n">
        <v>233</v>
      </c>
      <c r="D582" s="125" t="n">
        <v>900</v>
      </c>
      <c r="E582" s="125" t="n">
        <v>350</v>
      </c>
      <c r="F582" s="125" t="n">
        <v>25</v>
      </c>
      <c r="G582" s="125" t="n">
        <v>14</v>
      </c>
      <c r="H582" s="125" t="n">
        <v>18</v>
      </c>
      <c r="I582" s="125">
        <f>D582-(2*(H582+F582))</f>
        <v/>
      </c>
      <c r="J582" s="125">
        <f>(2*E582/10*F582/10)+((D582-F582-F582)/10*G582/10)+((H582/10+H582/10)^2)-(PI()*H582/10*H582/10)</f>
        <v/>
      </c>
      <c r="K582" s="125">
        <f>((E582-G582)/2)/F582</f>
        <v/>
      </c>
      <c r="L582" s="125">
        <f>I582/G582</f>
        <v/>
      </c>
      <c r="M582" s="125">
        <f>(E582*2+F582*4+((E582-G582)/2-H582)*4+2*PI()*H582+(D582-2*F582-2*H582)*2)/1000</f>
        <v/>
      </c>
      <c r="N582" s="5" t="n">
        <v>412000</v>
      </c>
      <c r="O582" s="5" t="n">
        <v>17900</v>
      </c>
      <c r="P582" s="125" t="n">
        <v>37.2</v>
      </c>
      <c r="Q582" s="125" t="n">
        <v>7.8</v>
      </c>
      <c r="R582" s="5" t="n">
        <v>9150</v>
      </c>
      <c r="S582" s="5" t="n">
        <v>1020</v>
      </c>
      <c r="T582" s="5" t="n">
        <v>10300</v>
      </c>
      <c r="U582" s="5" t="n">
        <v>1580</v>
      </c>
      <c r="X582" s="129">
        <f t="array" ref="X582">_xlfn.IFS((D582/F582) &lt;= (640/SQRT($AT$32)), "Compact", L582 &lt;= ($AT$32*(0.79-(0.002*((E582-G582/2)/(2*F582))*SQRT($AT$32)))), "Non-Compact", L582 &gt; ($AT$32*(0.79-(0.002*((E582-G582/2)/(2*F582))*SQRT($AT$32)))), "Slender")</f>
        <v/>
      </c>
      <c r="Y582" s="129">
        <f t="array" ref="Y582">_xlfn.IFS(K582 &lt;= (65/SQRT($AT$32)), "Compact", K582 &lt;= (95/SQRT($AT$32)), "Non-Compact", K582 &gt; (95/SQRT($AT$32)), "Slender")</f>
        <v/>
      </c>
      <c r="Z582" s="125">
        <f>E582/F582</f>
        <v/>
      </c>
      <c r="AA582" s="125">
        <f>D582/G582</f>
        <v/>
      </c>
      <c r="AB582" s="125">
        <f t="array" ref="AB582">_xlfn.IFS(Z582 &lt;= 9, "1", Z582 &lt;= 12, "2", Z582 &lt;= 15, "3", Z582 &gt; 15, "4")</f>
        <v/>
      </c>
      <c r="AC582" s="125">
        <f t="array" ref="AC582">_xlfn.IFS(AA582 &lt;= 200, "1", L582 &lt;= 300, "2", L582 &lt;= 400, "3", L582 &gt; 400, "4")</f>
        <v/>
      </c>
      <c r="AF582" s="129">
        <f>SQRT((((VLOOKUP($AT$4,$A$4:$D$1021,4,FALSE))-D582)^2)+(((VLOOKUP($AT$4,$A$4:$E$1021,5,FALSE))-E582)^2)+(((VLOOKUP($AT$4,$A$4:$N$1021,14,FALSE))-N582)^2)+(((VLOOKUP($AT$4,$A$4:$O$1021,15,FALSE))-O582)^2))</f>
        <v/>
      </c>
      <c r="AG582" s="129" t="n"/>
      <c r="AI582" s="129">
        <f>SQRT((((VLOOKUP($AT$4,$A$4:$D$1021,4,FALSE))-D582)^2)+(((VLOOKUP($AT$4,$A$4:$E$1021,5,FALSE))-E582)^2)+(((VLOOKUP($AT$4,$A$4:$R$1021,18,FALSE))-R582)^2)+(((VLOOKUP($AT$4,$A$4:$S$1021,19,FALSE))-S582)^2))</f>
        <v/>
      </c>
      <c r="AJ582" s="125" t="inlineStr">
        <is>
          <t>HY900X233</t>
        </is>
      </c>
      <c r="AK582" s="125" t="n"/>
      <c r="AL582" s="125" t="n"/>
      <c r="AM582" s="125">
        <f>SQRT(((VLOOKUP($AT$4,$A$4:$J$1021,10,FALSE))-J582)^2)</f>
        <v/>
      </c>
      <c r="AN582" s="125" t="n"/>
      <c r="AO582" s="125" t="n"/>
      <c r="AP582" s="125">
        <f>SQRT(((VLOOKUP($AT$4,$A$4:$R$1021,18,FALSE))-R582)^2)</f>
        <v/>
      </c>
      <c r="AQ582" s="125" t="inlineStr">
        <is>
          <t>HY900X233</t>
        </is>
      </c>
      <c r="BB582" s="125">
        <f>SQRT(($J$1022-J582)^2)</f>
        <v/>
      </c>
      <c r="BC582" s="125">
        <f>SQRT(($R$1022-R582)^2)</f>
        <v/>
      </c>
      <c r="BD582" s="125" t="inlineStr">
        <is>
          <t>HY900X233</t>
        </is>
      </c>
      <c r="BI582">
        <f>SQRT(($J$1023-J582)^2)</f>
        <v/>
      </c>
      <c r="BJ582">
        <f>SQRT(($R$1023-R582)^2)</f>
        <v/>
      </c>
      <c r="BK582" s="125" t="inlineStr">
        <is>
          <t>HY900X233</t>
        </is>
      </c>
      <c r="BP582">
        <f>SQRT(($J$1024-J582)^2)</f>
        <v/>
      </c>
      <c r="BQ582">
        <f>SQRT(($R$1024-R582)^2)</f>
        <v/>
      </c>
      <c r="BR582" s="125" t="inlineStr">
        <is>
          <t>HY900X233</t>
        </is>
      </c>
      <c r="BW582">
        <f>SQRT(($J$1025-J582)^2)</f>
        <v/>
      </c>
      <c r="BX582">
        <f>SQRT(($R$1025-R582)^2)</f>
        <v/>
      </c>
      <c r="BY582" s="125" t="inlineStr">
        <is>
          <t>HY900X233</t>
        </is>
      </c>
      <c r="CD582">
        <f>SQRT(($J$1026-J582)^2)</f>
        <v/>
      </c>
      <c r="CE582">
        <f>SQRT(($R$1026-R582)^2)</f>
        <v/>
      </c>
      <c r="CF582" s="125" t="inlineStr">
        <is>
          <t>HY900X233</t>
        </is>
      </c>
    </row>
    <row r="583">
      <c r="A583" s="125" t="inlineStr">
        <is>
          <t>HY900X217</t>
        </is>
      </c>
      <c r="B583" s="129" t="inlineStr">
        <is>
          <t>HY</t>
        </is>
      </c>
      <c r="C583" s="125" t="n">
        <v>217</v>
      </c>
      <c r="D583" s="125" t="n">
        <v>900</v>
      </c>
      <c r="E583" s="125" t="n">
        <v>350</v>
      </c>
      <c r="F583" s="125" t="n">
        <v>22</v>
      </c>
      <c r="G583" s="125" t="n">
        <v>14</v>
      </c>
      <c r="H583" s="125" t="n">
        <v>18</v>
      </c>
      <c r="I583" s="125">
        <f>D583-(2*(H583+F583))</f>
        <v/>
      </c>
      <c r="J583" s="125">
        <f>(2*E583/10*F583/10)+((D583-F583-F583)/10*G583/10)+((H583/10+H583/10)^2)-(PI()*H583/10*H583/10)</f>
        <v/>
      </c>
      <c r="K583" s="125">
        <f>((E583-G583)/2)/F583</f>
        <v/>
      </c>
      <c r="L583" s="125">
        <f>I583/G583</f>
        <v/>
      </c>
      <c r="M583" s="125">
        <f>(E583*2+F583*4+((E583-G583)/2-H583)*4+2*PI()*H583+(D583-2*F583-2*H583)*2)/1000</f>
        <v/>
      </c>
      <c r="N583" s="5" t="n">
        <v>375000</v>
      </c>
      <c r="O583" s="5" t="n">
        <v>15700</v>
      </c>
      <c r="P583" s="125" t="n">
        <v>36.8</v>
      </c>
      <c r="Q583" s="125" t="n">
        <v>7.5</v>
      </c>
      <c r="R583" s="5" t="n">
        <v>8330</v>
      </c>
      <c r="S583" s="125" t="n">
        <v>900</v>
      </c>
      <c r="T583" s="5" t="n">
        <v>9440</v>
      </c>
      <c r="U583" s="5" t="n">
        <v>1390</v>
      </c>
      <c r="X583" s="129">
        <f t="array" ref="X583">_xlfn.IFS((D583/F583) &lt;= (640/SQRT($AT$32)), "Compact", L583 &lt;= ($AT$32*(0.79-(0.002*((E583-G583/2)/(2*F583))*SQRT($AT$32)))), "Non-Compact", L583 &gt; ($AT$32*(0.79-(0.002*((E583-G583/2)/(2*F583))*SQRT($AT$32)))), "Slender")</f>
        <v/>
      </c>
      <c r="Y583" s="129">
        <f t="array" ref="Y583">_xlfn.IFS(K583 &lt;= (65/SQRT($AT$32)), "Compact", K583 &lt;= (95/SQRT($AT$32)), "Non-Compact", K583 &gt; (95/SQRT($AT$32)), "Slender")</f>
        <v/>
      </c>
      <c r="Z583" s="125">
        <f>E583/F583</f>
        <v/>
      </c>
      <c r="AA583" s="125">
        <f>D583/G583</f>
        <v/>
      </c>
      <c r="AB583" s="125">
        <f t="array" ref="AB583">_xlfn.IFS(Z583 &lt;= 9, "1", Z583 &lt;= 12, "2", Z583 &lt;= 15, "3", Z583 &gt; 15, "4")</f>
        <v/>
      </c>
      <c r="AC583" s="125">
        <f t="array" ref="AC583">_xlfn.IFS(AA583 &lt;= 200, "1", L583 &lt;= 300, "2", L583 &lt;= 400, "3", L583 &gt; 400, "4")</f>
        <v/>
      </c>
      <c r="AF583" s="129">
        <f>SQRT((((VLOOKUP($AT$4,$A$4:$D$1021,4,FALSE))-D583)^2)+(((VLOOKUP($AT$4,$A$4:$E$1021,5,FALSE))-E583)^2)+(((VLOOKUP($AT$4,$A$4:$N$1021,14,FALSE))-N583)^2)+(((VLOOKUP($AT$4,$A$4:$O$1021,15,FALSE))-O583)^2))</f>
        <v/>
      </c>
      <c r="AG583" s="129" t="n"/>
      <c r="AI583" s="129">
        <f>SQRT((((VLOOKUP($AT$4,$A$4:$D$1021,4,FALSE))-D583)^2)+(((VLOOKUP($AT$4,$A$4:$E$1021,5,FALSE))-E583)^2)+(((VLOOKUP($AT$4,$A$4:$R$1021,18,FALSE))-R583)^2)+(((VLOOKUP($AT$4,$A$4:$S$1021,19,FALSE))-S583)^2))</f>
        <v/>
      </c>
      <c r="AJ583" s="125" t="inlineStr">
        <is>
          <t>HY900X217</t>
        </is>
      </c>
      <c r="AK583" s="125" t="n"/>
      <c r="AL583" s="125" t="n"/>
      <c r="AM583" s="125">
        <f>SQRT(((VLOOKUP($AT$4,$A$4:$J$1021,10,FALSE))-J583)^2)</f>
        <v/>
      </c>
      <c r="AN583" s="125" t="n"/>
      <c r="AO583" s="125" t="n"/>
      <c r="AP583" s="125">
        <f>SQRT(((VLOOKUP($AT$4,$A$4:$R$1021,18,FALSE))-R583)^2)</f>
        <v/>
      </c>
      <c r="AQ583" s="125" t="inlineStr">
        <is>
          <t>HY900X217</t>
        </is>
      </c>
      <c r="BB583" s="125">
        <f>SQRT(($J$1022-J583)^2)</f>
        <v/>
      </c>
      <c r="BC583" s="125">
        <f>SQRT(($R$1022-R583)^2)</f>
        <v/>
      </c>
      <c r="BD583" s="125" t="inlineStr">
        <is>
          <t>HY900X217</t>
        </is>
      </c>
      <c r="BI583">
        <f>SQRT(($J$1023-J583)^2)</f>
        <v/>
      </c>
      <c r="BJ583">
        <f>SQRT(($R$1023-R583)^2)</f>
        <v/>
      </c>
      <c r="BK583" s="125" t="inlineStr">
        <is>
          <t>HY900X217</t>
        </is>
      </c>
      <c r="BP583">
        <f>SQRT(($J$1024-J583)^2)</f>
        <v/>
      </c>
      <c r="BQ583">
        <f>SQRT(($R$1024-R583)^2)</f>
        <v/>
      </c>
      <c r="BR583" s="125" t="inlineStr">
        <is>
          <t>HY900X217</t>
        </is>
      </c>
      <c r="BW583">
        <f>SQRT(($J$1025-J583)^2)</f>
        <v/>
      </c>
      <c r="BX583">
        <f>SQRT(($R$1025-R583)^2)</f>
        <v/>
      </c>
      <c r="BY583" s="125" t="inlineStr">
        <is>
          <t>HY900X217</t>
        </is>
      </c>
      <c r="CD583">
        <f>SQRT(($J$1026-J583)^2)</f>
        <v/>
      </c>
      <c r="CE583">
        <f>SQRT(($R$1026-R583)^2)</f>
        <v/>
      </c>
      <c r="CF583" s="125" t="inlineStr">
        <is>
          <t>HY900X217</t>
        </is>
      </c>
    </row>
    <row r="584">
      <c r="A584" s="125" t="inlineStr">
        <is>
          <t>HY900X332</t>
        </is>
      </c>
      <c r="B584" s="129" t="inlineStr">
        <is>
          <t>HY</t>
        </is>
      </c>
      <c r="C584" s="125" t="n">
        <v>332</v>
      </c>
      <c r="D584" s="125" t="n">
        <v>900</v>
      </c>
      <c r="E584" s="125" t="n">
        <v>300</v>
      </c>
      <c r="F584" s="125" t="n">
        <v>40</v>
      </c>
      <c r="G584" s="125" t="n">
        <v>22</v>
      </c>
      <c r="H584" s="125" t="n">
        <v>18</v>
      </c>
      <c r="I584" s="125">
        <f>D584-(2*(H584+F584))</f>
        <v/>
      </c>
      <c r="J584" s="125">
        <f>(2*E584/10*F584/10)+((D584-F584-F584)/10*G584/10)+((H584/10+H584/10)^2)-(PI()*H584/10*H584/10)</f>
        <v/>
      </c>
      <c r="K584" s="125">
        <f>((E584-G584)/2)/F584</f>
        <v/>
      </c>
      <c r="L584" s="125">
        <f>I584/G584</f>
        <v/>
      </c>
      <c r="M584" s="125">
        <f>(E584*2+F584*4+((E584-G584)/2-H584)*4+2*PI()*H584+(D584-2*F584-2*H584)*2)/1000</f>
        <v/>
      </c>
      <c r="N584" s="5" t="n">
        <v>550000</v>
      </c>
      <c r="O584" s="5" t="n">
        <v>18100</v>
      </c>
      <c r="P584" s="125" t="n">
        <v>36</v>
      </c>
      <c r="Q584" s="125" t="n">
        <v>6.5</v>
      </c>
      <c r="R584" s="5" t="n">
        <v>12200</v>
      </c>
      <c r="S584" s="5" t="n">
        <v>1210</v>
      </c>
      <c r="T584" s="5" t="n">
        <v>14100</v>
      </c>
      <c r="U584" s="5" t="n">
        <v>1900</v>
      </c>
      <c r="X584" s="129">
        <f t="array" ref="X584">_xlfn.IFS((D584/F584) &lt;= (640/SQRT($AT$32)), "Compact", L584 &lt;= ($AT$32*(0.79-(0.002*((E584-G584/2)/(2*F584))*SQRT($AT$32)))), "Non-Compact", L584 &gt; ($AT$32*(0.79-(0.002*((E584-G584/2)/(2*F584))*SQRT($AT$32)))), "Slender")</f>
        <v/>
      </c>
      <c r="Y584" s="129">
        <f t="array" ref="Y584">_xlfn.IFS(K584 &lt;= (65/SQRT($AT$32)), "Compact", K584 &lt;= (95/SQRT($AT$32)), "Non-Compact", K584 &gt; (95/SQRT($AT$32)), "Slender")</f>
        <v/>
      </c>
      <c r="Z584" s="125">
        <f>E584/F584</f>
        <v/>
      </c>
      <c r="AA584" s="125">
        <f>D584/G584</f>
        <v/>
      </c>
      <c r="AB584" s="125">
        <f t="array" ref="AB584">_xlfn.IFS(Z584 &lt;= 9, "1", Z584 &lt;= 12, "2", Z584 &lt;= 15, "3", Z584 &gt; 15, "4")</f>
        <v/>
      </c>
      <c r="AC584" s="125">
        <f t="array" ref="AC584">_xlfn.IFS(AA584 &lt;= 200, "1", L584 &lt;= 300, "2", L584 &lt;= 400, "3", L584 &gt; 400, "4")</f>
        <v/>
      </c>
      <c r="AF584" s="129">
        <f>SQRT((((VLOOKUP($AT$4,$A$4:$D$1021,4,FALSE))-D584)^2)+(((VLOOKUP($AT$4,$A$4:$E$1021,5,FALSE))-E584)^2)+(((VLOOKUP($AT$4,$A$4:$N$1021,14,FALSE))-N584)^2)+(((VLOOKUP($AT$4,$A$4:$O$1021,15,FALSE))-O584)^2))</f>
        <v/>
      </c>
      <c r="AG584" s="129" t="n"/>
      <c r="AI584" s="129">
        <f>SQRT((((VLOOKUP($AT$4,$A$4:$D$1021,4,FALSE))-D584)^2)+(((VLOOKUP($AT$4,$A$4:$E$1021,5,FALSE))-E584)^2)+(((VLOOKUP($AT$4,$A$4:$R$1021,18,FALSE))-R584)^2)+(((VLOOKUP($AT$4,$A$4:$S$1021,19,FALSE))-S584)^2))</f>
        <v/>
      </c>
      <c r="AJ584" s="125" t="inlineStr">
        <is>
          <t>HY900X332</t>
        </is>
      </c>
      <c r="AK584" s="125" t="n"/>
      <c r="AL584" s="125" t="n"/>
      <c r="AM584" s="125">
        <f>SQRT(((VLOOKUP($AT$4,$A$4:$J$1021,10,FALSE))-J584)^2)</f>
        <v/>
      </c>
      <c r="AN584" s="125" t="n"/>
      <c r="AO584" s="125" t="n"/>
      <c r="AP584" s="125">
        <f>SQRT(((VLOOKUP($AT$4,$A$4:$R$1021,18,FALSE))-R584)^2)</f>
        <v/>
      </c>
      <c r="AQ584" s="125" t="inlineStr">
        <is>
          <t>HY900X332</t>
        </is>
      </c>
      <c r="BB584" s="125">
        <f>SQRT(($J$1022-J584)^2)</f>
        <v/>
      </c>
      <c r="BC584" s="125">
        <f>SQRT(($R$1022-R584)^2)</f>
        <v/>
      </c>
      <c r="BD584" s="125" t="inlineStr">
        <is>
          <t>HY900X332</t>
        </is>
      </c>
      <c r="BI584">
        <f>SQRT(($J$1023-J584)^2)</f>
        <v/>
      </c>
      <c r="BJ584">
        <f>SQRT(($R$1023-R584)^2)</f>
        <v/>
      </c>
      <c r="BK584" s="125" t="inlineStr">
        <is>
          <t>HY900X332</t>
        </is>
      </c>
      <c r="BP584">
        <f>SQRT(($J$1024-J584)^2)</f>
        <v/>
      </c>
      <c r="BQ584">
        <f>SQRT(($R$1024-R584)^2)</f>
        <v/>
      </c>
      <c r="BR584" s="125" t="inlineStr">
        <is>
          <t>HY900X332</t>
        </is>
      </c>
      <c r="BW584">
        <f>SQRT(($J$1025-J584)^2)</f>
        <v/>
      </c>
      <c r="BX584">
        <f>SQRT(($R$1025-R584)^2)</f>
        <v/>
      </c>
      <c r="BY584" s="125" t="inlineStr">
        <is>
          <t>HY900X332</t>
        </is>
      </c>
      <c r="CD584">
        <f>SQRT(($J$1026-J584)^2)</f>
        <v/>
      </c>
      <c r="CE584">
        <f>SQRT(($R$1026-R584)^2)</f>
        <v/>
      </c>
      <c r="CF584" s="125" t="inlineStr">
        <is>
          <t>HY900X332</t>
        </is>
      </c>
    </row>
    <row r="585">
      <c r="A585" s="125" t="inlineStr">
        <is>
          <t>HY900X315</t>
        </is>
      </c>
      <c r="B585" s="129" t="inlineStr">
        <is>
          <t>HY</t>
        </is>
      </c>
      <c r="C585" s="125" t="n">
        <v>315</v>
      </c>
      <c r="D585" s="125" t="n">
        <v>900</v>
      </c>
      <c r="E585" s="125" t="n">
        <v>300</v>
      </c>
      <c r="F585" s="125" t="n">
        <v>36</v>
      </c>
      <c r="G585" s="125" t="n">
        <v>22</v>
      </c>
      <c r="H585" s="125" t="n">
        <v>18</v>
      </c>
      <c r="I585" s="125">
        <f>D585-(2*(H585+F585))</f>
        <v/>
      </c>
      <c r="J585" s="125">
        <f>(2*E585/10*F585/10)+((D585-F585-F585)/10*G585/10)+((H585/10+H585/10)^2)-(PI()*H585/10*H585/10)</f>
        <v/>
      </c>
      <c r="K585" s="125">
        <f>((E585-G585)/2)/F585</f>
        <v/>
      </c>
      <c r="L585" s="125">
        <f>I585/G585</f>
        <v/>
      </c>
      <c r="M585" s="125">
        <f>(E585*2+F585*4+((E585-G585)/2-H585)*4+2*PI()*H585+(D585-2*F585-2*H585)*2)/1000</f>
        <v/>
      </c>
      <c r="N585" s="5" t="n">
        <v>512000</v>
      </c>
      <c r="O585" s="5" t="n">
        <v>16300</v>
      </c>
      <c r="P585" s="125" t="n">
        <v>35.7</v>
      </c>
      <c r="Q585" s="125" t="n">
        <v>6.4</v>
      </c>
      <c r="R585" s="5" t="n">
        <v>11400</v>
      </c>
      <c r="S585" s="5" t="n">
        <v>1090</v>
      </c>
      <c r="T585" s="5" t="n">
        <v>13200</v>
      </c>
      <c r="U585" s="5" t="n">
        <v>1720</v>
      </c>
      <c r="X585" s="129">
        <f t="array" ref="X585">_xlfn.IFS((D585/F585) &lt;= (640/SQRT($AT$32)), "Compact", L585 &lt;= ($AT$32*(0.79-(0.002*((E585-G585/2)/(2*F585))*SQRT($AT$32)))), "Non-Compact", L585 &gt; ($AT$32*(0.79-(0.002*((E585-G585/2)/(2*F585))*SQRT($AT$32)))), "Slender")</f>
        <v/>
      </c>
      <c r="Y585" s="129">
        <f t="array" ref="Y585">_xlfn.IFS(K585 &lt;= (65/SQRT($AT$32)), "Compact", K585 &lt;= (95/SQRT($AT$32)), "Non-Compact", K585 &gt; (95/SQRT($AT$32)), "Slender")</f>
        <v/>
      </c>
      <c r="Z585" s="125">
        <f>E585/F585</f>
        <v/>
      </c>
      <c r="AA585" s="125">
        <f>D585/G585</f>
        <v/>
      </c>
      <c r="AB585" s="125">
        <f t="array" ref="AB585">_xlfn.IFS(Z585 &lt;= 9, "1", Z585 &lt;= 12, "2", Z585 &lt;= 15, "3", Z585 &gt; 15, "4")</f>
        <v/>
      </c>
      <c r="AC585" s="125">
        <f t="array" ref="AC585">_xlfn.IFS(AA585 &lt;= 200, "1", L585 &lt;= 300, "2", L585 &lt;= 400, "3", L585 &gt; 400, "4")</f>
        <v/>
      </c>
      <c r="AF585" s="129">
        <f>SQRT((((VLOOKUP($AT$4,$A$4:$D$1021,4,FALSE))-D585)^2)+(((VLOOKUP($AT$4,$A$4:$E$1021,5,FALSE))-E585)^2)+(((VLOOKUP($AT$4,$A$4:$N$1021,14,FALSE))-N585)^2)+(((VLOOKUP($AT$4,$A$4:$O$1021,15,FALSE))-O585)^2))</f>
        <v/>
      </c>
      <c r="AG585" s="129" t="n"/>
      <c r="AI585" s="129">
        <f>SQRT((((VLOOKUP($AT$4,$A$4:$D$1021,4,FALSE))-D585)^2)+(((VLOOKUP($AT$4,$A$4:$E$1021,5,FALSE))-E585)^2)+(((VLOOKUP($AT$4,$A$4:$R$1021,18,FALSE))-R585)^2)+(((VLOOKUP($AT$4,$A$4:$S$1021,19,FALSE))-S585)^2))</f>
        <v/>
      </c>
      <c r="AJ585" s="125" t="inlineStr">
        <is>
          <t>HY900X315</t>
        </is>
      </c>
      <c r="AK585" s="125" t="n"/>
      <c r="AL585" s="125" t="n"/>
      <c r="AM585" s="125">
        <f>SQRT(((VLOOKUP($AT$4,$A$4:$J$1021,10,FALSE))-J585)^2)</f>
        <v/>
      </c>
      <c r="AN585" s="125" t="n"/>
      <c r="AO585" s="125" t="n"/>
      <c r="AP585" s="125">
        <f>SQRT(((VLOOKUP($AT$4,$A$4:$R$1021,18,FALSE))-R585)^2)</f>
        <v/>
      </c>
      <c r="AQ585" s="125" t="inlineStr">
        <is>
          <t>HY900X315</t>
        </is>
      </c>
      <c r="BB585" s="125">
        <f>SQRT(($J$1022-J585)^2)</f>
        <v/>
      </c>
      <c r="BC585" s="125">
        <f>SQRT(($R$1022-R585)^2)</f>
        <v/>
      </c>
      <c r="BD585" s="125" t="inlineStr">
        <is>
          <t>HY900X315</t>
        </is>
      </c>
      <c r="BI585">
        <f>SQRT(($J$1023-J585)^2)</f>
        <v/>
      </c>
      <c r="BJ585">
        <f>SQRT(($R$1023-R585)^2)</f>
        <v/>
      </c>
      <c r="BK585" s="125" t="inlineStr">
        <is>
          <t>HY900X315</t>
        </is>
      </c>
      <c r="BP585">
        <f>SQRT(($J$1024-J585)^2)</f>
        <v/>
      </c>
      <c r="BQ585">
        <f>SQRT(($R$1024-R585)^2)</f>
        <v/>
      </c>
      <c r="BR585" s="125" t="inlineStr">
        <is>
          <t>HY900X315</t>
        </is>
      </c>
      <c r="BW585">
        <f>SQRT(($J$1025-J585)^2)</f>
        <v/>
      </c>
      <c r="BX585">
        <f>SQRT(($R$1025-R585)^2)</f>
        <v/>
      </c>
      <c r="BY585" s="125" t="inlineStr">
        <is>
          <t>HY900X315</t>
        </is>
      </c>
      <c r="CD585">
        <f>SQRT(($J$1026-J585)^2)</f>
        <v/>
      </c>
      <c r="CE585">
        <f>SQRT(($R$1026-R585)^2)</f>
        <v/>
      </c>
      <c r="CF585" s="125" t="inlineStr">
        <is>
          <t>HY900X315</t>
        </is>
      </c>
    </row>
    <row r="586">
      <c r="A586" s="125" t="inlineStr">
        <is>
          <t>HY900X297</t>
        </is>
      </c>
      <c r="B586" s="129" t="inlineStr">
        <is>
          <t>HY</t>
        </is>
      </c>
      <c r="C586" s="125" t="n">
        <v>297</v>
      </c>
      <c r="D586" s="125" t="n">
        <v>900</v>
      </c>
      <c r="E586" s="125" t="n">
        <v>300</v>
      </c>
      <c r="F586" s="125" t="n">
        <v>32</v>
      </c>
      <c r="G586" s="125" t="n">
        <v>22</v>
      </c>
      <c r="H586" s="125" t="n">
        <v>18</v>
      </c>
      <c r="I586" s="125">
        <f>D586-(2*(H586+F586))</f>
        <v/>
      </c>
      <c r="J586" s="125">
        <f>(2*E586/10*F586/10)+((D586-F586-F586)/10*G586/10)+((H586/10+H586/10)^2)-(PI()*H586/10*H586/10)</f>
        <v/>
      </c>
      <c r="K586" s="125">
        <f>((E586-G586)/2)/F586</f>
        <v/>
      </c>
      <c r="L586" s="125">
        <f>I586/G586</f>
        <v/>
      </c>
      <c r="M586" s="125">
        <f>(E586*2+F586*4+((E586-G586)/2-H586)*4+2*PI()*H586+(D586-2*F586-2*H586)*2)/1000</f>
        <v/>
      </c>
      <c r="N586" s="5" t="n">
        <v>474000</v>
      </c>
      <c r="O586" s="5" t="n">
        <v>14500</v>
      </c>
      <c r="P586" s="125" t="n">
        <v>35.4</v>
      </c>
      <c r="Q586" s="125" t="n">
        <v>6.2</v>
      </c>
      <c r="R586" s="5" t="n">
        <v>10500</v>
      </c>
      <c r="S586" s="125" t="n">
        <v>965</v>
      </c>
      <c r="T586" s="5" t="n">
        <v>12300</v>
      </c>
      <c r="U586" s="5" t="n">
        <v>1550</v>
      </c>
      <c r="X586" s="129">
        <f t="array" ref="X586">_xlfn.IFS((D586/F586) &lt;= (640/SQRT($AT$32)), "Compact", L586 &lt;= ($AT$32*(0.79-(0.002*((E586-G586/2)/(2*F586))*SQRT($AT$32)))), "Non-Compact", L586 &gt; ($AT$32*(0.79-(0.002*((E586-G586/2)/(2*F586))*SQRT($AT$32)))), "Slender")</f>
        <v/>
      </c>
      <c r="Y586" s="129">
        <f t="array" ref="Y586">_xlfn.IFS(K586 &lt;= (65/SQRT($AT$32)), "Compact", K586 &lt;= (95/SQRT($AT$32)), "Non-Compact", K586 &gt; (95/SQRT($AT$32)), "Slender")</f>
        <v/>
      </c>
      <c r="Z586" s="125">
        <f>E586/F586</f>
        <v/>
      </c>
      <c r="AA586" s="125">
        <f>D586/G586</f>
        <v/>
      </c>
      <c r="AB586" s="125">
        <f t="array" ref="AB586">_xlfn.IFS(Z586 &lt;= 9, "1", Z586 &lt;= 12, "2", Z586 &lt;= 15, "3", Z586 &gt; 15, "4")</f>
        <v/>
      </c>
      <c r="AC586" s="125">
        <f t="array" ref="AC586">_xlfn.IFS(AA586 &lt;= 200, "1", L586 &lt;= 300, "2", L586 &lt;= 400, "3", L586 &gt; 400, "4")</f>
        <v/>
      </c>
      <c r="AF586" s="129">
        <f>SQRT((((VLOOKUP($AT$4,$A$4:$D$1021,4,FALSE))-D586)^2)+(((VLOOKUP($AT$4,$A$4:$E$1021,5,FALSE))-E586)^2)+(((VLOOKUP($AT$4,$A$4:$N$1021,14,FALSE))-N586)^2)+(((VLOOKUP($AT$4,$A$4:$O$1021,15,FALSE))-O586)^2))</f>
        <v/>
      </c>
      <c r="AG586" s="129" t="n"/>
      <c r="AI586" s="129">
        <f>SQRT((((VLOOKUP($AT$4,$A$4:$D$1021,4,FALSE))-D586)^2)+(((VLOOKUP($AT$4,$A$4:$E$1021,5,FALSE))-E586)^2)+(((VLOOKUP($AT$4,$A$4:$R$1021,18,FALSE))-R586)^2)+(((VLOOKUP($AT$4,$A$4:$S$1021,19,FALSE))-S586)^2))</f>
        <v/>
      </c>
      <c r="AJ586" s="125" t="inlineStr">
        <is>
          <t>HY900X297</t>
        </is>
      </c>
      <c r="AK586" s="125" t="n"/>
      <c r="AL586" s="125" t="n"/>
      <c r="AM586" s="125">
        <f>SQRT(((VLOOKUP($AT$4,$A$4:$J$1021,10,FALSE))-J586)^2)</f>
        <v/>
      </c>
      <c r="AN586" s="125" t="n"/>
      <c r="AO586" s="125" t="n"/>
      <c r="AP586" s="125">
        <f>SQRT(((VLOOKUP($AT$4,$A$4:$R$1021,18,FALSE))-R586)^2)</f>
        <v/>
      </c>
      <c r="AQ586" s="125" t="inlineStr">
        <is>
          <t>HY900X297</t>
        </is>
      </c>
      <c r="BB586" s="125">
        <f>SQRT(($J$1022-J586)^2)</f>
        <v/>
      </c>
      <c r="BC586" s="125">
        <f>SQRT(($R$1022-R586)^2)</f>
        <v/>
      </c>
      <c r="BD586" s="125" t="inlineStr">
        <is>
          <t>HY900X297</t>
        </is>
      </c>
      <c r="BI586">
        <f>SQRT(($J$1023-J586)^2)</f>
        <v/>
      </c>
      <c r="BJ586">
        <f>SQRT(($R$1023-R586)^2)</f>
        <v/>
      </c>
      <c r="BK586" s="125" t="inlineStr">
        <is>
          <t>HY900X297</t>
        </is>
      </c>
      <c r="BP586">
        <f>SQRT(($J$1024-J586)^2)</f>
        <v/>
      </c>
      <c r="BQ586">
        <f>SQRT(($R$1024-R586)^2)</f>
        <v/>
      </c>
      <c r="BR586" s="125" t="inlineStr">
        <is>
          <t>HY900X297</t>
        </is>
      </c>
      <c r="BW586">
        <f>SQRT(($J$1025-J586)^2)</f>
        <v/>
      </c>
      <c r="BX586">
        <f>SQRT(($R$1025-R586)^2)</f>
        <v/>
      </c>
      <c r="BY586" s="125" t="inlineStr">
        <is>
          <t>HY900X297</t>
        </is>
      </c>
      <c r="CD586">
        <f>SQRT(($J$1026-J586)^2)</f>
        <v/>
      </c>
      <c r="CE586">
        <f>SQRT(($R$1026-R586)^2)</f>
        <v/>
      </c>
      <c r="CF586" s="125" t="inlineStr">
        <is>
          <t>HY900X297</t>
        </is>
      </c>
    </row>
    <row r="587">
      <c r="A587" s="125" t="inlineStr">
        <is>
          <t>HY900X280</t>
        </is>
      </c>
      <c r="B587" s="129" t="inlineStr">
        <is>
          <t>HY</t>
        </is>
      </c>
      <c r="C587" s="125" t="n">
        <v>280</v>
      </c>
      <c r="D587" s="125" t="n">
        <v>900</v>
      </c>
      <c r="E587" s="125" t="n">
        <v>300</v>
      </c>
      <c r="F587" s="125" t="n">
        <v>28</v>
      </c>
      <c r="G587" s="125" t="n">
        <v>22</v>
      </c>
      <c r="H587" s="125" t="n">
        <v>18</v>
      </c>
      <c r="I587" s="125">
        <f>D587-(2*(H587+F587))</f>
        <v/>
      </c>
      <c r="J587" s="125">
        <f>(2*E587/10*F587/10)+((D587-F587-F587)/10*G587/10)+((H587/10+H587/10)^2)-(PI()*H587/10*H587/10)</f>
        <v/>
      </c>
      <c r="K587" s="125">
        <f>((E587-G587)/2)/F587</f>
        <v/>
      </c>
      <c r="L587" s="125">
        <f>I587/G587</f>
        <v/>
      </c>
      <c r="M587" s="125">
        <f>(E587*2+F587*4+((E587-G587)/2-H587)*4+2*PI()*H587+(D587-2*F587-2*H587)*2)/1000</f>
        <v/>
      </c>
      <c r="N587" s="5" t="n">
        <v>435000</v>
      </c>
      <c r="O587" s="5" t="n">
        <v>12700</v>
      </c>
      <c r="P587" s="125" t="n">
        <v>34.9</v>
      </c>
      <c r="Q587" s="125" t="n">
        <v>6</v>
      </c>
      <c r="R587" s="5" t="n">
        <v>9660</v>
      </c>
      <c r="S587" s="125" t="n">
        <v>845</v>
      </c>
      <c r="T587" s="5" t="n">
        <v>11400</v>
      </c>
      <c r="U587" s="5" t="n">
        <v>1370</v>
      </c>
      <c r="X587" s="129">
        <f t="array" ref="X587">_xlfn.IFS((D587/F587) &lt;= (640/SQRT($AT$32)), "Compact", L587 &lt;= ($AT$32*(0.79-(0.002*((E587-G587/2)/(2*F587))*SQRT($AT$32)))), "Non-Compact", L587 &gt; ($AT$32*(0.79-(0.002*((E587-G587/2)/(2*F587))*SQRT($AT$32)))), "Slender")</f>
        <v/>
      </c>
      <c r="Y587" s="129">
        <f t="array" ref="Y587">_xlfn.IFS(K587 &lt;= (65/SQRT($AT$32)), "Compact", K587 &lt;= (95/SQRT($AT$32)), "Non-Compact", K587 &gt; (95/SQRT($AT$32)), "Slender")</f>
        <v/>
      </c>
      <c r="Z587" s="125">
        <f>E587/F587</f>
        <v/>
      </c>
      <c r="AA587" s="125">
        <f>D587/G587</f>
        <v/>
      </c>
      <c r="AB587" s="125">
        <f t="array" ref="AB587">_xlfn.IFS(Z587 &lt;= 9, "1", Z587 &lt;= 12, "2", Z587 &lt;= 15, "3", Z587 &gt; 15, "4")</f>
        <v/>
      </c>
      <c r="AC587" s="125">
        <f t="array" ref="AC587">_xlfn.IFS(AA587 &lt;= 200, "1", L587 &lt;= 300, "2", L587 &lt;= 400, "3", L587 &gt; 400, "4")</f>
        <v/>
      </c>
      <c r="AF587" s="129">
        <f>SQRT((((VLOOKUP($AT$4,$A$4:$D$1021,4,FALSE))-D587)^2)+(((VLOOKUP($AT$4,$A$4:$E$1021,5,FALSE))-E587)^2)+(((VLOOKUP($AT$4,$A$4:$N$1021,14,FALSE))-N587)^2)+(((VLOOKUP($AT$4,$A$4:$O$1021,15,FALSE))-O587)^2))</f>
        <v/>
      </c>
      <c r="AG587" s="129" t="n"/>
      <c r="AI587" s="129">
        <f>SQRT((((VLOOKUP($AT$4,$A$4:$D$1021,4,FALSE))-D587)^2)+(((VLOOKUP($AT$4,$A$4:$E$1021,5,FALSE))-E587)^2)+(((VLOOKUP($AT$4,$A$4:$R$1021,18,FALSE))-R587)^2)+(((VLOOKUP($AT$4,$A$4:$S$1021,19,FALSE))-S587)^2))</f>
        <v/>
      </c>
      <c r="AJ587" s="125" t="inlineStr">
        <is>
          <t>HY900X280</t>
        </is>
      </c>
      <c r="AK587" s="125" t="n"/>
      <c r="AL587" s="125" t="n"/>
      <c r="AM587" s="125">
        <f>SQRT(((VLOOKUP($AT$4,$A$4:$J$1021,10,FALSE))-J587)^2)</f>
        <v/>
      </c>
      <c r="AN587" s="125" t="n"/>
      <c r="AO587" s="125" t="n"/>
      <c r="AP587" s="125">
        <f>SQRT(((VLOOKUP($AT$4,$A$4:$R$1021,18,FALSE))-R587)^2)</f>
        <v/>
      </c>
      <c r="AQ587" s="125" t="inlineStr">
        <is>
          <t>HY900X280</t>
        </is>
      </c>
      <c r="BB587" s="125">
        <f>SQRT(($J$1022-J587)^2)</f>
        <v/>
      </c>
      <c r="BC587" s="125">
        <f>SQRT(($R$1022-R587)^2)</f>
        <v/>
      </c>
      <c r="BD587" s="125" t="inlineStr">
        <is>
          <t>HY900X280</t>
        </is>
      </c>
      <c r="BI587">
        <f>SQRT(($J$1023-J587)^2)</f>
        <v/>
      </c>
      <c r="BJ587">
        <f>SQRT(($R$1023-R587)^2)</f>
        <v/>
      </c>
      <c r="BK587" s="125" t="inlineStr">
        <is>
          <t>HY900X280</t>
        </is>
      </c>
      <c r="BP587">
        <f>SQRT(($J$1024-J587)^2)</f>
        <v/>
      </c>
      <c r="BQ587">
        <f>SQRT(($R$1024-R587)^2)</f>
        <v/>
      </c>
      <c r="BR587" s="125" t="inlineStr">
        <is>
          <t>HY900X280</t>
        </is>
      </c>
      <c r="BW587">
        <f>SQRT(($J$1025-J587)^2)</f>
        <v/>
      </c>
      <c r="BX587">
        <f>SQRT(($R$1025-R587)^2)</f>
        <v/>
      </c>
      <c r="BY587" s="125" t="inlineStr">
        <is>
          <t>HY900X280</t>
        </is>
      </c>
      <c r="CD587">
        <f>SQRT(($J$1026-J587)^2)</f>
        <v/>
      </c>
      <c r="CE587">
        <f>SQRT(($R$1026-R587)^2)</f>
        <v/>
      </c>
      <c r="CF587" s="125" t="inlineStr">
        <is>
          <t>HY900X280</t>
        </is>
      </c>
    </row>
    <row r="588">
      <c r="A588" s="125" t="inlineStr">
        <is>
          <t>HY900X313</t>
        </is>
      </c>
      <c r="B588" s="129" t="inlineStr">
        <is>
          <t>HY</t>
        </is>
      </c>
      <c r="C588" s="125" t="n">
        <v>313</v>
      </c>
      <c r="D588" s="125" t="n">
        <v>900</v>
      </c>
      <c r="E588" s="125" t="n">
        <v>300</v>
      </c>
      <c r="F588" s="125" t="n">
        <v>40</v>
      </c>
      <c r="G588" s="125" t="n">
        <v>19</v>
      </c>
      <c r="H588" s="125" t="n">
        <v>18</v>
      </c>
      <c r="I588" s="125">
        <f>D588-(2*(H588+F588))</f>
        <v/>
      </c>
      <c r="J588" s="125">
        <f>(2*E588/10*F588/10)+((D588-F588-F588)/10*G588/10)+((H588/10+H588/10)^2)-(PI()*H588/10*H588/10)</f>
        <v/>
      </c>
      <c r="K588" s="125">
        <f>((E588-G588)/2)/F588</f>
        <v/>
      </c>
      <c r="L588" s="125">
        <f>I588/G588</f>
        <v/>
      </c>
      <c r="M588" s="125">
        <f>(E588*2+F588*4+((E588-G588)/2-H588)*4+2*PI()*H588+(D588-2*F588-2*H588)*2)/1000</f>
        <v/>
      </c>
      <c r="N588" s="5" t="n">
        <v>536000</v>
      </c>
      <c r="O588" s="5" t="n">
        <v>18100</v>
      </c>
      <c r="P588" s="125" t="n">
        <v>36.7</v>
      </c>
      <c r="Q588" s="125" t="n">
        <v>6.7</v>
      </c>
      <c r="R588" s="5" t="n">
        <v>11900</v>
      </c>
      <c r="S588" s="5" t="n">
        <v>1200</v>
      </c>
      <c r="T588" s="5" t="n">
        <v>13600</v>
      </c>
      <c r="U588" s="5" t="n">
        <v>1880</v>
      </c>
      <c r="X588" s="129">
        <f t="array" ref="X588">_xlfn.IFS((D588/F588) &lt;= (640/SQRT($AT$32)), "Compact", L588 &lt;= ($AT$32*(0.79-(0.002*((E588-G588/2)/(2*F588))*SQRT($AT$32)))), "Non-Compact", L588 &gt; ($AT$32*(0.79-(0.002*((E588-G588/2)/(2*F588))*SQRT($AT$32)))), "Slender")</f>
        <v/>
      </c>
      <c r="Y588" s="129">
        <f t="array" ref="Y588">_xlfn.IFS(K588 &lt;= (65/SQRT($AT$32)), "Compact", K588 &lt;= (95/SQRT($AT$32)), "Non-Compact", K588 &gt; (95/SQRT($AT$32)), "Slender")</f>
        <v/>
      </c>
      <c r="Z588" s="125">
        <f>E588/F588</f>
        <v/>
      </c>
      <c r="AA588" s="125">
        <f>D588/G588</f>
        <v/>
      </c>
      <c r="AB588" s="125">
        <f t="array" ref="AB588">_xlfn.IFS(Z588 &lt;= 9, "1", Z588 &lt;= 12, "2", Z588 &lt;= 15, "3", Z588 &gt; 15, "4")</f>
        <v/>
      </c>
      <c r="AC588" s="125">
        <f t="array" ref="AC588">_xlfn.IFS(AA588 &lt;= 200, "1", L588 &lt;= 300, "2", L588 &lt;= 400, "3", L588 &gt; 400, "4")</f>
        <v/>
      </c>
      <c r="AF588" s="129">
        <f>SQRT((((VLOOKUP($AT$4,$A$4:$D$1021,4,FALSE))-D588)^2)+(((VLOOKUP($AT$4,$A$4:$E$1021,5,FALSE))-E588)^2)+(((VLOOKUP($AT$4,$A$4:$N$1021,14,FALSE))-N588)^2)+(((VLOOKUP($AT$4,$A$4:$O$1021,15,FALSE))-O588)^2))</f>
        <v/>
      </c>
      <c r="AG588" s="129" t="n"/>
      <c r="AI588" s="129">
        <f>SQRT((((VLOOKUP($AT$4,$A$4:$D$1021,4,FALSE))-D588)^2)+(((VLOOKUP($AT$4,$A$4:$E$1021,5,FALSE))-E588)^2)+(((VLOOKUP($AT$4,$A$4:$R$1021,18,FALSE))-R588)^2)+(((VLOOKUP($AT$4,$A$4:$S$1021,19,FALSE))-S588)^2))</f>
        <v/>
      </c>
      <c r="AJ588" s="125" t="inlineStr">
        <is>
          <t>HY900X313</t>
        </is>
      </c>
      <c r="AK588" s="125" t="n"/>
      <c r="AL588" s="125" t="n"/>
      <c r="AM588" s="125">
        <f>SQRT(((VLOOKUP($AT$4,$A$4:$J$1021,10,FALSE))-J588)^2)</f>
        <v/>
      </c>
      <c r="AN588" s="125" t="n"/>
      <c r="AO588" s="125" t="n"/>
      <c r="AP588" s="125">
        <f>SQRT(((VLOOKUP($AT$4,$A$4:$R$1021,18,FALSE))-R588)^2)</f>
        <v/>
      </c>
      <c r="AQ588" s="125" t="inlineStr">
        <is>
          <t>HY900X313</t>
        </is>
      </c>
      <c r="BB588" s="125">
        <f>SQRT(($J$1022-J588)^2)</f>
        <v/>
      </c>
      <c r="BC588" s="125">
        <f>SQRT(($R$1022-R588)^2)</f>
        <v/>
      </c>
      <c r="BD588" s="125" t="inlineStr">
        <is>
          <t>HY900X313</t>
        </is>
      </c>
      <c r="BI588">
        <f>SQRT(($J$1023-J588)^2)</f>
        <v/>
      </c>
      <c r="BJ588">
        <f>SQRT(($R$1023-R588)^2)</f>
        <v/>
      </c>
      <c r="BK588" s="125" t="inlineStr">
        <is>
          <t>HY900X313</t>
        </is>
      </c>
      <c r="BP588">
        <f>SQRT(($J$1024-J588)^2)</f>
        <v/>
      </c>
      <c r="BQ588">
        <f>SQRT(($R$1024-R588)^2)</f>
        <v/>
      </c>
      <c r="BR588" s="125" t="inlineStr">
        <is>
          <t>HY900X313</t>
        </is>
      </c>
      <c r="BW588">
        <f>SQRT(($J$1025-J588)^2)</f>
        <v/>
      </c>
      <c r="BX588">
        <f>SQRT(($R$1025-R588)^2)</f>
        <v/>
      </c>
      <c r="BY588" s="125" t="inlineStr">
        <is>
          <t>HY900X313</t>
        </is>
      </c>
      <c r="CD588">
        <f>SQRT(($J$1026-J588)^2)</f>
        <v/>
      </c>
      <c r="CE588">
        <f>SQRT(($R$1026-R588)^2)</f>
        <v/>
      </c>
      <c r="CF588" s="125" t="inlineStr">
        <is>
          <t>HY900X313</t>
        </is>
      </c>
    </row>
    <row r="589">
      <c r="A589" s="125" t="inlineStr">
        <is>
          <t>HY900X295</t>
        </is>
      </c>
      <c r="B589" s="129" t="inlineStr">
        <is>
          <t>HY</t>
        </is>
      </c>
      <c r="C589" s="125" t="n">
        <v>295</v>
      </c>
      <c r="D589" s="125" t="n">
        <v>900</v>
      </c>
      <c r="E589" s="125" t="n">
        <v>300</v>
      </c>
      <c r="F589" s="125" t="n">
        <v>36</v>
      </c>
      <c r="G589" s="125" t="n">
        <v>19</v>
      </c>
      <c r="H589" s="125" t="n">
        <v>18</v>
      </c>
      <c r="I589" s="125">
        <f>D589-(2*(H589+F589))</f>
        <v/>
      </c>
      <c r="J589" s="125">
        <f>(2*E589/10*F589/10)+((D589-F589-F589)/10*G589/10)+((H589/10+H589/10)^2)-(PI()*H589/10*H589/10)</f>
        <v/>
      </c>
      <c r="K589" s="125">
        <f>((E589-G589)/2)/F589</f>
        <v/>
      </c>
      <c r="L589" s="125">
        <f>I589/G589</f>
        <v/>
      </c>
      <c r="M589" s="125">
        <f>(E589*2+F589*4+((E589-G589)/2-H589)*4+2*PI()*H589+(D589-2*F589-2*H589)*2)/1000</f>
        <v/>
      </c>
      <c r="N589" s="5" t="n">
        <v>498000</v>
      </c>
      <c r="O589" s="5" t="n">
        <v>16300</v>
      </c>
      <c r="P589" s="125" t="n">
        <v>36.4</v>
      </c>
      <c r="Q589" s="125" t="n">
        <v>6.6</v>
      </c>
      <c r="R589" s="5" t="n">
        <v>11100</v>
      </c>
      <c r="S589" s="5" t="n">
        <v>1080</v>
      </c>
      <c r="T589" s="5" t="n">
        <v>12700</v>
      </c>
      <c r="U589" s="5" t="n">
        <v>1700</v>
      </c>
      <c r="X589" s="129">
        <f t="array" ref="X589">_xlfn.IFS((D589/F589) &lt;= (640/SQRT($AT$32)), "Compact", L589 &lt;= ($AT$32*(0.79-(0.002*((E589-G589/2)/(2*F589))*SQRT($AT$32)))), "Non-Compact", L589 &gt; ($AT$32*(0.79-(0.002*((E589-G589/2)/(2*F589))*SQRT($AT$32)))), "Slender")</f>
        <v/>
      </c>
      <c r="Y589" s="129">
        <f t="array" ref="Y589">_xlfn.IFS(K589 &lt;= (65/SQRT($AT$32)), "Compact", K589 &lt;= (95/SQRT($AT$32)), "Non-Compact", K589 &gt; (95/SQRT($AT$32)), "Slender")</f>
        <v/>
      </c>
      <c r="Z589" s="125">
        <f>E589/F589</f>
        <v/>
      </c>
      <c r="AA589" s="125">
        <f>D589/G589</f>
        <v/>
      </c>
      <c r="AB589" s="125">
        <f t="array" ref="AB589">_xlfn.IFS(Z589 &lt;= 9, "1", Z589 &lt;= 12, "2", Z589 &lt;= 15, "3", Z589 &gt; 15, "4")</f>
        <v/>
      </c>
      <c r="AC589" s="125">
        <f t="array" ref="AC589">_xlfn.IFS(AA589 &lt;= 200, "1", L589 &lt;= 300, "2", L589 &lt;= 400, "3", L589 &gt; 400, "4")</f>
        <v/>
      </c>
      <c r="AF589" s="129">
        <f>SQRT((((VLOOKUP($AT$4,$A$4:$D$1021,4,FALSE))-D589)^2)+(((VLOOKUP($AT$4,$A$4:$E$1021,5,FALSE))-E589)^2)+(((VLOOKUP($AT$4,$A$4:$N$1021,14,FALSE))-N589)^2)+(((VLOOKUP($AT$4,$A$4:$O$1021,15,FALSE))-O589)^2))</f>
        <v/>
      </c>
      <c r="AG589" s="129" t="n"/>
      <c r="AI589" s="129">
        <f>SQRT((((VLOOKUP($AT$4,$A$4:$D$1021,4,FALSE))-D589)^2)+(((VLOOKUP($AT$4,$A$4:$E$1021,5,FALSE))-E589)^2)+(((VLOOKUP($AT$4,$A$4:$R$1021,18,FALSE))-R589)^2)+(((VLOOKUP($AT$4,$A$4:$S$1021,19,FALSE))-S589)^2))</f>
        <v/>
      </c>
      <c r="AJ589" s="125" t="inlineStr">
        <is>
          <t>HY900X295</t>
        </is>
      </c>
      <c r="AK589" s="125" t="n"/>
      <c r="AL589" s="125" t="n"/>
      <c r="AM589" s="125">
        <f>SQRT(((VLOOKUP($AT$4,$A$4:$J$1021,10,FALSE))-J589)^2)</f>
        <v/>
      </c>
      <c r="AN589" s="125" t="n"/>
      <c r="AO589" s="125" t="n"/>
      <c r="AP589" s="125">
        <f>SQRT(((VLOOKUP($AT$4,$A$4:$R$1021,18,FALSE))-R589)^2)</f>
        <v/>
      </c>
      <c r="AQ589" s="125" t="inlineStr">
        <is>
          <t>HY900X295</t>
        </is>
      </c>
      <c r="BB589" s="125">
        <f>SQRT(($J$1022-J589)^2)</f>
        <v/>
      </c>
      <c r="BC589" s="125">
        <f>SQRT(($R$1022-R589)^2)</f>
        <v/>
      </c>
      <c r="BD589" s="125" t="inlineStr">
        <is>
          <t>HY900X295</t>
        </is>
      </c>
      <c r="BI589">
        <f>SQRT(($J$1023-J589)^2)</f>
        <v/>
      </c>
      <c r="BJ589">
        <f>SQRT(($R$1023-R589)^2)</f>
        <v/>
      </c>
      <c r="BK589" s="125" t="inlineStr">
        <is>
          <t>HY900X295</t>
        </is>
      </c>
      <c r="BP589">
        <f>SQRT(($J$1024-J589)^2)</f>
        <v/>
      </c>
      <c r="BQ589">
        <f>SQRT(($R$1024-R589)^2)</f>
        <v/>
      </c>
      <c r="BR589" s="125" t="inlineStr">
        <is>
          <t>HY900X295</t>
        </is>
      </c>
      <c r="BW589">
        <f>SQRT(($J$1025-J589)^2)</f>
        <v/>
      </c>
      <c r="BX589">
        <f>SQRT(($R$1025-R589)^2)</f>
        <v/>
      </c>
      <c r="BY589" s="125" t="inlineStr">
        <is>
          <t>HY900X295</t>
        </is>
      </c>
      <c r="CD589">
        <f>SQRT(($J$1026-J589)^2)</f>
        <v/>
      </c>
      <c r="CE589">
        <f>SQRT(($R$1026-R589)^2)</f>
        <v/>
      </c>
      <c r="CF589" s="125" t="inlineStr">
        <is>
          <t>HY900X295</t>
        </is>
      </c>
    </row>
    <row r="590">
      <c r="A590" s="125" t="inlineStr">
        <is>
          <t>HY900X278</t>
        </is>
      </c>
      <c r="B590" s="129" t="inlineStr">
        <is>
          <t>HY</t>
        </is>
      </c>
      <c r="C590" s="125" t="n">
        <v>278</v>
      </c>
      <c r="D590" s="125" t="n">
        <v>900</v>
      </c>
      <c r="E590" s="125" t="n">
        <v>300</v>
      </c>
      <c r="F590" s="125" t="n">
        <v>32</v>
      </c>
      <c r="G590" s="125" t="n">
        <v>19</v>
      </c>
      <c r="H590" s="125" t="n">
        <v>18</v>
      </c>
      <c r="I590" s="125">
        <f>D590-(2*(H590+F590))</f>
        <v/>
      </c>
      <c r="J590" s="125">
        <f>(2*E590/10*F590/10)+((D590-F590-F590)/10*G590/10)+((H590/10+H590/10)^2)-(PI()*H590/10*H590/10)</f>
        <v/>
      </c>
      <c r="K590" s="125">
        <f>((E590-G590)/2)/F590</f>
        <v/>
      </c>
      <c r="L590" s="125">
        <f>I590/G590</f>
        <v/>
      </c>
      <c r="M590" s="125">
        <f>(E590*2+F590*4+((E590-G590)/2-H590)*4+2*PI()*H590+(D590-2*F590-2*H590)*2)/1000</f>
        <v/>
      </c>
      <c r="N590" s="5" t="n">
        <v>459000</v>
      </c>
      <c r="O590" s="5" t="n">
        <v>14500</v>
      </c>
      <c r="P590" s="125" t="n">
        <v>36</v>
      </c>
      <c r="Q590" s="125" t="n">
        <v>6.4</v>
      </c>
      <c r="R590" s="5" t="n">
        <v>10200</v>
      </c>
      <c r="S590" s="125" t="n">
        <v>964</v>
      </c>
      <c r="T590" s="5" t="n">
        <v>11800</v>
      </c>
      <c r="U590" s="5" t="n">
        <v>1520</v>
      </c>
      <c r="X590" s="129">
        <f t="array" ref="X590">_xlfn.IFS((D590/F590) &lt;= (640/SQRT($AT$32)), "Compact", L590 &lt;= ($AT$32*(0.79-(0.002*((E590-G590/2)/(2*F590))*SQRT($AT$32)))), "Non-Compact", L590 &gt; ($AT$32*(0.79-(0.002*((E590-G590/2)/(2*F590))*SQRT($AT$32)))), "Slender")</f>
        <v/>
      </c>
      <c r="Y590" s="129">
        <f t="array" ref="Y590">_xlfn.IFS(K590 &lt;= (65/SQRT($AT$32)), "Compact", K590 &lt;= (95/SQRT($AT$32)), "Non-Compact", K590 &gt; (95/SQRT($AT$32)), "Slender")</f>
        <v/>
      </c>
      <c r="Z590" s="125">
        <f>E590/F590</f>
        <v/>
      </c>
      <c r="AA590" s="125">
        <f>D590/G590</f>
        <v/>
      </c>
      <c r="AB590" s="125">
        <f t="array" ref="AB590">_xlfn.IFS(Z590 &lt;= 9, "1", Z590 &lt;= 12, "2", Z590 &lt;= 15, "3", Z590 &gt; 15, "4")</f>
        <v/>
      </c>
      <c r="AC590" s="125">
        <f t="array" ref="AC590">_xlfn.IFS(AA590 &lt;= 200, "1", L590 &lt;= 300, "2", L590 &lt;= 400, "3", L590 &gt; 400, "4")</f>
        <v/>
      </c>
      <c r="AF590" s="129">
        <f>SQRT((((VLOOKUP($AT$4,$A$4:$D$1021,4,FALSE))-D590)^2)+(((VLOOKUP($AT$4,$A$4:$E$1021,5,FALSE))-E590)^2)+(((VLOOKUP($AT$4,$A$4:$N$1021,14,FALSE))-N590)^2)+(((VLOOKUP($AT$4,$A$4:$O$1021,15,FALSE))-O590)^2))</f>
        <v/>
      </c>
      <c r="AG590" s="129" t="n"/>
      <c r="AI590" s="129">
        <f>SQRT((((VLOOKUP($AT$4,$A$4:$D$1021,4,FALSE))-D590)^2)+(((VLOOKUP($AT$4,$A$4:$E$1021,5,FALSE))-E590)^2)+(((VLOOKUP($AT$4,$A$4:$R$1021,18,FALSE))-R590)^2)+(((VLOOKUP($AT$4,$A$4:$S$1021,19,FALSE))-S590)^2))</f>
        <v/>
      </c>
      <c r="AJ590" s="125" t="inlineStr">
        <is>
          <t>HY900X278</t>
        </is>
      </c>
      <c r="AK590" s="125" t="n"/>
      <c r="AL590" s="125" t="n"/>
      <c r="AM590" s="125">
        <f>SQRT(((VLOOKUP($AT$4,$A$4:$J$1021,10,FALSE))-J590)^2)</f>
        <v/>
      </c>
      <c r="AN590" s="125" t="n"/>
      <c r="AO590" s="125" t="n"/>
      <c r="AP590" s="125">
        <f>SQRT(((VLOOKUP($AT$4,$A$4:$R$1021,18,FALSE))-R590)^2)</f>
        <v/>
      </c>
      <c r="AQ590" s="125" t="inlineStr">
        <is>
          <t>HY900X278</t>
        </is>
      </c>
      <c r="BB590" s="125">
        <f>SQRT(($J$1022-J590)^2)</f>
        <v/>
      </c>
      <c r="BC590" s="125">
        <f>SQRT(($R$1022-R590)^2)</f>
        <v/>
      </c>
      <c r="BD590" s="125" t="inlineStr">
        <is>
          <t>HY900X278</t>
        </is>
      </c>
      <c r="BI590">
        <f>SQRT(($J$1023-J590)^2)</f>
        <v/>
      </c>
      <c r="BJ590">
        <f>SQRT(($R$1023-R590)^2)</f>
        <v/>
      </c>
      <c r="BK590" s="125" t="inlineStr">
        <is>
          <t>HY900X278</t>
        </is>
      </c>
      <c r="BP590">
        <f>SQRT(($J$1024-J590)^2)</f>
        <v/>
      </c>
      <c r="BQ590">
        <f>SQRT(($R$1024-R590)^2)</f>
        <v/>
      </c>
      <c r="BR590" s="125" t="inlineStr">
        <is>
          <t>HY900X278</t>
        </is>
      </c>
      <c r="BW590">
        <f>SQRT(($J$1025-J590)^2)</f>
        <v/>
      </c>
      <c r="BX590">
        <f>SQRT(($R$1025-R590)^2)</f>
        <v/>
      </c>
      <c r="BY590" s="125" t="inlineStr">
        <is>
          <t>HY900X278</t>
        </is>
      </c>
      <c r="CD590">
        <f>SQRT(($J$1026-J590)^2)</f>
        <v/>
      </c>
      <c r="CE590">
        <f>SQRT(($R$1026-R590)^2)</f>
        <v/>
      </c>
      <c r="CF590" s="125" t="inlineStr">
        <is>
          <t>HY900X278</t>
        </is>
      </c>
    </row>
    <row r="591">
      <c r="A591" s="125" t="inlineStr">
        <is>
          <t>HY900X260</t>
        </is>
      </c>
      <c r="B591" s="129" t="inlineStr">
        <is>
          <t>HY</t>
        </is>
      </c>
      <c r="C591" s="125" t="n">
        <v>260</v>
      </c>
      <c r="D591" s="125" t="n">
        <v>900</v>
      </c>
      <c r="E591" s="125" t="n">
        <v>300</v>
      </c>
      <c r="F591" s="125" t="n">
        <v>28</v>
      </c>
      <c r="G591" s="125" t="n">
        <v>19</v>
      </c>
      <c r="H591" s="125" t="n">
        <v>18</v>
      </c>
      <c r="I591" s="125">
        <f>D591-(2*(H591+F591))</f>
        <v/>
      </c>
      <c r="J591" s="125">
        <f>(2*E591/10*F591/10)+((D591-F591-F591)/10*G591/10)+((H591/10+H591/10)^2)-(PI()*H591/10*H591/10)</f>
        <v/>
      </c>
      <c r="K591" s="125">
        <f>((E591-G591)/2)/F591</f>
        <v/>
      </c>
      <c r="L591" s="125">
        <f>I591/G591</f>
        <v/>
      </c>
      <c r="M591" s="125">
        <f>(E591*2+F591*4+((E591-G591)/2-H591)*4+2*PI()*H591+(D591-2*F591-2*H591)*2)/1000</f>
        <v/>
      </c>
      <c r="N591" s="5" t="n">
        <v>420000</v>
      </c>
      <c r="O591" s="5" t="n">
        <v>12700</v>
      </c>
      <c r="P591" s="125" t="n">
        <v>35.6</v>
      </c>
      <c r="Q591" s="125" t="n">
        <v>6.2</v>
      </c>
      <c r="R591" s="5" t="n">
        <v>9320</v>
      </c>
      <c r="S591" s="125" t="n">
        <v>844</v>
      </c>
      <c r="T591" s="5" t="n">
        <v>10800</v>
      </c>
      <c r="U591" s="5" t="n">
        <v>1340</v>
      </c>
      <c r="X591" s="129">
        <f t="array" ref="X591">_xlfn.IFS((D591/F591) &lt;= (640/SQRT($AT$32)), "Compact", L591 &lt;= ($AT$32*(0.79-(0.002*((E591-G591/2)/(2*F591))*SQRT($AT$32)))), "Non-Compact", L591 &gt; ($AT$32*(0.79-(0.002*((E591-G591/2)/(2*F591))*SQRT($AT$32)))), "Slender")</f>
        <v/>
      </c>
      <c r="Y591" s="129">
        <f t="array" ref="Y591">_xlfn.IFS(K591 &lt;= (65/SQRT($AT$32)), "Compact", K591 &lt;= (95/SQRT($AT$32)), "Non-Compact", K591 &gt; (95/SQRT($AT$32)), "Slender")</f>
        <v/>
      </c>
      <c r="Z591" s="125">
        <f>E591/F591</f>
        <v/>
      </c>
      <c r="AA591" s="125">
        <f>D591/G591</f>
        <v/>
      </c>
      <c r="AB591" s="125">
        <f t="array" ref="AB591">_xlfn.IFS(Z591 &lt;= 9, "1", Z591 &lt;= 12, "2", Z591 &lt;= 15, "3", Z591 &gt; 15, "4")</f>
        <v/>
      </c>
      <c r="AC591" s="125">
        <f t="array" ref="AC591">_xlfn.IFS(AA591 &lt;= 200, "1", L591 &lt;= 300, "2", L591 &lt;= 400, "3", L591 &gt; 400, "4")</f>
        <v/>
      </c>
      <c r="AF591" s="129">
        <f>SQRT((((VLOOKUP($AT$4,$A$4:$D$1021,4,FALSE))-D591)^2)+(((VLOOKUP($AT$4,$A$4:$E$1021,5,FALSE))-E591)^2)+(((VLOOKUP($AT$4,$A$4:$N$1021,14,FALSE))-N591)^2)+(((VLOOKUP($AT$4,$A$4:$O$1021,15,FALSE))-O591)^2))</f>
        <v/>
      </c>
      <c r="AG591" s="129" t="n"/>
      <c r="AI591" s="129">
        <f>SQRT((((VLOOKUP($AT$4,$A$4:$D$1021,4,FALSE))-D591)^2)+(((VLOOKUP($AT$4,$A$4:$E$1021,5,FALSE))-E591)^2)+(((VLOOKUP($AT$4,$A$4:$R$1021,18,FALSE))-R591)^2)+(((VLOOKUP($AT$4,$A$4:$S$1021,19,FALSE))-S591)^2))</f>
        <v/>
      </c>
      <c r="AJ591" s="125" t="inlineStr">
        <is>
          <t>HY900X260</t>
        </is>
      </c>
      <c r="AK591" s="125" t="n"/>
      <c r="AL591" s="125" t="n"/>
      <c r="AM591" s="125">
        <f>SQRT(((VLOOKUP($AT$4,$A$4:$J$1021,10,FALSE))-J591)^2)</f>
        <v/>
      </c>
      <c r="AN591" s="125" t="n"/>
      <c r="AO591" s="125" t="n"/>
      <c r="AP591" s="125">
        <f>SQRT(((VLOOKUP($AT$4,$A$4:$R$1021,18,FALSE))-R591)^2)</f>
        <v/>
      </c>
      <c r="AQ591" s="125" t="inlineStr">
        <is>
          <t>HY900X260</t>
        </is>
      </c>
      <c r="BB591" s="125">
        <f>SQRT(($J$1022-J591)^2)</f>
        <v/>
      </c>
      <c r="BC591" s="125">
        <f>SQRT(($R$1022-R591)^2)</f>
        <v/>
      </c>
      <c r="BD591" s="125" t="inlineStr">
        <is>
          <t>HY900X260</t>
        </is>
      </c>
      <c r="BI591">
        <f>SQRT(($J$1023-J591)^2)</f>
        <v/>
      </c>
      <c r="BJ591">
        <f>SQRT(($R$1023-R591)^2)</f>
        <v/>
      </c>
      <c r="BK591" s="125" t="inlineStr">
        <is>
          <t>HY900X260</t>
        </is>
      </c>
      <c r="BP591">
        <f>SQRT(($J$1024-J591)^2)</f>
        <v/>
      </c>
      <c r="BQ591">
        <f>SQRT(($R$1024-R591)^2)</f>
        <v/>
      </c>
      <c r="BR591" s="125" t="inlineStr">
        <is>
          <t>HY900X260</t>
        </is>
      </c>
      <c r="BW591">
        <f>SQRT(($J$1025-J591)^2)</f>
        <v/>
      </c>
      <c r="BX591">
        <f>SQRT(($R$1025-R591)^2)</f>
        <v/>
      </c>
      <c r="BY591" s="125" t="inlineStr">
        <is>
          <t>HY900X260</t>
        </is>
      </c>
      <c r="CD591">
        <f>SQRT(($J$1026-J591)^2)</f>
        <v/>
      </c>
      <c r="CE591">
        <f>SQRT(($R$1026-R591)^2)</f>
        <v/>
      </c>
      <c r="CF591" s="125" t="inlineStr">
        <is>
          <t>HY900X260</t>
        </is>
      </c>
    </row>
    <row r="592">
      <c r="A592" s="125" t="inlineStr">
        <is>
          <t>HY900X247</t>
        </is>
      </c>
      <c r="B592" s="129" t="inlineStr">
        <is>
          <t>HY</t>
        </is>
      </c>
      <c r="C592" s="125" t="n">
        <v>247</v>
      </c>
      <c r="D592" s="125" t="n">
        <v>900</v>
      </c>
      <c r="E592" s="125" t="n">
        <v>300</v>
      </c>
      <c r="F592" s="125" t="n">
        <v>25</v>
      </c>
      <c r="G592" s="125" t="n">
        <v>19</v>
      </c>
      <c r="H592" s="125" t="n">
        <v>18</v>
      </c>
      <c r="I592" s="125">
        <f>D592-(2*(H592+F592))</f>
        <v/>
      </c>
      <c r="J592" s="125">
        <f>(2*E592/10*F592/10)+((D592-F592-F592)/10*G592/10)+((H592/10+H592/10)^2)-(PI()*H592/10*H592/10)</f>
        <v/>
      </c>
      <c r="K592" s="125">
        <f>((E592-G592)/2)/F592</f>
        <v/>
      </c>
      <c r="L592" s="125">
        <f>I592/G592</f>
        <v/>
      </c>
      <c r="M592" s="125">
        <f>(E592*2+F592*4+((E592-G592)/2-H592)*4+2*PI()*H592+(D592-2*F592-2*H592)*2)/1000</f>
        <v/>
      </c>
      <c r="N592" s="5" t="n">
        <v>389000</v>
      </c>
      <c r="O592" s="5" t="n">
        <v>11300</v>
      </c>
      <c r="P592" s="125" t="n">
        <v>35.2</v>
      </c>
      <c r="Q592" s="125" t="n">
        <v>6</v>
      </c>
      <c r="R592" s="5" t="n">
        <v>8650</v>
      </c>
      <c r="S592" s="125" t="n">
        <v>754</v>
      </c>
      <c r="T592" s="5" t="n">
        <v>10100</v>
      </c>
      <c r="U592" s="5" t="n">
        <v>1210</v>
      </c>
      <c r="X592" s="129">
        <f t="array" ref="X592">_xlfn.IFS((D592/F592) &lt;= (640/SQRT($AT$32)), "Compact", L592 &lt;= ($AT$32*(0.79-(0.002*((E592-G592/2)/(2*F592))*SQRT($AT$32)))), "Non-Compact", L592 &gt; ($AT$32*(0.79-(0.002*((E592-G592/2)/(2*F592))*SQRT($AT$32)))), "Slender")</f>
        <v/>
      </c>
      <c r="Y592" s="129">
        <f t="array" ref="Y592">_xlfn.IFS(K592 &lt;= (65/SQRT($AT$32)), "Compact", K592 &lt;= (95/SQRT($AT$32)), "Non-Compact", K592 &gt; (95/SQRT($AT$32)), "Slender")</f>
        <v/>
      </c>
      <c r="Z592" s="125">
        <f>E592/F592</f>
        <v/>
      </c>
      <c r="AA592" s="125">
        <f>D592/G592</f>
        <v/>
      </c>
      <c r="AB592" s="125">
        <f t="array" ref="AB592">_xlfn.IFS(Z592 &lt;= 9, "1", Z592 &lt;= 12, "2", Z592 &lt;= 15, "3", Z592 &gt; 15, "4")</f>
        <v/>
      </c>
      <c r="AC592" s="125">
        <f t="array" ref="AC592">_xlfn.IFS(AA592 &lt;= 200, "1", L592 &lt;= 300, "2", L592 &lt;= 400, "3", L592 &gt; 400, "4")</f>
        <v/>
      </c>
      <c r="AF592" s="129">
        <f>SQRT((((VLOOKUP($AT$4,$A$4:$D$1021,4,FALSE))-D592)^2)+(((VLOOKUP($AT$4,$A$4:$E$1021,5,FALSE))-E592)^2)+(((VLOOKUP($AT$4,$A$4:$N$1021,14,FALSE))-N592)^2)+(((VLOOKUP($AT$4,$A$4:$O$1021,15,FALSE))-O592)^2))</f>
        <v/>
      </c>
      <c r="AG592" s="129" t="n"/>
      <c r="AI592" s="129">
        <f>SQRT((((VLOOKUP($AT$4,$A$4:$D$1021,4,FALSE))-D592)^2)+(((VLOOKUP($AT$4,$A$4:$E$1021,5,FALSE))-E592)^2)+(((VLOOKUP($AT$4,$A$4:$R$1021,18,FALSE))-R592)^2)+(((VLOOKUP($AT$4,$A$4:$S$1021,19,FALSE))-S592)^2))</f>
        <v/>
      </c>
      <c r="AJ592" s="125" t="inlineStr">
        <is>
          <t>HY900X247</t>
        </is>
      </c>
      <c r="AK592" s="125" t="n"/>
      <c r="AL592" s="125" t="n"/>
      <c r="AM592" s="125">
        <f>SQRT(((VLOOKUP($AT$4,$A$4:$J$1021,10,FALSE))-J592)^2)</f>
        <v/>
      </c>
      <c r="AN592" s="125" t="n"/>
      <c r="AO592" s="125" t="n"/>
      <c r="AP592" s="125">
        <f>SQRT(((VLOOKUP($AT$4,$A$4:$R$1021,18,FALSE))-R592)^2)</f>
        <v/>
      </c>
      <c r="AQ592" s="125" t="inlineStr">
        <is>
          <t>HY900X247</t>
        </is>
      </c>
      <c r="BB592" s="125">
        <f>SQRT(($J$1022-J592)^2)</f>
        <v/>
      </c>
      <c r="BC592" s="125">
        <f>SQRT(($R$1022-R592)^2)</f>
        <v/>
      </c>
      <c r="BD592" s="125" t="inlineStr">
        <is>
          <t>HY900X247</t>
        </is>
      </c>
      <c r="BI592">
        <f>SQRT(($J$1023-J592)^2)</f>
        <v/>
      </c>
      <c r="BJ592">
        <f>SQRT(($R$1023-R592)^2)</f>
        <v/>
      </c>
      <c r="BK592" s="125" t="inlineStr">
        <is>
          <t>HY900X247</t>
        </is>
      </c>
      <c r="BP592">
        <f>SQRT(($J$1024-J592)^2)</f>
        <v/>
      </c>
      <c r="BQ592">
        <f>SQRT(($R$1024-R592)^2)</f>
        <v/>
      </c>
      <c r="BR592" s="125" t="inlineStr">
        <is>
          <t>HY900X247</t>
        </is>
      </c>
      <c r="BW592">
        <f>SQRT(($J$1025-J592)^2)</f>
        <v/>
      </c>
      <c r="BX592">
        <f>SQRT(($R$1025-R592)^2)</f>
        <v/>
      </c>
      <c r="BY592" s="125" t="inlineStr">
        <is>
          <t>HY900X247</t>
        </is>
      </c>
      <c r="CD592">
        <f>SQRT(($J$1026-J592)^2)</f>
        <v/>
      </c>
      <c r="CE592">
        <f>SQRT(($R$1026-R592)^2)</f>
        <v/>
      </c>
      <c r="CF592" s="125" t="inlineStr">
        <is>
          <t>HY900X247</t>
        </is>
      </c>
    </row>
    <row r="593">
      <c r="A593" s="125" t="inlineStr">
        <is>
          <t>HY900X233</t>
        </is>
      </c>
      <c r="B593" s="129" t="inlineStr">
        <is>
          <t>HY</t>
        </is>
      </c>
      <c r="C593" s="125" t="n">
        <v>233</v>
      </c>
      <c r="D593" s="125" t="n">
        <v>900</v>
      </c>
      <c r="E593" s="125" t="n">
        <v>300</v>
      </c>
      <c r="F593" s="125" t="n">
        <v>22</v>
      </c>
      <c r="G593" s="125" t="n">
        <v>19</v>
      </c>
      <c r="H593" s="125" t="n">
        <v>18</v>
      </c>
      <c r="I593" s="125">
        <f>D593-(2*(H593+F593))</f>
        <v/>
      </c>
      <c r="J593" s="125">
        <f>(2*E593/10*F593/10)+((D593-F593-F593)/10*G593/10)+((H593/10+H593/10)^2)-(PI()*H593/10*H593/10)</f>
        <v/>
      </c>
      <c r="K593" s="125">
        <f>((E593-G593)/2)/F593</f>
        <v/>
      </c>
      <c r="L593" s="125">
        <f>I593/G593</f>
        <v/>
      </c>
      <c r="M593" s="125">
        <f>(E593*2+F593*4+((E593-G593)/2-H593)*4+2*PI()*H593+(D593-2*F593-2*H593)*2)/1000</f>
        <v/>
      </c>
      <c r="N593" s="5" t="n">
        <v>359000</v>
      </c>
      <c r="O593" s="5" t="n">
        <v>9950</v>
      </c>
      <c r="P593" s="125" t="n">
        <v>34.7</v>
      </c>
      <c r="Q593" s="125" t="n">
        <v>5.8</v>
      </c>
      <c r="R593" s="5" t="n">
        <v>7970</v>
      </c>
      <c r="S593" s="125" t="n">
        <v>664</v>
      </c>
      <c r="T593" s="5" t="n">
        <v>9390</v>
      </c>
      <c r="U593" s="5" t="n">
        <v>1070</v>
      </c>
      <c r="X593" s="129">
        <f t="array" ref="X593">_xlfn.IFS((D593/F593) &lt;= (640/SQRT($AT$32)), "Compact", L593 &lt;= ($AT$32*(0.79-(0.002*((E593-G593/2)/(2*F593))*SQRT($AT$32)))), "Non-Compact", L593 &gt; ($AT$32*(0.79-(0.002*((E593-G593/2)/(2*F593))*SQRT($AT$32)))), "Slender")</f>
        <v/>
      </c>
      <c r="Y593" s="129">
        <f t="array" ref="Y593">_xlfn.IFS(K593 &lt;= (65/SQRT($AT$32)), "Compact", K593 &lt;= (95/SQRT($AT$32)), "Non-Compact", K593 &gt; (95/SQRT($AT$32)), "Slender")</f>
        <v/>
      </c>
      <c r="Z593" s="125">
        <f>E593/F593</f>
        <v/>
      </c>
      <c r="AA593" s="125">
        <f>D593/G593</f>
        <v/>
      </c>
      <c r="AB593" s="125">
        <f t="array" ref="AB593">_xlfn.IFS(Z593 &lt;= 9, "1", Z593 &lt;= 12, "2", Z593 &lt;= 15, "3", Z593 &gt; 15, "4")</f>
        <v/>
      </c>
      <c r="AC593" s="125">
        <f t="array" ref="AC593">_xlfn.IFS(AA593 &lt;= 200, "1", L593 &lt;= 300, "2", L593 &lt;= 400, "3", L593 &gt; 400, "4")</f>
        <v/>
      </c>
      <c r="AF593" s="129">
        <f>SQRT((((VLOOKUP($AT$4,$A$4:$D$1021,4,FALSE))-D593)^2)+(((VLOOKUP($AT$4,$A$4:$E$1021,5,FALSE))-E593)^2)+(((VLOOKUP($AT$4,$A$4:$N$1021,14,FALSE))-N593)^2)+(((VLOOKUP($AT$4,$A$4:$O$1021,15,FALSE))-O593)^2))</f>
        <v/>
      </c>
      <c r="AG593" s="129" t="n"/>
      <c r="AI593" s="129">
        <f>SQRT((((VLOOKUP($AT$4,$A$4:$D$1021,4,FALSE))-D593)^2)+(((VLOOKUP($AT$4,$A$4:$E$1021,5,FALSE))-E593)^2)+(((VLOOKUP($AT$4,$A$4:$R$1021,18,FALSE))-R593)^2)+(((VLOOKUP($AT$4,$A$4:$S$1021,19,FALSE))-S593)^2))</f>
        <v/>
      </c>
      <c r="AJ593" s="125" t="inlineStr">
        <is>
          <t>HY900X233</t>
        </is>
      </c>
      <c r="AK593" s="125" t="n"/>
      <c r="AL593" s="125" t="n"/>
      <c r="AM593" s="125">
        <f>SQRT(((VLOOKUP($AT$4,$A$4:$J$1021,10,FALSE))-J593)^2)</f>
        <v/>
      </c>
      <c r="AN593" s="125" t="n"/>
      <c r="AO593" s="125" t="n"/>
      <c r="AP593" s="125">
        <f>SQRT(((VLOOKUP($AT$4,$A$4:$R$1021,18,FALSE))-R593)^2)</f>
        <v/>
      </c>
      <c r="AQ593" s="125" t="inlineStr">
        <is>
          <t>HY900X233</t>
        </is>
      </c>
      <c r="BB593" s="125">
        <f>SQRT(($J$1022-J593)^2)</f>
        <v/>
      </c>
      <c r="BC593" s="125">
        <f>SQRT(($R$1022-R593)^2)</f>
        <v/>
      </c>
      <c r="BD593" s="125" t="inlineStr">
        <is>
          <t>HY900X233</t>
        </is>
      </c>
      <c r="BI593">
        <f>SQRT(($J$1023-J593)^2)</f>
        <v/>
      </c>
      <c r="BJ593">
        <f>SQRT(($R$1023-R593)^2)</f>
        <v/>
      </c>
      <c r="BK593" s="125" t="inlineStr">
        <is>
          <t>HY900X233</t>
        </is>
      </c>
      <c r="BP593">
        <f>SQRT(($J$1024-J593)^2)</f>
        <v/>
      </c>
      <c r="BQ593">
        <f>SQRT(($R$1024-R593)^2)</f>
        <v/>
      </c>
      <c r="BR593" s="125" t="inlineStr">
        <is>
          <t>HY900X233</t>
        </is>
      </c>
      <c r="BW593">
        <f>SQRT(($J$1025-J593)^2)</f>
        <v/>
      </c>
      <c r="BX593">
        <f>SQRT(($R$1025-R593)^2)</f>
        <v/>
      </c>
      <c r="BY593" s="125" t="inlineStr">
        <is>
          <t>HY900X233</t>
        </is>
      </c>
      <c r="CD593">
        <f>SQRT(($J$1026-J593)^2)</f>
        <v/>
      </c>
      <c r="CE593">
        <f>SQRT(($R$1026-R593)^2)</f>
        <v/>
      </c>
      <c r="CF593" s="125" t="inlineStr">
        <is>
          <t>HY900X233</t>
        </is>
      </c>
    </row>
    <row r="594">
      <c r="A594" s="125" t="inlineStr">
        <is>
          <t>HY900X276</t>
        </is>
      </c>
      <c r="B594" s="129" t="inlineStr">
        <is>
          <t>HY</t>
        </is>
      </c>
      <c r="C594" s="125" t="n">
        <v>276</v>
      </c>
      <c r="D594" s="125" t="n">
        <v>900</v>
      </c>
      <c r="E594" s="125" t="n">
        <v>300</v>
      </c>
      <c r="F594" s="125" t="n">
        <v>36</v>
      </c>
      <c r="G594" s="125" t="n">
        <v>16</v>
      </c>
      <c r="H594" s="125" t="n">
        <v>18</v>
      </c>
      <c r="I594" s="125">
        <f>D594-(2*(H594+F594))</f>
        <v/>
      </c>
      <c r="J594" s="125">
        <f>(2*E594/10*F594/10)+((D594-F594-F594)/10*G594/10)+((H594/10+H594/10)^2)-(PI()*H594/10*H594/10)</f>
        <v/>
      </c>
      <c r="K594" s="125">
        <f>((E594-G594)/2)/F594</f>
        <v/>
      </c>
      <c r="L594" s="125">
        <f>I594/G594</f>
        <v/>
      </c>
      <c r="M594" s="125">
        <f>(E594*2+F594*4+((E594-G594)/2-H594)*4+2*PI()*H594+(D594-2*F594-2*H594)*2)/1000</f>
        <v/>
      </c>
      <c r="N594" s="5" t="n">
        <v>484000</v>
      </c>
      <c r="O594" s="5" t="n">
        <v>16200</v>
      </c>
      <c r="P594" s="125" t="n">
        <v>37.1</v>
      </c>
      <c r="Q594" s="125" t="n">
        <v>6.8</v>
      </c>
      <c r="R594" s="5" t="n">
        <v>10700</v>
      </c>
      <c r="S594" s="5" t="n">
        <v>1080</v>
      </c>
      <c r="T594" s="5" t="n">
        <v>12200</v>
      </c>
      <c r="U594" s="5" t="n">
        <v>1680</v>
      </c>
      <c r="X594" s="129">
        <f t="array" ref="X594">_xlfn.IFS((D594/F594) &lt;= (640/SQRT($AT$32)), "Compact", L594 &lt;= ($AT$32*(0.79-(0.002*((E594-G594/2)/(2*F594))*SQRT($AT$32)))), "Non-Compact", L594 &gt; ($AT$32*(0.79-(0.002*((E594-G594/2)/(2*F594))*SQRT($AT$32)))), "Slender")</f>
        <v/>
      </c>
      <c r="Y594" s="129">
        <f t="array" ref="Y594">_xlfn.IFS(K594 &lt;= (65/SQRT($AT$32)), "Compact", K594 &lt;= (95/SQRT($AT$32)), "Non-Compact", K594 &gt; (95/SQRT($AT$32)), "Slender")</f>
        <v/>
      </c>
      <c r="Z594" s="125">
        <f>E594/F594</f>
        <v/>
      </c>
      <c r="AA594" s="125">
        <f>D594/G594</f>
        <v/>
      </c>
      <c r="AB594" s="125">
        <f t="array" ref="AB594">_xlfn.IFS(Z594 &lt;= 9, "1", Z594 &lt;= 12, "2", Z594 &lt;= 15, "3", Z594 &gt; 15, "4")</f>
        <v/>
      </c>
      <c r="AC594" s="125">
        <f t="array" ref="AC594">_xlfn.IFS(AA594 &lt;= 200, "1", L594 &lt;= 300, "2", L594 &lt;= 400, "3", L594 &gt; 400, "4")</f>
        <v/>
      </c>
      <c r="AF594" s="129">
        <f>SQRT((((VLOOKUP($AT$4,$A$4:$D$1021,4,FALSE))-D594)^2)+(((VLOOKUP($AT$4,$A$4:$E$1021,5,FALSE))-E594)^2)+(((VLOOKUP($AT$4,$A$4:$N$1021,14,FALSE))-N594)^2)+(((VLOOKUP($AT$4,$A$4:$O$1021,15,FALSE))-O594)^2))</f>
        <v/>
      </c>
      <c r="AG594" s="129" t="n"/>
      <c r="AI594" s="129">
        <f>SQRT((((VLOOKUP($AT$4,$A$4:$D$1021,4,FALSE))-D594)^2)+(((VLOOKUP($AT$4,$A$4:$E$1021,5,FALSE))-E594)^2)+(((VLOOKUP($AT$4,$A$4:$R$1021,18,FALSE))-R594)^2)+(((VLOOKUP($AT$4,$A$4:$S$1021,19,FALSE))-S594)^2))</f>
        <v/>
      </c>
      <c r="AJ594" s="125" t="inlineStr">
        <is>
          <t>HY900X276</t>
        </is>
      </c>
      <c r="AK594" s="125" t="n"/>
      <c r="AL594" s="125" t="n"/>
      <c r="AM594" s="125">
        <f>SQRT(((VLOOKUP($AT$4,$A$4:$J$1021,10,FALSE))-J594)^2)</f>
        <v/>
      </c>
      <c r="AN594" s="125" t="n"/>
      <c r="AO594" s="125" t="n"/>
      <c r="AP594" s="125">
        <f>SQRT(((VLOOKUP($AT$4,$A$4:$R$1021,18,FALSE))-R594)^2)</f>
        <v/>
      </c>
      <c r="AQ594" s="125" t="inlineStr">
        <is>
          <t>HY900X276</t>
        </is>
      </c>
      <c r="BB594" s="125">
        <f>SQRT(($J$1022-J594)^2)</f>
        <v/>
      </c>
      <c r="BC594" s="125">
        <f>SQRT(($R$1022-R594)^2)</f>
        <v/>
      </c>
      <c r="BD594" s="125" t="inlineStr">
        <is>
          <t>HY900X276</t>
        </is>
      </c>
      <c r="BI594">
        <f>SQRT(($J$1023-J594)^2)</f>
        <v/>
      </c>
      <c r="BJ594">
        <f>SQRT(($R$1023-R594)^2)</f>
        <v/>
      </c>
      <c r="BK594" s="125" t="inlineStr">
        <is>
          <t>HY900X276</t>
        </is>
      </c>
      <c r="BP594">
        <f>SQRT(($J$1024-J594)^2)</f>
        <v/>
      </c>
      <c r="BQ594">
        <f>SQRT(($R$1024-R594)^2)</f>
        <v/>
      </c>
      <c r="BR594" s="125" t="inlineStr">
        <is>
          <t>HY900X276</t>
        </is>
      </c>
      <c r="BW594">
        <f>SQRT(($J$1025-J594)^2)</f>
        <v/>
      </c>
      <c r="BX594">
        <f>SQRT(($R$1025-R594)^2)</f>
        <v/>
      </c>
      <c r="BY594" s="125" t="inlineStr">
        <is>
          <t>HY900X276</t>
        </is>
      </c>
      <c r="CD594">
        <f>SQRT(($J$1026-J594)^2)</f>
        <v/>
      </c>
      <c r="CE594">
        <f>SQRT(($R$1026-R594)^2)</f>
        <v/>
      </c>
      <c r="CF594" s="125" t="inlineStr">
        <is>
          <t>HY900X276</t>
        </is>
      </c>
    </row>
    <row r="595">
      <c r="A595" s="125" t="inlineStr">
        <is>
          <t>HY900X258</t>
        </is>
      </c>
      <c r="B595" s="129" t="inlineStr">
        <is>
          <t>HY</t>
        </is>
      </c>
      <c r="C595" s="125" t="n">
        <v>258</v>
      </c>
      <c r="D595" s="125" t="n">
        <v>900</v>
      </c>
      <c r="E595" s="125" t="n">
        <v>300</v>
      </c>
      <c r="F595" s="125" t="n">
        <v>32</v>
      </c>
      <c r="G595" s="125" t="n">
        <v>16</v>
      </c>
      <c r="H595" s="125" t="n">
        <v>18</v>
      </c>
      <c r="I595" s="125">
        <f>D595-(2*(H595+F595))</f>
        <v/>
      </c>
      <c r="J595" s="125">
        <f>(2*E595/10*F595/10)+((D595-F595-F595)/10*G595/10)+((H595/10+H595/10)^2)-(PI()*H595/10*H595/10)</f>
        <v/>
      </c>
      <c r="K595" s="125">
        <f>((E595-G595)/2)/F595</f>
        <v/>
      </c>
      <c r="L595" s="125">
        <f>I595/G595</f>
        <v/>
      </c>
      <c r="M595" s="125">
        <f>(E595*2+F595*4+((E595-G595)/2-H595)*4+2*PI()*H595+(D595-2*F595-2*H595)*2)/1000</f>
        <v/>
      </c>
      <c r="N595" s="5" t="n">
        <v>444000</v>
      </c>
      <c r="O595" s="5" t="n">
        <v>14400</v>
      </c>
      <c r="P595" s="125" t="n">
        <v>36.8</v>
      </c>
      <c r="Q595" s="125" t="n">
        <v>6.6</v>
      </c>
      <c r="R595" s="5" t="n">
        <v>9880</v>
      </c>
      <c r="S595" s="125" t="n">
        <v>962</v>
      </c>
      <c r="T595" s="5" t="n">
        <v>11200</v>
      </c>
      <c r="U595" s="5" t="n">
        <v>1500</v>
      </c>
      <c r="X595" s="129">
        <f t="array" ref="X595">_xlfn.IFS((D595/F595) &lt;= (640/SQRT($AT$32)), "Compact", L595 &lt;= ($AT$32*(0.79-(0.002*((E595-G595/2)/(2*F595))*SQRT($AT$32)))), "Non-Compact", L595 &gt; ($AT$32*(0.79-(0.002*((E595-G595/2)/(2*F595))*SQRT($AT$32)))), "Slender")</f>
        <v/>
      </c>
      <c r="Y595" s="129">
        <f t="array" ref="Y595">_xlfn.IFS(K595 &lt;= (65/SQRT($AT$32)), "Compact", K595 &lt;= (95/SQRT($AT$32)), "Non-Compact", K595 &gt; (95/SQRT($AT$32)), "Slender")</f>
        <v/>
      </c>
      <c r="Z595" s="125">
        <f>E595/F595</f>
        <v/>
      </c>
      <c r="AA595" s="125">
        <f>D595/G595</f>
        <v/>
      </c>
      <c r="AB595" s="125">
        <f t="array" ref="AB595">_xlfn.IFS(Z595 &lt;= 9, "1", Z595 &lt;= 12, "2", Z595 &lt;= 15, "3", Z595 &gt; 15, "4")</f>
        <v/>
      </c>
      <c r="AC595" s="125">
        <f t="array" ref="AC595">_xlfn.IFS(AA595 &lt;= 200, "1", L595 &lt;= 300, "2", L595 &lt;= 400, "3", L595 &gt; 400, "4")</f>
        <v/>
      </c>
      <c r="AF595" s="129">
        <f>SQRT((((VLOOKUP($AT$4,$A$4:$D$1021,4,FALSE))-D595)^2)+(((VLOOKUP($AT$4,$A$4:$E$1021,5,FALSE))-E595)^2)+(((VLOOKUP($AT$4,$A$4:$N$1021,14,FALSE))-N595)^2)+(((VLOOKUP($AT$4,$A$4:$O$1021,15,FALSE))-O595)^2))</f>
        <v/>
      </c>
      <c r="AG595" s="129" t="n"/>
      <c r="AI595" s="129">
        <f>SQRT((((VLOOKUP($AT$4,$A$4:$D$1021,4,FALSE))-D595)^2)+(((VLOOKUP($AT$4,$A$4:$E$1021,5,FALSE))-E595)^2)+(((VLOOKUP($AT$4,$A$4:$R$1021,18,FALSE))-R595)^2)+(((VLOOKUP($AT$4,$A$4:$S$1021,19,FALSE))-S595)^2))</f>
        <v/>
      </c>
      <c r="AJ595" s="125" t="inlineStr">
        <is>
          <t>HY900X258</t>
        </is>
      </c>
      <c r="AK595" s="125" t="n"/>
      <c r="AL595" s="125" t="n"/>
      <c r="AM595" s="125">
        <f>SQRT(((VLOOKUP($AT$4,$A$4:$J$1021,10,FALSE))-J595)^2)</f>
        <v/>
      </c>
      <c r="AN595" s="125" t="n"/>
      <c r="AO595" s="125" t="n"/>
      <c r="AP595" s="125">
        <f>SQRT(((VLOOKUP($AT$4,$A$4:$R$1021,18,FALSE))-R595)^2)</f>
        <v/>
      </c>
      <c r="AQ595" s="125" t="inlineStr">
        <is>
          <t>HY900X258</t>
        </is>
      </c>
      <c r="BB595" s="125">
        <f>SQRT(($J$1022-J595)^2)</f>
        <v/>
      </c>
      <c r="BC595" s="125">
        <f>SQRT(($R$1022-R595)^2)</f>
        <v/>
      </c>
      <c r="BD595" s="125" t="inlineStr">
        <is>
          <t>HY900X258</t>
        </is>
      </c>
      <c r="BI595">
        <f>SQRT(($J$1023-J595)^2)</f>
        <v/>
      </c>
      <c r="BJ595">
        <f>SQRT(($R$1023-R595)^2)</f>
        <v/>
      </c>
      <c r="BK595" s="125" t="inlineStr">
        <is>
          <t>HY900X258</t>
        </is>
      </c>
      <c r="BP595">
        <f>SQRT(($J$1024-J595)^2)</f>
        <v/>
      </c>
      <c r="BQ595">
        <f>SQRT(($R$1024-R595)^2)</f>
        <v/>
      </c>
      <c r="BR595" s="125" t="inlineStr">
        <is>
          <t>HY900X258</t>
        </is>
      </c>
      <c r="BW595">
        <f>SQRT(($J$1025-J595)^2)</f>
        <v/>
      </c>
      <c r="BX595">
        <f>SQRT(($R$1025-R595)^2)</f>
        <v/>
      </c>
      <c r="BY595" s="125" t="inlineStr">
        <is>
          <t>HY900X258</t>
        </is>
      </c>
      <c r="CD595">
        <f>SQRT(($J$1026-J595)^2)</f>
        <v/>
      </c>
      <c r="CE595">
        <f>SQRT(($R$1026-R595)^2)</f>
        <v/>
      </c>
      <c r="CF595" s="125" t="inlineStr">
        <is>
          <t>HY900X258</t>
        </is>
      </c>
    </row>
    <row r="596">
      <c r="A596" s="125" t="inlineStr">
        <is>
          <t>HY900X240</t>
        </is>
      </c>
      <c r="B596" s="129" t="inlineStr">
        <is>
          <t>HY</t>
        </is>
      </c>
      <c r="C596" s="125" t="n">
        <v>240</v>
      </c>
      <c r="D596" s="125" t="n">
        <v>900</v>
      </c>
      <c r="E596" s="125" t="n">
        <v>300</v>
      </c>
      <c r="F596" s="125" t="n">
        <v>28</v>
      </c>
      <c r="G596" s="125" t="n">
        <v>16</v>
      </c>
      <c r="H596" s="125" t="n">
        <v>18</v>
      </c>
      <c r="I596" s="125">
        <f>D596-(2*(H596+F596))</f>
        <v/>
      </c>
      <c r="J596" s="125">
        <f>(2*E596/10*F596/10)+((D596-F596-F596)/10*G596/10)+((H596/10+H596/10)^2)-(PI()*H596/10*H596/10)</f>
        <v/>
      </c>
      <c r="K596" s="125">
        <f>((E596-G596)/2)/F596</f>
        <v/>
      </c>
      <c r="L596" s="125">
        <f>I596/G596</f>
        <v/>
      </c>
      <c r="M596" s="125">
        <f>(E596*2+F596*4+((E596-G596)/2-H596)*4+2*PI()*H596+(D596-2*F596-2*H596)*2)/1000</f>
        <v/>
      </c>
      <c r="N596" s="5" t="n">
        <v>404000</v>
      </c>
      <c r="O596" s="5" t="n">
        <v>12600</v>
      </c>
      <c r="P596" s="125" t="n">
        <v>36.4</v>
      </c>
      <c r="Q596" s="125" t="n">
        <v>6.4</v>
      </c>
      <c r="R596" s="5" t="n">
        <v>8990</v>
      </c>
      <c r="S596" s="125" t="n">
        <v>842</v>
      </c>
      <c r="T596" s="5" t="n">
        <v>10300</v>
      </c>
      <c r="U596" s="5" t="n">
        <v>1320</v>
      </c>
      <c r="X596" s="129">
        <f t="array" ref="X596">_xlfn.IFS((D596/F596) &lt;= (640/SQRT($AT$32)), "Compact", L596 &lt;= ($AT$32*(0.79-(0.002*((E596-G596/2)/(2*F596))*SQRT($AT$32)))), "Non-Compact", L596 &gt; ($AT$32*(0.79-(0.002*((E596-G596/2)/(2*F596))*SQRT($AT$32)))), "Slender")</f>
        <v/>
      </c>
      <c r="Y596" s="129">
        <f t="array" ref="Y596">_xlfn.IFS(K596 &lt;= (65/SQRT($AT$32)), "Compact", K596 &lt;= (95/SQRT($AT$32)), "Non-Compact", K596 &gt; (95/SQRT($AT$32)), "Slender")</f>
        <v/>
      </c>
      <c r="Z596" s="125">
        <f>E596/F596</f>
        <v/>
      </c>
      <c r="AA596" s="125">
        <f>D596/G596</f>
        <v/>
      </c>
      <c r="AB596" s="125">
        <f t="array" ref="AB596">_xlfn.IFS(Z596 &lt;= 9, "1", Z596 &lt;= 12, "2", Z596 &lt;= 15, "3", Z596 &gt; 15, "4")</f>
        <v/>
      </c>
      <c r="AC596" s="125">
        <f t="array" ref="AC596">_xlfn.IFS(AA596 &lt;= 200, "1", L596 &lt;= 300, "2", L596 &lt;= 400, "3", L596 &gt; 400, "4")</f>
        <v/>
      </c>
      <c r="AF596" s="129">
        <f>SQRT((((VLOOKUP($AT$4,$A$4:$D$1021,4,FALSE))-D596)^2)+(((VLOOKUP($AT$4,$A$4:$E$1021,5,FALSE))-E596)^2)+(((VLOOKUP($AT$4,$A$4:$N$1021,14,FALSE))-N596)^2)+(((VLOOKUP($AT$4,$A$4:$O$1021,15,FALSE))-O596)^2))</f>
        <v/>
      </c>
      <c r="AG596" s="129" t="n"/>
      <c r="AI596" s="129">
        <f>SQRT((((VLOOKUP($AT$4,$A$4:$D$1021,4,FALSE))-D596)^2)+(((VLOOKUP($AT$4,$A$4:$E$1021,5,FALSE))-E596)^2)+(((VLOOKUP($AT$4,$A$4:$R$1021,18,FALSE))-R596)^2)+(((VLOOKUP($AT$4,$A$4:$S$1021,19,FALSE))-S596)^2))</f>
        <v/>
      </c>
      <c r="AJ596" s="125" t="inlineStr">
        <is>
          <t>HY900X240</t>
        </is>
      </c>
      <c r="AK596" s="125" t="n"/>
      <c r="AL596" s="125" t="n"/>
      <c r="AM596" s="125">
        <f>SQRT(((VLOOKUP($AT$4,$A$4:$J$1021,10,FALSE))-J596)^2)</f>
        <v/>
      </c>
      <c r="AN596" s="125" t="n"/>
      <c r="AO596" s="125" t="n"/>
      <c r="AP596" s="125">
        <f>SQRT(((VLOOKUP($AT$4,$A$4:$R$1021,18,FALSE))-R596)^2)</f>
        <v/>
      </c>
      <c r="AQ596" s="125" t="inlineStr">
        <is>
          <t>HY900X240</t>
        </is>
      </c>
      <c r="BB596" s="125">
        <f>SQRT(($J$1022-J596)^2)</f>
        <v/>
      </c>
      <c r="BC596" s="125">
        <f>SQRT(($R$1022-R596)^2)</f>
        <v/>
      </c>
      <c r="BD596" s="125" t="inlineStr">
        <is>
          <t>HY900X240</t>
        </is>
      </c>
      <c r="BI596">
        <f>SQRT(($J$1023-J596)^2)</f>
        <v/>
      </c>
      <c r="BJ596">
        <f>SQRT(($R$1023-R596)^2)</f>
        <v/>
      </c>
      <c r="BK596" s="125" t="inlineStr">
        <is>
          <t>HY900X240</t>
        </is>
      </c>
      <c r="BP596">
        <f>SQRT(($J$1024-J596)^2)</f>
        <v/>
      </c>
      <c r="BQ596">
        <f>SQRT(($R$1024-R596)^2)</f>
        <v/>
      </c>
      <c r="BR596" s="125" t="inlineStr">
        <is>
          <t>HY900X240</t>
        </is>
      </c>
      <c r="BW596">
        <f>SQRT(($J$1025-J596)^2)</f>
        <v/>
      </c>
      <c r="BX596">
        <f>SQRT(($R$1025-R596)^2)</f>
        <v/>
      </c>
      <c r="BY596" s="125" t="inlineStr">
        <is>
          <t>HY900X240</t>
        </is>
      </c>
      <c r="CD596">
        <f>SQRT(($J$1026-J596)^2)</f>
        <v/>
      </c>
      <c r="CE596">
        <f>SQRT(($R$1026-R596)^2)</f>
        <v/>
      </c>
      <c r="CF596" s="125" t="inlineStr">
        <is>
          <t>HY900X240</t>
        </is>
      </c>
    </row>
    <row r="597">
      <c r="A597" s="125" t="inlineStr">
        <is>
          <t>HY900X227</t>
        </is>
      </c>
      <c r="B597" s="129" t="inlineStr">
        <is>
          <t>HY</t>
        </is>
      </c>
      <c r="C597" s="125" t="n">
        <v>227</v>
      </c>
      <c r="D597" s="125" t="n">
        <v>900</v>
      </c>
      <c r="E597" s="125" t="n">
        <v>300</v>
      </c>
      <c r="F597" s="125" t="n">
        <v>25</v>
      </c>
      <c r="G597" s="125" t="n">
        <v>16</v>
      </c>
      <c r="H597" s="125" t="n">
        <v>18</v>
      </c>
      <c r="I597" s="125">
        <f>D597-(2*(H597+F597))</f>
        <v/>
      </c>
      <c r="J597" s="125">
        <f>(2*E597/10*F597/10)+((D597-F597-F597)/10*G597/10)+((H597/10+H597/10)^2)-(PI()*H597/10*H597/10)</f>
        <v/>
      </c>
      <c r="K597" s="125">
        <f>((E597-G597)/2)/F597</f>
        <v/>
      </c>
      <c r="L597" s="125">
        <f>I597/G597</f>
        <v/>
      </c>
      <c r="M597" s="125">
        <f>(E597*2+F597*4+((E597-G597)/2-H597)*4+2*PI()*H597+(D597-2*F597-2*H597)*2)/1000</f>
        <v/>
      </c>
      <c r="N597" s="5" t="n">
        <v>374000</v>
      </c>
      <c r="O597" s="5" t="n">
        <v>11300</v>
      </c>
      <c r="P597" s="125" t="n">
        <v>36</v>
      </c>
      <c r="Q597" s="125" t="n">
        <v>6.3</v>
      </c>
      <c r="R597" s="5" t="n">
        <v>8310</v>
      </c>
      <c r="S597" s="125" t="n">
        <v>752</v>
      </c>
      <c r="T597" s="5" t="n">
        <v>9570</v>
      </c>
      <c r="U597" s="5" t="n">
        <v>1180</v>
      </c>
      <c r="X597" s="129">
        <f t="array" ref="X597">_xlfn.IFS((D597/F597) &lt;= (640/SQRT($AT$32)), "Compact", L597 &lt;= ($AT$32*(0.79-(0.002*((E597-G597/2)/(2*F597))*SQRT($AT$32)))), "Non-Compact", L597 &gt; ($AT$32*(0.79-(0.002*((E597-G597/2)/(2*F597))*SQRT($AT$32)))), "Slender")</f>
        <v/>
      </c>
      <c r="Y597" s="129">
        <f t="array" ref="Y597">_xlfn.IFS(K597 &lt;= (65/SQRT($AT$32)), "Compact", K597 &lt;= (95/SQRT($AT$32)), "Non-Compact", K597 &gt; (95/SQRT($AT$32)), "Slender")</f>
        <v/>
      </c>
      <c r="Z597" s="125">
        <f>E597/F597</f>
        <v/>
      </c>
      <c r="AA597" s="125">
        <f>D597/G597</f>
        <v/>
      </c>
      <c r="AB597" s="125">
        <f t="array" ref="AB597">_xlfn.IFS(Z597 &lt;= 9, "1", Z597 &lt;= 12, "2", Z597 &lt;= 15, "3", Z597 &gt; 15, "4")</f>
        <v/>
      </c>
      <c r="AC597" s="125">
        <f t="array" ref="AC597">_xlfn.IFS(AA597 &lt;= 200, "1", L597 &lt;= 300, "2", L597 &lt;= 400, "3", L597 &gt; 400, "4")</f>
        <v/>
      </c>
      <c r="AF597" s="129">
        <f>SQRT((((VLOOKUP($AT$4,$A$4:$D$1021,4,FALSE))-D597)^2)+(((VLOOKUP($AT$4,$A$4:$E$1021,5,FALSE))-E597)^2)+(((VLOOKUP($AT$4,$A$4:$N$1021,14,FALSE))-N597)^2)+(((VLOOKUP($AT$4,$A$4:$O$1021,15,FALSE))-O597)^2))</f>
        <v/>
      </c>
      <c r="AG597" s="129" t="n"/>
      <c r="AI597" s="129">
        <f>SQRT((((VLOOKUP($AT$4,$A$4:$D$1021,4,FALSE))-D597)^2)+(((VLOOKUP($AT$4,$A$4:$E$1021,5,FALSE))-E597)^2)+(((VLOOKUP($AT$4,$A$4:$R$1021,18,FALSE))-R597)^2)+(((VLOOKUP($AT$4,$A$4:$S$1021,19,FALSE))-S597)^2))</f>
        <v/>
      </c>
      <c r="AJ597" s="125" t="inlineStr">
        <is>
          <t>HY900X227</t>
        </is>
      </c>
      <c r="AK597" s="125" t="n"/>
      <c r="AL597" s="125" t="n"/>
      <c r="AM597" s="125">
        <f>SQRT(((VLOOKUP($AT$4,$A$4:$J$1021,10,FALSE))-J597)^2)</f>
        <v/>
      </c>
      <c r="AN597" s="125" t="n"/>
      <c r="AO597" s="125" t="n"/>
      <c r="AP597" s="125">
        <f>SQRT(((VLOOKUP($AT$4,$A$4:$R$1021,18,FALSE))-R597)^2)</f>
        <v/>
      </c>
      <c r="AQ597" s="125" t="inlineStr">
        <is>
          <t>HY900X227</t>
        </is>
      </c>
      <c r="BB597" s="125">
        <f>SQRT(($J$1022-J597)^2)</f>
        <v/>
      </c>
      <c r="BC597" s="125">
        <f>SQRT(($R$1022-R597)^2)</f>
        <v/>
      </c>
      <c r="BD597" s="125" t="inlineStr">
        <is>
          <t>HY900X227</t>
        </is>
      </c>
      <c r="BI597">
        <f>SQRT(($J$1023-J597)^2)</f>
        <v/>
      </c>
      <c r="BJ597">
        <f>SQRT(($R$1023-R597)^2)</f>
        <v/>
      </c>
      <c r="BK597" s="125" t="inlineStr">
        <is>
          <t>HY900X227</t>
        </is>
      </c>
      <c r="BP597">
        <f>SQRT(($J$1024-J597)^2)</f>
        <v/>
      </c>
      <c r="BQ597">
        <f>SQRT(($R$1024-R597)^2)</f>
        <v/>
      </c>
      <c r="BR597" s="125" t="inlineStr">
        <is>
          <t>HY900X227</t>
        </is>
      </c>
      <c r="BW597">
        <f>SQRT(($J$1025-J597)^2)</f>
        <v/>
      </c>
      <c r="BX597">
        <f>SQRT(($R$1025-R597)^2)</f>
        <v/>
      </c>
      <c r="BY597" s="125" t="inlineStr">
        <is>
          <t>HY900X227</t>
        </is>
      </c>
      <c r="CD597">
        <f>SQRT(($J$1026-J597)^2)</f>
        <v/>
      </c>
      <c r="CE597">
        <f>SQRT(($R$1026-R597)^2)</f>
        <v/>
      </c>
      <c r="CF597" s="125" t="inlineStr">
        <is>
          <t>HY900X227</t>
        </is>
      </c>
    </row>
    <row r="598">
      <c r="A598" s="125" t="inlineStr">
        <is>
          <t>HY900X213</t>
        </is>
      </c>
      <c r="B598" s="129" t="inlineStr">
        <is>
          <t>HY</t>
        </is>
      </c>
      <c r="C598" s="125" t="n">
        <v>213</v>
      </c>
      <c r="D598" s="125" t="n">
        <v>900</v>
      </c>
      <c r="E598" s="125" t="n">
        <v>300</v>
      </c>
      <c r="F598" s="125" t="n">
        <v>22</v>
      </c>
      <c r="G598" s="125" t="n">
        <v>16</v>
      </c>
      <c r="H598" s="125" t="n">
        <v>18</v>
      </c>
      <c r="I598" s="125">
        <f>D598-(2*(H598+F598))</f>
        <v/>
      </c>
      <c r="J598" s="125">
        <f>(2*E598/10*F598/10)+((D598-F598-F598)/10*G598/10)+((H598/10+H598/10)^2)-(PI()*H598/10*H598/10)</f>
        <v/>
      </c>
      <c r="K598" s="125">
        <f>((E598-G598)/2)/F598</f>
        <v/>
      </c>
      <c r="L598" s="125">
        <f>I598/G598</f>
        <v/>
      </c>
      <c r="M598" s="125">
        <f>(E598*2+F598*4+((E598-G598)/2-H598)*4+2*PI()*H598+(D598-2*F598-2*H598)*2)/1000</f>
        <v/>
      </c>
      <c r="N598" s="5" t="n">
        <v>343000</v>
      </c>
      <c r="O598" s="5" t="n">
        <v>9930</v>
      </c>
      <c r="P598" s="125" t="n">
        <v>35.5</v>
      </c>
      <c r="Q598" s="125" t="n">
        <v>6.1</v>
      </c>
      <c r="R598" s="5" t="n">
        <v>7620</v>
      </c>
      <c r="S598" s="125" t="n">
        <v>662</v>
      </c>
      <c r="T598" s="5" t="n">
        <v>8840</v>
      </c>
      <c r="U598" s="5" t="n">
        <v>1050</v>
      </c>
      <c r="X598" s="129">
        <f t="array" ref="X598">_xlfn.IFS((D598/F598) &lt;= (640/SQRT($AT$32)), "Compact", L598 &lt;= ($AT$32*(0.79-(0.002*((E598-G598/2)/(2*F598))*SQRT($AT$32)))), "Non-Compact", L598 &gt; ($AT$32*(0.79-(0.002*((E598-G598/2)/(2*F598))*SQRT($AT$32)))), "Slender")</f>
        <v/>
      </c>
      <c r="Y598" s="129">
        <f t="array" ref="Y598">_xlfn.IFS(K598 &lt;= (65/SQRT($AT$32)), "Compact", K598 &lt;= (95/SQRT($AT$32)), "Non-Compact", K598 &gt; (95/SQRT($AT$32)), "Slender")</f>
        <v/>
      </c>
      <c r="Z598" s="125">
        <f>E598/F598</f>
        <v/>
      </c>
      <c r="AA598" s="125">
        <f>D598/G598</f>
        <v/>
      </c>
      <c r="AB598" s="125">
        <f t="array" ref="AB598">_xlfn.IFS(Z598 &lt;= 9, "1", Z598 &lt;= 12, "2", Z598 &lt;= 15, "3", Z598 &gt; 15, "4")</f>
        <v/>
      </c>
      <c r="AC598" s="125">
        <f t="array" ref="AC598">_xlfn.IFS(AA598 &lt;= 200, "1", L598 &lt;= 300, "2", L598 &lt;= 400, "3", L598 &gt; 400, "4")</f>
        <v/>
      </c>
      <c r="AF598" s="129">
        <f>SQRT((((VLOOKUP($AT$4,$A$4:$D$1021,4,FALSE))-D598)^2)+(((VLOOKUP($AT$4,$A$4:$E$1021,5,FALSE))-E598)^2)+(((VLOOKUP($AT$4,$A$4:$N$1021,14,FALSE))-N598)^2)+(((VLOOKUP($AT$4,$A$4:$O$1021,15,FALSE))-O598)^2))</f>
        <v/>
      </c>
      <c r="AG598" s="129" t="n"/>
      <c r="AI598" s="129">
        <f>SQRT((((VLOOKUP($AT$4,$A$4:$D$1021,4,FALSE))-D598)^2)+(((VLOOKUP($AT$4,$A$4:$E$1021,5,FALSE))-E598)^2)+(((VLOOKUP($AT$4,$A$4:$R$1021,18,FALSE))-R598)^2)+(((VLOOKUP($AT$4,$A$4:$S$1021,19,FALSE))-S598)^2))</f>
        <v/>
      </c>
      <c r="AJ598" s="125" t="inlineStr">
        <is>
          <t>HY900X213</t>
        </is>
      </c>
      <c r="AK598" s="125" t="n"/>
      <c r="AL598" s="125" t="n"/>
      <c r="AM598" s="125">
        <f>SQRT(((VLOOKUP($AT$4,$A$4:$J$1021,10,FALSE))-J598)^2)</f>
        <v/>
      </c>
      <c r="AN598" s="125" t="n"/>
      <c r="AO598" s="125" t="n"/>
      <c r="AP598" s="125">
        <f>SQRT(((VLOOKUP($AT$4,$A$4:$R$1021,18,FALSE))-R598)^2)</f>
        <v/>
      </c>
      <c r="AQ598" s="125" t="inlineStr">
        <is>
          <t>HY900X213</t>
        </is>
      </c>
      <c r="BB598" s="125">
        <f>SQRT(($J$1022-J598)^2)</f>
        <v/>
      </c>
      <c r="BC598" s="125">
        <f>SQRT(($R$1022-R598)^2)</f>
        <v/>
      </c>
      <c r="BD598" s="125" t="inlineStr">
        <is>
          <t>HY900X213</t>
        </is>
      </c>
      <c r="BI598">
        <f>SQRT(($J$1023-J598)^2)</f>
        <v/>
      </c>
      <c r="BJ598">
        <f>SQRT(($R$1023-R598)^2)</f>
        <v/>
      </c>
      <c r="BK598" s="125" t="inlineStr">
        <is>
          <t>HY900X213</t>
        </is>
      </c>
      <c r="BP598">
        <f>SQRT(($J$1024-J598)^2)</f>
        <v/>
      </c>
      <c r="BQ598">
        <f>SQRT(($R$1024-R598)^2)</f>
        <v/>
      </c>
      <c r="BR598" s="125" t="inlineStr">
        <is>
          <t>HY900X213</t>
        </is>
      </c>
      <c r="BW598">
        <f>SQRT(($J$1025-J598)^2)</f>
        <v/>
      </c>
      <c r="BX598">
        <f>SQRT(($R$1025-R598)^2)</f>
        <v/>
      </c>
      <c r="BY598" s="125" t="inlineStr">
        <is>
          <t>HY900X213</t>
        </is>
      </c>
      <c r="CD598">
        <f>SQRT(($J$1026-J598)^2)</f>
        <v/>
      </c>
      <c r="CE598">
        <f>SQRT(($R$1026-R598)^2)</f>
        <v/>
      </c>
      <c r="CF598" s="125" t="inlineStr">
        <is>
          <t>HY900X213</t>
        </is>
      </c>
    </row>
    <row r="599">
      <c r="A599" s="125" t="inlineStr">
        <is>
          <t>HY900X200</t>
        </is>
      </c>
      <c r="B599" s="129" t="inlineStr">
        <is>
          <t>HY</t>
        </is>
      </c>
      <c r="C599" s="125" t="n">
        <v>200</v>
      </c>
      <c r="D599" s="125" t="n">
        <v>900</v>
      </c>
      <c r="E599" s="125" t="n">
        <v>300</v>
      </c>
      <c r="F599" s="125" t="n">
        <v>19</v>
      </c>
      <c r="G599" s="125" t="n">
        <v>16</v>
      </c>
      <c r="H599" s="125" t="n">
        <v>18</v>
      </c>
      <c r="I599" s="125">
        <f>D599-(2*(H599+F599))</f>
        <v/>
      </c>
      <c r="J599" s="125">
        <f>(2*E599/10*F599/10)+((D599-F599-F599)/10*G599/10)+((H599/10+H599/10)^2)-(PI()*H599/10*H599/10)</f>
        <v/>
      </c>
      <c r="K599" s="125">
        <f>((E599-G599)/2)/F599</f>
        <v/>
      </c>
      <c r="L599" s="125">
        <f>I599/G599</f>
        <v/>
      </c>
      <c r="M599" s="125">
        <f>(E599*2+F599*4+((E599-G599)/2-H599)*4+2*PI()*H599+(D599-2*F599-2*H599)*2)/1000</f>
        <v/>
      </c>
      <c r="N599" s="5" t="n">
        <v>312000</v>
      </c>
      <c r="O599" s="5" t="n">
        <v>8580</v>
      </c>
      <c r="P599" s="125" t="n">
        <v>35</v>
      </c>
      <c r="Q599" s="125" t="n">
        <v>5.8</v>
      </c>
      <c r="R599" s="5" t="n">
        <v>6930</v>
      </c>
      <c r="S599" s="125" t="n">
        <v>572</v>
      </c>
      <c r="T599" s="5" t="n">
        <v>8110</v>
      </c>
      <c r="U599" s="125" t="n">
        <v>914</v>
      </c>
      <c r="X599" s="129">
        <f t="array" ref="X599">_xlfn.IFS((D599/F599) &lt;= (640/SQRT($AT$32)), "Compact", L599 &lt;= ($AT$32*(0.79-(0.002*((E599-G599/2)/(2*F599))*SQRT($AT$32)))), "Non-Compact", L599 &gt; ($AT$32*(0.79-(0.002*((E599-G599/2)/(2*F599))*SQRT($AT$32)))), "Slender")</f>
        <v/>
      </c>
      <c r="Y599" s="129">
        <f t="array" ref="Y599">_xlfn.IFS(K599 &lt;= (65/SQRT($AT$32)), "Compact", K599 &lt;= (95/SQRT($AT$32)), "Non-Compact", K599 &gt; (95/SQRT($AT$32)), "Slender")</f>
        <v/>
      </c>
      <c r="Z599" s="125">
        <f>E599/F599</f>
        <v/>
      </c>
      <c r="AA599" s="125">
        <f>D599/G599</f>
        <v/>
      </c>
      <c r="AB599" s="125">
        <f t="array" ref="AB599">_xlfn.IFS(Z599 &lt;= 9, "1", Z599 &lt;= 12, "2", Z599 &lt;= 15, "3", Z599 &gt; 15, "4")</f>
        <v/>
      </c>
      <c r="AC599" s="125">
        <f t="array" ref="AC599">_xlfn.IFS(AA599 &lt;= 200, "1", L599 &lt;= 300, "2", L599 &lt;= 400, "3", L599 &gt; 400, "4")</f>
        <v/>
      </c>
      <c r="AF599" s="129">
        <f>SQRT((((VLOOKUP($AT$4,$A$4:$D$1021,4,FALSE))-D599)^2)+(((VLOOKUP($AT$4,$A$4:$E$1021,5,FALSE))-E599)^2)+(((VLOOKUP($AT$4,$A$4:$N$1021,14,FALSE))-N599)^2)+(((VLOOKUP($AT$4,$A$4:$O$1021,15,FALSE))-O599)^2))</f>
        <v/>
      </c>
      <c r="AG599" s="129" t="n"/>
      <c r="AI599" s="129">
        <f>SQRT((((VLOOKUP($AT$4,$A$4:$D$1021,4,FALSE))-D599)^2)+(((VLOOKUP($AT$4,$A$4:$E$1021,5,FALSE))-E599)^2)+(((VLOOKUP($AT$4,$A$4:$R$1021,18,FALSE))-R599)^2)+(((VLOOKUP($AT$4,$A$4:$S$1021,19,FALSE))-S599)^2))</f>
        <v/>
      </c>
      <c r="AJ599" s="125" t="inlineStr">
        <is>
          <t>HY900X200</t>
        </is>
      </c>
      <c r="AK599" s="125" t="n"/>
      <c r="AL599" s="125" t="n"/>
      <c r="AM599" s="125">
        <f>SQRT(((VLOOKUP($AT$4,$A$4:$J$1021,10,FALSE))-J599)^2)</f>
        <v/>
      </c>
      <c r="AN599" s="125" t="n"/>
      <c r="AO599" s="125" t="n"/>
      <c r="AP599" s="125">
        <f>SQRT(((VLOOKUP($AT$4,$A$4:$R$1021,18,FALSE))-R599)^2)</f>
        <v/>
      </c>
      <c r="AQ599" s="125" t="inlineStr">
        <is>
          <t>HY900X200</t>
        </is>
      </c>
      <c r="BB599" s="125">
        <f>SQRT(($J$1022-J599)^2)</f>
        <v/>
      </c>
      <c r="BC599" s="125">
        <f>SQRT(($R$1022-R599)^2)</f>
        <v/>
      </c>
      <c r="BD599" s="125" t="inlineStr">
        <is>
          <t>HY900X200</t>
        </is>
      </c>
      <c r="BI599">
        <f>SQRT(($J$1023-J599)^2)</f>
        <v/>
      </c>
      <c r="BJ599">
        <f>SQRT(($R$1023-R599)^2)</f>
        <v/>
      </c>
      <c r="BK599" s="125" t="inlineStr">
        <is>
          <t>HY900X200</t>
        </is>
      </c>
      <c r="BP599">
        <f>SQRT(($J$1024-J599)^2)</f>
        <v/>
      </c>
      <c r="BQ599">
        <f>SQRT(($R$1024-R599)^2)</f>
        <v/>
      </c>
      <c r="BR599" s="125" t="inlineStr">
        <is>
          <t>HY900X200</t>
        </is>
      </c>
      <c r="BW599">
        <f>SQRT(($J$1025-J599)^2)</f>
        <v/>
      </c>
      <c r="BX599">
        <f>SQRT(($R$1025-R599)^2)</f>
        <v/>
      </c>
      <c r="BY599" s="125" t="inlineStr">
        <is>
          <t>HY900X200</t>
        </is>
      </c>
      <c r="CD599">
        <f>SQRT(($J$1026-J599)^2)</f>
        <v/>
      </c>
      <c r="CE599">
        <f>SQRT(($R$1026-R599)^2)</f>
        <v/>
      </c>
      <c r="CF599" s="125" t="inlineStr">
        <is>
          <t>HY900X200</t>
        </is>
      </c>
    </row>
    <row r="600">
      <c r="A600" s="125" t="inlineStr">
        <is>
          <t>HY900X227</t>
        </is>
      </c>
      <c r="B600" s="129" t="inlineStr">
        <is>
          <t>HY</t>
        </is>
      </c>
      <c r="C600" s="125" t="n">
        <v>227</v>
      </c>
      <c r="D600" s="125" t="n">
        <v>900</v>
      </c>
      <c r="E600" s="125" t="n">
        <v>300</v>
      </c>
      <c r="F600" s="125" t="n">
        <v>28</v>
      </c>
      <c r="G600" s="125" t="n">
        <v>14</v>
      </c>
      <c r="H600" s="125" t="n">
        <v>18</v>
      </c>
      <c r="I600" s="125">
        <f>D600-(2*(H600+F600))</f>
        <v/>
      </c>
      <c r="J600" s="125">
        <f>(2*E600/10*F600/10)+((D600-F600-F600)/10*G600/10)+((H600/10+H600/10)^2)-(PI()*H600/10*H600/10)</f>
        <v/>
      </c>
      <c r="K600" s="125">
        <f>((E600-G600)/2)/F600</f>
        <v/>
      </c>
      <c r="L600" s="125">
        <f>I600/G600</f>
        <v/>
      </c>
      <c r="M600" s="125">
        <f>(E600*2+F600*4+((E600-G600)/2-H600)*4+2*PI()*H600+(D600-2*F600-2*H600)*2)/1000</f>
        <v/>
      </c>
      <c r="N600" s="5" t="n">
        <v>394000</v>
      </c>
      <c r="O600" s="5" t="n">
        <v>12600</v>
      </c>
      <c r="P600" s="125" t="n">
        <v>36.9</v>
      </c>
      <c r="Q600" s="125" t="n">
        <v>6.6</v>
      </c>
      <c r="R600" s="5" t="n">
        <v>8770</v>
      </c>
      <c r="S600" s="125" t="n">
        <v>842</v>
      </c>
      <c r="T600" s="5" t="n">
        <v>9930</v>
      </c>
      <c r="U600" s="5" t="n">
        <v>1300</v>
      </c>
      <c r="X600" s="129">
        <f t="array" ref="X600">_xlfn.IFS((D600/F600) &lt;= (640/SQRT($AT$32)), "Compact", L600 &lt;= ($AT$32*(0.79-(0.002*((E600-G600/2)/(2*F600))*SQRT($AT$32)))), "Non-Compact", L600 &gt; ($AT$32*(0.79-(0.002*((E600-G600/2)/(2*F600))*SQRT($AT$32)))), "Slender")</f>
        <v/>
      </c>
      <c r="Y600" s="129">
        <f t="array" ref="Y600">_xlfn.IFS(K600 &lt;= (65/SQRT($AT$32)), "Compact", K600 &lt;= (95/SQRT($AT$32)), "Non-Compact", K600 &gt; (95/SQRT($AT$32)), "Slender")</f>
        <v/>
      </c>
      <c r="Z600" s="125">
        <f>E600/F600</f>
        <v/>
      </c>
      <c r="AA600" s="125">
        <f>D600/G600</f>
        <v/>
      </c>
      <c r="AB600" s="125">
        <f t="array" ref="AB600">_xlfn.IFS(Z600 &lt;= 9, "1", Z600 &lt;= 12, "2", Z600 &lt;= 15, "3", Z600 &gt; 15, "4")</f>
        <v/>
      </c>
      <c r="AC600" s="125">
        <f t="array" ref="AC600">_xlfn.IFS(AA600 &lt;= 200, "1", L600 &lt;= 300, "2", L600 &lt;= 400, "3", L600 &gt; 400, "4")</f>
        <v/>
      </c>
      <c r="AF600" s="129">
        <f>SQRT((((VLOOKUP($AT$4,$A$4:$D$1021,4,FALSE))-D600)^2)+(((VLOOKUP($AT$4,$A$4:$E$1021,5,FALSE))-E600)^2)+(((VLOOKUP($AT$4,$A$4:$N$1021,14,FALSE))-N600)^2)+(((VLOOKUP($AT$4,$A$4:$O$1021,15,FALSE))-O600)^2))</f>
        <v/>
      </c>
      <c r="AG600" s="129" t="n"/>
      <c r="AI600" s="129">
        <f>SQRT((((VLOOKUP($AT$4,$A$4:$D$1021,4,FALSE))-D600)^2)+(((VLOOKUP($AT$4,$A$4:$E$1021,5,FALSE))-E600)^2)+(((VLOOKUP($AT$4,$A$4:$R$1021,18,FALSE))-R600)^2)+(((VLOOKUP($AT$4,$A$4:$S$1021,19,FALSE))-S600)^2))</f>
        <v/>
      </c>
      <c r="AJ600" s="125" t="inlineStr">
        <is>
          <t>HY900X227</t>
        </is>
      </c>
      <c r="AK600" s="125" t="n"/>
      <c r="AL600" s="125" t="n"/>
      <c r="AM600" s="125">
        <f>SQRT(((VLOOKUP($AT$4,$A$4:$J$1021,10,FALSE))-J600)^2)</f>
        <v/>
      </c>
      <c r="AN600" s="125" t="n"/>
      <c r="AO600" s="125" t="n"/>
      <c r="AP600" s="125">
        <f>SQRT(((VLOOKUP($AT$4,$A$4:$R$1021,18,FALSE))-R600)^2)</f>
        <v/>
      </c>
      <c r="AQ600" s="125" t="inlineStr">
        <is>
          <t>HY900X227</t>
        </is>
      </c>
      <c r="BB600" s="125">
        <f>SQRT(($J$1022-J600)^2)</f>
        <v/>
      </c>
      <c r="BC600" s="125">
        <f>SQRT(($R$1022-R600)^2)</f>
        <v/>
      </c>
      <c r="BD600" s="125" t="inlineStr">
        <is>
          <t>HY900X227</t>
        </is>
      </c>
      <c r="BI600">
        <f>SQRT(($J$1023-J600)^2)</f>
        <v/>
      </c>
      <c r="BJ600">
        <f>SQRT(($R$1023-R600)^2)</f>
        <v/>
      </c>
      <c r="BK600" s="125" t="inlineStr">
        <is>
          <t>HY900X227</t>
        </is>
      </c>
      <c r="BP600">
        <f>SQRT(($J$1024-J600)^2)</f>
        <v/>
      </c>
      <c r="BQ600">
        <f>SQRT(($R$1024-R600)^2)</f>
        <v/>
      </c>
      <c r="BR600" s="125" t="inlineStr">
        <is>
          <t>HY900X227</t>
        </is>
      </c>
      <c r="BW600">
        <f>SQRT(($J$1025-J600)^2)</f>
        <v/>
      </c>
      <c r="BX600">
        <f>SQRT(($R$1025-R600)^2)</f>
        <v/>
      </c>
      <c r="BY600" s="125" t="inlineStr">
        <is>
          <t>HY900X227</t>
        </is>
      </c>
      <c r="CD600">
        <f>SQRT(($J$1026-J600)^2)</f>
        <v/>
      </c>
      <c r="CE600">
        <f>SQRT(($R$1026-R600)^2)</f>
        <v/>
      </c>
      <c r="CF600" s="125" t="inlineStr">
        <is>
          <t>HY900X227</t>
        </is>
      </c>
    </row>
    <row r="601">
      <c r="A601" s="125" t="inlineStr">
        <is>
          <t>HY900X213</t>
        </is>
      </c>
      <c r="B601" s="129" t="inlineStr">
        <is>
          <t>HY</t>
        </is>
      </c>
      <c r="C601" s="125" t="n">
        <v>213</v>
      </c>
      <c r="D601" s="125" t="n">
        <v>900</v>
      </c>
      <c r="E601" s="125" t="n">
        <v>300</v>
      </c>
      <c r="F601" s="125" t="n">
        <v>25</v>
      </c>
      <c r="G601" s="125" t="n">
        <v>14</v>
      </c>
      <c r="H601" s="125" t="n">
        <v>18</v>
      </c>
      <c r="I601" s="125">
        <f>D601-(2*(H601+F601))</f>
        <v/>
      </c>
      <c r="J601" s="125">
        <f>(2*E601/10*F601/10)+((D601-F601-F601)/10*G601/10)+((H601/10+H601/10)^2)-(PI()*H601/10*H601/10)</f>
        <v/>
      </c>
      <c r="K601" s="125">
        <f>((E601-G601)/2)/F601</f>
        <v/>
      </c>
      <c r="L601" s="125">
        <f>I601/G601</f>
        <v/>
      </c>
      <c r="M601" s="125">
        <f>(E601*2+F601*4+((E601-G601)/2-H601)*4+2*PI()*H601+(D601-2*F601-2*H601)*2)/1000</f>
        <v/>
      </c>
      <c r="N601" s="5" t="n">
        <v>364000</v>
      </c>
      <c r="O601" s="5" t="n">
        <v>11300</v>
      </c>
      <c r="P601" s="125" t="n">
        <v>36.6</v>
      </c>
      <c r="Q601" s="125" t="n">
        <v>6.4</v>
      </c>
      <c r="R601" s="5" t="n">
        <v>8080</v>
      </c>
      <c r="S601" s="125" t="n">
        <v>752</v>
      </c>
      <c r="T601" s="5" t="n">
        <v>9210</v>
      </c>
      <c r="U601" s="5" t="n">
        <v>1170</v>
      </c>
      <c r="X601" s="129">
        <f t="array" ref="X601">_xlfn.IFS((D601/F601) &lt;= (640/SQRT($AT$32)), "Compact", L601 &lt;= ($AT$32*(0.79-(0.002*((E601-G601/2)/(2*F601))*SQRT($AT$32)))), "Non-Compact", L601 &gt; ($AT$32*(0.79-(0.002*((E601-G601/2)/(2*F601))*SQRT($AT$32)))), "Slender")</f>
        <v/>
      </c>
      <c r="Y601" s="129">
        <f t="array" ref="Y601">_xlfn.IFS(K601 &lt;= (65/SQRT($AT$32)), "Compact", K601 &lt;= (95/SQRT($AT$32)), "Non-Compact", K601 &gt; (95/SQRT($AT$32)), "Slender")</f>
        <v/>
      </c>
      <c r="Z601" s="125">
        <f>E601/F601</f>
        <v/>
      </c>
      <c r="AA601" s="125">
        <f>D601/G601</f>
        <v/>
      </c>
      <c r="AB601" s="125">
        <f t="array" ref="AB601">_xlfn.IFS(Z601 &lt;= 9, "1", Z601 &lt;= 12, "2", Z601 &lt;= 15, "3", Z601 &gt; 15, "4")</f>
        <v/>
      </c>
      <c r="AC601" s="125">
        <f t="array" ref="AC601">_xlfn.IFS(AA601 &lt;= 200, "1", L601 &lt;= 300, "2", L601 &lt;= 400, "3", L601 &gt; 400, "4")</f>
        <v/>
      </c>
      <c r="AF601" s="129">
        <f>SQRT((((VLOOKUP($AT$4,$A$4:$D$1021,4,FALSE))-D601)^2)+(((VLOOKUP($AT$4,$A$4:$E$1021,5,FALSE))-E601)^2)+(((VLOOKUP($AT$4,$A$4:$N$1021,14,FALSE))-N601)^2)+(((VLOOKUP($AT$4,$A$4:$O$1021,15,FALSE))-O601)^2))</f>
        <v/>
      </c>
      <c r="AG601" s="129" t="n"/>
      <c r="AI601" s="129">
        <f>SQRT((((VLOOKUP($AT$4,$A$4:$D$1021,4,FALSE))-D601)^2)+(((VLOOKUP($AT$4,$A$4:$E$1021,5,FALSE))-E601)^2)+(((VLOOKUP($AT$4,$A$4:$R$1021,18,FALSE))-R601)^2)+(((VLOOKUP($AT$4,$A$4:$S$1021,19,FALSE))-S601)^2))</f>
        <v/>
      </c>
      <c r="AJ601" s="125" t="inlineStr">
        <is>
          <t>HY900X213</t>
        </is>
      </c>
      <c r="AK601" s="125" t="n"/>
      <c r="AL601" s="125" t="n"/>
      <c r="AM601" s="125">
        <f>SQRT(((VLOOKUP($AT$4,$A$4:$J$1021,10,FALSE))-J601)^2)</f>
        <v/>
      </c>
      <c r="AN601" s="125" t="n"/>
      <c r="AO601" s="125" t="n"/>
      <c r="AP601" s="125">
        <f>SQRT(((VLOOKUP($AT$4,$A$4:$R$1021,18,FALSE))-R601)^2)</f>
        <v/>
      </c>
      <c r="AQ601" s="125" t="inlineStr">
        <is>
          <t>HY900X213</t>
        </is>
      </c>
      <c r="BB601" s="125">
        <f>SQRT(($J$1022-J601)^2)</f>
        <v/>
      </c>
      <c r="BC601" s="125">
        <f>SQRT(($R$1022-R601)^2)</f>
        <v/>
      </c>
      <c r="BD601" s="125" t="inlineStr">
        <is>
          <t>HY900X213</t>
        </is>
      </c>
      <c r="BI601">
        <f>SQRT(($J$1023-J601)^2)</f>
        <v/>
      </c>
      <c r="BJ601">
        <f>SQRT(($R$1023-R601)^2)</f>
        <v/>
      </c>
      <c r="BK601" s="125" t="inlineStr">
        <is>
          <t>HY900X213</t>
        </is>
      </c>
      <c r="BP601">
        <f>SQRT(($J$1024-J601)^2)</f>
        <v/>
      </c>
      <c r="BQ601">
        <f>SQRT(($R$1024-R601)^2)</f>
        <v/>
      </c>
      <c r="BR601" s="125" t="inlineStr">
        <is>
          <t>HY900X213</t>
        </is>
      </c>
      <c r="BW601">
        <f>SQRT(($J$1025-J601)^2)</f>
        <v/>
      </c>
      <c r="BX601">
        <f>SQRT(($R$1025-R601)^2)</f>
        <v/>
      </c>
      <c r="BY601" s="125" t="inlineStr">
        <is>
          <t>HY900X213</t>
        </is>
      </c>
      <c r="CD601">
        <f>SQRT(($J$1026-J601)^2)</f>
        <v/>
      </c>
      <c r="CE601">
        <f>SQRT(($R$1026-R601)^2)</f>
        <v/>
      </c>
      <c r="CF601" s="125" t="inlineStr">
        <is>
          <t>HY900X213</t>
        </is>
      </c>
    </row>
    <row r="602">
      <c r="A602" s="125" t="inlineStr">
        <is>
          <t>HY900X200</t>
        </is>
      </c>
      <c r="B602" s="129" t="inlineStr">
        <is>
          <t>HY</t>
        </is>
      </c>
      <c r="C602" s="125" t="n">
        <v>200</v>
      </c>
      <c r="D602" s="125" t="n">
        <v>900</v>
      </c>
      <c r="E602" s="125" t="n">
        <v>300</v>
      </c>
      <c r="F602" s="125" t="n">
        <v>22</v>
      </c>
      <c r="G602" s="125" t="n">
        <v>14</v>
      </c>
      <c r="H602" s="125" t="n">
        <v>18</v>
      </c>
      <c r="I602" s="125">
        <f>D602-(2*(H602+F602))</f>
        <v/>
      </c>
      <c r="J602" s="125">
        <f>(2*E602/10*F602/10)+((D602-F602-F602)/10*G602/10)+((H602/10+H602/10)^2)-(PI()*H602/10*H602/10)</f>
        <v/>
      </c>
      <c r="K602" s="125">
        <f>((E602-G602)/2)/F602</f>
        <v/>
      </c>
      <c r="L602" s="125">
        <f>I602/G602</f>
        <v/>
      </c>
      <c r="M602" s="125">
        <f>(E602*2+F602*4+((E602-G602)/2-H602)*4+2*PI()*H602+(D602-2*F602-2*H602)*2)/1000</f>
        <v/>
      </c>
      <c r="N602" s="5" t="n">
        <v>333000</v>
      </c>
      <c r="O602" s="5" t="n">
        <v>9920</v>
      </c>
      <c r="P602" s="125" t="n">
        <v>36.1</v>
      </c>
      <c r="Q602" s="125" t="n">
        <v>6.2</v>
      </c>
      <c r="R602" s="5" t="n">
        <v>7390</v>
      </c>
      <c r="S602" s="125" t="n">
        <v>662</v>
      </c>
      <c r="T602" s="5" t="n">
        <v>8480</v>
      </c>
      <c r="U602" s="5" t="n">
        <v>1040</v>
      </c>
      <c r="X602" s="129">
        <f t="array" ref="X602">_xlfn.IFS((D602/F602) &lt;= (640/SQRT($AT$32)), "Compact", L602 &lt;= ($AT$32*(0.79-(0.002*((E602-G602/2)/(2*F602))*SQRT($AT$32)))), "Non-Compact", L602 &gt; ($AT$32*(0.79-(0.002*((E602-G602/2)/(2*F602))*SQRT($AT$32)))), "Slender")</f>
        <v/>
      </c>
      <c r="Y602" s="129">
        <f t="array" ref="Y602">_xlfn.IFS(K602 &lt;= (65/SQRT($AT$32)), "Compact", K602 &lt;= (95/SQRT($AT$32)), "Non-Compact", K602 &gt; (95/SQRT($AT$32)), "Slender")</f>
        <v/>
      </c>
      <c r="Z602" s="125">
        <f>E602/F602</f>
        <v/>
      </c>
      <c r="AA602" s="125">
        <f>D602/G602</f>
        <v/>
      </c>
      <c r="AB602" s="125">
        <f t="array" ref="AB602">_xlfn.IFS(Z602 &lt;= 9, "1", Z602 &lt;= 12, "2", Z602 &lt;= 15, "3", Z602 &gt; 15, "4")</f>
        <v/>
      </c>
      <c r="AC602" s="125">
        <f t="array" ref="AC602">_xlfn.IFS(AA602 &lt;= 200, "1", L602 &lt;= 300, "2", L602 &lt;= 400, "3", L602 &gt; 400, "4")</f>
        <v/>
      </c>
      <c r="AF602" s="129">
        <f>SQRT((((VLOOKUP($AT$4,$A$4:$D$1021,4,FALSE))-D602)^2)+(((VLOOKUP($AT$4,$A$4:$E$1021,5,FALSE))-E602)^2)+(((VLOOKUP($AT$4,$A$4:$N$1021,14,FALSE))-N602)^2)+(((VLOOKUP($AT$4,$A$4:$O$1021,15,FALSE))-O602)^2))</f>
        <v/>
      </c>
      <c r="AG602" s="129" t="n"/>
      <c r="AI602" s="129">
        <f>SQRT((((VLOOKUP($AT$4,$A$4:$D$1021,4,FALSE))-D602)^2)+(((VLOOKUP($AT$4,$A$4:$E$1021,5,FALSE))-E602)^2)+(((VLOOKUP($AT$4,$A$4:$R$1021,18,FALSE))-R602)^2)+(((VLOOKUP($AT$4,$A$4:$S$1021,19,FALSE))-S602)^2))</f>
        <v/>
      </c>
      <c r="AJ602" s="125" t="inlineStr">
        <is>
          <t>HY900X200</t>
        </is>
      </c>
      <c r="AK602" s="125" t="n"/>
      <c r="AL602" s="125" t="n"/>
      <c r="AM602" s="125">
        <f>SQRT(((VLOOKUP($AT$4,$A$4:$J$1021,10,FALSE))-J602)^2)</f>
        <v/>
      </c>
      <c r="AN602" s="125" t="n"/>
      <c r="AO602" s="125" t="n"/>
      <c r="AP602" s="125">
        <f>SQRT(((VLOOKUP($AT$4,$A$4:$R$1021,18,FALSE))-R602)^2)</f>
        <v/>
      </c>
      <c r="AQ602" s="125" t="inlineStr">
        <is>
          <t>HY900X200</t>
        </is>
      </c>
      <c r="BB602" s="125">
        <f>SQRT(($J$1022-J602)^2)</f>
        <v/>
      </c>
      <c r="BC602" s="125">
        <f>SQRT(($R$1022-R602)^2)</f>
        <v/>
      </c>
      <c r="BD602" s="125" t="inlineStr">
        <is>
          <t>HY900X200</t>
        </is>
      </c>
      <c r="BI602">
        <f>SQRT(($J$1023-J602)^2)</f>
        <v/>
      </c>
      <c r="BJ602">
        <f>SQRT(($R$1023-R602)^2)</f>
        <v/>
      </c>
      <c r="BK602" s="125" t="inlineStr">
        <is>
          <t>HY900X200</t>
        </is>
      </c>
      <c r="BP602">
        <f>SQRT(($J$1024-J602)^2)</f>
        <v/>
      </c>
      <c r="BQ602">
        <f>SQRT(($R$1024-R602)^2)</f>
        <v/>
      </c>
      <c r="BR602" s="125" t="inlineStr">
        <is>
          <t>HY900X200</t>
        </is>
      </c>
      <c r="BW602">
        <f>SQRT(($J$1025-J602)^2)</f>
        <v/>
      </c>
      <c r="BX602">
        <f>SQRT(($R$1025-R602)^2)</f>
        <v/>
      </c>
      <c r="BY602" s="125" t="inlineStr">
        <is>
          <t>HY900X200</t>
        </is>
      </c>
      <c r="CD602">
        <f>SQRT(($J$1026-J602)^2)</f>
        <v/>
      </c>
      <c r="CE602">
        <f>SQRT(($R$1026-R602)^2)</f>
        <v/>
      </c>
      <c r="CF602" s="125" t="inlineStr">
        <is>
          <t>HY900X200</t>
        </is>
      </c>
    </row>
    <row r="603">
      <c r="A603" s="125" t="inlineStr">
        <is>
          <t>HY900X186</t>
        </is>
      </c>
      <c r="B603" s="129" t="inlineStr">
        <is>
          <t>HY</t>
        </is>
      </c>
      <c r="C603" s="125" t="n">
        <v>186</v>
      </c>
      <c r="D603" s="125" t="n">
        <v>900</v>
      </c>
      <c r="E603" s="125" t="n">
        <v>300</v>
      </c>
      <c r="F603" s="125" t="n">
        <v>19</v>
      </c>
      <c r="G603" s="125" t="n">
        <v>14</v>
      </c>
      <c r="H603" s="125" t="n">
        <v>18</v>
      </c>
      <c r="I603" s="125">
        <f>D603-(2*(H603+F603))</f>
        <v/>
      </c>
      <c r="J603" s="125">
        <f>(2*E603/10*F603/10)+((D603-F603-F603)/10*G603/10)+((H603/10+H603/10)^2)-(PI()*H603/10*H603/10)</f>
        <v/>
      </c>
      <c r="K603" s="125">
        <f>((E603-G603)/2)/F603</f>
        <v/>
      </c>
      <c r="L603" s="125">
        <f>I603/G603</f>
        <v/>
      </c>
      <c r="M603" s="125">
        <f>(E603*2+F603*4+((E603-G603)/2-H603)*4+2*PI()*H603+(D603-2*F603-2*H603)*2)/1000</f>
        <v/>
      </c>
      <c r="N603" s="5" t="n">
        <v>301000</v>
      </c>
      <c r="O603" s="5" t="n">
        <v>8570</v>
      </c>
      <c r="P603" s="125" t="n">
        <v>35.6</v>
      </c>
      <c r="Q603" s="125" t="n">
        <v>6</v>
      </c>
      <c r="R603" s="5" t="n">
        <v>6690</v>
      </c>
      <c r="S603" s="125" t="n">
        <v>572</v>
      </c>
      <c r="T603" s="5" t="n">
        <v>7740</v>
      </c>
      <c r="U603" s="125" t="n">
        <v>900</v>
      </c>
      <c r="X603" s="129">
        <f t="array" ref="X603">_xlfn.IFS((D603/F603) &lt;= (640/SQRT($AT$32)), "Compact", L603 &lt;= ($AT$32*(0.79-(0.002*((E603-G603/2)/(2*F603))*SQRT($AT$32)))), "Non-Compact", L603 &gt; ($AT$32*(0.79-(0.002*((E603-G603/2)/(2*F603))*SQRT($AT$32)))), "Slender")</f>
        <v/>
      </c>
      <c r="Y603" s="129">
        <f t="array" ref="Y603">_xlfn.IFS(K603 &lt;= (65/SQRT($AT$32)), "Compact", K603 &lt;= (95/SQRT($AT$32)), "Non-Compact", K603 &gt; (95/SQRT($AT$32)), "Slender")</f>
        <v/>
      </c>
      <c r="Z603" s="125">
        <f>E603/F603</f>
        <v/>
      </c>
      <c r="AA603" s="125">
        <f>D603/G603</f>
        <v/>
      </c>
      <c r="AB603" s="125">
        <f t="array" ref="AB603">_xlfn.IFS(Z603 &lt;= 9, "1", Z603 &lt;= 12, "2", Z603 &lt;= 15, "3", Z603 &gt; 15, "4")</f>
        <v/>
      </c>
      <c r="AC603" s="125">
        <f t="array" ref="AC603">_xlfn.IFS(AA603 &lt;= 200, "1", L603 &lt;= 300, "2", L603 &lt;= 400, "3", L603 &gt; 400, "4")</f>
        <v/>
      </c>
      <c r="AF603" s="129">
        <f>SQRT((((VLOOKUP($AT$4,$A$4:$D$1021,4,FALSE))-D603)^2)+(((VLOOKUP($AT$4,$A$4:$E$1021,5,FALSE))-E603)^2)+(((VLOOKUP($AT$4,$A$4:$N$1021,14,FALSE))-N603)^2)+(((VLOOKUP($AT$4,$A$4:$O$1021,15,FALSE))-O603)^2))</f>
        <v/>
      </c>
      <c r="AG603" s="129" t="n"/>
      <c r="AI603" s="129">
        <f>SQRT((((VLOOKUP($AT$4,$A$4:$D$1021,4,FALSE))-D603)^2)+(((VLOOKUP($AT$4,$A$4:$E$1021,5,FALSE))-E603)^2)+(((VLOOKUP($AT$4,$A$4:$R$1021,18,FALSE))-R603)^2)+(((VLOOKUP($AT$4,$A$4:$S$1021,19,FALSE))-S603)^2))</f>
        <v/>
      </c>
      <c r="AJ603" s="125" t="inlineStr">
        <is>
          <t>HY900X186</t>
        </is>
      </c>
      <c r="AK603" s="125" t="n"/>
      <c r="AL603" s="125" t="n"/>
      <c r="AM603" s="125">
        <f>SQRT(((VLOOKUP($AT$4,$A$4:$J$1021,10,FALSE))-J603)^2)</f>
        <v/>
      </c>
      <c r="AN603" s="125" t="n"/>
      <c r="AO603" s="125" t="n"/>
      <c r="AP603" s="125">
        <f>SQRT(((VLOOKUP($AT$4,$A$4:$R$1021,18,FALSE))-R603)^2)</f>
        <v/>
      </c>
      <c r="AQ603" s="125" t="inlineStr">
        <is>
          <t>HY900X186</t>
        </is>
      </c>
      <c r="BB603" s="125">
        <f>SQRT(($J$1022-J603)^2)</f>
        <v/>
      </c>
      <c r="BC603" s="125">
        <f>SQRT(($R$1022-R603)^2)</f>
        <v/>
      </c>
      <c r="BD603" s="125" t="inlineStr">
        <is>
          <t>HY900X186</t>
        </is>
      </c>
      <c r="BI603">
        <f>SQRT(($J$1023-J603)^2)</f>
        <v/>
      </c>
      <c r="BJ603">
        <f>SQRT(($R$1023-R603)^2)</f>
        <v/>
      </c>
      <c r="BK603" s="125" t="inlineStr">
        <is>
          <t>HY900X186</t>
        </is>
      </c>
      <c r="BP603">
        <f>SQRT(($J$1024-J603)^2)</f>
        <v/>
      </c>
      <c r="BQ603">
        <f>SQRT(($R$1024-R603)^2)</f>
        <v/>
      </c>
      <c r="BR603" s="125" t="inlineStr">
        <is>
          <t>HY900X186</t>
        </is>
      </c>
      <c r="BW603">
        <f>SQRT(($J$1025-J603)^2)</f>
        <v/>
      </c>
      <c r="BX603">
        <f>SQRT(($R$1025-R603)^2)</f>
        <v/>
      </c>
      <c r="BY603" s="125" t="inlineStr">
        <is>
          <t>HY900X186</t>
        </is>
      </c>
      <c r="CD603">
        <f>SQRT(($J$1026-J603)^2)</f>
        <v/>
      </c>
      <c r="CE603">
        <f>SQRT(($R$1026-R603)^2)</f>
        <v/>
      </c>
      <c r="CF603" s="125" t="inlineStr">
        <is>
          <t>HY900X186</t>
        </is>
      </c>
    </row>
    <row r="604">
      <c r="A604" s="125" t="inlineStr">
        <is>
          <t>HY900X281</t>
        </is>
      </c>
      <c r="B604" s="129" t="inlineStr">
        <is>
          <t>HY</t>
        </is>
      </c>
      <c r="C604" s="125" t="n">
        <v>281</v>
      </c>
      <c r="D604" s="125" t="n">
        <v>900</v>
      </c>
      <c r="E604" s="125" t="n">
        <v>250</v>
      </c>
      <c r="F604" s="125" t="n">
        <v>40</v>
      </c>
      <c r="G604" s="125" t="n">
        <v>19</v>
      </c>
      <c r="H604" s="125" t="n">
        <v>18</v>
      </c>
      <c r="I604" s="125">
        <f>D604-(2*(H604+F604))</f>
        <v/>
      </c>
      <c r="J604" s="125">
        <f>(2*E604/10*F604/10)+((D604-F604-F604)/10*G604/10)+((H604/10+H604/10)^2)-(PI()*H604/10*H604/10)</f>
        <v/>
      </c>
      <c r="K604" s="125">
        <f>((E604-G604)/2)/F604</f>
        <v/>
      </c>
      <c r="L604" s="125">
        <f>I604/G604</f>
        <v/>
      </c>
      <c r="M604" s="125">
        <f>(E604*2+F604*4+((E604-G604)/2-H604)*4+2*PI()*H604+(D604-2*F604-2*H604)*2)/1000</f>
        <v/>
      </c>
      <c r="N604" s="5" t="n">
        <v>462000</v>
      </c>
      <c r="O604" s="5" t="n">
        <v>10500</v>
      </c>
      <c r="P604" s="125" t="n">
        <v>35.9</v>
      </c>
      <c r="Q604" s="125" t="n">
        <v>5.4</v>
      </c>
      <c r="R604" s="5" t="n">
        <v>10300</v>
      </c>
      <c r="S604" s="125" t="n">
        <v>838</v>
      </c>
      <c r="T604" s="5" t="n">
        <v>11900</v>
      </c>
      <c r="U604" s="5" t="n">
        <v>1330</v>
      </c>
      <c r="X604" s="129">
        <f t="array" ref="X604">_xlfn.IFS((D604/F604) &lt;= (640/SQRT($AT$32)), "Compact", L604 &lt;= ($AT$32*(0.79-(0.002*((E604-G604/2)/(2*F604))*SQRT($AT$32)))), "Non-Compact", L604 &gt; ($AT$32*(0.79-(0.002*((E604-G604/2)/(2*F604))*SQRT($AT$32)))), "Slender")</f>
        <v/>
      </c>
      <c r="Y604" s="129">
        <f t="array" ref="Y604">_xlfn.IFS(K604 &lt;= (65/SQRT($AT$32)), "Compact", K604 &lt;= (95/SQRT($AT$32)), "Non-Compact", K604 &gt; (95/SQRT($AT$32)), "Slender")</f>
        <v/>
      </c>
      <c r="Z604" s="125">
        <f>E604/F604</f>
        <v/>
      </c>
      <c r="AA604" s="125">
        <f>D604/G604</f>
        <v/>
      </c>
      <c r="AB604" s="125">
        <f t="array" ref="AB604">_xlfn.IFS(Z604 &lt;= 9, "1", Z604 &lt;= 12, "2", Z604 &lt;= 15, "3", Z604 &gt; 15, "4")</f>
        <v/>
      </c>
      <c r="AC604" s="125">
        <f t="array" ref="AC604">_xlfn.IFS(AA604 &lt;= 200, "1", L604 &lt;= 300, "2", L604 &lt;= 400, "3", L604 &gt; 400, "4")</f>
        <v/>
      </c>
      <c r="AF604" s="129">
        <f>SQRT((((VLOOKUP($AT$4,$A$4:$D$1021,4,FALSE))-D604)^2)+(((VLOOKUP($AT$4,$A$4:$E$1021,5,FALSE))-E604)^2)+(((VLOOKUP($AT$4,$A$4:$N$1021,14,FALSE))-N604)^2)+(((VLOOKUP($AT$4,$A$4:$O$1021,15,FALSE))-O604)^2))</f>
        <v/>
      </c>
      <c r="AG604" s="129" t="n"/>
      <c r="AI604" s="129">
        <f>SQRT((((VLOOKUP($AT$4,$A$4:$D$1021,4,FALSE))-D604)^2)+(((VLOOKUP($AT$4,$A$4:$E$1021,5,FALSE))-E604)^2)+(((VLOOKUP($AT$4,$A$4:$R$1021,18,FALSE))-R604)^2)+(((VLOOKUP($AT$4,$A$4:$S$1021,19,FALSE))-S604)^2))</f>
        <v/>
      </c>
      <c r="AJ604" s="125" t="inlineStr">
        <is>
          <t>HY900X281</t>
        </is>
      </c>
      <c r="AK604" s="125" t="n"/>
      <c r="AL604" s="125" t="n"/>
      <c r="AM604" s="125">
        <f>SQRT(((VLOOKUP($AT$4,$A$4:$J$1021,10,FALSE))-J604)^2)</f>
        <v/>
      </c>
      <c r="AN604" s="125" t="n"/>
      <c r="AO604" s="125" t="n"/>
      <c r="AP604" s="125">
        <f>SQRT(((VLOOKUP($AT$4,$A$4:$R$1021,18,FALSE))-R604)^2)</f>
        <v/>
      </c>
      <c r="AQ604" s="125" t="inlineStr">
        <is>
          <t>HY900X281</t>
        </is>
      </c>
      <c r="BB604" s="125">
        <f>SQRT(($J$1022-J604)^2)</f>
        <v/>
      </c>
      <c r="BC604" s="125">
        <f>SQRT(($R$1022-R604)^2)</f>
        <v/>
      </c>
      <c r="BD604" s="125" t="inlineStr">
        <is>
          <t>HY900X281</t>
        </is>
      </c>
      <c r="BI604">
        <f>SQRT(($J$1023-J604)^2)</f>
        <v/>
      </c>
      <c r="BJ604">
        <f>SQRT(($R$1023-R604)^2)</f>
        <v/>
      </c>
      <c r="BK604" s="125" t="inlineStr">
        <is>
          <t>HY900X281</t>
        </is>
      </c>
      <c r="BP604">
        <f>SQRT(($J$1024-J604)^2)</f>
        <v/>
      </c>
      <c r="BQ604">
        <f>SQRT(($R$1024-R604)^2)</f>
        <v/>
      </c>
      <c r="BR604" s="125" t="inlineStr">
        <is>
          <t>HY900X281</t>
        </is>
      </c>
      <c r="BW604">
        <f>SQRT(($J$1025-J604)^2)</f>
        <v/>
      </c>
      <c r="BX604">
        <f>SQRT(($R$1025-R604)^2)</f>
        <v/>
      </c>
      <c r="BY604" s="125" t="inlineStr">
        <is>
          <t>HY900X281</t>
        </is>
      </c>
      <c r="CD604">
        <f>SQRT(($J$1026-J604)^2)</f>
        <v/>
      </c>
      <c r="CE604">
        <f>SQRT(($R$1026-R604)^2)</f>
        <v/>
      </c>
      <c r="CF604" s="125" t="inlineStr">
        <is>
          <t>HY900X281</t>
        </is>
      </c>
    </row>
    <row r="605">
      <c r="A605" s="125" t="inlineStr">
        <is>
          <t>HY900X267</t>
        </is>
      </c>
      <c r="B605" s="129" t="inlineStr">
        <is>
          <t>HY</t>
        </is>
      </c>
      <c r="C605" s="125" t="n">
        <v>267</v>
      </c>
      <c r="D605" s="125" t="n">
        <v>900</v>
      </c>
      <c r="E605" s="125" t="n">
        <v>250</v>
      </c>
      <c r="F605" s="125" t="n">
        <v>36</v>
      </c>
      <c r="G605" s="125" t="n">
        <v>19</v>
      </c>
      <c r="H605" s="125" t="n">
        <v>18</v>
      </c>
      <c r="I605" s="125">
        <f>D605-(2*(H605+F605))</f>
        <v/>
      </c>
      <c r="J605" s="125">
        <f>(2*E605/10*F605/10)+((D605-F605-F605)/10*G605/10)+((H605/10+H605/10)^2)-(PI()*H605/10*H605/10)</f>
        <v/>
      </c>
      <c r="K605" s="125">
        <f>((E605-G605)/2)/F605</f>
        <v/>
      </c>
      <c r="L605" s="125">
        <f>I605/G605</f>
        <v/>
      </c>
      <c r="M605" s="125">
        <f>(E605*2+F605*4+((E605-G605)/2-H605)*4+2*PI()*H605+(D605-2*F605-2*H605)*2)/1000</f>
        <v/>
      </c>
      <c r="N605" s="5" t="n">
        <v>431000</v>
      </c>
      <c r="O605" s="5" t="n">
        <v>9430</v>
      </c>
      <c r="P605" s="125" t="n">
        <v>35.6</v>
      </c>
      <c r="Q605" s="125" t="n">
        <v>5.3</v>
      </c>
      <c r="R605" s="5" t="n">
        <v>9570</v>
      </c>
      <c r="S605" s="125" t="n">
        <v>754</v>
      </c>
      <c r="T605" s="5" t="n">
        <v>11100</v>
      </c>
      <c r="U605" s="5" t="n">
        <v>1200</v>
      </c>
      <c r="X605" s="129">
        <f t="array" ref="X605">_xlfn.IFS((D605/F605) &lt;= (640/SQRT($AT$32)), "Compact", L605 &lt;= ($AT$32*(0.79-(0.002*((E605-G605/2)/(2*F605))*SQRT($AT$32)))), "Non-Compact", L605 &gt; ($AT$32*(0.79-(0.002*((E605-G605/2)/(2*F605))*SQRT($AT$32)))), "Slender")</f>
        <v/>
      </c>
      <c r="Y605" s="129">
        <f t="array" ref="Y605">_xlfn.IFS(K605 &lt;= (65/SQRT($AT$32)), "Compact", K605 &lt;= (95/SQRT($AT$32)), "Non-Compact", K605 &gt; (95/SQRT($AT$32)), "Slender")</f>
        <v/>
      </c>
      <c r="Z605" s="125">
        <f>E605/F605</f>
        <v/>
      </c>
      <c r="AA605" s="125">
        <f>D605/G605</f>
        <v/>
      </c>
      <c r="AB605" s="125">
        <f t="array" ref="AB605">_xlfn.IFS(Z605 &lt;= 9, "1", Z605 &lt;= 12, "2", Z605 &lt;= 15, "3", Z605 &gt; 15, "4")</f>
        <v/>
      </c>
      <c r="AC605" s="125">
        <f t="array" ref="AC605">_xlfn.IFS(AA605 &lt;= 200, "1", L605 &lt;= 300, "2", L605 &lt;= 400, "3", L605 &gt; 400, "4")</f>
        <v/>
      </c>
      <c r="AF605" s="129">
        <f>SQRT((((VLOOKUP($AT$4,$A$4:$D$1021,4,FALSE))-D605)^2)+(((VLOOKUP($AT$4,$A$4:$E$1021,5,FALSE))-E605)^2)+(((VLOOKUP($AT$4,$A$4:$N$1021,14,FALSE))-N605)^2)+(((VLOOKUP($AT$4,$A$4:$O$1021,15,FALSE))-O605)^2))</f>
        <v/>
      </c>
      <c r="AG605" s="129" t="n"/>
      <c r="AI605" s="129">
        <f>SQRT((((VLOOKUP($AT$4,$A$4:$D$1021,4,FALSE))-D605)^2)+(((VLOOKUP($AT$4,$A$4:$E$1021,5,FALSE))-E605)^2)+(((VLOOKUP($AT$4,$A$4:$R$1021,18,FALSE))-R605)^2)+(((VLOOKUP($AT$4,$A$4:$S$1021,19,FALSE))-S605)^2))</f>
        <v/>
      </c>
      <c r="AJ605" s="125" t="inlineStr">
        <is>
          <t>HY900X267</t>
        </is>
      </c>
      <c r="AK605" s="125" t="n"/>
      <c r="AL605" s="125" t="n"/>
      <c r="AM605" s="125">
        <f>SQRT(((VLOOKUP($AT$4,$A$4:$J$1021,10,FALSE))-J605)^2)</f>
        <v/>
      </c>
      <c r="AN605" s="125" t="n"/>
      <c r="AO605" s="125" t="n"/>
      <c r="AP605" s="125">
        <f>SQRT(((VLOOKUP($AT$4,$A$4:$R$1021,18,FALSE))-R605)^2)</f>
        <v/>
      </c>
      <c r="AQ605" s="125" t="inlineStr">
        <is>
          <t>HY900X267</t>
        </is>
      </c>
      <c r="BB605" s="125">
        <f>SQRT(($J$1022-J605)^2)</f>
        <v/>
      </c>
      <c r="BC605" s="125">
        <f>SQRT(($R$1022-R605)^2)</f>
        <v/>
      </c>
      <c r="BD605" s="125" t="inlineStr">
        <is>
          <t>HY900X267</t>
        </is>
      </c>
      <c r="BI605">
        <f>SQRT(($J$1023-J605)^2)</f>
        <v/>
      </c>
      <c r="BJ605">
        <f>SQRT(($R$1023-R605)^2)</f>
        <v/>
      </c>
      <c r="BK605" s="125" t="inlineStr">
        <is>
          <t>HY900X267</t>
        </is>
      </c>
      <c r="BP605">
        <f>SQRT(($J$1024-J605)^2)</f>
        <v/>
      </c>
      <c r="BQ605">
        <f>SQRT(($R$1024-R605)^2)</f>
        <v/>
      </c>
      <c r="BR605" s="125" t="inlineStr">
        <is>
          <t>HY900X267</t>
        </is>
      </c>
      <c r="BW605">
        <f>SQRT(($J$1025-J605)^2)</f>
        <v/>
      </c>
      <c r="BX605">
        <f>SQRT(($R$1025-R605)^2)</f>
        <v/>
      </c>
      <c r="BY605" s="125" t="inlineStr">
        <is>
          <t>HY900X267</t>
        </is>
      </c>
      <c r="CD605">
        <f>SQRT(($J$1026-J605)^2)</f>
        <v/>
      </c>
      <c r="CE605">
        <f>SQRT(($R$1026-R605)^2)</f>
        <v/>
      </c>
      <c r="CF605" s="125" t="inlineStr">
        <is>
          <t>HY900X267</t>
        </is>
      </c>
    </row>
    <row r="606">
      <c r="A606" s="125" t="inlineStr">
        <is>
          <t>HY900X252</t>
        </is>
      </c>
      <c r="B606" s="129" t="inlineStr">
        <is>
          <t>HY</t>
        </is>
      </c>
      <c r="C606" s="125" t="n">
        <v>252</v>
      </c>
      <c r="D606" s="125" t="n">
        <v>900</v>
      </c>
      <c r="E606" s="125" t="n">
        <v>250</v>
      </c>
      <c r="F606" s="125" t="n">
        <v>32</v>
      </c>
      <c r="G606" s="125" t="n">
        <v>19</v>
      </c>
      <c r="H606" s="125" t="n">
        <v>18</v>
      </c>
      <c r="I606" s="125">
        <f>D606-(2*(H606+F606))</f>
        <v/>
      </c>
      <c r="J606" s="125">
        <f>(2*E606/10*F606/10)+((D606-F606-F606)/10*G606/10)+((H606/10+H606/10)^2)-(PI()*H606/10*H606/10)</f>
        <v/>
      </c>
      <c r="K606" s="125">
        <f>((E606-G606)/2)/F606</f>
        <v/>
      </c>
      <c r="L606" s="125">
        <f>I606/G606</f>
        <v/>
      </c>
      <c r="M606" s="125">
        <f>(E606*2+F606*4+((E606-G606)/2-H606)*4+2*PI()*H606+(D606-2*F606-2*H606)*2)/1000</f>
        <v/>
      </c>
      <c r="N606" s="5" t="n">
        <v>399000</v>
      </c>
      <c r="O606" s="5" t="n">
        <v>8390</v>
      </c>
      <c r="P606" s="125" t="n">
        <v>35.2</v>
      </c>
      <c r="Q606" s="125" t="n">
        <v>5.1</v>
      </c>
      <c r="R606" s="5" t="n">
        <v>8860</v>
      </c>
      <c r="S606" s="125" t="n">
        <v>671</v>
      </c>
      <c r="T606" s="5" t="n">
        <v>10400</v>
      </c>
      <c r="U606" s="5" t="n">
        <v>1080</v>
      </c>
      <c r="X606" s="129">
        <f t="array" ref="X606">_xlfn.IFS((D606/F606) &lt;= (640/SQRT($AT$32)), "Compact", L606 &lt;= ($AT$32*(0.79-(0.002*((E606-G606/2)/(2*F606))*SQRT($AT$32)))), "Non-Compact", L606 &gt; ($AT$32*(0.79-(0.002*((E606-G606/2)/(2*F606))*SQRT($AT$32)))), "Slender")</f>
        <v/>
      </c>
      <c r="Y606" s="129">
        <f t="array" ref="Y606">_xlfn.IFS(K606 &lt;= (65/SQRT($AT$32)), "Compact", K606 &lt;= (95/SQRT($AT$32)), "Non-Compact", K606 &gt; (95/SQRT($AT$32)), "Slender")</f>
        <v/>
      </c>
      <c r="Z606" s="125">
        <f>E606/F606</f>
        <v/>
      </c>
      <c r="AA606" s="125">
        <f>D606/G606</f>
        <v/>
      </c>
      <c r="AB606" s="125">
        <f t="array" ref="AB606">_xlfn.IFS(Z606 &lt;= 9, "1", Z606 &lt;= 12, "2", Z606 &lt;= 15, "3", Z606 &gt; 15, "4")</f>
        <v/>
      </c>
      <c r="AC606" s="125">
        <f t="array" ref="AC606">_xlfn.IFS(AA606 &lt;= 200, "1", L606 &lt;= 300, "2", L606 &lt;= 400, "3", L606 &gt; 400, "4")</f>
        <v/>
      </c>
      <c r="AF606" s="129">
        <f>SQRT((((VLOOKUP($AT$4,$A$4:$D$1021,4,FALSE))-D606)^2)+(((VLOOKUP($AT$4,$A$4:$E$1021,5,FALSE))-E606)^2)+(((VLOOKUP($AT$4,$A$4:$N$1021,14,FALSE))-N606)^2)+(((VLOOKUP($AT$4,$A$4:$O$1021,15,FALSE))-O606)^2))</f>
        <v/>
      </c>
      <c r="AG606" s="129" t="n"/>
      <c r="AI606" s="129">
        <f>SQRT((((VLOOKUP($AT$4,$A$4:$D$1021,4,FALSE))-D606)^2)+(((VLOOKUP($AT$4,$A$4:$E$1021,5,FALSE))-E606)^2)+(((VLOOKUP($AT$4,$A$4:$R$1021,18,FALSE))-R606)^2)+(((VLOOKUP($AT$4,$A$4:$S$1021,19,FALSE))-S606)^2))</f>
        <v/>
      </c>
      <c r="AJ606" s="125" t="inlineStr">
        <is>
          <t>HY900X252</t>
        </is>
      </c>
      <c r="AK606" s="125" t="n"/>
      <c r="AL606" s="125" t="n"/>
      <c r="AM606" s="125">
        <f>SQRT(((VLOOKUP($AT$4,$A$4:$J$1021,10,FALSE))-J606)^2)</f>
        <v/>
      </c>
      <c r="AN606" s="125" t="n"/>
      <c r="AO606" s="125" t="n"/>
      <c r="AP606" s="125">
        <f>SQRT(((VLOOKUP($AT$4,$A$4:$R$1021,18,FALSE))-R606)^2)</f>
        <v/>
      </c>
      <c r="AQ606" s="125" t="inlineStr">
        <is>
          <t>HY900X252</t>
        </is>
      </c>
      <c r="BB606" s="125">
        <f>SQRT(($J$1022-J606)^2)</f>
        <v/>
      </c>
      <c r="BC606" s="125">
        <f>SQRT(($R$1022-R606)^2)</f>
        <v/>
      </c>
      <c r="BD606" s="125" t="inlineStr">
        <is>
          <t>HY900X252</t>
        </is>
      </c>
      <c r="BI606">
        <f>SQRT(($J$1023-J606)^2)</f>
        <v/>
      </c>
      <c r="BJ606">
        <f>SQRT(($R$1023-R606)^2)</f>
        <v/>
      </c>
      <c r="BK606" s="125" t="inlineStr">
        <is>
          <t>HY900X252</t>
        </is>
      </c>
      <c r="BP606">
        <f>SQRT(($J$1024-J606)^2)</f>
        <v/>
      </c>
      <c r="BQ606">
        <f>SQRT(($R$1024-R606)^2)</f>
        <v/>
      </c>
      <c r="BR606" s="125" t="inlineStr">
        <is>
          <t>HY900X252</t>
        </is>
      </c>
      <c r="BW606">
        <f>SQRT(($J$1025-J606)^2)</f>
        <v/>
      </c>
      <c r="BX606">
        <f>SQRT(($R$1025-R606)^2)</f>
        <v/>
      </c>
      <c r="BY606" s="125" t="inlineStr">
        <is>
          <t>HY900X252</t>
        </is>
      </c>
      <c r="CD606">
        <f>SQRT(($J$1026-J606)^2)</f>
        <v/>
      </c>
      <c r="CE606">
        <f>SQRT(($R$1026-R606)^2)</f>
        <v/>
      </c>
      <c r="CF606" s="125" t="inlineStr">
        <is>
          <t>HY900X252</t>
        </is>
      </c>
    </row>
    <row r="607">
      <c r="A607" s="125" t="inlineStr">
        <is>
          <t>HY900X238</t>
        </is>
      </c>
      <c r="B607" s="129" t="inlineStr">
        <is>
          <t>HY</t>
        </is>
      </c>
      <c r="C607" s="125" t="n">
        <v>238</v>
      </c>
      <c r="D607" s="125" t="n">
        <v>900</v>
      </c>
      <c r="E607" s="125" t="n">
        <v>250</v>
      </c>
      <c r="F607" s="125" t="n">
        <v>28</v>
      </c>
      <c r="G607" s="125" t="n">
        <v>19</v>
      </c>
      <c r="H607" s="125" t="n">
        <v>18</v>
      </c>
      <c r="I607" s="125">
        <f>D607-(2*(H607+F607))</f>
        <v/>
      </c>
      <c r="J607" s="125">
        <f>(2*E607/10*F607/10)+((D607-F607-F607)/10*G607/10)+((H607/10+H607/10)^2)-(PI()*H607/10*H607/10)</f>
        <v/>
      </c>
      <c r="K607" s="125">
        <f>((E607-G607)/2)/F607</f>
        <v/>
      </c>
      <c r="L607" s="125">
        <f>I607/G607</f>
        <v/>
      </c>
      <c r="M607" s="125">
        <f>(E607*2+F607*4+((E607-G607)/2-H607)*4+2*PI()*H607+(D607-2*F607-2*H607)*2)/1000</f>
        <v/>
      </c>
      <c r="N607" s="5" t="n">
        <v>366000</v>
      </c>
      <c r="O607" s="5" t="n">
        <v>7350</v>
      </c>
      <c r="P607" s="125" t="n">
        <v>34.8</v>
      </c>
      <c r="Q607" s="125" t="n">
        <v>4.9</v>
      </c>
      <c r="R607" s="5" t="n">
        <v>8140</v>
      </c>
      <c r="S607" s="125" t="n">
        <v>588</v>
      </c>
      <c r="T607" s="5" t="n">
        <v>9600</v>
      </c>
      <c r="U607" s="125" t="n">
        <v>955</v>
      </c>
      <c r="X607" s="129">
        <f t="array" ref="X607">_xlfn.IFS((D607/F607) &lt;= (640/SQRT($AT$32)), "Compact", L607 &lt;= ($AT$32*(0.79-(0.002*((E607-G607/2)/(2*F607))*SQRT($AT$32)))), "Non-Compact", L607 &gt; ($AT$32*(0.79-(0.002*((E607-G607/2)/(2*F607))*SQRT($AT$32)))), "Slender")</f>
        <v/>
      </c>
      <c r="Y607" s="129">
        <f t="array" ref="Y607">_xlfn.IFS(K607 &lt;= (65/SQRT($AT$32)), "Compact", K607 &lt;= (95/SQRT($AT$32)), "Non-Compact", K607 &gt; (95/SQRT($AT$32)), "Slender")</f>
        <v/>
      </c>
      <c r="Z607" s="125">
        <f>E607/F607</f>
        <v/>
      </c>
      <c r="AA607" s="125">
        <f>D607/G607</f>
        <v/>
      </c>
      <c r="AB607" s="125">
        <f t="array" ref="AB607">_xlfn.IFS(Z607 &lt;= 9, "1", Z607 &lt;= 12, "2", Z607 &lt;= 15, "3", Z607 &gt; 15, "4")</f>
        <v/>
      </c>
      <c r="AC607" s="125">
        <f t="array" ref="AC607">_xlfn.IFS(AA607 &lt;= 200, "1", L607 &lt;= 300, "2", L607 &lt;= 400, "3", L607 &gt; 400, "4")</f>
        <v/>
      </c>
      <c r="AF607" s="129">
        <f>SQRT((((VLOOKUP($AT$4,$A$4:$D$1021,4,FALSE))-D607)^2)+(((VLOOKUP($AT$4,$A$4:$E$1021,5,FALSE))-E607)^2)+(((VLOOKUP($AT$4,$A$4:$N$1021,14,FALSE))-N607)^2)+(((VLOOKUP($AT$4,$A$4:$O$1021,15,FALSE))-O607)^2))</f>
        <v/>
      </c>
      <c r="AG607" s="129" t="n"/>
      <c r="AI607" s="129">
        <f>SQRT((((VLOOKUP($AT$4,$A$4:$D$1021,4,FALSE))-D607)^2)+(((VLOOKUP($AT$4,$A$4:$E$1021,5,FALSE))-E607)^2)+(((VLOOKUP($AT$4,$A$4:$R$1021,18,FALSE))-R607)^2)+(((VLOOKUP($AT$4,$A$4:$S$1021,19,FALSE))-S607)^2))</f>
        <v/>
      </c>
      <c r="AJ607" s="125" t="inlineStr">
        <is>
          <t>HY900X238</t>
        </is>
      </c>
      <c r="AK607" s="125" t="n"/>
      <c r="AL607" s="125" t="n"/>
      <c r="AM607" s="125">
        <f>SQRT(((VLOOKUP($AT$4,$A$4:$J$1021,10,FALSE))-J607)^2)</f>
        <v/>
      </c>
      <c r="AN607" s="125" t="n"/>
      <c r="AO607" s="125" t="n"/>
      <c r="AP607" s="125">
        <f>SQRT(((VLOOKUP($AT$4,$A$4:$R$1021,18,FALSE))-R607)^2)</f>
        <v/>
      </c>
      <c r="AQ607" s="125" t="inlineStr">
        <is>
          <t>HY900X238</t>
        </is>
      </c>
      <c r="BB607" s="125">
        <f>SQRT(($J$1022-J607)^2)</f>
        <v/>
      </c>
      <c r="BC607" s="125">
        <f>SQRT(($R$1022-R607)^2)</f>
        <v/>
      </c>
      <c r="BD607" s="125" t="inlineStr">
        <is>
          <t>HY900X238</t>
        </is>
      </c>
      <c r="BI607">
        <f>SQRT(($J$1023-J607)^2)</f>
        <v/>
      </c>
      <c r="BJ607">
        <f>SQRT(($R$1023-R607)^2)</f>
        <v/>
      </c>
      <c r="BK607" s="125" t="inlineStr">
        <is>
          <t>HY900X238</t>
        </is>
      </c>
      <c r="BP607">
        <f>SQRT(($J$1024-J607)^2)</f>
        <v/>
      </c>
      <c r="BQ607">
        <f>SQRT(($R$1024-R607)^2)</f>
        <v/>
      </c>
      <c r="BR607" s="125" t="inlineStr">
        <is>
          <t>HY900X238</t>
        </is>
      </c>
      <c r="BW607">
        <f>SQRT(($J$1025-J607)^2)</f>
        <v/>
      </c>
      <c r="BX607">
        <f>SQRT(($R$1025-R607)^2)</f>
        <v/>
      </c>
      <c r="BY607" s="125" t="inlineStr">
        <is>
          <t>HY900X238</t>
        </is>
      </c>
      <c r="CD607">
        <f>SQRT(($J$1026-J607)^2)</f>
        <v/>
      </c>
      <c r="CE607">
        <f>SQRT(($R$1026-R607)^2)</f>
        <v/>
      </c>
      <c r="CF607" s="125" t="inlineStr">
        <is>
          <t>HY900X238</t>
        </is>
      </c>
    </row>
    <row r="608">
      <c r="A608" s="125" t="inlineStr">
        <is>
          <t>HY900X227</t>
        </is>
      </c>
      <c r="B608" s="129" t="inlineStr">
        <is>
          <t>HY</t>
        </is>
      </c>
      <c r="C608" s="125" t="n">
        <v>227</v>
      </c>
      <c r="D608" s="125" t="n">
        <v>900</v>
      </c>
      <c r="E608" s="125" t="n">
        <v>250</v>
      </c>
      <c r="F608" s="125" t="n">
        <v>25</v>
      </c>
      <c r="G608" s="125" t="n">
        <v>19</v>
      </c>
      <c r="H608" s="125" t="n">
        <v>18</v>
      </c>
      <c r="I608" s="125">
        <f>D608-(2*(H608+F608))</f>
        <v/>
      </c>
      <c r="J608" s="125">
        <f>(2*E608/10*F608/10)+((D608-F608-F608)/10*G608/10)+((H608/10+H608/10)^2)-(PI()*H608/10*H608/10)</f>
        <v/>
      </c>
      <c r="K608" s="125">
        <f>((E608-G608)/2)/F608</f>
        <v/>
      </c>
      <c r="L608" s="125">
        <f>I608/G608</f>
        <v/>
      </c>
      <c r="M608" s="125">
        <f>(E608*2+F608*4+((E608-G608)/2-H608)*4+2*PI()*H608+(D608-2*F608-2*H608)*2)/1000</f>
        <v/>
      </c>
      <c r="N608" s="5" t="n">
        <v>341000</v>
      </c>
      <c r="O608" s="5" t="n">
        <v>6560</v>
      </c>
      <c r="P608" s="125" t="n">
        <v>34.4</v>
      </c>
      <c r="Q608" s="125" t="n">
        <v>4.8</v>
      </c>
      <c r="R608" s="5" t="n">
        <v>7590</v>
      </c>
      <c r="S608" s="125" t="n">
        <v>525</v>
      </c>
      <c r="T608" s="5" t="n">
        <v>9020</v>
      </c>
      <c r="U608" s="125" t="n">
        <v>862</v>
      </c>
      <c r="X608" s="129">
        <f t="array" ref="X608">_xlfn.IFS((D608/F608) &lt;= (640/SQRT($AT$32)), "Compact", L608 &lt;= ($AT$32*(0.79-(0.002*((E608-G608/2)/(2*F608))*SQRT($AT$32)))), "Non-Compact", L608 &gt; ($AT$32*(0.79-(0.002*((E608-G608/2)/(2*F608))*SQRT($AT$32)))), "Slender")</f>
        <v/>
      </c>
      <c r="Y608" s="129">
        <f t="array" ref="Y608">_xlfn.IFS(K608 &lt;= (65/SQRT($AT$32)), "Compact", K608 &lt;= (95/SQRT($AT$32)), "Non-Compact", K608 &gt; (95/SQRT($AT$32)), "Slender")</f>
        <v/>
      </c>
      <c r="Z608" s="125">
        <f>E608/F608</f>
        <v/>
      </c>
      <c r="AA608" s="125">
        <f>D608/G608</f>
        <v/>
      </c>
      <c r="AB608" s="125">
        <f t="array" ref="AB608">_xlfn.IFS(Z608 &lt;= 9, "1", Z608 &lt;= 12, "2", Z608 &lt;= 15, "3", Z608 &gt; 15, "4")</f>
        <v/>
      </c>
      <c r="AC608" s="125">
        <f t="array" ref="AC608">_xlfn.IFS(AA608 &lt;= 200, "1", L608 &lt;= 300, "2", L608 &lt;= 400, "3", L608 &gt; 400, "4")</f>
        <v/>
      </c>
      <c r="AF608" s="129">
        <f>SQRT((((VLOOKUP($AT$4,$A$4:$D$1021,4,FALSE))-D608)^2)+(((VLOOKUP($AT$4,$A$4:$E$1021,5,FALSE))-E608)^2)+(((VLOOKUP($AT$4,$A$4:$N$1021,14,FALSE))-N608)^2)+(((VLOOKUP($AT$4,$A$4:$O$1021,15,FALSE))-O608)^2))</f>
        <v/>
      </c>
      <c r="AG608" s="129" t="n"/>
      <c r="AI608" s="129">
        <f>SQRT((((VLOOKUP($AT$4,$A$4:$D$1021,4,FALSE))-D608)^2)+(((VLOOKUP($AT$4,$A$4:$E$1021,5,FALSE))-E608)^2)+(((VLOOKUP($AT$4,$A$4:$R$1021,18,FALSE))-R608)^2)+(((VLOOKUP($AT$4,$A$4:$S$1021,19,FALSE))-S608)^2))</f>
        <v/>
      </c>
      <c r="AJ608" s="125" t="inlineStr">
        <is>
          <t>HY900X227</t>
        </is>
      </c>
      <c r="AK608" s="125" t="n"/>
      <c r="AL608" s="125" t="n"/>
      <c r="AM608" s="125">
        <f>SQRT(((VLOOKUP($AT$4,$A$4:$J$1021,10,FALSE))-J608)^2)</f>
        <v/>
      </c>
      <c r="AN608" s="125" t="n"/>
      <c r="AO608" s="125" t="n"/>
      <c r="AP608" s="125">
        <f>SQRT(((VLOOKUP($AT$4,$A$4:$R$1021,18,FALSE))-R608)^2)</f>
        <v/>
      </c>
      <c r="AQ608" s="125" t="inlineStr">
        <is>
          <t>HY900X227</t>
        </is>
      </c>
      <c r="BB608" s="125">
        <f>SQRT(($J$1022-J608)^2)</f>
        <v/>
      </c>
      <c r="BC608" s="125">
        <f>SQRT(($R$1022-R608)^2)</f>
        <v/>
      </c>
      <c r="BD608" s="125" t="inlineStr">
        <is>
          <t>HY900X227</t>
        </is>
      </c>
      <c r="BI608">
        <f>SQRT(($J$1023-J608)^2)</f>
        <v/>
      </c>
      <c r="BJ608">
        <f>SQRT(($R$1023-R608)^2)</f>
        <v/>
      </c>
      <c r="BK608" s="125" t="inlineStr">
        <is>
          <t>HY900X227</t>
        </is>
      </c>
      <c r="BP608">
        <f>SQRT(($J$1024-J608)^2)</f>
        <v/>
      </c>
      <c r="BQ608">
        <f>SQRT(($R$1024-R608)^2)</f>
        <v/>
      </c>
      <c r="BR608" s="125" t="inlineStr">
        <is>
          <t>HY900X227</t>
        </is>
      </c>
      <c r="BW608">
        <f>SQRT(($J$1025-J608)^2)</f>
        <v/>
      </c>
      <c r="BX608">
        <f>SQRT(($R$1025-R608)^2)</f>
        <v/>
      </c>
      <c r="BY608" s="125" t="inlineStr">
        <is>
          <t>HY900X227</t>
        </is>
      </c>
      <c r="CD608">
        <f>SQRT(($J$1026-J608)^2)</f>
        <v/>
      </c>
      <c r="CE608">
        <f>SQRT(($R$1026-R608)^2)</f>
        <v/>
      </c>
      <c r="CF608" s="125" t="inlineStr">
        <is>
          <t>HY900X227</t>
        </is>
      </c>
    </row>
    <row r="609">
      <c r="A609" s="125" t="inlineStr">
        <is>
          <t>HY900X216</t>
        </is>
      </c>
      <c r="B609" s="129" t="inlineStr">
        <is>
          <t>HY</t>
        </is>
      </c>
      <c r="C609" s="125" t="n">
        <v>216</v>
      </c>
      <c r="D609" s="125" t="n">
        <v>900</v>
      </c>
      <c r="E609" s="125" t="n">
        <v>250</v>
      </c>
      <c r="F609" s="125" t="n">
        <v>22</v>
      </c>
      <c r="G609" s="125" t="n">
        <v>19</v>
      </c>
      <c r="H609" s="125" t="n">
        <v>18</v>
      </c>
      <c r="I609" s="125">
        <f>D609-(2*(H609+F609))</f>
        <v/>
      </c>
      <c r="J609" s="125">
        <f>(2*E609/10*F609/10)+((D609-F609-F609)/10*G609/10)+((H609/10+H609/10)^2)-(PI()*H609/10*H609/10)</f>
        <v/>
      </c>
      <c r="K609" s="125">
        <f>((E609-G609)/2)/F609</f>
        <v/>
      </c>
      <c r="L609" s="125">
        <f>I609/G609</f>
        <v/>
      </c>
      <c r="M609" s="125">
        <f>(E609*2+F609*4+((E609-G609)/2-H609)*4+2*PI()*H609+(D609-2*F609-2*H609)*2)/1000</f>
        <v/>
      </c>
      <c r="N609" s="5" t="n">
        <v>316000</v>
      </c>
      <c r="O609" s="5" t="n">
        <v>5780</v>
      </c>
      <c r="P609" s="125" t="n">
        <v>33.9</v>
      </c>
      <c r="Q609" s="125" t="n">
        <v>4.6</v>
      </c>
      <c r="R609" s="5" t="n">
        <v>7030</v>
      </c>
      <c r="S609" s="125" t="n">
        <v>463</v>
      </c>
      <c r="T609" s="5" t="n">
        <v>8430</v>
      </c>
      <c r="U609" s="125" t="n">
        <v>769</v>
      </c>
      <c r="X609" s="129">
        <f t="array" ref="X609">_xlfn.IFS((D609/F609) &lt;= (640/SQRT($AT$32)), "Compact", L609 &lt;= ($AT$32*(0.79-(0.002*((E609-G609/2)/(2*F609))*SQRT($AT$32)))), "Non-Compact", L609 &gt; ($AT$32*(0.79-(0.002*((E609-G609/2)/(2*F609))*SQRT($AT$32)))), "Slender")</f>
        <v/>
      </c>
      <c r="Y609" s="129">
        <f t="array" ref="Y609">_xlfn.IFS(K609 &lt;= (65/SQRT($AT$32)), "Compact", K609 &lt;= (95/SQRT($AT$32)), "Non-Compact", K609 &gt; (95/SQRT($AT$32)), "Slender")</f>
        <v/>
      </c>
      <c r="Z609" s="125">
        <f>E609/F609</f>
        <v/>
      </c>
      <c r="AA609" s="125">
        <f>D609/G609</f>
        <v/>
      </c>
      <c r="AB609" s="125">
        <f t="array" ref="AB609">_xlfn.IFS(Z609 &lt;= 9, "1", Z609 &lt;= 12, "2", Z609 &lt;= 15, "3", Z609 &gt; 15, "4")</f>
        <v/>
      </c>
      <c r="AC609" s="125">
        <f t="array" ref="AC609">_xlfn.IFS(AA609 &lt;= 200, "1", L609 &lt;= 300, "2", L609 &lt;= 400, "3", L609 &gt; 400, "4")</f>
        <v/>
      </c>
      <c r="AF609" s="129">
        <f>SQRT((((VLOOKUP($AT$4,$A$4:$D$1021,4,FALSE))-D609)^2)+(((VLOOKUP($AT$4,$A$4:$E$1021,5,FALSE))-E609)^2)+(((VLOOKUP($AT$4,$A$4:$N$1021,14,FALSE))-N609)^2)+(((VLOOKUP($AT$4,$A$4:$O$1021,15,FALSE))-O609)^2))</f>
        <v/>
      </c>
      <c r="AG609" s="129" t="n"/>
      <c r="AI609" s="129">
        <f>SQRT((((VLOOKUP($AT$4,$A$4:$D$1021,4,FALSE))-D609)^2)+(((VLOOKUP($AT$4,$A$4:$E$1021,5,FALSE))-E609)^2)+(((VLOOKUP($AT$4,$A$4:$R$1021,18,FALSE))-R609)^2)+(((VLOOKUP($AT$4,$A$4:$S$1021,19,FALSE))-S609)^2))</f>
        <v/>
      </c>
      <c r="AJ609" s="125" t="inlineStr">
        <is>
          <t>HY900X216</t>
        </is>
      </c>
      <c r="AK609" s="125" t="n"/>
      <c r="AL609" s="125" t="n"/>
      <c r="AM609" s="125">
        <f>SQRT(((VLOOKUP($AT$4,$A$4:$J$1021,10,FALSE))-J609)^2)</f>
        <v/>
      </c>
      <c r="AN609" s="125" t="n"/>
      <c r="AO609" s="125" t="n"/>
      <c r="AP609" s="125">
        <f>SQRT(((VLOOKUP($AT$4,$A$4:$R$1021,18,FALSE))-R609)^2)</f>
        <v/>
      </c>
      <c r="AQ609" s="125" t="inlineStr">
        <is>
          <t>HY900X216</t>
        </is>
      </c>
      <c r="BB609" s="125">
        <f>SQRT(($J$1022-J609)^2)</f>
        <v/>
      </c>
      <c r="BC609" s="125">
        <f>SQRT(($R$1022-R609)^2)</f>
        <v/>
      </c>
      <c r="BD609" s="125" t="inlineStr">
        <is>
          <t>HY900X216</t>
        </is>
      </c>
      <c r="BI609">
        <f>SQRT(($J$1023-J609)^2)</f>
        <v/>
      </c>
      <c r="BJ609">
        <f>SQRT(($R$1023-R609)^2)</f>
        <v/>
      </c>
      <c r="BK609" s="125" t="inlineStr">
        <is>
          <t>HY900X216</t>
        </is>
      </c>
      <c r="BP609">
        <f>SQRT(($J$1024-J609)^2)</f>
        <v/>
      </c>
      <c r="BQ609">
        <f>SQRT(($R$1024-R609)^2)</f>
        <v/>
      </c>
      <c r="BR609" s="125" t="inlineStr">
        <is>
          <t>HY900X216</t>
        </is>
      </c>
      <c r="BW609">
        <f>SQRT(($J$1025-J609)^2)</f>
        <v/>
      </c>
      <c r="BX609">
        <f>SQRT(($R$1025-R609)^2)</f>
        <v/>
      </c>
      <c r="BY609" s="125" t="inlineStr">
        <is>
          <t>HY900X216</t>
        </is>
      </c>
      <c r="CD609">
        <f>SQRT(($J$1026-J609)^2)</f>
        <v/>
      </c>
      <c r="CE609">
        <f>SQRT(($R$1026-R609)^2)</f>
        <v/>
      </c>
      <c r="CF609" s="125" t="inlineStr">
        <is>
          <t>HY900X216</t>
        </is>
      </c>
    </row>
    <row r="610">
      <c r="A610" s="125" t="inlineStr">
        <is>
          <t>HY900X233</t>
        </is>
      </c>
      <c r="B610" s="129" t="inlineStr">
        <is>
          <t>HY</t>
        </is>
      </c>
      <c r="C610" s="125" t="n">
        <v>233</v>
      </c>
      <c r="D610" s="125" t="n">
        <v>900</v>
      </c>
      <c r="E610" s="125" t="n">
        <v>250</v>
      </c>
      <c r="F610" s="125" t="n">
        <v>32</v>
      </c>
      <c r="G610" s="125" t="n">
        <v>16</v>
      </c>
      <c r="H610" s="125" t="n">
        <v>18</v>
      </c>
      <c r="I610" s="125">
        <f>D610-(2*(H610+F610))</f>
        <v/>
      </c>
      <c r="J610" s="125">
        <f>(2*E610/10*F610/10)+((D610-F610-F610)/10*G610/10)+((H610/10+H610/10)^2)-(PI()*H610/10*H610/10)</f>
        <v/>
      </c>
      <c r="K610" s="125">
        <f>((E610-G610)/2)/F610</f>
        <v/>
      </c>
      <c r="L610" s="125">
        <f>I610/G610</f>
        <v/>
      </c>
      <c r="M610" s="125">
        <f>(E610*2+F610*4+((E610-G610)/2-H610)*4+2*PI()*H610+(D610-2*F610-2*H610)*2)/1000</f>
        <v/>
      </c>
      <c r="N610" s="5" t="n">
        <v>384000</v>
      </c>
      <c r="O610" s="5" t="n">
        <v>8370</v>
      </c>
      <c r="P610" s="125" t="n">
        <v>36</v>
      </c>
      <c r="Q610" s="125" t="n">
        <v>5.3</v>
      </c>
      <c r="R610" s="5" t="n">
        <v>8540</v>
      </c>
      <c r="S610" s="125" t="n">
        <v>669</v>
      </c>
      <c r="T610" s="5" t="n">
        <v>9850</v>
      </c>
      <c r="U610" s="5" t="n">
        <v>1060</v>
      </c>
      <c r="X610" s="129">
        <f t="array" ref="X610">_xlfn.IFS((D610/F610) &lt;= (640/SQRT($AT$32)), "Compact", L610 &lt;= ($AT$32*(0.79-(0.002*((E610-G610/2)/(2*F610))*SQRT($AT$32)))), "Non-Compact", L610 &gt; ($AT$32*(0.79-(0.002*((E610-G610/2)/(2*F610))*SQRT($AT$32)))), "Slender")</f>
        <v/>
      </c>
      <c r="Y610" s="129">
        <f t="array" ref="Y610">_xlfn.IFS(K610 &lt;= (65/SQRT($AT$32)), "Compact", K610 &lt;= (95/SQRT($AT$32)), "Non-Compact", K610 &gt; (95/SQRT($AT$32)), "Slender")</f>
        <v/>
      </c>
      <c r="Z610" s="125">
        <f>E610/F610</f>
        <v/>
      </c>
      <c r="AA610" s="125">
        <f>D610/G610</f>
        <v/>
      </c>
      <c r="AB610" s="125">
        <f t="array" ref="AB610">_xlfn.IFS(Z610 &lt;= 9, "1", Z610 &lt;= 12, "2", Z610 &lt;= 15, "3", Z610 &gt; 15, "4")</f>
        <v/>
      </c>
      <c r="AC610" s="125">
        <f t="array" ref="AC610">_xlfn.IFS(AA610 &lt;= 200, "1", L610 &lt;= 300, "2", L610 &lt;= 400, "3", L610 &gt; 400, "4")</f>
        <v/>
      </c>
      <c r="AF610" s="129">
        <f>SQRT((((VLOOKUP($AT$4,$A$4:$D$1021,4,FALSE))-D610)^2)+(((VLOOKUP($AT$4,$A$4:$E$1021,5,FALSE))-E610)^2)+(((VLOOKUP($AT$4,$A$4:$N$1021,14,FALSE))-N610)^2)+(((VLOOKUP($AT$4,$A$4:$O$1021,15,FALSE))-O610)^2))</f>
        <v/>
      </c>
      <c r="AG610" s="129" t="n"/>
      <c r="AI610" s="129">
        <f>SQRT((((VLOOKUP($AT$4,$A$4:$D$1021,4,FALSE))-D610)^2)+(((VLOOKUP($AT$4,$A$4:$E$1021,5,FALSE))-E610)^2)+(((VLOOKUP($AT$4,$A$4:$R$1021,18,FALSE))-R610)^2)+(((VLOOKUP($AT$4,$A$4:$S$1021,19,FALSE))-S610)^2))</f>
        <v/>
      </c>
      <c r="AJ610" s="125" t="inlineStr">
        <is>
          <t>HY900X233</t>
        </is>
      </c>
      <c r="AK610" s="125" t="n"/>
      <c r="AL610" s="125" t="n"/>
      <c r="AM610" s="125">
        <f>SQRT(((VLOOKUP($AT$4,$A$4:$J$1021,10,FALSE))-J610)^2)</f>
        <v/>
      </c>
      <c r="AN610" s="125" t="n"/>
      <c r="AO610" s="125" t="n"/>
      <c r="AP610" s="125">
        <f>SQRT(((VLOOKUP($AT$4,$A$4:$R$1021,18,FALSE))-R610)^2)</f>
        <v/>
      </c>
      <c r="AQ610" s="125" t="inlineStr">
        <is>
          <t>HY900X233</t>
        </is>
      </c>
      <c r="BB610" s="125">
        <f>SQRT(($J$1022-J610)^2)</f>
        <v/>
      </c>
      <c r="BC610" s="125">
        <f>SQRT(($R$1022-R610)^2)</f>
        <v/>
      </c>
      <c r="BD610" s="125" t="inlineStr">
        <is>
          <t>HY900X233</t>
        </is>
      </c>
      <c r="BI610">
        <f>SQRT(($J$1023-J610)^2)</f>
        <v/>
      </c>
      <c r="BJ610">
        <f>SQRT(($R$1023-R610)^2)</f>
        <v/>
      </c>
      <c r="BK610" s="125" t="inlineStr">
        <is>
          <t>HY900X233</t>
        </is>
      </c>
      <c r="BP610">
        <f>SQRT(($J$1024-J610)^2)</f>
        <v/>
      </c>
      <c r="BQ610">
        <f>SQRT(($R$1024-R610)^2)</f>
        <v/>
      </c>
      <c r="BR610" s="125" t="inlineStr">
        <is>
          <t>HY900X233</t>
        </is>
      </c>
      <c r="BW610">
        <f>SQRT(($J$1025-J610)^2)</f>
        <v/>
      </c>
      <c r="BX610">
        <f>SQRT(($R$1025-R610)^2)</f>
        <v/>
      </c>
      <c r="BY610" s="125" t="inlineStr">
        <is>
          <t>HY900X233</t>
        </is>
      </c>
      <c r="CD610">
        <f>SQRT(($J$1026-J610)^2)</f>
        <v/>
      </c>
      <c r="CE610">
        <f>SQRT(($R$1026-R610)^2)</f>
        <v/>
      </c>
      <c r="CF610" s="125" t="inlineStr">
        <is>
          <t>HY900X233</t>
        </is>
      </c>
    </row>
    <row r="611">
      <c r="A611" s="125" t="inlineStr">
        <is>
          <t>HY900X218</t>
        </is>
      </c>
      <c r="B611" s="129" t="inlineStr">
        <is>
          <t>HY</t>
        </is>
      </c>
      <c r="C611" s="125" t="n">
        <v>218</v>
      </c>
      <c r="D611" s="125" t="n">
        <v>900</v>
      </c>
      <c r="E611" s="125" t="n">
        <v>250</v>
      </c>
      <c r="F611" s="125" t="n">
        <v>28</v>
      </c>
      <c r="G611" s="125" t="n">
        <v>16</v>
      </c>
      <c r="H611" s="125" t="n">
        <v>18</v>
      </c>
      <c r="I611" s="125">
        <f>D611-(2*(H611+F611))</f>
        <v/>
      </c>
      <c r="J611" s="125">
        <f>(2*E611/10*F611/10)+((D611-F611-F611)/10*G611/10)+((H611/10+H611/10)^2)-(PI()*H611/10*H611/10)</f>
        <v/>
      </c>
      <c r="K611" s="125">
        <f>((E611-G611)/2)/F611</f>
        <v/>
      </c>
      <c r="L611" s="125">
        <f>I611/G611</f>
        <v/>
      </c>
      <c r="M611" s="125">
        <f>(E611*2+F611*4+((E611-G611)/2-H611)*4+2*PI()*H611+(D611-2*F611-2*H611)*2)/1000</f>
        <v/>
      </c>
      <c r="N611" s="5" t="n">
        <v>351000</v>
      </c>
      <c r="O611" s="5" t="n">
        <v>7320</v>
      </c>
      <c r="P611" s="125" t="n">
        <v>35.6</v>
      </c>
      <c r="Q611" s="125" t="n">
        <v>5.1</v>
      </c>
      <c r="R611" s="5" t="n">
        <v>7810</v>
      </c>
      <c r="S611" s="125" t="n">
        <v>586</v>
      </c>
      <c r="T611" s="5" t="n">
        <v>9070</v>
      </c>
      <c r="U611" s="125" t="n">
        <v>932</v>
      </c>
      <c r="X611" s="129">
        <f t="array" ref="X611">_xlfn.IFS((D611/F611) &lt;= (640/SQRT($AT$32)), "Compact", L611 &lt;= ($AT$32*(0.79-(0.002*((E611-G611/2)/(2*F611))*SQRT($AT$32)))), "Non-Compact", L611 &gt; ($AT$32*(0.79-(0.002*((E611-G611/2)/(2*F611))*SQRT($AT$32)))), "Slender")</f>
        <v/>
      </c>
      <c r="Y611" s="129">
        <f t="array" ref="Y611">_xlfn.IFS(K611 &lt;= (65/SQRT($AT$32)), "Compact", K611 &lt;= (95/SQRT($AT$32)), "Non-Compact", K611 &gt; (95/SQRT($AT$32)), "Slender")</f>
        <v/>
      </c>
      <c r="Z611" s="125">
        <f>E611/F611</f>
        <v/>
      </c>
      <c r="AA611" s="125">
        <f>D611/G611</f>
        <v/>
      </c>
      <c r="AB611" s="125">
        <f t="array" ref="AB611">_xlfn.IFS(Z611 &lt;= 9, "1", Z611 &lt;= 12, "2", Z611 &lt;= 15, "3", Z611 &gt; 15, "4")</f>
        <v/>
      </c>
      <c r="AC611" s="125">
        <f t="array" ref="AC611">_xlfn.IFS(AA611 &lt;= 200, "1", L611 &lt;= 300, "2", L611 &lt;= 400, "3", L611 &gt; 400, "4")</f>
        <v/>
      </c>
      <c r="AF611" s="129">
        <f>SQRT((((VLOOKUP($AT$4,$A$4:$D$1021,4,FALSE))-D611)^2)+(((VLOOKUP($AT$4,$A$4:$E$1021,5,FALSE))-E611)^2)+(((VLOOKUP($AT$4,$A$4:$N$1021,14,FALSE))-N611)^2)+(((VLOOKUP($AT$4,$A$4:$O$1021,15,FALSE))-O611)^2))</f>
        <v/>
      </c>
      <c r="AG611" s="129" t="n"/>
      <c r="AI611" s="129">
        <f>SQRT((((VLOOKUP($AT$4,$A$4:$D$1021,4,FALSE))-D611)^2)+(((VLOOKUP($AT$4,$A$4:$E$1021,5,FALSE))-E611)^2)+(((VLOOKUP($AT$4,$A$4:$R$1021,18,FALSE))-R611)^2)+(((VLOOKUP($AT$4,$A$4:$S$1021,19,FALSE))-S611)^2))</f>
        <v/>
      </c>
      <c r="AJ611" s="125" t="inlineStr">
        <is>
          <t>HY900X218</t>
        </is>
      </c>
      <c r="AK611" s="125" t="n"/>
      <c r="AL611" s="125" t="n"/>
      <c r="AM611" s="125">
        <f>SQRT(((VLOOKUP($AT$4,$A$4:$J$1021,10,FALSE))-J611)^2)</f>
        <v/>
      </c>
      <c r="AN611" s="125" t="n"/>
      <c r="AO611" s="125" t="n"/>
      <c r="AP611" s="125">
        <f>SQRT(((VLOOKUP($AT$4,$A$4:$R$1021,18,FALSE))-R611)^2)</f>
        <v/>
      </c>
      <c r="AQ611" s="125" t="inlineStr">
        <is>
          <t>HY900X218</t>
        </is>
      </c>
      <c r="BB611" s="125">
        <f>SQRT(($J$1022-J611)^2)</f>
        <v/>
      </c>
      <c r="BC611" s="125">
        <f>SQRT(($R$1022-R611)^2)</f>
        <v/>
      </c>
      <c r="BD611" s="125" t="inlineStr">
        <is>
          <t>HY900X218</t>
        </is>
      </c>
      <c r="BI611">
        <f>SQRT(($J$1023-J611)^2)</f>
        <v/>
      </c>
      <c r="BJ611">
        <f>SQRT(($R$1023-R611)^2)</f>
        <v/>
      </c>
      <c r="BK611" s="125" t="inlineStr">
        <is>
          <t>HY900X218</t>
        </is>
      </c>
      <c r="BP611">
        <f>SQRT(($J$1024-J611)^2)</f>
        <v/>
      </c>
      <c r="BQ611">
        <f>SQRT(($R$1024-R611)^2)</f>
        <v/>
      </c>
      <c r="BR611" s="125" t="inlineStr">
        <is>
          <t>HY900X218</t>
        </is>
      </c>
      <c r="BW611">
        <f>SQRT(($J$1025-J611)^2)</f>
        <v/>
      </c>
      <c r="BX611">
        <f>SQRT(($R$1025-R611)^2)</f>
        <v/>
      </c>
      <c r="BY611" s="125" t="inlineStr">
        <is>
          <t>HY900X218</t>
        </is>
      </c>
      <c r="CD611">
        <f>SQRT(($J$1026-J611)^2)</f>
        <v/>
      </c>
      <c r="CE611">
        <f>SQRT(($R$1026-R611)^2)</f>
        <v/>
      </c>
      <c r="CF611" s="125" t="inlineStr">
        <is>
          <t>HY900X218</t>
        </is>
      </c>
    </row>
    <row r="612">
      <c r="A612" s="125" t="inlineStr">
        <is>
          <t>HY900X207</t>
        </is>
      </c>
      <c r="B612" s="129" t="inlineStr">
        <is>
          <t>HY</t>
        </is>
      </c>
      <c r="C612" s="125" t="n">
        <v>207</v>
      </c>
      <c r="D612" s="125" t="n">
        <v>900</v>
      </c>
      <c r="E612" s="125" t="n">
        <v>250</v>
      </c>
      <c r="F612" s="125" t="n">
        <v>25</v>
      </c>
      <c r="G612" s="125" t="n">
        <v>16</v>
      </c>
      <c r="H612" s="125" t="n">
        <v>18</v>
      </c>
      <c r="I612" s="125">
        <f>D612-(2*(H612+F612))</f>
        <v/>
      </c>
      <c r="J612" s="125">
        <f>(2*E612/10*F612/10)+((D612-F612-F612)/10*G612/10)+((H612/10+H612/10)^2)-(PI()*H612/10*H612/10)</f>
        <v/>
      </c>
      <c r="K612" s="125">
        <f>((E612-G612)/2)/F612</f>
        <v/>
      </c>
      <c r="L612" s="125">
        <f>I612/G612</f>
        <v/>
      </c>
      <c r="M612" s="125">
        <f>(E612*2+F612*4+((E612-G612)/2-H612)*4+2*PI()*H612+(D612-2*F612-2*H612)*2)/1000</f>
        <v/>
      </c>
      <c r="N612" s="5" t="n">
        <v>326000</v>
      </c>
      <c r="O612" s="5" t="n">
        <v>6540</v>
      </c>
      <c r="P612" s="125" t="n">
        <v>35.2</v>
      </c>
      <c r="Q612" s="125" t="n">
        <v>5</v>
      </c>
      <c r="R612" s="5" t="n">
        <v>7250</v>
      </c>
      <c r="S612" s="125" t="n">
        <v>524</v>
      </c>
      <c r="T612" s="5" t="n">
        <v>8480</v>
      </c>
      <c r="U612" s="125" t="n">
        <v>839</v>
      </c>
      <c r="X612" s="129">
        <f t="array" ref="X612">_xlfn.IFS((D612/F612) &lt;= (640/SQRT($AT$32)), "Compact", L612 &lt;= ($AT$32*(0.79-(0.002*((E612-G612/2)/(2*F612))*SQRT($AT$32)))), "Non-Compact", L612 &gt; ($AT$32*(0.79-(0.002*((E612-G612/2)/(2*F612))*SQRT($AT$32)))), "Slender")</f>
        <v/>
      </c>
      <c r="Y612" s="129">
        <f t="array" ref="Y612">_xlfn.IFS(K612 &lt;= (65/SQRT($AT$32)), "Compact", K612 &lt;= (95/SQRT($AT$32)), "Non-Compact", K612 &gt; (95/SQRT($AT$32)), "Slender")</f>
        <v/>
      </c>
      <c r="Z612" s="125">
        <f>E612/F612</f>
        <v/>
      </c>
      <c r="AA612" s="125">
        <f>D612/G612</f>
        <v/>
      </c>
      <c r="AB612" s="125">
        <f t="array" ref="AB612">_xlfn.IFS(Z612 &lt;= 9, "1", Z612 &lt;= 12, "2", Z612 &lt;= 15, "3", Z612 &gt; 15, "4")</f>
        <v/>
      </c>
      <c r="AC612" s="125">
        <f t="array" ref="AC612">_xlfn.IFS(AA612 &lt;= 200, "1", L612 &lt;= 300, "2", L612 &lt;= 400, "3", L612 &gt; 400, "4")</f>
        <v/>
      </c>
      <c r="AF612" s="129">
        <f>SQRT((((VLOOKUP($AT$4,$A$4:$D$1021,4,FALSE))-D612)^2)+(((VLOOKUP($AT$4,$A$4:$E$1021,5,FALSE))-E612)^2)+(((VLOOKUP($AT$4,$A$4:$N$1021,14,FALSE))-N612)^2)+(((VLOOKUP($AT$4,$A$4:$O$1021,15,FALSE))-O612)^2))</f>
        <v/>
      </c>
      <c r="AG612" s="129" t="n"/>
      <c r="AI612" s="129">
        <f>SQRT((((VLOOKUP($AT$4,$A$4:$D$1021,4,FALSE))-D612)^2)+(((VLOOKUP($AT$4,$A$4:$E$1021,5,FALSE))-E612)^2)+(((VLOOKUP($AT$4,$A$4:$R$1021,18,FALSE))-R612)^2)+(((VLOOKUP($AT$4,$A$4:$S$1021,19,FALSE))-S612)^2))</f>
        <v/>
      </c>
      <c r="AJ612" s="125" t="inlineStr">
        <is>
          <t>HY900X207</t>
        </is>
      </c>
      <c r="AK612" s="125" t="n"/>
      <c r="AL612" s="125" t="n"/>
      <c r="AM612" s="125">
        <f>SQRT(((VLOOKUP($AT$4,$A$4:$J$1021,10,FALSE))-J612)^2)</f>
        <v/>
      </c>
      <c r="AN612" s="125" t="n"/>
      <c r="AO612" s="125" t="n"/>
      <c r="AP612" s="125">
        <f>SQRT(((VLOOKUP($AT$4,$A$4:$R$1021,18,FALSE))-R612)^2)</f>
        <v/>
      </c>
      <c r="AQ612" s="125" t="inlineStr">
        <is>
          <t>HY900X207</t>
        </is>
      </c>
      <c r="BB612" s="125">
        <f>SQRT(($J$1022-J612)^2)</f>
        <v/>
      </c>
      <c r="BC612" s="125">
        <f>SQRT(($R$1022-R612)^2)</f>
        <v/>
      </c>
      <c r="BD612" s="125" t="inlineStr">
        <is>
          <t>HY900X207</t>
        </is>
      </c>
      <c r="BI612">
        <f>SQRT(($J$1023-J612)^2)</f>
        <v/>
      </c>
      <c r="BJ612">
        <f>SQRT(($R$1023-R612)^2)</f>
        <v/>
      </c>
      <c r="BK612" s="125" t="inlineStr">
        <is>
          <t>HY900X207</t>
        </is>
      </c>
      <c r="BP612">
        <f>SQRT(($J$1024-J612)^2)</f>
        <v/>
      </c>
      <c r="BQ612">
        <f>SQRT(($R$1024-R612)^2)</f>
        <v/>
      </c>
      <c r="BR612" s="125" t="inlineStr">
        <is>
          <t>HY900X207</t>
        </is>
      </c>
      <c r="BW612">
        <f>SQRT(($J$1025-J612)^2)</f>
        <v/>
      </c>
      <c r="BX612">
        <f>SQRT(($R$1025-R612)^2)</f>
        <v/>
      </c>
      <c r="BY612" s="125" t="inlineStr">
        <is>
          <t>HY900X207</t>
        </is>
      </c>
      <c r="CD612">
        <f>SQRT(($J$1026-J612)^2)</f>
        <v/>
      </c>
      <c r="CE612">
        <f>SQRT(($R$1026-R612)^2)</f>
        <v/>
      </c>
      <c r="CF612" s="125" t="inlineStr">
        <is>
          <t>HY900X207</t>
        </is>
      </c>
    </row>
    <row r="613">
      <c r="A613" s="125" t="inlineStr">
        <is>
          <t>HY900X196</t>
        </is>
      </c>
      <c r="B613" s="129" t="inlineStr">
        <is>
          <t>HY</t>
        </is>
      </c>
      <c r="C613" s="125" t="n">
        <v>196</v>
      </c>
      <c r="D613" s="125" t="n">
        <v>900</v>
      </c>
      <c r="E613" s="125" t="n">
        <v>250</v>
      </c>
      <c r="F613" s="125" t="n">
        <v>22</v>
      </c>
      <c r="G613" s="125" t="n">
        <v>16</v>
      </c>
      <c r="H613" s="125" t="n">
        <v>18</v>
      </c>
      <c r="I613" s="125">
        <f>D613-(2*(H613+F613))</f>
        <v/>
      </c>
      <c r="J613" s="125">
        <f>(2*E613/10*F613/10)+((D613-F613-F613)/10*G613/10)+((H613/10+H613/10)^2)-(PI()*H613/10*H613/10)</f>
        <v/>
      </c>
      <c r="K613" s="125">
        <f>((E613-G613)/2)/F613</f>
        <v/>
      </c>
      <c r="L613" s="125">
        <f>I613/G613</f>
        <v/>
      </c>
      <c r="M613" s="125">
        <f>(E613*2+F613*4+((E613-G613)/2-H613)*4+2*PI()*H613+(D613-2*F613-2*H613)*2)/1000</f>
        <v/>
      </c>
      <c r="N613" s="5" t="n">
        <v>301000</v>
      </c>
      <c r="O613" s="5" t="n">
        <v>5760</v>
      </c>
      <c r="P613" s="125" t="n">
        <v>34.7</v>
      </c>
      <c r="Q613" s="125" t="n">
        <v>4.8</v>
      </c>
      <c r="R613" s="5" t="n">
        <v>6680</v>
      </c>
      <c r="S613" s="125" t="n">
        <v>461</v>
      </c>
      <c r="T613" s="5" t="n">
        <v>7880</v>
      </c>
      <c r="U613" s="125" t="n">
        <v>746</v>
      </c>
      <c r="X613" s="129">
        <f t="array" ref="X613">_xlfn.IFS((D613/F613) &lt;= (640/SQRT($AT$32)), "Compact", L613 &lt;= ($AT$32*(0.79-(0.002*((E613-G613/2)/(2*F613))*SQRT($AT$32)))), "Non-Compact", L613 &gt; ($AT$32*(0.79-(0.002*((E613-G613/2)/(2*F613))*SQRT($AT$32)))), "Slender")</f>
        <v/>
      </c>
      <c r="Y613" s="129">
        <f t="array" ref="Y613">_xlfn.IFS(K613 &lt;= (65/SQRT($AT$32)), "Compact", K613 &lt;= (95/SQRT($AT$32)), "Non-Compact", K613 &gt; (95/SQRT($AT$32)), "Slender")</f>
        <v/>
      </c>
      <c r="Z613" s="125">
        <f>E613/F613</f>
        <v/>
      </c>
      <c r="AA613" s="125">
        <f>D613/G613</f>
        <v/>
      </c>
      <c r="AB613" s="125">
        <f t="array" ref="AB613">_xlfn.IFS(Z613 &lt;= 9, "1", Z613 &lt;= 12, "2", Z613 &lt;= 15, "3", Z613 &gt; 15, "4")</f>
        <v/>
      </c>
      <c r="AC613" s="125">
        <f t="array" ref="AC613">_xlfn.IFS(AA613 &lt;= 200, "1", L613 &lt;= 300, "2", L613 &lt;= 400, "3", L613 &gt; 400, "4")</f>
        <v/>
      </c>
      <c r="AF613" s="129">
        <f>SQRT((((VLOOKUP($AT$4,$A$4:$D$1021,4,FALSE))-D613)^2)+(((VLOOKUP($AT$4,$A$4:$E$1021,5,FALSE))-E613)^2)+(((VLOOKUP($AT$4,$A$4:$N$1021,14,FALSE))-N613)^2)+(((VLOOKUP($AT$4,$A$4:$O$1021,15,FALSE))-O613)^2))</f>
        <v/>
      </c>
      <c r="AG613" s="129" t="n"/>
      <c r="AI613" s="129">
        <f>SQRT((((VLOOKUP($AT$4,$A$4:$D$1021,4,FALSE))-D613)^2)+(((VLOOKUP($AT$4,$A$4:$E$1021,5,FALSE))-E613)^2)+(((VLOOKUP($AT$4,$A$4:$R$1021,18,FALSE))-R613)^2)+(((VLOOKUP($AT$4,$A$4:$S$1021,19,FALSE))-S613)^2))</f>
        <v/>
      </c>
      <c r="AJ613" s="125" t="inlineStr">
        <is>
          <t>HY900X196</t>
        </is>
      </c>
      <c r="AK613" s="125" t="n"/>
      <c r="AL613" s="125" t="n"/>
      <c r="AM613" s="125">
        <f>SQRT(((VLOOKUP($AT$4,$A$4:$J$1021,10,FALSE))-J613)^2)</f>
        <v/>
      </c>
      <c r="AN613" s="125" t="n"/>
      <c r="AO613" s="125" t="n"/>
      <c r="AP613" s="125">
        <f>SQRT(((VLOOKUP($AT$4,$A$4:$R$1021,18,FALSE))-R613)^2)</f>
        <v/>
      </c>
      <c r="AQ613" s="125" t="inlineStr">
        <is>
          <t>HY900X196</t>
        </is>
      </c>
      <c r="BB613" s="125">
        <f>SQRT(($J$1022-J613)^2)</f>
        <v/>
      </c>
      <c r="BC613" s="125">
        <f>SQRT(($R$1022-R613)^2)</f>
        <v/>
      </c>
      <c r="BD613" s="125" t="inlineStr">
        <is>
          <t>HY900X196</t>
        </is>
      </c>
      <c r="BI613">
        <f>SQRT(($J$1023-J613)^2)</f>
        <v/>
      </c>
      <c r="BJ613">
        <f>SQRT(($R$1023-R613)^2)</f>
        <v/>
      </c>
      <c r="BK613" s="125" t="inlineStr">
        <is>
          <t>HY900X196</t>
        </is>
      </c>
      <c r="BP613">
        <f>SQRT(($J$1024-J613)^2)</f>
        <v/>
      </c>
      <c r="BQ613">
        <f>SQRT(($R$1024-R613)^2)</f>
        <v/>
      </c>
      <c r="BR613" s="125" t="inlineStr">
        <is>
          <t>HY900X196</t>
        </is>
      </c>
      <c r="BW613">
        <f>SQRT(($J$1025-J613)^2)</f>
        <v/>
      </c>
      <c r="BX613">
        <f>SQRT(($R$1025-R613)^2)</f>
        <v/>
      </c>
      <c r="BY613" s="125" t="inlineStr">
        <is>
          <t>HY900X196</t>
        </is>
      </c>
      <c r="CD613">
        <f>SQRT(($J$1026-J613)^2)</f>
        <v/>
      </c>
      <c r="CE613">
        <f>SQRT(($R$1026-R613)^2)</f>
        <v/>
      </c>
      <c r="CF613" s="125" t="inlineStr">
        <is>
          <t>HY900X196</t>
        </is>
      </c>
    </row>
    <row r="614">
      <c r="A614" s="125" t="inlineStr">
        <is>
          <t>HY900X185</t>
        </is>
      </c>
      <c r="B614" s="129" t="inlineStr">
        <is>
          <t>HY</t>
        </is>
      </c>
      <c r="C614" s="125" t="n">
        <v>185</v>
      </c>
      <c r="D614" s="125" t="n">
        <v>900</v>
      </c>
      <c r="E614" s="125" t="n">
        <v>250</v>
      </c>
      <c r="F614" s="125" t="n">
        <v>19</v>
      </c>
      <c r="G614" s="125" t="n">
        <v>16</v>
      </c>
      <c r="H614" s="125" t="n">
        <v>18</v>
      </c>
      <c r="I614" s="125">
        <f>D614-(2*(H614+F614))</f>
        <v/>
      </c>
      <c r="J614" s="125">
        <f>(2*E614/10*F614/10)+((D614-F614-F614)/10*G614/10)+((H614/10+H614/10)^2)-(PI()*H614/10*H614/10)</f>
        <v/>
      </c>
      <c r="K614" s="125">
        <f>((E614-G614)/2)/F614</f>
        <v/>
      </c>
      <c r="L614" s="125">
        <f>I614/G614</f>
        <v/>
      </c>
      <c r="M614" s="125">
        <f>(E614*2+F614*4+((E614-G614)/2-H614)*4+2*PI()*H614+(D614-2*F614-2*H614)*2)/1000</f>
        <v/>
      </c>
      <c r="N614" s="5" t="n">
        <v>275000</v>
      </c>
      <c r="O614" s="5" t="n">
        <v>4980</v>
      </c>
      <c r="P614" s="125" t="n">
        <v>34.1</v>
      </c>
      <c r="Q614" s="125" t="n">
        <v>4.6</v>
      </c>
      <c r="R614" s="5" t="n">
        <v>6110</v>
      </c>
      <c r="S614" s="125" t="n">
        <v>399</v>
      </c>
      <c r="T614" s="5" t="n">
        <v>7280</v>
      </c>
      <c r="U614" s="125" t="n">
        <v>652</v>
      </c>
      <c r="X614" s="129">
        <f t="array" ref="X614">_xlfn.IFS((D614/F614) &lt;= (640/SQRT($AT$32)), "Compact", L614 &lt;= ($AT$32*(0.79-(0.002*((E614-G614/2)/(2*F614))*SQRT($AT$32)))), "Non-Compact", L614 &gt; ($AT$32*(0.79-(0.002*((E614-G614/2)/(2*F614))*SQRT($AT$32)))), "Slender")</f>
        <v/>
      </c>
      <c r="Y614" s="129">
        <f t="array" ref="Y614">_xlfn.IFS(K614 &lt;= (65/SQRT($AT$32)), "Compact", K614 &lt;= (95/SQRT($AT$32)), "Non-Compact", K614 &gt; (95/SQRT($AT$32)), "Slender")</f>
        <v/>
      </c>
      <c r="Z614" s="125">
        <f>E614/F614</f>
        <v/>
      </c>
      <c r="AA614" s="125">
        <f>D614/G614</f>
        <v/>
      </c>
      <c r="AB614" s="125">
        <f t="array" ref="AB614">_xlfn.IFS(Z614 &lt;= 9, "1", Z614 &lt;= 12, "2", Z614 &lt;= 15, "3", Z614 &gt; 15, "4")</f>
        <v/>
      </c>
      <c r="AC614" s="125">
        <f t="array" ref="AC614">_xlfn.IFS(AA614 &lt;= 200, "1", L614 &lt;= 300, "2", L614 &lt;= 400, "3", L614 &gt; 400, "4")</f>
        <v/>
      </c>
      <c r="AF614" s="129">
        <f>SQRT((((VLOOKUP($AT$4,$A$4:$D$1021,4,FALSE))-D614)^2)+(((VLOOKUP($AT$4,$A$4:$E$1021,5,FALSE))-E614)^2)+(((VLOOKUP($AT$4,$A$4:$N$1021,14,FALSE))-N614)^2)+(((VLOOKUP($AT$4,$A$4:$O$1021,15,FALSE))-O614)^2))</f>
        <v/>
      </c>
      <c r="AG614" s="129" t="n"/>
      <c r="AI614" s="129">
        <f>SQRT((((VLOOKUP($AT$4,$A$4:$D$1021,4,FALSE))-D614)^2)+(((VLOOKUP($AT$4,$A$4:$E$1021,5,FALSE))-E614)^2)+(((VLOOKUP($AT$4,$A$4:$R$1021,18,FALSE))-R614)^2)+(((VLOOKUP($AT$4,$A$4:$S$1021,19,FALSE))-S614)^2))</f>
        <v/>
      </c>
      <c r="AJ614" s="125" t="inlineStr">
        <is>
          <t>HY900X185</t>
        </is>
      </c>
      <c r="AK614" s="125" t="n"/>
      <c r="AL614" s="125" t="n"/>
      <c r="AM614" s="125">
        <f>SQRT(((VLOOKUP($AT$4,$A$4:$J$1021,10,FALSE))-J614)^2)</f>
        <v/>
      </c>
      <c r="AN614" s="125" t="n"/>
      <c r="AO614" s="125" t="n"/>
      <c r="AP614" s="125">
        <f>SQRT(((VLOOKUP($AT$4,$A$4:$R$1021,18,FALSE))-R614)^2)</f>
        <v/>
      </c>
      <c r="AQ614" s="125" t="inlineStr">
        <is>
          <t>HY900X185</t>
        </is>
      </c>
      <c r="BB614" s="125">
        <f>SQRT(($J$1022-J614)^2)</f>
        <v/>
      </c>
      <c r="BC614" s="125">
        <f>SQRT(($R$1022-R614)^2)</f>
        <v/>
      </c>
      <c r="BD614" s="125" t="inlineStr">
        <is>
          <t>HY900X185</t>
        </is>
      </c>
      <c r="BI614">
        <f>SQRT(($J$1023-J614)^2)</f>
        <v/>
      </c>
      <c r="BJ614">
        <f>SQRT(($R$1023-R614)^2)</f>
        <v/>
      </c>
      <c r="BK614" s="125" t="inlineStr">
        <is>
          <t>HY900X185</t>
        </is>
      </c>
      <c r="BP614">
        <f>SQRT(($J$1024-J614)^2)</f>
        <v/>
      </c>
      <c r="BQ614">
        <f>SQRT(($R$1024-R614)^2)</f>
        <v/>
      </c>
      <c r="BR614" s="125" t="inlineStr">
        <is>
          <t>HY900X185</t>
        </is>
      </c>
      <c r="BW614">
        <f>SQRT(($J$1025-J614)^2)</f>
        <v/>
      </c>
      <c r="BX614">
        <f>SQRT(($R$1025-R614)^2)</f>
        <v/>
      </c>
      <c r="BY614" s="125" t="inlineStr">
        <is>
          <t>HY900X185</t>
        </is>
      </c>
      <c r="CD614">
        <f>SQRT(($J$1026-J614)^2)</f>
        <v/>
      </c>
      <c r="CE614">
        <f>SQRT(($R$1026-R614)^2)</f>
        <v/>
      </c>
      <c r="CF614" s="125" t="inlineStr">
        <is>
          <t>HY900X185</t>
        </is>
      </c>
    </row>
    <row r="615">
      <c r="A615" s="125" t="inlineStr">
        <is>
          <t>HY900X205</t>
        </is>
      </c>
      <c r="B615" s="129" t="inlineStr">
        <is>
          <t>HY</t>
        </is>
      </c>
      <c r="C615" s="125" t="n">
        <v>205</v>
      </c>
      <c r="D615" s="125" t="n">
        <v>900</v>
      </c>
      <c r="E615" s="125" t="n">
        <v>250</v>
      </c>
      <c r="F615" s="125" t="n">
        <v>28</v>
      </c>
      <c r="G615" s="125" t="n">
        <v>14</v>
      </c>
      <c r="H615" s="125" t="n">
        <v>18</v>
      </c>
      <c r="I615" s="125">
        <f>D615-(2*(H615+F615))</f>
        <v/>
      </c>
      <c r="J615" s="125">
        <f>(2*E615/10*F615/10)+((D615-F615-F615)/10*G615/10)+((H615/10+H615/10)^2)-(PI()*H615/10*H615/10)</f>
        <v/>
      </c>
      <c r="K615" s="125">
        <f>((E615-G615)/2)/F615</f>
        <v/>
      </c>
      <c r="L615" s="125">
        <f>I615/G615</f>
        <v/>
      </c>
      <c r="M615" s="125">
        <f>(E615*2+F615*4+((E615-G615)/2-H615)*4+2*PI()*H615+(D615-2*F615-2*H615)*2)/1000</f>
        <v/>
      </c>
      <c r="N615" s="5" t="n">
        <v>341000</v>
      </c>
      <c r="O615" s="5" t="n">
        <v>7310</v>
      </c>
      <c r="P615" s="125" t="n">
        <v>36.2</v>
      </c>
      <c r="Q615" s="125" t="n">
        <v>5.3</v>
      </c>
      <c r="R615" s="5" t="n">
        <v>7580</v>
      </c>
      <c r="S615" s="125" t="n">
        <v>585</v>
      </c>
      <c r="T615" s="5" t="n">
        <v>8710</v>
      </c>
      <c r="U615" s="125" t="n">
        <v>919</v>
      </c>
      <c r="X615" s="129">
        <f t="array" ref="X615">_xlfn.IFS((D615/F615) &lt;= (640/SQRT($AT$32)), "Compact", L615 &lt;= ($AT$32*(0.79-(0.002*((E615-G615/2)/(2*F615))*SQRT($AT$32)))), "Non-Compact", L615 &gt; ($AT$32*(0.79-(0.002*((E615-G615/2)/(2*F615))*SQRT($AT$32)))), "Slender")</f>
        <v/>
      </c>
      <c r="Y615" s="129">
        <f t="array" ref="Y615">_xlfn.IFS(K615 &lt;= (65/SQRT($AT$32)), "Compact", K615 &lt;= (95/SQRT($AT$32)), "Non-Compact", K615 &gt; (95/SQRT($AT$32)), "Slender")</f>
        <v/>
      </c>
      <c r="Z615" s="125">
        <f>E615/F615</f>
        <v/>
      </c>
      <c r="AA615" s="125">
        <f>D615/G615</f>
        <v/>
      </c>
      <c r="AB615" s="125">
        <f t="array" ref="AB615">_xlfn.IFS(Z615 &lt;= 9, "1", Z615 &lt;= 12, "2", Z615 &lt;= 15, "3", Z615 &gt; 15, "4")</f>
        <v/>
      </c>
      <c r="AC615" s="125">
        <f t="array" ref="AC615">_xlfn.IFS(AA615 &lt;= 200, "1", L615 &lt;= 300, "2", L615 &lt;= 400, "3", L615 &gt; 400, "4")</f>
        <v/>
      </c>
      <c r="AF615" s="129">
        <f>SQRT((((VLOOKUP($AT$4,$A$4:$D$1021,4,FALSE))-D615)^2)+(((VLOOKUP($AT$4,$A$4:$E$1021,5,FALSE))-E615)^2)+(((VLOOKUP($AT$4,$A$4:$N$1021,14,FALSE))-N615)^2)+(((VLOOKUP($AT$4,$A$4:$O$1021,15,FALSE))-O615)^2))</f>
        <v/>
      </c>
      <c r="AG615" s="129" t="n"/>
      <c r="AI615" s="129">
        <f>SQRT((((VLOOKUP($AT$4,$A$4:$D$1021,4,FALSE))-D615)^2)+(((VLOOKUP($AT$4,$A$4:$E$1021,5,FALSE))-E615)^2)+(((VLOOKUP($AT$4,$A$4:$R$1021,18,FALSE))-R615)^2)+(((VLOOKUP($AT$4,$A$4:$S$1021,19,FALSE))-S615)^2))</f>
        <v/>
      </c>
      <c r="AJ615" s="125" t="inlineStr">
        <is>
          <t>HY900X205</t>
        </is>
      </c>
      <c r="AK615" s="125" t="n"/>
      <c r="AL615" s="125" t="n"/>
      <c r="AM615" s="125">
        <f>SQRT(((VLOOKUP($AT$4,$A$4:$J$1021,10,FALSE))-J615)^2)</f>
        <v/>
      </c>
      <c r="AN615" s="125" t="n"/>
      <c r="AO615" s="125" t="n"/>
      <c r="AP615" s="125">
        <f>SQRT(((VLOOKUP($AT$4,$A$4:$R$1021,18,FALSE))-R615)^2)</f>
        <v/>
      </c>
      <c r="AQ615" s="125" t="inlineStr">
        <is>
          <t>HY900X205</t>
        </is>
      </c>
      <c r="BB615" s="125">
        <f>SQRT(($J$1022-J615)^2)</f>
        <v/>
      </c>
      <c r="BC615" s="125">
        <f>SQRT(($R$1022-R615)^2)</f>
        <v/>
      </c>
      <c r="BD615" s="125" t="inlineStr">
        <is>
          <t>HY900X205</t>
        </is>
      </c>
      <c r="BI615">
        <f>SQRT(($J$1023-J615)^2)</f>
        <v/>
      </c>
      <c r="BJ615">
        <f>SQRT(($R$1023-R615)^2)</f>
        <v/>
      </c>
      <c r="BK615" s="125" t="inlineStr">
        <is>
          <t>HY900X205</t>
        </is>
      </c>
      <c r="BP615">
        <f>SQRT(($J$1024-J615)^2)</f>
        <v/>
      </c>
      <c r="BQ615">
        <f>SQRT(($R$1024-R615)^2)</f>
        <v/>
      </c>
      <c r="BR615" s="125" t="inlineStr">
        <is>
          <t>HY900X205</t>
        </is>
      </c>
      <c r="BW615">
        <f>SQRT(($J$1025-J615)^2)</f>
        <v/>
      </c>
      <c r="BX615">
        <f>SQRT(($R$1025-R615)^2)</f>
        <v/>
      </c>
      <c r="BY615" s="125" t="inlineStr">
        <is>
          <t>HY900X205</t>
        </is>
      </c>
      <c r="CD615">
        <f>SQRT(($J$1026-J615)^2)</f>
        <v/>
      </c>
      <c r="CE615">
        <f>SQRT(($R$1026-R615)^2)</f>
        <v/>
      </c>
      <c r="CF615" s="125" t="inlineStr">
        <is>
          <t>HY900X205</t>
        </is>
      </c>
    </row>
    <row r="616">
      <c r="A616" s="125" t="inlineStr">
        <is>
          <t>HY900X194</t>
        </is>
      </c>
      <c r="B616" s="129" t="inlineStr">
        <is>
          <t>HY</t>
        </is>
      </c>
      <c r="C616" s="125" t="n">
        <v>194</v>
      </c>
      <c r="D616" s="125" t="n">
        <v>900</v>
      </c>
      <c r="E616" s="125" t="n">
        <v>250</v>
      </c>
      <c r="F616" s="125" t="n">
        <v>25</v>
      </c>
      <c r="G616" s="125" t="n">
        <v>14</v>
      </c>
      <c r="H616" s="125" t="n">
        <v>18</v>
      </c>
      <c r="I616" s="125">
        <f>D616-(2*(H616+F616))</f>
        <v/>
      </c>
      <c r="J616" s="125">
        <f>(2*E616/10*F616/10)+((D616-F616-F616)/10*G616/10)+((H616/10+H616/10)^2)-(PI()*H616/10*H616/10)</f>
        <v/>
      </c>
      <c r="K616" s="125">
        <f>((E616-G616)/2)/F616</f>
        <v/>
      </c>
      <c r="L616" s="125">
        <f>I616/G616</f>
        <v/>
      </c>
      <c r="M616" s="125">
        <f>(E616*2+F616*4+((E616-G616)/2-H616)*4+2*PI()*H616+(D616-2*F616-2*H616)*2)/1000</f>
        <v/>
      </c>
      <c r="N616" s="5" t="n">
        <v>316000</v>
      </c>
      <c r="O616" s="5" t="n">
        <v>6530</v>
      </c>
      <c r="P616" s="125" t="n">
        <v>35.8</v>
      </c>
      <c r="Q616" s="125" t="n">
        <v>5.2</v>
      </c>
      <c r="R616" s="5" t="n">
        <v>7020</v>
      </c>
      <c r="S616" s="125" t="n">
        <v>523</v>
      </c>
      <c r="T616" s="5" t="n">
        <v>8110</v>
      </c>
      <c r="U616" s="125" t="n">
        <v>826</v>
      </c>
      <c r="X616" s="129">
        <f t="array" ref="X616">_xlfn.IFS((D616/F616) &lt;= (640/SQRT($AT$32)), "Compact", L616 &lt;= ($AT$32*(0.79-(0.002*((E616-G616/2)/(2*F616))*SQRT($AT$32)))), "Non-Compact", L616 &gt; ($AT$32*(0.79-(0.002*((E616-G616/2)/(2*F616))*SQRT($AT$32)))), "Slender")</f>
        <v/>
      </c>
      <c r="Y616" s="129">
        <f t="array" ref="Y616">_xlfn.IFS(K616 &lt;= (65/SQRT($AT$32)), "Compact", K616 &lt;= (95/SQRT($AT$32)), "Non-Compact", K616 &gt; (95/SQRT($AT$32)), "Slender")</f>
        <v/>
      </c>
      <c r="Z616" s="125">
        <f>E616/F616</f>
        <v/>
      </c>
      <c r="AA616" s="125">
        <f>D616/G616</f>
        <v/>
      </c>
      <c r="AB616" s="125">
        <f t="array" ref="AB616">_xlfn.IFS(Z616 &lt;= 9, "1", Z616 &lt;= 12, "2", Z616 &lt;= 15, "3", Z616 &gt; 15, "4")</f>
        <v/>
      </c>
      <c r="AC616" s="125">
        <f t="array" ref="AC616">_xlfn.IFS(AA616 &lt;= 200, "1", L616 &lt;= 300, "2", L616 &lt;= 400, "3", L616 &gt; 400, "4")</f>
        <v/>
      </c>
      <c r="AF616" s="129">
        <f>SQRT((((VLOOKUP($AT$4,$A$4:$D$1021,4,FALSE))-D616)^2)+(((VLOOKUP($AT$4,$A$4:$E$1021,5,FALSE))-E616)^2)+(((VLOOKUP($AT$4,$A$4:$N$1021,14,FALSE))-N616)^2)+(((VLOOKUP($AT$4,$A$4:$O$1021,15,FALSE))-O616)^2))</f>
        <v/>
      </c>
      <c r="AG616" s="129" t="n"/>
      <c r="AI616" s="129">
        <f>SQRT((((VLOOKUP($AT$4,$A$4:$D$1021,4,FALSE))-D616)^2)+(((VLOOKUP($AT$4,$A$4:$E$1021,5,FALSE))-E616)^2)+(((VLOOKUP($AT$4,$A$4:$R$1021,18,FALSE))-R616)^2)+(((VLOOKUP($AT$4,$A$4:$S$1021,19,FALSE))-S616)^2))</f>
        <v/>
      </c>
      <c r="AJ616" s="125" t="inlineStr">
        <is>
          <t>HY900X194</t>
        </is>
      </c>
      <c r="AK616" s="125" t="n"/>
      <c r="AL616" s="125" t="n"/>
      <c r="AM616" s="125">
        <f>SQRT(((VLOOKUP($AT$4,$A$4:$J$1021,10,FALSE))-J616)^2)</f>
        <v/>
      </c>
      <c r="AN616" s="125" t="n"/>
      <c r="AO616" s="125" t="n"/>
      <c r="AP616" s="125">
        <f>SQRT(((VLOOKUP($AT$4,$A$4:$R$1021,18,FALSE))-R616)^2)</f>
        <v/>
      </c>
      <c r="AQ616" s="125" t="inlineStr">
        <is>
          <t>HY900X194</t>
        </is>
      </c>
      <c r="BB616" s="125">
        <f>SQRT(($J$1022-J616)^2)</f>
        <v/>
      </c>
      <c r="BC616" s="125">
        <f>SQRT(($R$1022-R616)^2)</f>
        <v/>
      </c>
      <c r="BD616" s="125" t="inlineStr">
        <is>
          <t>HY900X194</t>
        </is>
      </c>
      <c r="BI616">
        <f>SQRT(($J$1023-J616)^2)</f>
        <v/>
      </c>
      <c r="BJ616">
        <f>SQRT(($R$1023-R616)^2)</f>
        <v/>
      </c>
      <c r="BK616" s="125" t="inlineStr">
        <is>
          <t>HY900X194</t>
        </is>
      </c>
      <c r="BP616">
        <f>SQRT(($J$1024-J616)^2)</f>
        <v/>
      </c>
      <c r="BQ616">
        <f>SQRT(($R$1024-R616)^2)</f>
        <v/>
      </c>
      <c r="BR616" s="125" t="inlineStr">
        <is>
          <t>HY900X194</t>
        </is>
      </c>
      <c r="BW616">
        <f>SQRT(($J$1025-J616)^2)</f>
        <v/>
      </c>
      <c r="BX616">
        <f>SQRT(($R$1025-R616)^2)</f>
        <v/>
      </c>
      <c r="BY616" s="125" t="inlineStr">
        <is>
          <t>HY900X194</t>
        </is>
      </c>
      <c r="CD616">
        <f>SQRT(($J$1026-J616)^2)</f>
        <v/>
      </c>
      <c r="CE616">
        <f>SQRT(($R$1026-R616)^2)</f>
        <v/>
      </c>
      <c r="CF616" s="125" t="inlineStr">
        <is>
          <t>HY900X194</t>
        </is>
      </c>
    </row>
    <row r="617">
      <c r="A617" s="125" t="inlineStr">
        <is>
          <t>HY900X183</t>
        </is>
      </c>
      <c r="B617" s="129" t="inlineStr">
        <is>
          <t>HY</t>
        </is>
      </c>
      <c r="C617" s="125" t="n">
        <v>183</v>
      </c>
      <c r="D617" s="125" t="n">
        <v>900</v>
      </c>
      <c r="E617" s="125" t="n">
        <v>250</v>
      </c>
      <c r="F617" s="125" t="n">
        <v>22</v>
      </c>
      <c r="G617" s="125" t="n">
        <v>14</v>
      </c>
      <c r="H617" s="125" t="n">
        <v>18</v>
      </c>
      <c r="I617" s="125">
        <f>D617-(2*(H617+F617))</f>
        <v/>
      </c>
      <c r="J617" s="125">
        <f>(2*E617/10*F617/10)+((D617-F617-F617)/10*G617/10)+((H617/10+H617/10)^2)-(PI()*H617/10*H617/10)</f>
        <v/>
      </c>
      <c r="K617" s="125">
        <f>((E617-G617)/2)/F617</f>
        <v/>
      </c>
      <c r="L617" s="125">
        <f>I617/G617</f>
        <v/>
      </c>
      <c r="M617" s="125">
        <f>(E617*2+F617*4+((E617-G617)/2-H617)*4+2*PI()*H617+(D617-2*F617-2*H617)*2)/1000</f>
        <v/>
      </c>
      <c r="N617" s="5" t="n">
        <v>290000</v>
      </c>
      <c r="O617" s="5" t="n">
        <v>5750</v>
      </c>
      <c r="P617" s="125" t="n">
        <v>35.3</v>
      </c>
      <c r="Q617" s="125" t="n">
        <v>5</v>
      </c>
      <c r="R617" s="5" t="n">
        <v>6450</v>
      </c>
      <c r="S617" s="125" t="n">
        <v>460</v>
      </c>
      <c r="T617" s="5" t="n">
        <v>7510</v>
      </c>
      <c r="U617" s="125" t="n">
        <v>733</v>
      </c>
      <c r="X617" s="129">
        <f t="array" ref="X617">_xlfn.IFS((D617/F617) &lt;= (640/SQRT($AT$32)), "Compact", L617 &lt;= ($AT$32*(0.79-(0.002*((E617-G617/2)/(2*F617))*SQRT($AT$32)))), "Non-Compact", L617 &gt; ($AT$32*(0.79-(0.002*((E617-G617/2)/(2*F617))*SQRT($AT$32)))), "Slender")</f>
        <v/>
      </c>
      <c r="Y617" s="129">
        <f t="array" ref="Y617">_xlfn.IFS(K617 &lt;= (65/SQRT($AT$32)), "Compact", K617 &lt;= (95/SQRT($AT$32)), "Non-Compact", K617 &gt; (95/SQRT($AT$32)), "Slender")</f>
        <v/>
      </c>
      <c r="Z617" s="125">
        <f>E617/F617</f>
        <v/>
      </c>
      <c r="AA617" s="125">
        <f>D617/G617</f>
        <v/>
      </c>
      <c r="AB617" s="125">
        <f t="array" ref="AB617">_xlfn.IFS(Z617 &lt;= 9, "1", Z617 &lt;= 12, "2", Z617 &lt;= 15, "3", Z617 &gt; 15, "4")</f>
        <v/>
      </c>
      <c r="AC617" s="125">
        <f t="array" ref="AC617">_xlfn.IFS(AA617 &lt;= 200, "1", L617 &lt;= 300, "2", L617 &lt;= 400, "3", L617 &gt; 400, "4")</f>
        <v/>
      </c>
      <c r="AF617" s="129">
        <f>SQRT((((VLOOKUP($AT$4,$A$4:$D$1021,4,FALSE))-D617)^2)+(((VLOOKUP($AT$4,$A$4:$E$1021,5,FALSE))-E617)^2)+(((VLOOKUP($AT$4,$A$4:$N$1021,14,FALSE))-N617)^2)+(((VLOOKUP($AT$4,$A$4:$O$1021,15,FALSE))-O617)^2))</f>
        <v/>
      </c>
      <c r="AG617" s="129" t="n"/>
      <c r="AI617" s="129">
        <f>SQRT((((VLOOKUP($AT$4,$A$4:$D$1021,4,FALSE))-D617)^2)+(((VLOOKUP($AT$4,$A$4:$E$1021,5,FALSE))-E617)^2)+(((VLOOKUP($AT$4,$A$4:$R$1021,18,FALSE))-R617)^2)+(((VLOOKUP($AT$4,$A$4:$S$1021,19,FALSE))-S617)^2))</f>
        <v/>
      </c>
      <c r="AJ617" s="125" t="inlineStr">
        <is>
          <t>HY900X183</t>
        </is>
      </c>
      <c r="AK617" s="125" t="n"/>
      <c r="AL617" s="125" t="n"/>
      <c r="AM617" s="125">
        <f>SQRT(((VLOOKUP($AT$4,$A$4:$J$1021,10,FALSE))-J617)^2)</f>
        <v/>
      </c>
      <c r="AN617" s="125" t="n"/>
      <c r="AO617" s="125" t="n"/>
      <c r="AP617" s="125">
        <f>SQRT(((VLOOKUP($AT$4,$A$4:$R$1021,18,FALSE))-R617)^2)</f>
        <v/>
      </c>
      <c r="AQ617" s="125" t="inlineStr">
        <is>
          <t>HY900X183</t>
        </is>
      </c>
      <c r="BB617" s="125">
        <f>SQRT(($J$1022-J617)^2)</f>
        <v/>
      </c>
      <c r="BC617" s="125">
        <f>SQRT(($R$1022-R617)^2)</f>
        <v/>
      </c>
      <c r="BD617" s="125" t="inlineStr">
        <is>
          <t>HY900X183</t>
        </is>
      </c>
      <c r="BI617">
        <f>SQRT(($J$1023-J617)^2)</f>
        <v/>
      </c>
      <c r="BJ617">
        <f>SQRT(($R$1023-R617)^2)</f>
        <v/>
      </c>
      <c r="BK617" s="125" t="inlineStr">
        <is>
          <t>HY900X183</t>
        </is>
      </c>
      <c r="BP617">
        <f>SQRT(($J$1024-J617)^2)</f>
        <v/>
      </c>
      <c r="BQ617">
        <f>SQRT(($R$1024-R617)^2)</f>
        <v/>
      </c>
      <c r="BR617" s="125" t="inlineStr">
        <is>
          <t>HY900X183</t>
        </is>
      </c>
      <c r="BW617">
        <f>SQRT(($J$1025-J617)^2)</f>
        <v/>
      </c>
      <c r="BX617">
        <f>SQRT(($R$1025-R617)^2)</f>
        <v/>
      </c>
      <c r="BY617" s="125" t="inlineStr">
        <is>
          <t>HY900X183</t>
        </is>
      </c>
      <c r="CD617">
        <f>SQRT(($J$1026-J617)^2)</f>
        <v/>
      </c>
      <c r="CE617">
        <f>SQRT(($R$1026-R617)^2)</f>
        <v/>
      </c>
      <c r="CF617" s="125" t="inlineStr">
        <is>
          <t>HY900X183</t>
        </is>
      </c>
    </row>
    <row r="618">
      <c r="A618" s="125" t="inlineStr">
        <is>
          <t>HY900X171</t>
        </is>
      </c>
      <c r="B618" s="129" t="inlineStr">
        <is>
          <t>HY</t>
        </is>
      </c>
      <c r="C618" s="125" t="n">
        <v>171</v>
      </c>
      <c r="D618" s="125" t="n">
        <v>900</v>
      </c>
      <c r="E618" s="125" t="n">
        <v>250</v>
      </c>
      <c r="F618" s="125" t="n">
        <v>19</v>
      </c>
      <c r="G618" s="125" t="n">
        <v>14</v>
      </c>
      <c r="H618" s="125" t="n">
        <v>18</v>
      </c>
      <c r="I618" s="125">
        <f>D618-(2*(H618+F618))</f>
        <v/>
      </c>
      <c r="J618" s="125">
        <f>(2*E618/10*F618/10)+((D618-F618-F618)/10*G618/10)+((H618/10+H618/10)^2)-(PI()*H618/10*H618/10)</f>
        <v/>
      </c>
      <c r="K618" s="125">
        <f>((E618-G618)/2)/F618</f>
        <v/>
      </c>
      <c r="L618" s="125">
        <f>I618/G618</f>
        <v/>
      </c>
      <c r="M618" s="125">
        <f>(E618*2+F618*4+((E618-G618)/2-H618)*4+2*PI()*H618+(D618-2*F618-2*H618)*2)/1000</f>
        <v/>
      </c>
      <c r="N618" s="5" t="n">
        <v>264000</v>
      </c>
      <c r="O618" s="5" t="n">
        <v>4970</v>
      </c>
      <c r="P618" s="125" t="n">
        <v>34.8</v>
      </c>
      <c r="Q618" s="125" t="n">
        <v>4.8</v>
      </c>
      <c r="R618" s="5" t="n">
        <v>5870</v>
      </c>
      <c r="S618" s="125" t="n">
        <v>398</v>
      </c>
      <c r="T618" s="5" t="n">
        <v>6900</v>
      </c>
      <c r="U618" s="125" t="n">
        <v>639</v>
      </c>
      <c r="X618" s="129">
        <f t="array" ref="X618">_xlfn.IFS((D618/F618) &lt;= (640/SQRT($AT$32)), "Compact", L618 &lt;= ($AT$32*(0.79-(0.002*((E618-G618/2)/(2*F618))*SQRT($AT$32)))), "Non-Compact", L618 &gt; ($AT$32*(0.79-(0.002*((E618-G618/2)/(2*F618))*SQRT($AT$32)))), "Slender")</f>
        <v/>
      </c>
      <c r="Y618" s="129">
        <f t="array" ref="Y618">_xlfn.IFS(K618 &lt;= (65/SQRT($AT$32)), "Compact", K618 &lt;= (95/SQRT($AT$32)), "Non-Compact", K618 &gt; (95/SQRT($AT$32)), "Slender")</f>
        <v/>
      </c>
      <c r="Z618" s="125">
        <f>E618/F618</f>
        <v/>
      </c>
      <c r="AA618" s="125">
        <f>D618/G618</f>
        <v/>
      </c>
      <c r="AB618" s="125">
        <f t="array" ref="AB618">_xlfn.IFS(Z618 &lt;= 9, "1", Z618 &lt;= 12, "2", Z618 &lt;= 15, "3", Z618 &gt; 15, "4")</f>
        <v/>
      </c>
      <c r="AC618" s="125">
        <f t="array" ref="AC618">_xlfn.IFS(AA618 &lt;= 200, "1", L618 &lt;= 300, "2", L618 &lt;= 400, "3", L618 &gt; 400, "4")</f>
        <v/>
      </c>
      <c r="AF618" s="129">
        <f>SQRT((((VLOOKUP($AT$4,$A$4:$D$1021,4,FALSE))-D618)^2)+(((VLOOKUP($AT$4,$A$4:$E$1021,5,FALSE))-E618)^2)+(((VLOOKUP($AT$4,$A$4:$N$1021,14,FALSE))-N618)^2)+(((VLOOKUP($AT$4,$A$4:$O$1021,15,FALSE))-O618)^2))</f>
        <v/>
      </c>
      <c r="AG618" s="129" t="n"/>
      <c r="AI618" s="129">
        <f>SQRT((((VLOOKUP($AT$4,$A$4:$D$1021,4,FALSE))-D618)^2)+(((VLOOKUP($AT$4,$A$4:$E$1021,5,FALSE))-E618)^2)+(((VLOOKUP($AT$4,$A$4:$R$1021,18,FALSE))-R618)^2)+(((VLOOKUP($AT$4,$A$4:$S$1021,19,FALSE))-S618)^2))</f>
        <v/>
      </c>
      <c r="AJ618" s="125" t="inlineStr">
        <is>
          <t>HY900X171</t>
        </is>
      </c>
      <c r="AK618" s="125" t="n"/>
      <c r="AL618" s="125" t="n"/>
      <c r="AM618" s="125">
        <f>SQRT(((VLOOKUP($AT$4,$A$4:$J$1021,10,FALSE))-J618)^2)</f>
        <v/>
      </c>
      <c r="AN618" s="125" t="n"/>
      <c r="AO618" s="125" t="n"/>
      <c r="AP618" s="125">
        <f>SQRT(((VLOOKUP($AT$4,$A$4:$R$1021,18,FALSE))-R618)^2)</f>
        <v/>
      </c>
      <c r="AQ618" s="125" t="inlineStr">
        <is>
          <t>HY900X171</t>
        </is>
      </c>
      <c r="BB618" s="125">
        <f>SQRT(($J$1022-J618)^2)</f>
        <v/>
      </c>
      <c r="BC618" s="125">
        <f>SQRT(($R$1022-R618)^2)</f>
        <v/>
      </c>
      <c r="BD618" s="125" t="inlineStr">
        <is>
          <t>HY900X171</t>
        </is>
      </c>
      <c r="BI618">
        <f>SQRT(($J$1023-J618)^2)</f>
        <v/>
      </c>
      <c r="BJ618">
        <f>SQRT(($R$1023-R618)^2)</f>
        <v/>
      </c>
      <c r="BK618" s="125" t="inlineStr">
        <is>
          <t>HY900X171</t>
        </is>
      </c>
      <c r="BP618">
        <f>SQRT(($J$1024-J618)^2)</f>
        <v/>
      </c>
      <c r="BQ618">
        <f>SQRT(($R$1024-R618)^2)</f>
        <v/>
      </c>
      <c r="BR618" s="125" t="inlineStr">
        <is>
          <t>HY900X171</t>
        </is>
      </c>
      <c r="BW618">
        <f>SQRT(($J$1025-J618)^2)</f>
        <v/>
      </c>
      <c r="BX618">
        <f>SQRT(($R$1025-R618)^2)</f>
        <v/>
      </c>
      <c r="BY618" s="125" t="inlineStr">
        <is>
          <t>HY900X171</t>
        </is>
      </c>
      <c r="CD618">
        <f>SQRT(($J$1026-J618)^2)</f>
        <v/>
      </c>
      <c r="CE618">
        <f>SQRT(($R$1026-R618)^2)</f>
        <v/>
      </c>
      <c r="CF618" s="125" t="inlineStr">
        <is>
          <t>HY900X171</t>
        </is>
      </c>
    </row>
    <row r="619">
      <c r="A619" s="125" t="inlineStr">
        <is>
          <t>HY850X368</t>
        </is>
      </c>
      <c r="B619" s="129" t="inlineStr">
        <is>
          <t>HY</t>
        </is>
      </c>
      <c r="C619" s="125" t="n">
        <v>368</v>
      </c>
      <c r="D619" s="125" t="n">
        <v>850</v>
      </c>
      <c r="E619" s="125" t="n">
        <v>400</v>
      </c>
      <c r="F619" s="125" t="n">
        <v>40</v>
      </c>
      <c r="G619" s="125" t="n">
        <v>19</v>
      </c>
      <c r="H619" s="125" t="n">
        <v>18</v>
      </c>
      <c r="I619" s="125">
        <f>D619-(2*(H619+F619))</f>
        <v/>
      </c>
      <c r="J619" s="125">
        <f>(2*E619/10*F619/10)+((D619-F619-F619)/10*G619/10)+((H619/10+H619/10)^2)-(PI()*H619/10*H619/10)</f>
        <v/>
      </c>
      <c r="K619" s="125">
        <f>((E619-G619)/2)/F619</f>
        <v/>
      </c>
      <c r="L619" s="125">
        <f>I619/G619</f>
        <v/>
      </c>
      <c r="M619" s="125">
        <f>(E619*2+F619*4+((E619-G619)/2-H619)*4+2*PI()*H619+(D619-2*F619-2*H619)*2)/1000</f>
        <v/>
      </c>
      <c r="N619" s="5" t="n">
        <v>602000</v>
      </c>
      <c r="O619" s="5" t="n">
        <v>42700</v>
      </c>
      <c r="P619" s="125" t="n">
        <v>35.8</v>
      </c>
      <c r="Q619" s="125" t="n">
        <v>9.5</v>
      </c>
      <c r="R619" s="5" t="n">
        <v>14200</v>
      </c>
      <c r="S619" s="5" t="n">
        <v>2140</v>
      </c>
      <c r="T619" s="5" t="n">
        <v>15900</v>
      </c>
      <c r="U619" s="5" t="n">
        <v>3270</v>
      </c>
      <c r="X619" s="129">
        <f t="array" ref="X619">_xlfn.IFS((D619/F619) &lt;= (640/SQRT($AT$32)), "Compact", L619 &lt;= ($AT$32*(0.79-(0.002*((E619-G619/2)/(2*F619))*SQRT($AT$32)))), "Non-Compact", L619 &gt; ($AT$32*(0.79-(0.002*((E619-G619/2)/(2*F619))*SQRT($AT$32)))), "Slender")</f>
        <v/>
      </c>
      <c r="Y619" s="129">
        <f t="array" ref="Y619">_xlfn.IFS(K619 &lt;= (65/SQRT($AT$32)), "Compact", K619 &lt;= (95/SQRT($AT$32)), "Non-Compact", K619 &gt; (95/SQRT($AT$32)), "Slender")</f>
        <v/>
      </c>
      <c r="Z619" s="125">
        <f>E619/F619</f>
        <v/>
      </c>
      <c r="AA619" s="125">
        <f>D619/G619</f>
        <v/>
      </c>
      <c r="AB619" s="125">
        <f t="array" ref="AB619">_xlfn.IFS(Z619 &lt;= 9, "1", Z619 &lt;= 12, "2", Z619 &lt;= 15, "3", Z619 &gt; 15, "4")</f>
        <v/>
      </c>
      <c r="AC619" s="125">
        <f t="array" ref="AC619">_xlfn.IFS(AA619 &lt;= 200, "1", L619 &lt;= 300, "2", L619 &lt;= 400, "3", L619 &gt; 400, "4")</f>
        <v/>
      </c>
      <c r="AF619" s="129">
        <f>SQRT((((VLOOKUP($AT$4,$A$4:$D$1021,4,FALSE))-D619)^2)+(((VLOOKUP($AT$4,$A$4:$E$1021,5,FALSE))-E619)^2)+(((VLOOKUP($AT$4,$A$4:$N$1021,14,FALSE))-N619)^2)+(((VLOOKUP($AT$4,$A$4:$O$1021,15,FALSE))-O619)^2))</f>
        <v/>
      </c>
      <c r="AG619" s="129" t="n"/>
      <c r="AI619" s="129">
        <f>SQRT((((VLOOKUP($AT$4,$A$4:$D$1021,4,FALSE))-D619)^2)+(((VLOOKUP($AT$4,$A$4:$E$1021,5,FALSE))-E619)^2)+(((VLOOKUP($AT$4,$A$4:$R$1021,18,FALSE))-R619)^2)+(((VLOOKUP($AT$4,$A$4:$S$1021,19,FALSE))-S619)^2))</f>
        <v/>
      </c>
      <c r="AJ619" s="125" t="inlineStr">
        <is>
          <t>HY850X368</t>
        </is>
      </c>
      <c r="AK619" s="125" t="n"/>
      <c r="AL619" s="125" t="n"/>
      <c r="AM619" s="125">
        <f>SQRT(((VLOOKUP($AT$4,$A$4:$J$1021,10,FALSE))-J619)^2)</f>
        <v/>
      </c>
      <c r="AN619" s="125" t="n"/>
      <c r="AO619" s="125" t="n"/>
      <c r="AP619" s="125">
        <f>SQRT(((VLOOKUP($AT$4,$A$4:$R$1021,18,FALSE))-R619)^2)</f>
        <v/>
      </c>
      <c r="AQ619" s="125" t="inlineStr">
        <is>
          <t>HY850X368</t>
        </is>
      </c>
      <c r="BB619" s="125">
        <f>SQRT(($J$1022-J619)^2)</f>
        <v/>
      </c>
      <c r="BC619" s="125">
        <f>SQRT(($R$1022-R619)^2)</f>
        <v/>
      </c>
      <c r="BD619" s="125" t="inlineStr">
        <is>
          <t>HY850X368</t>
        </is>
      </c>
      <c r="BI619">
        <f>SQRT(($J$1023-J619)^2)</f>
        <v/>
      </c>
      <c r="BJ619">
        <f>SQRT(($R$1023-R619)^2)</f>
        <v/>
      </c>
      <c r="BK619" s="125" t="inlineStr">
        <is>
          <t>HY850X368</t>
        </is>
      </c>
      <c r="BP619">
        <f>SQRT(($J$1024-J619)^2)</f>
        <v/>
      </c>
      <c r="BQ619">
        <f>SQRT(($R$1024-R619)^2)</f>
        <v/>
      </c>
      <c r="BR619" s="125" t="inlineStr">
        <is>
          <t>HY850X368</t>
        </is>
      </c>
      <c r="BW619">
        <f>SQRT(($J$1025-J619)^2)</f>
        <v/>
      </c>
      <c r="BX619">
        <f>SQRT(($R$1025-R619)^2)</f>
        <v/>
      </c>
      <c r="BY619" s="125" t="inlineStr">
        <is>
          <t>HY850X368</t>
        </is>
      </c>
      <c r="CD619">
        <f>SQRT(($J$1026-J619)^2)</f>
        <v/>
      </c>
      <c r="CE619">
        <f>SQRT(($R$1026-R619)^2)</f>
        <v/>
      </c>
      <c r="CF619" s="125" t="inlineStr">
        <is>
          <t>HY850X368</t>
        </is>
      </c>
    </row>
    <row r="620">
      <c r="A620" s="125" t="inlineStr">
        <is>
          <t>HY850X344</t>
        </is>
      </c>
      <c r="B620" s="129" t="inlineStr">
        <is>
          <t>HY</t>
        </is>
      </c>
      <c r="C620" s="125" t="n">
        <v>344</v>
      </c>
      <c r="D620" s="125" t="n">
        <v>850</v>
      </c>
      <c r="E620" s="125" t="n">
        <v>400</v>
      </c>
      <c r="F620" s="125" t="n">
        <v>36</v>
      </c>
      <c r="G620" s="125" t="n">
        <v>19</v>
      </c>
      <c r="H620" s="125" t="n">
        <v>18</v>
      </c>
      <c r="I620" s="125">
        <f>D620-(2*(H620+F620))</f>
        <v/>
      </c>
      <c r="J620" s="125">
        <f>(2*E620/10*F620/10)+((D620-F620-F620)/10*G620/10)+((H620/10+H620/10)^2)-(PI()*H620/10*H620/10)</f>
        <v/>
      </c>
      <c r="K620" s="125">
        <f>((E620-G620)/2)/F620</f>
        <v/>
      </c>
      <c r="L620" s="125">
        <f>I620/G620</f>
        <v/>
      </c>
      <c r="M620" s="125">
        <f>(E620*2+F620*4+((E620-G620)/2-H620)*4+2*PI()*H620+(D620-2*F620-2*H620)*2)/1000</f>
        <v/>
      </c>
      <c r="N620" s="5" t="n">
        <v>556000</v>
      </c>
      <c r="O620" s="5" t="n">
        <v>38400</v>
      </c>
      <c r="P620" s="125" t="n">
        <v>35.6</v>
      </c>
      <c r="Q620" s="125" t="n">
        <v>9.4</v>
      </c>
      <c r="R620" s="5" t="n">
        <v>13100</v>
      </c>
      <c r="S620" s="5" t="n">
        <v>1920</v>
      </c>
      <c r="T620" s="5" t="n">
        <v>14700</v>
      </c>
      <c r="U620" s="5" t="n">
        <v>2950</v>
      </c>
      <c r="X620" s="129">
        <f t="array" ref="X620">_xlfn.IFS((D620/F620) &lt;= (640/SQRT($AT$32)), "Compact", L620 &lt;= ($AT$32*(0.79-(0.002*((E620-G620/2)/(2*F620))*SQRT($AT$32)))), "Non-Compact", L620 &gt; ($AT$32*(0.79-(0.002*((E620-G620/2)/(2*F620))*SQRT($AT$32)))), "Slender")</f>
        <v/>
      </c>
      <c r="Y620" s="129">
        <f t="array" ref="Y620">_xlfn.IFS(K620 &lt;= (65/SQRT($AT$32)), "Compact", K620 &lt;= (95/SQRT($AT$32)), "Non-Compact", K620 &gt; (95/SQRT($AT$32)), "Slender")</f>
        <v/>
      </c>
      <c r="Z620" s="125">
        <f>E620/F620</f>
        <v/>
      </c>
      <c r="AA620" s="125">
        <f>D620/G620</f>
        <v/>
      </c>
      <c r="AB620" s="125">
        <f t="array" ref="AB620">_xlfn.IFS(Z620 &lt;= 9, "1", Z620 &lt;= 12, "2", Z620 &lt;= 15, "3", Z620 &gt; 15, "4")</f>
        <v/>
      </c>
      <c r="AC620" s="125">
        <f t="array" ref="AC620">_xlfn.IFS(AA620 &lt;= 200, "1", L620 &lt;= 300, "2", L620 &lt;= 400, "3", L620 &gt; 400, "4")</f>
        <v/>
      </c>
      <c r="AF620" s="129">
        <f>SQRT((((VLOOKUP($AT$4,$A$4:$D$1021,4,FALSE))-D620)^2)+(((VLOOKUP($AT$4,$A$4:$E$1021,5,FALSE))-E620)^2)+(((VLOOKUP($AT$4,$A$4:$N$1021,14,FALSE))-N620)^2)+(((VLOOKUP($AT$4,$A$4:$O$1021,15,FALSE))-O620)^2))</f>
        <v/>
      </c>
      <c r="AG620" s="129" t="n"/>
      <c r="AI620" s="129">
        <f>SQRT((((VLOOKUP($AT$4,$A$4:$D$1021,4,FALSE))-D620)^2)+(((VLOOKUP($AT$4,$A$4:$E$1021,5,FALSE))-E620)^2)+(((VLOOKUP($AT$4,$A$4:$R$1021,18,FALSE))-R620)^2)+(((VLOOKUP($AT$4,$A$4:$S$1021,19,FALSE))-S620)^2))</f>
        <v/>
      </c>
      <c r="AJ620" s="125" t="inlineStr">
        <is>
          <t>HY850X344</t>
        </is>
      </c>
      <c r="AK620" s="125" t="n"/>
      <c r="AL620" s="125" t="n"/>
      <c r="AM620" s="125">
        <f>SQRT(((VLOOKUP($AT$4,$A$4:$J$1021,10,FALSE))-J620)^2)</f>
        <v/>
      </c>
      <c r="AN620" s="125" t="n"/>
      <c r="AO620" s="125" t="n"/>
      <c r="AP620" s="125">
        <f>SQRT(((VLOOKUP($AT$4,$A$4:$R$1021,18,FALSE))-R620)^2)</f>
        <v/>
      </c>
      <c r="AQ620" s="125" t="inlineStr">
        <is>
          <t>HY850X344</t>
        </is>
      </c>
      <c r="BB620" s="125">
        <f>SQRT(($J$1022-J620)^2)</f>
        <v/>
      </c>
      <c r="BC620" s="125">
        <f>SQRT(($R$1022-R620)^2)</f>
        <v/>
      </c>
      <c r="BD620" s="125" t="inlineStr">
        <is>
          <t>HY850X344</t>
        </is>
      </c>
      <c r="BI620">
        <f>SQRT(($J$1023-J620)^2)</f>
        <v/>
      </c>
      <c r="BJ620">
        <f>SQRT(($R$1023-R620)^2)</f>
        <v/>
      </c>
      <c r="BK620" s="125" t="inlineStr">
        <is>
          <t>HY850X344</t>
        </is>
      </c>
      <c r="BP620">
        <f>SQRT(($J$1024-J620)^2)</f>
        <v/>
      </c>
      <c r="BQ620">
        <f>SQRT(($R$1024-R620)^2)</f>
        <v/>
      </c>
      <c r="BR620" s="125" t="inlineStr">
        <is>
          <t>HY850X344</t>
        </is>
      </c>
      <c r="BW620">
        <f>SQRT(($J$1025-J620)^2)</f>
        <v/>
      </c>
      <c r="BX620">
        <f>SQRT(($R$1025-R620)^2)</f>
        <v/>
      </c>
      <c r="BY620" s="125" t="inlineStr">
        <is>
          <t>HY850X344</t>
        </is>
      </c>
      <c r="CD620">
        <f>SQRT(($J$1026-J620)^2)</f>
        <v/>
      </c>
      <c r="CE620">
        <f>SQRT(($R$1026-R620)^2)</f>
        <v/>
      </c>
      <c r="CF620" s="125" t="inlineStr">
        <is>
          <t>HY850X344</t>
        </is>
      </c>
    </row>
    <row r="621">
      <c r="A621" s="125" t="inlineStr">
        <is>
          <t>HY850X320</t>
        </is>
      </c>
      <c r="B621" s="129" t="inlineStr">
        <is>
          <t>HY</t>
        </is>
      </c>
      <c r="C621" s="125" t="n">
        <v>320</v>
      </c>
      <c r="D621" s="125" t="n">
        <v>850</v>
      </c>
      <c r="E621" s="125" t="n">
        <v>400</v>
      </c>
      <c r="F621" s="125" t="n">
        <v>32</v>
      </c>
      <c r="G621" s="125" t="n">
        <v>19</v>
      </c>
      <c r="H621" s="125" t="n">
        <v>18</v>
      </c>
      <c r="I621" s="125">
        <f>D621-(2*(H621+F621))</f>
        <v/>
      </c>
      <c r="J621" s="125">
        <f>(2*E621/10*F621/10)+((D621-F621-F621)/10*G621/10)+((H621/10+H621/10)^2)-(PI()*H621/10*H621/10)</f>
        <v/>
      </c>
      <c r="K621" s="125">
        <f>((E621-G621)/2)/F621</f>
        <v/>
      </c>
      <c r="L621" s="125">
        <f>I621/G621</f>
        <v/>
      </c>
      <c r="M621" s="125">
        <f>(E621*2+F621*4+((E621-G621)/2-H621)*4+2*PI()*H621+(D621-2*F621-2*H621)*2)/1000</f>
        <v/>
      </c>
      <c r="N621" s="5" t="n">
        <v>510000</v>
      </c>
      <c r="O621" s="5" t="n">
        <v>34200</v>
      </c>
      <c r="P621" s="125" t="n">
        <v>35.3</v>
      </c>
      <c r="Q621" s="125" t="n">
        <v>9.199999999999999</v>
      </c>
      <c r="R621" s="5" t="n">
        <v>12000</v>
      </c>
      <c r="S621" s="5" t="n">
        <v>1710</v>
      </c>
      <c r="T621" s="5" t="n">
        <v>13500</v>
      </c>
      <c r="U621" s="5" t="n">
        <v>2630</v>
      </c>
      <c r="X621" s="129">
        <f t="array" ref="X621">_xlfn.IFS((D621/F621) &lt;= (640/SQRT($AT$32)), "Compact", L621 &lt;= ($AT$32*(0.79-(0.002*((E621-G621/2)/(2*F621))*SQRT($AT$32)))), "Non-Compact", L621 &gt; ($AT$32*(0.79-(0.002*((E621-G621/2)/(2*F621))*SQRT($AT$32)))), "Slender")</f>
        <v/>
      </c>
      <c r="Y621" s="129">
        <f t="array" ref="Y621">_xlfn.IFS(K621 &lt;= (65/SQRT($AT$32)), "Compact", K621 &lt;= (95/SQRT($AT$32)), "Non-Compact", K621 &gt; (95/SQRT($AT$32)), "Slender")</f>
        <v/>
      </c>
      <c r="Z621" s="125">
        <f>E621/F621</f>
        <v/>
      </c>
      <c r="AA621" s="125">
        <f>D621/G621</f>
        <v/>
      </c>
      <c r="AB621" s="125">
        <f t="array" ref="AB621">_xlfn.IFS(Z621 &lt;= 9, "1", Z621 &lt;= 12, "2", Z621 &lt;= 15, "3", Z621 &gt; 15, "4")</f>
        <v/>
      </c>
      <c r="AC621" s="125">
        <f t="array" ref="AC621">_xlfn.IFS(AA621 &lt;= 200, "1", L621 &lt;= 300, "2", L621 &lt;= 400, "3", L621 &gt; 400, "4")</f>
        <v/>
      </c>
      <c r="AF621" s="129">
        <f>SQRT((((VLOOKUP($AT$4,$A$4:$D$1021,4,FALSE))-D621)^2)+(((VLOOKUP($AT$4,$A$4:$E$1021,5,FALSE))-E621)^2)+(((VLOOKUP($AT$4,$A$4:$N$1021,14,FALSE))-N621)^2)+(((VLOOKUP($AT$4,$A$4:$O$1021,15,FALSE))-O621)^2))</f>
        <v/>
      </c>
      <c r="AG621" s="129" t="n"/>
      <c r="AI621" s="129">
        <f>SQRT((((VLOOKUP($AT$4,$A$4:$D$1021,4,FALSE))-D621)^2)+(((VLOOKUP($AT$4,$A$4:$E$1021,5,FALSE))-E621)^2)+(((VLOOKUP($AT$4,$A$4:$R$1021,18,FALSE))-R621)^2)+(((VLOOKUP($AT$4,$A$4:$S$1021,19,FALSE))-S621)^2))</f>
        <v/>
      </c>
      <c r="AJ621" s="125" t="inlineStr">
        <is>
          <t>HY850X320</t>
        </is>
      </c>
      <c r="AK621" s="125" t="n"/>
      <c r="AL621" s="125" t="n"/>
      <c r="AM621" s="125">
        <f>SQRT(((VLOOKUP($AT$4,$A$4:$J$1021,10,FALSE))-J621)^2)</f>
        <v/>
      </c>
      <c r="AN621" s="125" t="n"/>
      <c r="AO621" s="125" t="n"/>
      <c r="AP621" s="125">
        <f>SQRT(((VLOOKUP($AT$4,$A$4:$R$1021,18,FALSE))-R621)^2)</f>
        <v/>
      </c>
      <c r="AQ621" s="125" t="inlineStr">
        <is>
          <t>HY850X320</t>
        </is>
      </c>
      <c r="BB621" s="125">
        <f>SQRT(($J$1022-J621)^2)</f>
        <v/>
      </c>
      <c r="BC621" s="125">
        <f>SQRT(($R$1022-R621)^2)</f>
        <v/>
      </c>
      <c r="BD621" s="125" t="inlineStr">
        <is>
          <t>HY850X320</t>
        </is>
      </c>
      <c r="BI621">
        <f>SQRT(($J$1023-J621)^2)</f>
        <v/>
      </c>
      <c r="BJ621">
        <f>SQRT(($R$1023-R621)^2)</f>
        <v/>
      </c>
      <c r="BK621" s="125" t="inlineStr">
        <is>
          <t>HY850X320</t>
        </is>
      </c>
      <c r="BP621">
        <f>SQRT(($J$1024-J621)^2)</f>
        <v/>
      </c>
      <c r="BQ621">
        <f>SQRT(($R$1024-R621)^2)</f>
        <v/>
      </c>
      <c r="BR621" s="125" t="inlineStr">
        <is>
          <t>HY850X320</t>
        </is>
      </c>
      <c r="BW621">
        <f>SQRT(($J$1025-J621)^2)</f>
        <v/>
      </c>
      <c r="BX621">
        <f>SQRT(($R$1025-R621)^2)</f>
        <v/>
      </c>
      <c r="BY621" s="125" t="inlineStr">
        <is>
          <t>HY850X320</t>
        </is>
      </c>
      <c r="CD621">
        <f>SQRT(($J$1026-J621)^2)</f>
        <v/>
      </c>
      <c r="CE621">
        <f>SQRT(($R$1026-R621)^2)</f>
        <v/>
      </c>
      <c r="CF621" s="125" t="inlineStr">
        <is>
          <t>HY850X320</t>
        </is>
      </c>
    </row>
    <row r="622">
      <c r="A622" s="125" t="inlineStr">
        <is>
          <t>HY850X296</t>
        </is>
      </c>
      <c r="B622" s="129" t="inlineStr">
        <is>
          <t>HY</t>
        </is>
      </c>
      <c r="C622" s="125" t="n">
        <v>296</v>
      </c>
      <c r="D622" s="125" t="n">
        <v>850</v>
      </c>
      <c r="E622" s="125" t="n">
        <v>400</v>
      </c>
      <c r="F622" s="125" t="n">
        <v>28</v>
      </c>
      <c r="G622" s="125" t="n">
        <v>19</v>
      </c>
      <c r="H622" s="125" t="n">
        <v>18</v>
      </c>
      <c r="I622" s="125">
        <f>D622-(2*(H622+F622))</f>
        <v/>
      </c>
      <c r="J622" s="125">
        <f>(2*E622/10*F622/10)+((D622-F622-F622)/10*G622/10)+((H622/10+H622/10)^2)-(PI()*H622/10*H622/10)</f>
        <v/>
      </c>
      <c r="K622" s="125">
        <f>((E622-G622)/2)/F622</f>
        <v/>
      </c>
      <c r="L622" s="125">
        <f>I622/G622</f>
        <v/>
      </c>
      <c r="M622" s="125">
        <f>(E622*2+F622*4+((E622-G622)/2-H622)*4+2*PI()*H622+(D622-2*F622-2*H622)*2)/1000</f>
        <v/>
      </c>
      <c r="N622" s="5" t="n">
        <v>462000</v>
      </c>
      <c r="O622" s="5" t="n">
        <v>29900</v>
      </c>
      <c r="P622" s="125" t="n">
        <v>35</v>
      </c>
      <c r="Q622" s="125" t="n">
        <v>8.9</v>
      </c>
      <c r="R622" s="5" t="n">
        <v>10900</v>
      </c>
      <c r="S622" s="5" t="n">
        <v>1500</v>
      </c>
      <c r="T622" s="5" t="n">
        <v>12300</v>
      </c>
      <c r="U622" s="5" t="n">
        <v>2320</v>
      </c>
      <c r="X622" s="129">
        <f t="array" ref="X622">_xlfn.IFS((D622/F622) &lt;= (640/SQRT($AT$32)), "Compact", L622 &lt;= ($AT$32*(0.79-(0.002*((E622-G622/2)/(2*F622))*SQRT($AT$32)))), "Non-Compact", L622 &gt; ($AT$32*(0.79-(0.002*((E622-G622/2)/(2*F622))*SQRT($AT$32)))), "Slender")</f>
        <v/>
      </c>
      <c r="Y622" s="129">
        <f t="array" ref="Y622">_xlfn.IFS(K622 &lt;= (65/SQRT($AT$32)), "Compact", K622 &lt;= (95/SQRT($AT$32)), "Non-Compact", K622 &gt; (95/SQRT($AT$32)), "Slender")</f>
        <v/>
      </c>
      <c r="Z622" s="125">
        <f>E622/F622</f>
        <v/>
      </c>
      <c r="AA622" s="125">
        <f>D622/G622</f>
        <v/>
      </c>
      <c r="AB622" s="125">
        <f t="array" ref="AB622">_xlfn.IFS(Z622 &lt;= 9, "1", Z622 &lt;= 12, "2", Z622 &lt;= 15, "3", Z622 &gt; 15, "4")</f>
        <v/>
      </c>
      <c r="AC622" s="125">
        <f t="array" ref="AC622">_xlfn.IFS(AA622 &lt;= 200, "1", L622 &lt;= 300, "2", L622 &lt;= 400, "3", L622 &gt; 400, "4")</f>
        <v/>
      </c>
      <c r="AF622" s="129">
        <f>SQRT((((VLOOKUP($AT$4,$A$4:$D$1021,4,FALSE))-D622)^2)+(((VLOOKUP($AT$4,$A$4:$E$1021,5,FALSE))-E622)^2)+(((VLOOKUP($AT$4,$A$4:$N$1021,14,FALSE))-N622)^2)+(((VLOOKUP($AT$4,$A$4:$O$1021,15,FALSE))-O622)^2))</f>
        <v/>
      </c>
      <c r="AG622" s="129" t="n"/>
      <c r="AI622" s="129">
        <f>SQRT((((VLOOKUP($AT$4,$A$4:$D$1021,4,FALSE))-D622)^2)+(((VLOOKUP($AT$4,$A$4:$E$1021,5,FALSE))-E622)^2)+(((VLOOKUP($AT$4,$A$4:$R$1021,18,FALSE))-R622)^2)+(((VLOOKUP($AT$4,$A$4:$S$1021,19,FALSE))-S622)^2))</f>
        <v/>
      </c>
      <c r="AJ622" s="125" t="inlineStr">
        <is>
          <t>HY850X296</t>
        </is>
      </c>
      <c r="AK622" s="125" t="n"/>
      <c r="AL622" s="125" t="n"/>
      <c r="AM622" s="125">
        <f>SQRT(((VLOOKUP($AT$4,$A$4:$J$1021,10,FALSE))-J622)^2)</f>
        <v/>
      </c>
      <c r="AN622" s="125" t="n"/>
      <c r="AO622" s="125" t="n"/>
      <c r="AP622" s="125">
        <f>SQRT(((VLOOKUP($AT$4,$A$4:$R$1021,18,FALSE))-R622)^2)</f>
        <v/>
      </c>
      <c r="AQ622" s="125" t="inlineStr">
        <is>
          <t>HY850X296</t>
        </is>
      </c>
      <c r="BB622" s="125">
        <f>SQRT(($J$1022-J622)^2)</f>
        <v/>
      </c>
      <c r="BC622" s="125">
        <f>SQRT(($R$1022-R622)^2)</f>
        <v/>
      </c>
      <c r="BD622" s="125" t="inlineStr">
        <is>
          <t>HY850X296</t>
        </is>
      </c>
      <c r="BI622">
        <f>SQRT(($J$1023-J622)^2)</f>
        <v/>
      </c>
      <c r="BJ622">
        <f>SQRT(($R$1023-R622)^2)</f>
        <v/>
      </c>
      <c r="BK622" s="125" t="inlineStr">
        <is>
          <t>HY850X296</t>
        </is>
      </c>
      <c r="BP622">
        <f>SQRT(($J$1024-J622)^2)</f>
        <v/>
      </c>
      <c r="BQ622">
        <f>SQRT(($R$1024-R622)^2)</f>
        <v/>
      </c>
      <c r="BR622" s="125" t="inlineStr">
        <is>
          <t>HY850X296</t>
        </is>
      </c>
      <c r="BW622">
        <f>SQRT(($J$1025-J622)^2)</f>
        <v/>
      </c>
      <c r="BX622">
        <f>SQRT(($R$1025-R622)^2)</f>
        <v/>
      </c>
      <c r="BY622" s="125" t="inlineStr">
        <is>
          <t>HY850X296</t>
        </is>
      </c>
      <c r="CD622">
        <f>SQRT(($J$1026-J622)^2)</f>
        <v/>
      </c>
      <c r="CE622">
        <f>SQRT(($R$1026-R622)^2)</f>
        <v/>
      </c>
      <c r="CF622" s="125" t="inlineStr">
        <is>
          <t>HY850X296</t>
        </is>
      </c>
    </row>
    <row r="623">
      <c r="A623" s="125" t="inlineStr">
        <is>
          <t>HY850X302</t>
        </is>
      </c>
      <c r="B623" s="129" t="inlineStr">
        <is>
          <t>HY</t>
        </is>
      </c>
      <c r="C623" s="125" t="n">
        <v>302</v>
      </c>
      <c r="D623" s="125" t="n">
        <v>850</v>
      </c>
      <c r="E623" s="125" t="n">
        <v>400</v>
      </c>
      <c r="F623" s="125" t="n">
        <v>32</v>
      </c>
      <c r="G623" s="125" t="n">
        <v>16</v>
      </c>
      <c r="H623" s="125" t="n">
        <v>18</v>
      </c>
      <c r="I623" s="125">
        <f>D623-(2*(H623+F623))</f>
        <v/>
      </c>
      <c r="J623" s="125">
        <f>(2*E623/10*F623/10)+((D623-F623-F623)/10*G623/10)+((H623/10+H623/10)^2)-(PI()*H623/10*H623/10)</f>
        <v/>
      </c>
      <c r="K623" s="125">
        <f>((E623-G623)/2)/F623</f>
        <v/>
      </c>
      <c r="L623" s="125">
        <f>I623/G623</f>
        <v/>
      </c>
      <c r="M623" s="125">
        <f>(E623*2+F623*4+((E623-G623)/2-H623)*4+2*PI()*H623+(D623-2*F623-2*H623)*2)/1000</f>
        <v/>
      </c>
      <c r="N623" s="5" t="n">
        <v>497000</v>
      </c>
      <c r="O623" s="5" t="n">
        <v>34200</v>
      </c>
      <c r="P623" s="125" t="n">
        <v>36</v>
      </c>
      <c r="Q623" s="125" t="n">
        <v>9.4</v>
      </c>
      <c r="R623" s="5" t="n">
        <v>11700</v>
      </c>
      <c r="S623" s="5" t="n">
        <v>1710</v>
      </c>
      <c r="T623" s="5" t="n">
        <v>13000</v>
      </c>
      <c r="U623" s="5" t="n">
        <v>2610</v>
      </c>
      <c r="X623" s="129">
        <f t="array" ref="X623">_xlfn.IFS((D623/F623) &lt;= (640/SQRT($AT$32)), "Compact", L623 &lt;= ($AT$32*(0.79-(0.002*((E623-G623/2)/(2*F623))*SQRT($AT$32)))), "Non-Compact", L623 &gt; ($AT$32*(0.79-(0.002*((E623-G623/2)/(2*F623))*SQRT($AT$32)))), "Slender")</f>
        <v/>
      </c>
      <c r="Y623" s="129">
        <f t="array" ref="Y623">_xlfn.IFS(K623 &lt;= (65/SQRT($AT$32)), "Compact", K623 &lt;= (95/SQRT($AT$32)), "Non-Compact", K623 &gt; (95/SQRT($AT$32)), "Slender")</f>
        <v/>
      </c>
      <c r="Z623" s="125">
        <f>E623/F623</f>
        <v/>
      </c>
      <c r="AA623" s="125">
        <f>D623/G623</f>
        <v/>
      </c>
      <c r="AB623" s="125">
        <f t="array" ref="AB623">_xlfn.IFS(Z623 &lt;= 9, "1", Z623 &lt;= 12, "2", Z623 &lt;= 15, "3", Z623 &gt; 15, "4")</f>
        <v/>
      </c>
      <c r="AC623" s="125">
        <f t="array" ref="AC623">_xlfn.IFS(AA623 &lt;= 200, "1", L623 &lt;= 300, "2", L623 &lt;= 400, "3", L623 &gt; 400, "4")</f>
        <v/>
      </c>
      <c r="AF623" s="129">
        <f>SQRT((((VLOOKUP($AT$4,$A$4:$D$1021,4,FALSE))-D623)^2)+(((VLOOKUP($AT$4,$A$4:$E$1021,5,FALSE))-E623)^2)+(((VLOOKUP($AT$4,$A$4:$N$1021,14,FALSE))-N623)^2)+(((VLOOKUP($AT$4,$A$4:$O$1021,15,FALSE))-O623)^2))</f>
        <v/>
      </c>
      <c r="AG623" s="129" t="n"/>
      <c r="AI623" s="129">
        <f>SQRT((((VLOOKUP($AT$4,$A$4:$D$1021,4,FALSE))-D623)^2)+(((VLOOKUP($AT$4,$A$4:$E$1021,5,FALSE))-E623)^2)+(((VLOOKUP($AT$4,$A$4:$R$1021,18,FALSE))-R623)^2)+(((VLOOKUP($AT$4,$A$4:$S$1021,19,FALSE))-S623)^2))</f>
        <v/>
      </c>
      <c r="AJ623" s="125" t="inlineStr">
        <is>
          <t>HY850X302</t>
        </is>
      </c>
      <c r="AK623" s="125" t="n"/>
      <c r="AL623" s="125" t="n"/>
      <c r="AM623" s="125">
        <f>SQRT(((VLOOKUP($AT$4,$A$4:$J$1021,10,FALSE))-J623)^2)</f>
        <v/>
      </c>
      <c r="AN623" s="125" t="n"/>
      <c r="AO623" s="125" t="n"/>
      <c r="AP623" s="125">
        <f>SQRT(((VLOOKUP($AT$4,$A$4:$R$1021,18,FALSE))-R623)^2)</f>
        <v/>
      </c>
      <c r="AQ623" s="125" t="inlineStr">
        <is>
          <t>HY850X302</t>
        </is>
      </c>
      <c r="BB623" s="125">
        <f>SQRT(($J$1022-J623)^2)</f>
        <v/>
      </c>
      <c r="BC623" s="125">
        <f>SQRT(($R$1022-R623)^2)</f>
        <v/>
      </c>
      <c r="BD623" s="125" t="inlineStr">
        <is>
          <t>HY850X302</t>
        </is>
      </c>
      <c r="BI623">
        <f>SQRT(($J$1023-J623)^2)</f>
        <v/>
      </c>
      <c r="BJ623">
        <f>SQRT(($R$1023-R623)^2)</f>
        <v/>
      </c>
      <c r="BK623" s="125" t="inlineStr">
        <is>
          <t>HY850X302</t>
        </is>
      </c>
      <c r="BP623">
        <f>SQRT(($J$1024-J623)^2)</f>
        <v/>
      </c>
      <c r="BQ623">
        <f>SQRT(($R$1024-R623)^2)</f>
        <v/>
      </c>
      <c r="BR623" s="125" t="inlineStr">
        <is>
          <t>HY850X302</t>
        </is>
      </c>
      <c r="BW623">
        <f>SQRT(($J$1025-J623)^2)</f>
        <v/>
      </c>
      <c r="BX623">
        <f>SQRT(($R$1025-R623)^2)</f>
        <v/>
      </c>
      <c r="BY623" s="125" t="inlineStr">
        <is>
          <t>HY850X302</t>
        </is>
      </c>
      <c r="CD623">
        <f>SQRT(($J$1026-J623)^2)</f>
        <v/>
      </c>
      <c r="CE623">
        <f>SQRT(($R$1026-R623)^2)</f>
        <v/>
      </c>
      <c r="CF623" s="125" t="inlineStr">
        <is>
          <t>HY850X302</t>
        </is>
      </c>
    </row>
    <row r="624">
      <c r="A624" s="125" t="inlineStr">
        <is>
          <t>HY850X278</t>
        </is>
      </c>
      <c r="B624" s="129" t="inlineStr">
        <is>
          <t>HY</t>
        </is>
      </c>
      <c r="C624" s="125" t="n">
        <v>278</v>
      </c>
      <c r="D624" s="125" t="n">
        <v>850</v>
      </c>
      <c r="E624" s="125" t="n">
        <v>400</v>
      </c>
      <c r="F624" s="125" t="n">
        <v>28</v>
      </c>
      <c r="G624" s="125" t="n">
        <v>16</v>
      </c>
      <c r="H624" s="125" t="n">
        <v>18</v>
      </c>
      <c r="I624" s="125">
        <f>D624-(2*(H624+F624))</f>
        <v/>
      </c>
      <c r="J624" s="125">
        <f>(2*E624/10*F624/10)+((D624-F624-F624)/10*G624/10)+((H624/10+H624/10)^2)-(PI()*H624/10*H624/10)</f>
        <v/>
      </c>
      <c r="K624" s="125">
        <f>((E624-G624)/2)/F624</f>
        <v/>
      </c>
      <c r="L624" s="125">
        <f>I624/G624</f>
        <v/>
      </c>
      <c r="M624" s="125">
        <f>(E624*2+F624*4+((E624-G624)/2-H624)*4+2*PI()*H624+(D624-2*F624-2*H624)*2)/1000</f>
        <v/>
      </c>
      <c r="N624" s="5" t="n">
        <v>450000</v>
      </c>
      <c r="O624" s="5" t="n">
        <v>29900</v>
      </c>
      <c r="P624" s="125" t="n">
        <v>35.6</v>
      </c>
      <c r="Q624" s="125" t="n">
        <v>9.199999999999999</v>
      </c>
      <c r="R624" s="5" t="n">
        <v>10600</v>
      </c>
      <c r="S624" s="5" t="n">
        <v>1490</v>
      </c>
      <c r="T624" s="5" t="n">
        <v>11800</v>
      </c>
      <c r="U624" s="5" t="n">
        <v>2290</v>
      </c>
      <c r="X624" s="129">
        <f t="array" ref="X624">_xlfn.IFS((D624/F624) &lt;= (640/SQRT($AT$32)), "Compact", L624 &lt;= ($AT$32*(0.79-(0.002*((E624-G624/2)/(2*F624))*SQRT($AT$32)))), "Non-Compact", L624 &gt; ($AT$32*(0.79-(0.002*((E624-G624/2)/(2*F624))*SQRT($AT$32)))), "Slender")</f>
        <v/>
      </c>
      <c r="Y624" s="129">
        <f t="array" ref="Y624">_xlfn.IFS(K624 &lt;= (65/SQRT($AT$32)), "Compact", K624 &lt;= (95/SQRT($AT$32)), "Non-Compact", K624 &gt; (95/SQRT($AT$32)), "Slender")</f>
        <v/>
      </c>
      <c r="Z624" s="125">
        <f>E624/F624</f>
        <v/>
      </c>
      <c r="AA624" s="125">
        <f>D624/G624</f>
        <v/>
      </c>
      <c r="AB624" s="125">
        <f t="array" ref="AB624">_xlfn.IFS(Z624 &lt;= 9, "1", Z624 &lt;= 12, "2", Z624 &lt;= 15, "3", Z624 &gt; 15, "4")</f>
        <v/>
      </c>
      <c r="AC624" s="125">
        <f t="array" ref="AC624">_xlfn.IFS(AA624 &lt;= 200, "1", L624 &lt;= 300, "2", L624 &lt;= 400, "3", L624 &gt; 400, "4")</f>
        <v/>
      </c>
      <c r="AF624" s="129">
        <f>SQRT((((VLOOKUP($AT$4,$A$4:$D$1021,4,FALSE))-D624)^2)+(((VLOOKUP($AT$4,$A$4:$E$1021,5,FALSE))-E624)^2)+(((VLOOKUP($AT$4,$A$4:$N$1021,14,FALSE))-N624)^2)+(((VLOOKUP($AT$4,$A$4:$O$1021,15,FALSE))-O624)^2))</f>
        <v/>
      </c>
      <c r="AG624" s="129" t="n"/>
      <c r="AI624" s="129">
        <f>SQRT((((VLOOKUP($AT$4,$A$4:$D$1021,4,FALSE))-D624)^2)+(((VLOOKUP($AT$4,$A$4:$E$1021,5,FALSE))-E624)^2)+(((VLOOKUP($AT$4,$A$4:$R$1021,18,FALSE))-R624)^2)+(((VLOOKUP($AT$4,$A$4:$S$1021,19,FALSE))-S624)^2))</f>
        <v/>
      </c>
      <c r="AJ624" s="125" t="inlineStr">
        <is>
          <t>HY850X278</t>
        </is>
      </c>
      <c r="AK624" s="125" t="n"/>
      <c r="AL624" s="125" t="n"/>
      <c r="AM624" s="125">
        <f>SQRT(((VLOOKUP($AT$4,$A$4:$J$1021,10,FALSE))-J624)^2)</f>
        <v/>
      </c>
      <c r="AN624" s="125" t="n"/>
      <c r="AO624" s="125" t="n"/>
      <c r="AP624" s="125">
        <f>SQRT(((VLOOKUP($AT$4,$A$4:$R$1021,18,FALSE))-R624)^2)</f>
        <v/>
      </c>
      <c r="AQ624" s="125" t="inlineStr">
        <is>
          <t>HY850X278</t>
        </is>
      </c>
      <c r="BB624" s="125">
        <f>SQRT(($J$1022-J624)^2)</f>
        <v/>
      </c>
      <c r="BC624" s="125">
        <f>SQRT(($R$1022-R624)^2)</f>
        <v/>
      </c>
      <c r="BD624" s="125" t="inlineStr">
        <is>
          <t>HY850X278</t>
        </is>
      </c>
      <c r="BI624">
        <f>SQRT(($J$1023-J624)^2)</f>
        <v/>
      </c>
      <c r="BJ624">
        <f>SQRT(($R$1023-R624)^2)</f>
        <v/>
      </c>
      <c r="BK624" s="125" t="inlineStr">
        <is>
          <t>HY850X278</t>
        </is>
      </c>
      <c r="BP624">
        <f>SQRT(($J$1024-J624)^2)</f>
        <v/>
      </c>
      <c r="BQ624">
        <f>SQRT(($R$1024-R624)^2)</f>
        <v/>
      </c>
      <c r="BR624" s="125" t="inlineStr">
        <is>
          <t>HY850X278</t>
        </is>
      </c>
      <c r="BW624">
        <f>SQRT(($J$1025-J624)^2)</f>
        <v/>
      </c>
      <c r="BX624">
        <f>SQRT(($R$1025-R624)^2)</f>
        <v/>
      </c>
      <c r="BY624" s="125" t="inlineStr">
        <is>
          <t>HY850X278</t>
        </is>
      </c>
      <c r="CD624">
        <f>SQRT(($J$1026-J624)^2)</f>
        <v/>
      </c>
      <c r="CE624">
        <f>SQRT(($R$1026-R624)^2)</f>
        <v/>
      </c>
      <c r="CF624" s="125" t="inlineStr">
        <is>
          <t>HY850X278</t>
        </is>
      </c>
    </row>
    <row r="625">
      <c r="A625" s="125" t="inlineStr">
        <is>
          <t>HY850X260</t>
        </is>
      </c>
      <c r="B625" s="129" t="inlineStr">
        <is>
          <t>HY</t>
        </is>
      </c>
      <c r="C625" s="125" t="n">
        <v>260</v>
      </c>
      <c r="D625" s="125" t="n">
        <v>850</v>
      </c>
      <c r="E625" s="125" t="n">
        <v>400</v>
      </c>
      <c r="F625" s="125" t="n">
        <v>25</v>
      </c>
      <c r="G625" s="125" t="n">
        <v>16</v>
      </c>
      <c r="H625" s="125" t="n">
        <v>18</v>
      </c>
      <c r="I625" s="125">
        <f>D625-(2*(H625+F625))</f>
        <v/>
      </c>
      <c r="J625" s="125">
        <f>(2*E625/10*F625/10)+((D625-F625-F625)/10*G625/10)+((H625/10+H625/10)^2)-(PI()*H625/10*H625/10)</f>
        <v/>
      </c>
      <c r="K625" s="125">
        <f>((E625-G625)/2)/F625</f>
        <v/>
      </c>
      <c r="L625" s="125">
        <f>I625/G625</f>
        <v/>
      </c>
      <c r="M625" s="125">
        <f>(E625*2+F625*4+((E625-G625)/2-H625)*4+2*PI()*H625+(D625-2*F625-2*H625)*2)/1000</f>
        <v/>
      </c>
      <c r="N625" s="5" t="n">
        <v>413000</v>
      </c>
      <c r="O625" s="5" t="n">
        <v>26700</v>
      </c>
      <c r="P625" s="125" t="n">
        <v>35.3</v>
      </c>
      <c r="Q625" s="125" t="n">
        <v>9</v>
      </c>
      <c r="R625" s="5" t="n">
        <v>9720</v>
      </c>
      <c r="S625" s="5" t="n">
        <v>1330</v>
      </c>
      <c r="T625" s="5" t="n">
        <v>10900</v>
      </c>
      <c r="U625" s="5" t="n">
        <v>2050</v>
      </c>
      <c r="X625" s="129">
        <f t="array" ref="X625">_xlfn.IFS((D625/F625) &lt;= (640/SQRT($AT$32)), "Compact", L625 &lt;= ($AT$32*(0.79-(0.002*((E625-G625/2)/(2*F625))*SQRT($AT$32)))), "Non-Compact", L625 &gt; ($AT$32*(0.79-(0.002*((E625-G625/2)/(2*F625))*SQRT($AT$32)))), "Slender")</f>
        <v/>
      </c>
      <c r="Y625" s="129">
        <f t="array" ref="Y625">_xlfn.IFS(K625 &lt;= (65/SQRT($AT$32)), "Compact", K625 &lt;= (95/SQRT($AT$32)), "Non-Compact", K625 &gt; (95/SQRT($AT$32)), "Slender")</f>
        <v/>
      </c>
      <c r="Z625" s="125">
        <f>E625/F625</f>
        <v/>
      </c>
      <c r="AA625" s="125">
        <f>D625/G625</f>
        <v/>
      </c>
      <c r="AB625" s="125">
        <f t="array" ref="AB625">_xlfn.IFS(Z625 &lt;= 9, "1", Z625 &lt;= 12, "2", Z625 &lt;= 15, "3", Z625 &gt; 15, "4")</f>
        <v/>
      </c>
      <c r="AC625" s="125">
        <f t="array" ref="AC625">_xlfn.IFS(AA625 &lt;= 200, "1", L625 &lt;= 300, "2", L625 &lt;= 400, "3", L625 &gt; 400, "4")</f>
        <v/>
      </c>
      <c r="AF625" s="129">
        <f>SQRT((((VLOOKUP($AT$4,$A$4:$D$1021,4,FALSE))-D625)^2)+(((VLOOKUP($AT$4,$A$4:$E$1021,5,FALSE))-E625)^2)+(((VLOOKUP($AT$4,$A$4:$N$1021,14,FALSE))-N625)^2)+(((VLOOKUP($AT$4,$A$4:$O$1021,15,FALSE))-O625)^2))</f>
        <v/>
      </c>
      <c r="AG625" s="129" t="n"/>
      <c r="AI625" s="129">
        <f>SQRT((((VLOOKUP($AT$4,$A$4:$D$1021,4,FALSE))-D625)^2)+(((VLOOKUP($AT$4,$A$4:$E$1021,5,FALSE))-E625)^2)+(((VLOOKUP($AT$4,$A$4:$R$1021,18,FALSE))-R625)^2)+(((VLOOKUP($AT$4,$A$4:$S$1021,19,FALSE))-S625)^2))</f>
        <v/>
      </c>
      <c r="AJ625" s="125" t="inlineStr">
        <is>
          <t>HY850X260</t>
        </is>
      </c>
      <c r="AK625" s="125" t="n"/>
      <c r="AL625" s="125" t="n"/>
      <c r="AM625" s="125">
        <f>SQRT(((VLOOKUP($AT$4,$A$4:$J$1021,10,FALSE))-J625)^2)</f>
        <v/>
      </c>
      <c r="AN625" s="125" t="n"/>
      <c r="AO625" s="125" t="n"/>
      <c r="AP625" s="125">
        <f>SQRT(((VLOOKUP($AT$4,$A$4:$R$1021,18,FALSE))-R625)^2)</f>
        <v/>
      </c>
      <c r="AQ625" s="125" t="inlineStr">
        <is>
          <t>HY850X260</t>
        </is>
      </c>
      <c r="BB625" s="125">
        <f>SQRT(($J$1022-J625)^2)</f>
        <v/>
      </c>
      <c r="BC625" s="125">
        <f>SQRT(($R$1022-R625)^2)</f>
        <v/>
      </c>
      <c r="BD625" s="125" t="inlineStr">
        <is>
          <t>HY850X260</t>
        </is>
      </c>
      <c r="BI625">
        <f>SQRT(($J$1023-J625)^2)</f>
        <v/>
      </c>
      <c r="BJ625">
        <f>SQRT(($R$1023-R625)^2)</f>
        <v/>
      </c>
      <c r="BK625" s="125" t="inlineStr">
        <is>
          <t>HY850X260</t>
        </is>
      </c>
      <c r="BP625">
        <f>SQRT(($J$1024-J625)^2)</f>
        <v/>
      </c>
      <c r="BQ625">
        <f>SQRT(($R$1024-R625)^2)</f>
        <v/>
      </c>
      <c r="BR625" s="125" t="inlineStr">
        <is>
          <t>HY850X260</t>
        </is>
      </c>
      <c r="BW625">
        <f>SQRT(($J$1025-J625)^2)</f>
        <v/>
      </c>
      <c r="BX625">
        <f>SQRT(($R$1025-R625)^2)</f>
        <v/>
      </c>
      <c r="BY625" s="125" t="inlineStr">
        <is>
          <t>HY850X260</t>
        </is>
      </c>
      <c r="CD625">
        <f>SQRT(($J$1026-J625)^2)</f>
        <v/>
      </c>
      <c r="CE625">
        <f>SQRT(($R$1026-R625)^2)</f>
        <v/>
      </c>
      <c r="CF625" s="125" t="inlineStr">
        <is>
          <t>HY850X260</t>
        </is>
      </c>
    </row>
    <row r="626">
      <c r="A626" s="125" t="inlineStr">
        <is>
          <t>HY850X337</t>
        </is>
      </c>
      <c r="B626" s="129" t="inlineStr">
        <is>
          <t>HY</t>
        </is>
      </c>
      <c r="C626" s="125" t="n">
        <v>337</v>
      </c>
      <c r="D626" s="125" t="n">
        <v>850</v>
      </c>
      <c r="E626" s="125" t="n">
        <v>350</v>
      </c>
      <c r="F626" s="125" t="n">
        <v>40</v>
      </c>
      <c r="G626" s="125" t="n">
        <v>19</v>
      </c>
      <c r="H626" s="125" t="n">
        <v>18</v>
      </c>
      <c r="I626" s="125">
        <f>D626-(2*(H626+F626))</f>
        <v/>
      </c>
      <c r="J626" s="125">
        <f>(2*E626/10*F626/10)+((D626-F626-F626)/10*G626/10)+((H626/10+H626/10)^2)-(PI()*H626/10*H626/10)</f>
        <v/>
      </c>
      <c r="K626" s="125">
        <f>((E626-G626)/2)/F626</f>
        <v/>
      </c>
      <c r="L626" s="125">
        <f>I626/G626</f>
        <v/>
      </c>
      <c r="M626" s="125">
        <f>(E626*2+F626*4+((E626-G626)/2-H626)*4+2*PI()*H626+(D626-2*F626-2*H626)*2)/1000</f>
        <v/>
      </c>
      <c r="N626" s="5" t="n">
        <v>536000</v>
      </c>
      <c r="O626" s="5" t="n">
        <v>28600</v>
      </c>
      <c r="P626" s="125" t="n">
        <v>35.3</v>
      </c>
      <c r="Q626" s="125" t="n">
        <v>8.199999999999999</v>
      </c>
      <c r="R626" s="5" t="n">
        <v>12600</v>
      </c>
      <c r="S626" s="5" t="n">
        <v>1640</v>
      </c>
      <c r="T626" s="5" t="n">
        <v>14300</v>
      </c>
      <c r="U626" s="5" t="n">
        <v>2520</v>
      </c>
      <c r="X626" s="129">
        <f t="array" ref="X626">_xlfn.IFS((D626/F626) &lt;= (640/SQRT($AT$32)), "Compact", L626 &lt;= ($AT$32*(0.79-(0.002*((E626-G626/2)/(2*F626))*SQRT($AT$32)))), "Non-Compact", L626 &gt; ($AT$32*(0.79-(0.002*((E626-G626/2)/(2*F626))*SQRT($AT$32)))), "Slender")</f>
        <v/>
      </c>
      <c r="Y626" s="129">
        <f t="array" ref="Y626">_xlfn.IFS(K626 &lt;= (65/SQRT($AT$32)), "Compact", K626 &lt;= (95/SQRT($AT$32)), "Non-Compact", K626 &gt; (95/SQRT($AT$32)), "Slender")</f>
        <v/>
      </c>
      <c r="Z626" s="125">
        <f>E626/F626</f>
        <v/>
      </c>
      <c r="AA626" s="125">
        <f>D626/G626</f>
        <v/>
      </c>
      <c r="AB626" s="125">
        <f t="array" ref="AB626">_xlfn.IFS(Z626 &lt;= 9, "1", Z626 &lt;= 12, "2", Z626 &lt;= 15, "3", Z626 &gt; 15, "4")</f>
        <v/>
      </c>
      <c r="AC626" s="125">
        <f t="array" ref="AC626">_xlfn.IFS(AA626 &lt;= 200, "1", L626 &lt;= 300, "2", L626 &lt;= 400, "3", L626 &gt; 400, "4")</f>
        <v/>
      </c>
      <c r="AF626" s="129">
        <f>SQRT((((VLOOKUP($AT$4,$A$4:$D$1021,4,FALSE))-D626)^2)+(((VLOOKUP($AT$4,$A$4:$E$1021,5,FALSE))-E626)^2)+(((VLOOKUP($AT$4,$A$4:$N$1021,14,FALSE))-N626)^2)+(((VLOOKUP($AT$4,$A$4:$O$1021,15,FALSE))-O626)^2))</f>
        <v/>
      </c>
      <c r="AG626" s="129" t="n"/>
      <c r="AI626" s="129">
        <f>SQRT((((VLOOKUP($AT$4,$A$4:$D$1021,4,FALSE))-D626)^2)+(((VLOOKUP($AT$4,$A$4:$E$1021,5,FALSE))-E626)^2)+(((VLOOKUP($AT$4,$A$4:$R$1021,18,FALSE))-R626)^2)+(((VLOOKUP($AT$4,$A$4:$S$1021,19,FALSE))-S626)^2))</f>
        <v/>
      </c>
      <c r="AJ626" s="125" t="inlineStr">
        <is>
          <t>HY850X337</t>
        </is>
      </c>
      <c r="AK626" s="125" t="n"/>
      <c r="AL626" s="125" t="n"/>
      <c r="AM626" s="125">
        <f>SQRT(((VLOOKUP($AT$4,$A$4:$J$1021,10,FALSE))-J626)^2)</f>
        <v/>
      </c>
      <c r="AN626" s="125" t="n"/>
      <c r="AO626" s="125" t="n"/>
      <c r="AP626" s="125">
        <f>SQRT(((VLOOKUP($AT$4,$A$4:$R$1021,18,FALSE))-R626)^2)</f>
        <v/>
      </c>
      <c r="AQ626" s="125" t="inlineStr">
        <is>
          <t>HY850X337</t>
        </is>
      </c>
      <c r="BB626" s="125">
        <f>SQRT(($J$1022-J626)^2)</f>
        <v/>
      </c>
      <c r="BC626" s="125">
        <f>SQRT(($R$1022-R626)^2)</f>
        <v/>
      </c>
      <c r="BD626" s="125" t="inlineStr">
        <is>
          <t>HY850X337</t>
        </is>
      </c>
      <c r="BI626">
        <f>SQRT(($J$1023-J626)^2)</f>
        <v/>
      </c>
      <c r="BJ626">
        <f>SQRT(($R$1023-R626)^2)</f>
        <v/>
      </c>
      <c r="BK626" s="125" t="inlineStr">
        <is>
          <t>HY850X337</t>
        </is>
      </c>
      <c r="BP626">
        <f>SQRT(($J$1024-J626)^2)</f>
        <v/>
      </c>
      <c r="BQ626">
        <f>SQRT(($R$1024-R626)^2)</f>
        <v/>
      </c>
      <c r="BR626" s="125" t="inlineStr">
        <is>
          <t>HY850X337</t>
        </is>
      </c>
      <c r="BW626">
        <f>SQRT(($J$1025-J626)^2)</f>
        <v/>
      </c>
      <c r="BX626">
        <f>SQRT(($R$1025-R626)^2)</f>
        <v/>
      </c>
      <c r="BY626" s="125" t="inlineStr">
        <is>
          <t>HY850X337</t>
        </is>
      </c>
      <c r="CD626">
        <f>SQRT(($J$1026-J626)^2)</f>
        <v/>
      </c>
      <c r="CE626">
        <f>SQRT(($R$1026-R626)^2)</f>
        <v/>
      </c>
      <c r="CF626" s="125" t="inlineStr">
        <is>
          <t>HY850X337</t>
        </is>
      </c>
    </row>
    <row r="627">
      <c r="A627" s="125" t="inlineStr">
        <is>
          <t>HY850X316</t>
        </is>
      </c>
      <c r="B627" s="129" t="inlineStr">
        <is>
          <t>HY</t>
        </is>
      </c>
      <c r="C627" s="125" t="n">
        <v>316</v>
      </c>
      <c r="D627" s="125" t="n">
        <v>850</v>
      </c>
      <c r="E627" s="125" t="n">
        <v>350</v>
      </c>
      <c r="F627" s="125" t="n">
        <v>36</v>
      </c>
      <c r="G627" s="125" t="n">
        <v>19</v>
      </c>
      <c r="H627" s="125" t="n">
        <v>18</v>
      </c>
      <c r="I627" s="125">
        <f>D627-(2*(H627+F627))</f>
        <v/>
      </c>
      <c r="J627" s="125">
        <f>(2*E627/10*F627/10)+((D627-F627-F627)/10*G627/10)+((H627/10+H627/10)^2)-(PI()*H627/10*H627/10)</f>
        <v/>
      </c>
      <c r="K627" s="125">
        <f>((E627-G627)/2)/F627</f>
        <v/>
      </c>
      <c r="L627" s="125">
        <f>I627/G627</f>
        <v/>
      </c>
      <c r="M627" s="125">
        <f>(E627*2+F627*4+((E627-G627)/2-H627)*4+2*PI()*H627+(D627-2*F627-2*H627)*2)/1000</f>
        <v/>
      </c>
      <c r="N627" s="5" t="n">
        <v>496000</v>
      </c>
      <c r="O627" s="5" t="n">
        <v>25800</v>
      </c>
      <c r="P627" s="125" t="n">
        <v>35.1</v>
      </c>
      <c r="Q627" s="125" t="n">
        <v>8</v>
      </c>
      <c r="R627" s="5" t="n">
        <v>11700</v>
      </c>
      <c r="S627" s="5" t="n">
        <v>1470</v>
      </c>
      <c r="T627" s="5" t="n">
        <v>13200</v>
      </c>
      <c r="U627" s="5" t="n">
        <v>2280</v>
      </c>
      <c r="X627" s="129">
        <f t="array" ref="X627">_xlfn.IFS((D627/F627) &lt;= (640/SQRT($AT$32)), "Compact", L627 &lt;= ($AT$32*(0.79-(0.002*((E627-G627/2)/(2*F627))*SQRT($AT$32)))), "Non-Compact", L627 &gt; ($AT$32*(0.79-(0.002*((E627-G627/2)/(2*F627))*SQRT($AT$32)))), "Slender")</f>
        <v/>
      </c>
      <c r="Y627" s="129">
        <f t="array" ref="Y627">_xlfn.IFS(K627 &lt;= (65/SQRT($AT$32)), "Compact", K627 &lt;= (95/SQRT($AT$32)), "Non-Compact", K627 &gt; (95/SQRT($AT$32)), "Slender")</f>
        <v/>
      </c>
      <c r="Z627" s="125">
        <f>E627/F627</f>
        <v/>
      </c>
      <c r="AA627" s="125">
        <f>D627/G627</f>
        <v/>
      </c>
      <c r="AB627" s="125">
        <f t="array" ref="AB627">_xlfn.IFS(Z627 &lt;= 9, "1", Z627 &lt;= 12, "2", Z627 &lt;= 15, "3", Z627 &gt; 15, "4")</f>
        <v/>
      </c>
      <c r="AC627" s="125">
        <f t="array" ref="AC627">_xlfn.IFS(AA627 &lt;= 200, "1", L627 &lt;= 300, "2", L627 &lt;= 400, "3", L627 &gt; 400, "4")</f>
        <v/>
      </c>
      <c r="AF627" s="129">
        <f>SQRT((((VLOOKUP($AT$4,$A$4:$D$1021,4,FALSE))-D627)^2)+(((VLOOKUP($AT$4,$A$4:$E$1021,5,FALSE))-E627)^2)+(((VLOOKUP($AT$4,$A$4:$N$1021,14,FALSE))-N627)^2)+(((VLOOKUP($AT$4,$A$4:$O$1021,15,FALSE))-O627)^2))</f>
        <v/>
      </c>
      <c r="AG627" s="129" t="n"/>
      <c r="AI627" s="129">
        <f>SQRT((((VLOOKUP($AT$4,$A$4:$D$1021,4,FALSE))-D627)^2)+(((VLOOKUP($AT$4,$A$4:$E$1021,5,FALSE))-E627)^2)+(((VLOOKUP($AT$4,$A$4:$R$1021,18,FALSE))-R627)^2)+(((VLOOKUP($AT$4,$A$4:$S$1021,19,FALSE))-S627)^2))</f>
        <v/>
      </c>
      <c r="AJ627" s="125" t="inlineStr">
        <is>
          <t>HY850X316</t>
        </is>
      </c>
      <c r="AK627" s="125" t="n"/>
      <c r="AL627" s="125" t="n"/>
      <c r="AM627" s="125">
        <f>SQRT(((VLOOKUP($AT$4,$A$4:$J$1021,10,FALSE))-J627)^2)</f>
        <v/>
      </c>
      <c r="AN627" s="125" t="n"/>
      <c r="AO627" s="125" t="n"/>
      <c r="AP627" s="125">
        <f>SQRT(((VLOOKUP($AT$4,$A$4:$R$1021,18,FALSE))-R627)^2)</f>
        <v/>
      </c>
      <c r="AQ627" s="125" t="inlineStr">
        <is>
          <t>HY850X316</t>
        </is>
      </c>
      <c r="BB627" s="125">
        <f>SQRT(($J$1022-J627)^2)</f>
        <v/>
      </c>
      <c r="BC627" s="125">
        <f>SQRT(($R$1022-R627)^2)</f>
        <v/>
      </c>
      <c r="BD627" s="125" t="inlineStr">
        <is>
          <t>HY850X316</t>
        </is>
      </c>
      <c r="BI627">
        <f>SQRT(($J$1023-J627)^2)</f>
        <v/>
      </c>
      <c r="BJ627">
        <f>SQRT(($R$1023-R627)^2)</f>
        <v/>
      </c>
      <c r="BK627" s="125" t="inlineStr">
        <is>
          <t>HY850X316</t>
        </is>
      </c>
      <c r="BP627">
        <f>SQRT(($J$1024-J627)^2)</f>
        <v/>
      </c>
      <c r="BQ627">
        <f>SQRT(($R$1024-R627)^2)</f>
        <v/>
      </c>
      <c r="BR627" s="125" t="inlineStr">
        <is>
          <t>HY850X316</t>
        </is>
      </c>
      <c r="BW627">
        <f>SQRT(($J$1025-J627)^2)</f>
        <v/>
      </c>
      <c r="BX627">
        <f>SQRT(($R$1025-R627)^2)</f>
        <v/>
      </c>
      <c r="BY627" s="125" t="inlineStr">
        <is>
          <t>HY850X316</t>
        </is>
      </c>
      <c r="CD627">
        <f>SQRT(($J$1026-J627)^2)</f>
        <v/>
      </c>
      <c r="CE627">
        <f>SQRT(($R$1026-R627)^2)</f>
        <v/>
      </c>
      <c r="CF627" s="125" t="inlineStr">
        <is>
          <t>HY850X316</t>
        </is>
      </c>
    </row>
    <row r="628">
      <c r="A628" s="125" t="inlineStr">
        <is>
          <t>HY850X295</t>
        </is>
      </c>
      <c r="B628" s="129" t="inlineStr">
        <is>
          <t>HY</t>
        </is>
      </c>
      <c r="C628" s="125" t="n">
        <v>295</v>
      </c>
      <c r="D628" s="125" t="n">
        <v>850</v>
      </c>
      <c r="E628" s="125" t="n">
        <v>350</v>
      </c>
      <c r="F628" s="125" t="n">
        <v>32</v>
      </c>
      <c r="G628" s="125" t="n">
        <v>19</v>
      </c>
      <c r="H628" s="125" t="n">
        <v>18</v>
      </c>
      <c r="I628" s="125">
        <f>D628-(2*(H628+F628))</f>
        <v/>
      </c>
      <c r="J628" s="125">
        <f>(2*E628/10*F628/10)+((D628-F628-F628)/10*G628/10)+((H628/10+H628/10)^2)-(PI()*H628/10*H628/10)</f>
        <v/>
      </c>
      <c r="K628" s="125">
        <f>((E628-G628)/2)/F628</f>
        <v/>
      </c>
      <c r="L628" s="125">
        <f>I628/G628</f>
        <v/>
      </c>
      <c r="M628" s="125">
        <f>(E628*2+F628*4+((E628-G628)/2-H628)*4+2*PI()*H628+(D628-2*F628-2*H628)*2)/1000</f>
        <v/>
      </c>
      <c r="N628" s="5" t="n">
        <v>456000</v>
      </c>
      <c r="O628" s="5" t="n">
        <v>22900</v>
      </c>
      <c r="P628" s="125" t="n">
        <v>34.8</v>
      </c>
      <c r="Q628" s="125" t="n">
        <v>7.8</v>
      </c>
      <c r="R628" s="5" t="n">
        <v>10700</v>
      </c>
      <c r="S628" s="5" t="n">
        <v>1310</v>
      </c>
      <c r="T628" s="5" t="n">
        <v>12200</v>
      </c>
      <c r="U628" s="5" t="n">
        <v>2030</v>
      </c>
      <c r="X628" s="129">
        <f t="array" ref="X628">_xlfn.IFS((D628/F628) &lt;= (640/SQRT($AT$32)), "Compact", L628 &lt;= ($AT$32*(0.79-(0.002*((E628-G628/2)/(2*F628))*SQRT($AT$32)))), "Non-Compact", L628 &gt; ($AT$32*(0.79-(0.002*((E628-G628/2)/(2*F628))*SQRT($AT$32)))), "Slender")</f>
        <v/>
      </c>
      <c r="Y628" s="129">
        <f t="array" ref="Y628">_xlfn.IFS(K628 &lt;= (65/SQRT($AT$32)), "Compact", K628 &lt;= (95/SQRT($AT$32)), "Non-Compact", K628 &gt; (95/SQRT($AT$32)), "Slender")</f>
        <v/>
      </c>
      <c r="Z628" s="125">
        <f>E628/F628</f>
        <v/>
      </c>
      <c r="AA628" s="125">
        <f>D628/G628</f>
        <v/>
      </c>
      <c r="AB628" s="125">
        <f t="array" ref="AB628">_xlfn.IFS(Z628 &lt;= 9, "1", Z628 &lt;= 12, "2", Z628 &lt;= 15, "3", Z628 &gt; 15, "4")</f>
        <v/>
      </c>
      <c r="AC628" s="125">
        <f t="array" ref="AC628">_xlfn.IFS(AA628 &lt;= 200, "1", L628 &lt;= 300, "2", L628 &lt;= 400, "3", L628 &gt; 400, "4")</f>
        <v/>
      </c>
      <c r="AF628" s="129">
        <f>SQRT((((VLOOKUP($AT$4,$A$4:$D$1021,4,FALSE))-D628)^2)+(((VLOOKUP($AT$4,$A$4:$E$1021,5,FALSE))-E628)^2)+(((VLOOKUP($AT$4,$A$4:$N$1021,14,FALSE))-N628)^2)+(((VLOOKUP($AT$4,$A$4:$O$1021,15,FALSE))-O628)^2))</f>
        <v/>
      </c>
      <c r="AG628" s="129" t="n"/>
      <c r="AI628" s="129">
        <f>SQRT((((VLOOKUP($AT$4,$A$4:$D$1021,4,FALSE))-D628)^2)+(((VLOOKUP($AT$4,$A$4:$E$1021,5,FALSE))-E628)^2)+(((VLOOKUP($AT$4,$A$4:$R$1021,18,FALSE))-R628)^2)+(((VLOOKUP($AT$4,$A$4:$S$1021,19,FALSE))-S628)^2))</f>
        <v/>
      </c>
      <c r="AJ628" s="125" t="inlineStr">
        <is>
          <t>HY850X295</t>
        </is>
      </c>
      <c r="AK628" s="125" t="n"/>
      <c r="AL628" s="125" t="n"/>
      <c r="AM628" s="125">
        <f>SQRT(((VLOOKUP($AT$4,$A$4:$J$1021,10,FALSE))-J628)^2)</f>
        <v/>
      </c>
      <c r="AN628" s="125" t="n"/>
      <c r="AO628" s="125" t="n"/>
      <c r="AP628" s="125">
        <f>SQRT(((VLOOKUP($AT$4,$A$4:$R$1021,18,FALSE))-R628)^2)</f>
        <v/>
      </c>
      <c r="AQ628" s="125" t="inlineStr">
        <is>
          <t>HY850X295</t>
        </is>
      </c>
      <c r="BB628" s="125">
        <f>SQRT(($J$1022-J628)^2)</f>
        <v/>
      </c>
      <c r="BC628" s="125">
        <f>SQRT(($R$1022-R628)^2)</f>
        <v/>
      </c>
      <c r="BD628" s="125" t="inlineStr">
        <is>
          <t>HY850X295</t>
        </is>
      </c>
      <c r="BI628">
        <f>SQRT(($J$1023-J628)^2)</f>
        <v/>
      </c>
      <c r="BJ628">
        <f>SQRT(($R$1023-R628)^2)</f>
        <v/>
      </c>
      <c r="BK628" s="125" t="inlineStr">
        <is>
          <t>HY850X295</t>
        </is>
      </c>
      <c r="BP628">
        <f>SQRT(($J$1024-J628)^2)</f>
        <v/>
      </c>
      <c r="BQ628">
        <f>SQRT(($R$1024-R628)^2)</f>
        <v/>
      </c>
      <c r="BR628" s="125" t="inlineStr">
        <is>
          <t>HY850X295</t>
        </is>
      </c>
      <c r="BW628">
        <f>SQRT(($J$1025-J628)^2)</f>
        <v/>
      </c>
      <c r="BX628">
        <f>SQRT(($R$1025-R628)^2)</f>
        <v/>
      </c>
      <c r="BY628" s="125" t="inlineStr">
        <is>
          <t>HY850X295</t>
        </is>
      </c>
      <c r="CD628">
        <f>SQRT(($J$1026-J628)^2)</f>
        <v/>
      </c>
      <c r="CE628">
        <f>SQRT(($R$1026-R628)^2)</f>
        <v/>
      </c>
      <c r="CF628" s="125" t="inlineStr">
        <is>
          <t>HY850X295</t>
        </is>
      </c>
    </row>
    <row r="629">
      <c r="A629" s="125" t="inlineStr">
        <is>
          <t>HY850X274</t>
        </is>
      </c>
      <c r="B629" s="129" t="inlineStr">
        <is>
          <t>HY</t>
        </is>
      </c>
      <c r="C629" s="125" t="n">
        <v>274</v>
      </c>
      <c r="D629" s="125" t="n">
        <v>850</v>
      </c>
      <c r="E629" s="125" t="n">
        <v>350</v>
      </c>
      <c r="F629" s="125" t="n">
        <v>28</v>
      </c>
      <c r="G629" s="125" t="n">
        <v>19</v>
      </c>
      <c r="H629" s="125" t="n">
        <v>18</v>
      </c>
      <c r="I629" s="125">
        <f>D629-(2*(H629+F629))</f>
        <v/>
      </c>
      <c r="J629" s="125">
        <f>(2*E629/10*F629/10)+((D629-F629-F629)/10*G629/10)+((H629/10+H629/10)^2)-(PI()*H629/10*H629/10)</f>
        <v/>
      </c>
      <c r="K629" s="125">
        <f>((E629-G629)/2)/F629</f>
        <v/>
      </c>
      <c r="L629" s="125">
        <f>I629/G629</f>
        <v/>
      </c>
      <c r="M629" s="125">
        <f>(E629*2+F629*4+((E629-G629)/2-H629)*4+2*PI()*H629+(D629-2*F629-2*H629)*2)/1000</f>
        <v/>
      </c>
      <c r="N629" s="5" t="n">
        <v>415000</v>
      </c>
      <c r="O629" s="5" t="n">
        <v>20100</v>
      </c>
      <c r="P629" s="125" t="n">
        <v>34.4</v>
      </c>
      <c r="Q629" s="125" t="n">
        <v>7.6</v>
      </c>
      <c r="R629" s="5" t="n">
        <v>9760</v>
      </c>
      <c r="S629" s="5" t="n">
        <v>1150</v>
      </c>
      <c r="T629" s="5" t="n">
        <v>11200</v>
      </c>
      <c r="U629" s="5" t="n">
        <v>1790</v>
      </c>
      <c r="X629" s="129">
        <f t="array" ref="X629">_xlfn.IFS((D629/F629) &lt;= (640/SQRT($AT$32)), "Compact", L629 &lt;= ($AT$32*(0.79-(0.002*((E629-G629/2)/(2*F629))*SQRT($AT$32)))), "Non-Compact", L629 &gt; ($AT$32*(0.79-(0.002*((E629-G629/2)/(2*F629))*SQRT($AT$32)))), "Slender")</f>
        <v/>
      </c>
      <c r="Y629" s="129">
        <f t="array" ref="Y629">_xlfn.IFS(K629 &lt;= (65/SQRT($AT$32)), "Compact", K629 &lt;= (95/SQRT($AT$32)), "Non-Compact", K629 &gt; (95/SQRT($AT$32)), "Slender")</f>
        <v/>
      </c>
      <c r="Z629" s="125">
        <f>E629/F629</f>
        <v/>
      </c>
      <c r="AA629" s="125">
        <f>D629/G629</f>
        <v/>
      </c>
      <c r="AB629" s="125">
        <f t="array" ref="AB629">_xlfn.IFS(Z629 &lt;= 9, "1", Z629 &lt;= 12, "2", Z629 &lt;= 15, "3", Z629 &gt; 15, "4")</f>
        <v/>
      </c>
      <c r="AC629" s="125">
        <f t="array" ref="AC629">_xlfn.IFS(AA629 &lt;= 200, "1", L629 &lt;= 300, "2", L629 &lt;= 400, "3", L629 &gt; 400, "4")</f>
        <v/>
      </c>
      <c r="AF629" s="129">
        <f>SQRT((((VLOOKUP($AT$4,$A$4:$D$1021,4,FALSE))-D629)^2)+(((VLOOKUP($AT$4,$A$4:$E$1021,5,FALSE))-E629)^2)+(((VLOOKUP($AT$4,$A$4:$N$1021,14,FALSE))-N629)^2)+(((VLOOKUP($AT$4,$A$4:$O$1021,15,FALSE))-O629)^2))</f>
        <v/>
      </c>
      <c r="AG629" s="129" t="n"/>
      <c r="AI629" s="129">
        <f>SQRT((((VLOOKUP($AT$4,$A$4:$D$1021,4,FALSE))-D629)^2)+(((VLOOKUP($AT$4,$A$4:$E$1021,5,FALSE))-E629)^2)+(((VLOOKUP($AT$4,$A$4:$R$1021,18,FALSE))-R629)^2)+(((VLOOKUP($AT$4,$A$4:$S$1021,19,FALSE))-S629)^2))</f>
        <v/>
      </c>
      <c r="AJ629" s="125" t="inlineStr">
        <is>
          <t>HY850X274</t>
        </is>
      </c>
      <c r="AK629" s="125" t="n"/>
      <c r="AL629" s="125" t="n"/>
      <c r="AM629" s="125">
        <f>SQRT(((VLOOKUP($AT$4,$A$4:$J$1021,10,FALSE))-J629)^2)</f>
        <v/>
      </c>
      <c r="AN629" s="125" t="n"/>
      <c r="AO629" s="125" t="n"/>
      <c r="AP629" s="125">
        <f>SQRT(((VLOOKUP($AT$4,$A$4:$R$1021,18,FALSE))-R629)^2)</f>
        <v/>
      </c>
      <c r="AQ629" s="125" t="inlineStr">
        <is>
          <t>HY850X274</t>
        </is>
      </c>
      <c r="BB629" s="125">
        <f>SQRT(($J$1022-J629)^2)</f>
        <v/>
      </c>
      <c r="BC629" s="125">
        <f>SQRT(($R$1022-R629)^2)</f>
        <v/>
      </c>
      <c r="BD629" s="125" t="inlineStr">
        <is>
          <t>HY850X274</t>
        </is>
      </c>
      <c r="BI629">
        <f>SQRT(($J$1023-J629)^2)</f>
        <v/>
      </c>
      <c r="BJ629">
        <f>SQRT(($R$1023-R629)^2)</f>
        <v/>
      </c>
      <c r="BK629" s="125" t="inlineStr">
        <is>
          <t>HY850X274</t>
        </is>
      </c>
      <c r="BP629">
        <f>SQRT(($J$1024-J629)^2)</f>
        <v/>
      </c>
      <c r="BQ629">
        <f>SQRT(($R$1024-R629)^2)</f>
        <v/>
      </c>
      <c r="BR629" s="125" t="inlineStr">
        <is>
          <t>HY850X274</t>
        </is>
      </c>
      <c r="BW629">
        <f>SQRT(($J$1025-J629)^2)</f>
        <v/>
      </c>
      <c r="BX629">
        <f>SQRT(($R$1025-R629)^2)</f>
        <v/>
      </c>
      <c r="BY629" s="125" t="inlineStr">
        <is>
          <t>HY850X274</t>
        </is>
      </c>
      <c r="CD629">
        <f>SQRT(($J$1026-J629)^2)</f>
        <v/>
      </c>
      <c r="CE629">
        <f>SQRT(($R$1026-R629)^2)</f>
        <v/>
      </c>
      <c r="CF629" s="125" t="inlineStr">
        <is>
          <t>HY850X274</t>
        </is>
      </c>
    </row>
    <row r="630">
      <c r="A630" s="125" t="inlineStr">
        <is>
          <t>HY850X298</t>
        </is>
      </c>
      <c r="B630" s="129" t="inlineStr">
        <is>
          <t>HY</t>
        </is>
      </c>
      <c r="C630" s="125" t="n">
        <v>298</v>
      </c>
      <c r="D630" s="125" t="n">
        <v>850</v>
      </c>
      <c r="E630" s="125" t="n">
        <v>350</v>
      </c>
      <c r="F630" s="125" t="n">
        <v>36</v>
      </c>
      <c r="G630" s="125" t="n">
        <v>16</v>
      </c>
      <c r="H630" s="125" t="n">
        <v>18</v>
      </c>
      <c r="I630" s="125">
        <f>D630-(2*(H630+F630))</f>
        <v/>
      </c>
      <c r="J630" s="125">
        <f>(2*E630/10*F630/10)+((D630-F630-F630)/10*G630/10)+((H630/10+H630/10)^2)-(PI()*H630/10*H630/10)</f>
        <v/>
      </c>
      <c r="K630" s="125">
        <f>((E630-G630)/2)/F630</f>
        <v/>
      </c>
      <c r="L630" s="125">
        <f>I630/G630</f>
        <v/>
      </c>
      <c r="M630" s="125">
        <f>(E630*2+F630*4+((E630-G630)/2-H630)*4+2*PI()*H630+(D630-2*F630-2*H630)*2)/1000</f>
        <v/>
      </c>
      <c r="N630" s="5" t="n">
        <v>485000</v>
      </c>
      <c r="O630" s="5" t="n">
        <v>25800</v>
      </c>
      <c r="P630" s="125" t="n">
        <v>35.7</v>
      </c>
      <c r="Q630" s="125" t="n">
        <v>8.199999999999999</v>
      </c>
      <c r="R630" s="5" t="n">
        <v>11400</v>
      </c>
      <c r="S630" s="5" t="n">
        <v>1470</v>
      </c>
      <c r="T630" s="5" t="n">
        <v>12800</v>
      </c>
      <c r="U630" s="5" t="n">
        <v>2260</v>
      </c>
      <c r="X630" s="129">
        <f t="array" ref="X630">_xlfn.IFS((D630/F630) &lt;= (640/SQRT($AT$32)), "Compact", L630 &lt;= ($AT$32*(0.79-(0.002*((E630-G630/2)/(2*F630))*SQRT($AT$32)))), "Non-Compact", L630 &gt; ($AT$32*(0.79-(0.002*((E630-G630/2)/(2*F630))*SQRT($AT$32)))), "Slender")</f>
        <v/>
      </c>
      <c r="Y630" s="129">
        <f t="array" ref="Y630">_xlfn.IFS(K630 &lt;= (65/SQRT($AT$32)), "Compact", K630 &lt;= (95/SQRT($AT$32)), "Non-Compact", K630 &gt; (95/SQRT($AT$32)), "Slender")</f>
        <v/>
      </c>
      <c r="Z630" s="125">
        <f>E630/F630</f>
        <v/>
      </c>
      <c r="AA630" s="125">
        <f>D630/G630</f>
        <v/>
      </c>
      <c r="AB630" s="125">
        <f t="array" ref="AB630">_xlfn.IFS(Z630 &lt;= 9, "1", Z630 &lt;= 12, "2", Z630 &lt;= 15, "3", Z630 &gt; 15, "4")</f>
        <v/>
      </c>
      <c r="AC630" s="125">
        <f t="array" ref="AC630">_xlfn.IFS(AA630 &lt;= 200, "1", L630 &lt;= 300, "2", L630 &lt;= 400, "3", L630 &gt; 400, "4")</f>
        <v/>
      </c>
      <c r="AF630" s="129">
        <f>SQRT((((VLOOKUP($AT$4,$A$4:$D$1021,4,FALSE))-D630)^2)+(((VLOOKUP($AT$4,$A$4:$E$1021,5,FALSE))-E630)^2)+(((VLOOKUP($AT$4,$A$4:$N$1021,14,FALSE))-N630)^2)+(((VLOOKUP($AT$4,$A$4:$O$1021,15,FALSE))-O630)^2))</f>
        <v/>
      </c>
      <c r="AG630" s="129" t="n"/>
      <c r="AI630" s="129">
        <f>SQRT((((VLOOKUP($AT$4,$A$4:$D$1021,4,FALSE))-D630)^2)+(((VLOOKUP($AT$4,$A$4:$E$1021,5,FALSE))-E630)^2)+(((VLOOKUP($AT$4,$A$4:$R$1021,18,FALSE))-R630)^2)+(((VLOOKUP($AT$4,$A$4:$S$1021,19,FALSE))-S630)^2))</f>
        <v/>
      </c>
      <c r="AJ630" s="125" t="inlineStr">
        <is>
          <t>HY850X298</t>
        </is>
      </c>
      <c r="AK630" s="125" t="n"/>
      <c r="AL630" s="125" t="n"/>
      <c r="AM630" s="125">
        <f>SQRT(((VLOOKUP($AT$4,$A$4:$J$1021,10,FALSE))-J630)^2)</f>
        <v/>
      </c>
      <c r="AN630" s="125" t="n"/>
      <c r="AO630" s="125" t="n"/>
      <c r="AP630" s="125">
        <f>SQRT(((VLOOKUP($AT$4,$A$4:$R$1021,18,FALSE))-R630)^2)</f>
        <v/>
      </c>
      <c r="AQ630" s="125" t="inlineStr">
        <is>
          <t>HY850X298</t>
        </is>
      </c>
      <c r="BB630" s="125">
        <f>SQRT(($J$1022-J630)^2)</f>
        <v/>
      </c>
      <c r="BC630" s="125">
        <f>SQRT(($R$1022-R630)^2)</f>
        <v/>
      </c>
      <c r="BD630" s="125" t="inlineStr">
        <is>
          <t>HY850X298</t>
        </is>
      </c>
      <c r="BI630">
        <f>SQRT(($J$1023-J630)^2)</f>
        <v/>
      </c>
      <c r="BJ630">
        <f>SQRT(($R$1023-R630)^2)</f>
        <v/>
      </c>
      <c r="BK630" s="125" t="inlineStr">
        <is>
          <t>HY850X298</t>
        </is>
      </c>
      <c r="BP630">
        <f>SQRT(($J$1024-J630)^2)</f>
        <v/>
      </c>
      <c r="BQ630">
        <f>SQRT(($R$1024-R630)^2)</f>
        <v/>
      </c>
      <c r="BR630" s="125" t="inlineStr">
        <is>
          <t>HY850X298</t>
        </is>
      </c>
      <c r="BW630">
        <f>SQRT(($J$1025-J630)^2)</f>
        <v/>
      </c>
      <c r="BX630">
        <f>SQRT(($R$1025-R630)^2)</f>
        <v/>
      </c>
      <c r="BY630" s="125" t="inlineStr">
        <is>
          <t>HY850X298</t>
        </is>
      </c>
      <c r="CD630">
        <f>SQRT(($J$1026-J630)^2)</f>
        <v/>
      </c>
      <c r="CE630">
        <f>SQRT(($R$1026-R630)^2)</f>
        <v/>
      </c>
      <c r="CF630" s="125" t="inlineStr">
        <is>
          <t>HY850X298</t>
        </is>
      </c>
    </row>
    <row r="631">
      <c r="A631" s="125" t="inlineStr">
        <is>
          <t>HY850X277</t>
        </is>
      </c>
      <c r="B631" s="129" t="inlineStr">
        <is>
          <t>HY</t>
        </is>
      </c>
      <c r="C631" s="125" t="n">
        <v>277</v>
      </c>
      <c r="D631" s="125" t="n">
        <v>850</v>
      </c>
      <c r="E631" s="125" t="n">
        <v>350</v>
      </c>
      <c r="F631" s="125" t="n">
        <v>32</v>
      </c>
      <c r="G631" s="125" t="n">
        <v>16</v>
      </c>
      <c r="H631" s="125" t="n">
        <v>18</v>
      </c>
      <c r="I631" s="125">
        <f>D631-(2*(H631+F631))</f>
        <v/>
      </c>
      <c r="J631" s="125">
        <f>(2*E631/10*F631/10)+((D631-F631-F631)/10*G631/10)+((H631/10+H631/10)^2)-(PI()*H631/10*H631/10)</f>
        <v/>
      </c>
      <c r="K631" s="125">
        <f>((E631-G631)/2)/F631</f>
        <v/>
      </c>
      <c r="L631" s="125">
        <f>I631/G631</f>
        <v/>
      </c>
      <c r="M631" s="125">
        <f>(E631*2+F631*4+((E631-G631)/2-H631)*4+2*PI()*H631+(D631-2*F631-2*H631)*2)/1000</f>
        <v/>
      </c>
      <c r="N631" s="5" t="n">
        <v>444000</v>
      </c>
      <c r="O631" s="5" t="n">
        <v>22900</v>
      </c>
      <c r="P631" s="125" t="n">
        <v>35.5</v>
      </c>
      <c r="Q631" s="125" t="n">
        <v>8.1</v>
      </c>
      <c r="R631" s="5" t="n">
        <v>10400</v>
      </c>
      <c r="S631" s="5" t="n">
        <v>1310</v>
      </c>
      <c r="T631" s="5" t="n">
        <v>11700</v>
      </c>
      <c r="U631" s="5" t="n">
        <v>2010</v>
      </c>
      <c r="X631" s="129">
        <f t="array" ref="X631">_xlfn.IFS((D631/F631) &lt;= (640/SQRT($AT$32)), "Compact", L631 &lt;= ($AT$32*(0.79-(0.002*((E631-G631/2)/(2*F631))*SQRT($AT$32)))), "Non-Compact", L631 &gt; ($AT$32*(0.79-(0.002*((E631-G631/2)/(2*F631))*SQRT($AT$32)))), "Slender")</f>
        <v/>
      </c>
      <c r="Y631" s="129">
        <f t="array" ref="Y631">_xlfn.IFS(K631 &lt;= (65/SQRT($AT$32)), "Compact", K631 &lt;= (95/SQRT($AT$32)), "Non-Compact", K631 &gt; (95/SQRT($AT$32)), "Slender")</f>
        <v/>
      </c>
      <c r="Z631" s="125">
        <f>E631/F631</f>
        <v/>
      </c>
      <c r="AA631" s="125">
        <f>D631/G631</f>
        <v/>
      </c>
      <c r="AB631" s="125">
        <f t="array" ref="AB631">_xlfn.IFS(Z631 &lt;= 9, "1", Z631 &lt;= 12, "2", Z631 &lt;= 15, "3", Z631 &gt; 15, "4")</f>
        <v/>
      </c>
      <c r="AC631" s="125">
        <f t="array" ref="AC631">_xlfn.IFS(AA631 &lt;= 200, "1", L631 &lt;= 300, "2", L631 &lt;= 400, "3", L631 &gt; 400, "4")</f>
        <v/>
      </c>
      <c r="AF631" s="129">
        <f>SQRT((((VLOOKUP($AT$4,$A$4:$D$1021,4,FALSE))-D631)^2)+(((VLOOKUP($AT$4,$A$4:$E$1021,5,FALSE))-E631)^2)+(((VLOOKUP($AT$4,$A$4:$N$1021,14,FALSE))-N631)^2)+(((VLOOKUP($AT$4,$A$4:$O$1021,15,FALSE))-O631)^2))</f>
        <v/>
      </c>
      <c r="AG631" s="129" t="n"/>
      <c r="AI631" s="129">
        <f>SQRT((((VLOOKUP($AT$4,$A$4:$D$1021,4,FALSE))-D631)^2)+(((VLOOKUP($AT$4,$A$4:$E$1021,5,FALSE))-E631)^2)+(((VLOOKUP($AT$4,$A$4:$R$1021,18,FALSE))-R631)^2)+(((VLOOKUP($AT$4,$A$4:$S$1021,19,FALSE))-S631)^2))</f>
        <v/>
      </c>
      <c r="AJ631" s="125" t="inlineStr">
        <is>
          <t>HY850X277</t>
        </is>
      </c>
      <c r="AK631" s="125" t="n"/>
      <c r="AL631" s="125" t="n"/>
      <c r="AM631" s="125">
        <f>SQRT(((VLOOKUP($AT$4,$A$4:$J$1021,10,FALSE))-J631)^2)</f>
        <v/>
      </c>
      <c r="AN631" s="125" t="n"/>
      <c r="AO631" s="125" t="n"/>
      <c r="AP631" s="125">
        <f>SQRT(((VLOOKUP($AT$4,$A$4:$R$1021,18,FALSE))-R631)^2)</f>
        <v/>
      </c>
      <c r="AQ631" s="125" t="inlineStr">
        <is>
          <t>HY850X277</t>
        </is>
      </c>
      <c r="BB631" s="125">
        <f>SQRT(($J$1022-J631)^2)</f>
        <v/>
      </c>
      <c r="BC631" s="125">
        <f>SQRT(($R$1022-R631)^2)</f>
        <v/>
      </c>
      <c r="BD631" s="125" t="inlineStr">
        <is>
          <t>HY850X277</t>
        </is>
      </c>
      <c r="BI631">
        <f>SQRT(($J$1023-J631)^2)</f>
        <v/>
      </c>
      <c r="BJ631">
        <f>SQRT(($R$1023-R631)^2)</f>
        <v/>
      </c>
      <c r="BK631" s="125" t="inlineStr">
        <is>
          <t>HY850X277</t>
        </is>
      </c>
      <c r="BP631">
        <f>SQRT(($J$1024-J631)^2)</f>
        <v/>
      </c>
      <c r="BQ631">
        <f>SQRT(($R$1024-R631)^2)</f>
        <v/>
      </c>
      <c r="BR631" s="125" t="inlineStr">
        <is>
          <t>HY850X277</t>
        </is>
      </c>
      <c r="BW631">
        <f>SQRT(($J$1025-J631)^2)</f>
        <v/>
      </c>
      <c r="BX631">
        <f>SQRT(($R$1025-R631)^2)</f>
        <v/>
      </c>
      <c r="BY631" s="125" t="inlineStr">
        <is>
          <t>HY850X277</t>
        </is>
      </c>
      <c r="CD631">
        <f>SQRT(($J$1026-J631)^2)</f>
        <v/>
      </c>
      <c r="CE631">
        <f>SQRT(($R$1026-R631)^2)</f>
        <v/>
      </c>
      <c r="CF631" s="125" t="inlineStr">
        <is>
          <t>HY850X277</t>
        </is>
      </c>
    </row>
    <row r="632">
      <c r="A632" s="125" t="inlineStr">
        <is>
          <t>HY850X256</t>
        </is>
      </c>
      <c r="B632" s="129" t="inlineStr">
        <is>
          <t>HY</t>
        </is>
      </c>
      <c r="C632" s="125" t="n">
        <v>256</v>
      </c>
      <c r="D632" s="125" t="n">
        <v>850</v>
      </c>
      <c r="E632" s="125" t="n">
        <v>350</v>
      </c>
      <c r="F632" s="125" t="n">
        <v>28</v>
      </c>
      <c r="G632" s="125" t="n">
        <v>16</v>
      </c>
      <c r="H632" s="125" t="n">
        <v>18</v>
      </c>
      <c r="I632" s="125">
        <f>D632-(2*(H632+F632))</f>
        <v/>
      </c>
      <c r="J632" s="125">
        <f>(2*E632/10*F632/10)+((D632-F632-F632)/10*G632/10)+((H632/10+H632/10)^2)-(PI()*H632/10*H632/10)</f>
        <v/>
      </c>
      <c r="K632" s="125">
        <f>((E632-G632)/2)/F632</f>
        <v/>
      </c>
      <c r="L632" s="125">
        <f>I632/G632</f>
        <v/>
      </c>
      <c r="M632" s="125">
        <f>(E632*2+F632*4+((E632-G632)/2-H632)*4+2*PI()*H632+(D632-2*F632-2*H632)*2)/1000</f>
        <v/>
      </c>
      <c r="N632" s="5" t="n">
        <v>402000</v>
      </c>
      <c r="O632" s="5" t="n">
        <v>20000</v>
      </c>
      <c r="P632" s="125" t="n">
        <v>35.1</v>
      </c>
      <c r="Q632" s="125" t="n">
        <v>7.8</v>
      </c>
      <c r="R632" s="5" t="n">
        <v>9460</v>
      </c>
      <c r="S632" s="5" t="n">
        <v>1150</v>
      </c>
      <c r="T632" s="5" t="n">
        <v>10700</v>
      </c>
      <c r="U632" s="5" t="n">
        <v>1770</v>
      </c>
      <c r="X632" s="129">
        <f t="array" ref="X632">_xlfn.IFS((D632/F632) &lt;= (640/SQRT($AT$32)), "Compact", L632 &lt;= ($AT$32*(0.79-(0.002*((E632-G632/2)/(2*F632))*SQRT($AT$32)))), "Non-Compact", L632 &gt; ($AT$32*(0.79-(0.002*((E632-G632/2)/(2*F632))*SQRT($AT$32)))), "Slender")</f>
        <v/>
      </c>
      <c r="Y632" s="129">
        <f t="array" ref="Y632">_xlfn.IFS(K632 &lt;= (65/SQRT($AT$32)), "Compact", K632 &lt;= (95/SQRT($AT$32)), "Non-Compact", K632 &gt; (95/SQRT($AT$32)), "Slender")</f>
        <v/>
      </c>
      <c r="Z632" s="125">
        <f>E632/F632</f>
        <v/>
      </c>
      <c r="AA632" s="125">
        <f>D632/G632</f>
        <v/>
      </c>
      <c r="AB632" s="125">
        <f t="array" ref="AB632">_xlfn.IFS(Z632 &lt;= 9, "1", Z632 &lt;= 12, "2", Z632 &lt;= 15, "3", Z632 &gt; 15, "4")</f>
        <v/>
      </c>
      <c r="AC632" s="125">
        <f t="array" ref="AC632">_xlfn.IFS(AA632 &lt;= 200, "1", L632 &lt;= 300, "2", L632 &lt;= 400, "3", L632 &gt; 400, "4")</f>
        <v/>
      </c>
      <c r="AF632" s="129">
        <f>SQRT((((VLOOKUP($AT$4,$A$4:$D$1021,4,FALSE))-D632)^2)+(((VLOOKUP($AT$4,$A$4:$E$1021,5,FALSE))-E632)^2)+(((VLOOKUP($AT$4,$A$4:$N$1021,14,FALSE))-N632)^2)+(((VLOOKUP($AT$4,$A$4:$O$1021,15,FALSE))-O632)^2))</f>
        <v/>
      </c>
      <c r="AG632" s="129" t="n"/>
      <c r="AI632" s="129">
        <f>SQRT((((VLOOKUP($AT$4,$A$4:$D$1021,4,FALSE))-D632)^2)+(((VLOOKUP($AT$4,$A$4:$E$1021,5,FALSE))-E632)^2)+(((VLOOKUP($AT$4,$A$4:$R$1021,18,FALSE))-R632)^2)+(((VLOOKUP($AT$4,$A$4:$S$1021,19,FALSE))-S632)^2))</f>
        <v/>
      </c>
      <c r="AJ632" s="125" t="inlineStr">
        <is>
          <t>HY850X256</t>
        </is>
      </c>
      <c r="AK632" s="125" t="n"/>
      <c r="AL632" s="125" t="n"/>
      <c r="AM632" s="125">
        <f>SQRT(((VLOOKUP($AT$4,$A$4:$J$1021,10,FALSE))-J632)^2)</f>
        <v/>
      </c>
      <c r="AN632" s="125" t="n"/>
      <c r="AO632" s="125" t="n"/>
      <c r="AP632" s="125">
        <f>SQRT(((VLOOKUP($AT$4,$A$4:$R$1021,18,FALSE))-R632)^2)</f>
        <v/>
      </c>
      <c r="AQ632" s="125" t="inlineStr">
        <is>
          <t>HY850X256</t>
        </is>
      </c>
      <c r="BB632" s="125">
        <f>SQRT(($J$1022-J632)^2)</f>
        <v/>
      </c>
      <c r="BC632" s="125">
        <f>SQRT(($R$1022-R632)^2)</f>
        <v/>
      </c>
      <c r="BD632" s="125" t="inlineStr">
        <is>
          <t>HY850X256</t>
        </is>
      </c>
      <c r="BI632">
        <f>SQRT(($J$1023-J632)^2)</f>
        <v/>
      </c>
      <c r="BJ632">
        <f>SQRT(($R$1023-R632)^2)</f>
        <v/>
      </c>
      <c r="BK632" s="125" t="inlineStr">
        <is>
          <t>HY850X256</t>
        </is>
      </c>
      <c r="BP632">
        <f>SQRT(($J$1024-J632)^2)</f>
        <v/>
      </c>
      <c r="BQ632">
        <f>SQRT(($R$1024-R632)^2)</f>
        <v/>
      </c>
      <c r="BR632" s="125" t="inlineStr">
        <is>
          <t>HY850X256</t>
        </is>
      </c>
      <c r="BW632">
        <f>SQRT(($J$1025-J632)^2)</f>
        <v/>
      </c>
      <c r="BX632">
        <f>SQRT(($R$1025-R632)^2)</f>
        <v/>
      </c>
      <c r="BY632" s="125" t="inlineStr">
        <is>
          <t>HY850X256</t>
        </is>
      </c>
      <c r="CD632">
        <f>SQRT(($J$1026-J632)^2)</f>
        <v/>
      </c>
      <c r="CE632">
        <f>SQRT(($R$1026-R632)^2)</f>
        <v/>
      </c>
      <c r="CF632" s="125" t="inlineStr">
        <is>
          <t>HY850X256</t>
        </is>
      </c>
    </row>
    <row r="633">
      <c r="A633" s="125" t="inlineStr">
        <is>
          <t>HY850X240</t>
        </is>
      </c>
      <c r="B633" s="129" t="inlineStr">
        <is>
          <t>HY</t>
        </is>
      </c>
      <c r="C633" s="125" t="n">
        <v>240</v>
      </c>
      <c r="D633" s="125" t="n">
        <v>850</v>
      </c>
      <c r="E633" s="125" t="n">
        <v>350</v>
      </c>
      <c r="F633" s="125" t="n">
        <v>25</v>
      </c>
      <c r="G633" s="125" t="n">
        <v>16</v>
      </c>
      <c r="H633" s="125" t="n">
        <v>18</v>
      </c>
      <c r="I633" s="125">
        <f>D633-(2*(H633+F633))</f>
        <v/>
      </c>
      <c r="J633" s="125">
        <f>(2*E633/10*F633/10)+((D633-F633-F633)/10*G633/10)+((H633/10+H633/10)^2)-(PI()*H633/10*H633/10)</f>
        <v/>
      </c>
      <c r="K633" s="125">
        <f>((E633-G633)/2)/F633</f>
        <v/>
      </c>
      <c r="L633" s="125">
        <f>I633/G633</f>
        <v/>
      </c>
      <c r="M633" s="125">
        <f>(E633*2+F633*4+((E633-G633)/2-H633)*4+2*PI()*H633+(D633-2*F633-2*H633)*2)/1000</f>
        <v/>
      </c>
      <c r="N633" s="5" t="n">
        <v>370000</v>
      </c>
      <c r="O633" s="5" t="n">
        <v>17900</v>
      </c>
      <c r="P633" s="125" t="n">
        <v>34.8</v>
      </c>
      <c r="Q633" s="125" t="n">
        <v>7.7</v>
      </c>
      <c r="R633" s="5" t="n">
        <v>8720</v>
      </c>
      <c r="S633" s="5" t="n">
        <v>1020</v>
      </c>
      <c r="T633" s="5" t="n">
        <v>9890</v>
      </c>
      <c r="U633" s="5" t="n">
        <v>1590</v>
      </c>
      <c r="X633" s="129">
        <f t="array" ref="X633">_xlfn.IFS((D633/F633) &lt;= (640/SQRT($AT$32)), "Compact", L633 &lt;= ($AT$32*(0.79-(0.002*((E633-G633/2)/(2*F633))*SQRT($AT$32)))), "Non-Compact", L633 &gt; ($AT$32*(0.79-(0.002*((E633-G633/2)/(2*F633))*SQRT($AT$32)))), "Slender")</f>
        <v/>
      </c>
      <c r="Y633" s="129">
        <f t="array" ref="Y633">_xlfn.IFS(K633 &lt;= (65/SQRT($AT$32)), "Compact", K633 &lt;= (95/SQRT($AT$32)), "Non-Compact", K633 &gt; (95/SQRT($AT$32)), "Slender")</f>
        <v/>
      </c>
      <c r="Z633" s="125">
        <f>E633/F633</f>
        <v/>
      </c>
      <c r="AA633" s="125">
        <f>D633/G633</f>
        <v/>
      </c>
      <c r="AB633" s="125">
        <f t="array" ref="AB633">_xlfn.IFS(Z633 &lt;= 9, "1", Z633 &lt;= 12, "2", Z633 &lt;= 15, "3", Z633 &gt; 15, "4")</f>
        <v/>
      </c>
      <c r="AC633" s="125">
        <f t="array" ref="AC633">_xlfn.IFS(AA633 &lt;= 200, "1", L633 &lt;= 300, "2", L633 &lt;= 400, "3", L633 &gt; 400, "4")</f>
        <v/>
      </c>
      <c r="AF633" s="129">
        <f>SQRT((((VLOOKUP($AT$4,$A$4:$D$1021,4,FALSE))-D633)^2)+(((VLOOKUP($AT$4,$A$4:$E$1021,5,FALSE))-E633)^2)+(((VLOOKUP($AT$4,$A$4:$N$1021,14,FALSE))-N633)^2)+(((VLOOKUP($AT$4,$A$4:$O$1021,15,FALSE))-O633)^2))</f>
        <v/>
      </c>
      <c r="AG633" s="129" t="n"/>
      <c r="AI633" s="129">
        <f>SQRT((((VLOOKUP($AT$4,$A$4:$D$1021,4,FALSE))-D633)^2)+(((VLOOKUP($AT$4,$A$4:$E$1021,5,FALSE))-E633)^2)+(((VLOOKUP($AT$4,$A$4:$R$1021,18,FALSE))-R633)^2)+(((VLOOKUP($AT$4,$A$4:$S$1021,19,FALSE))-S633)^2))</f>
        <v/>
      </c>
      <c r="AJ633" s="125" t="inlineStr">
        <is>
          <t>HY850X240</t>
        </is>
      </c>
      <c r="AK633" s="125" t="n"/>
      <c r="AL633" s="125" t="n"/>
      <c r="AM633" s="125">
        <f>SQRT(((VLOOKUP($AT$4,$A$4:$J$1021,10,FALSE))-J633)^2)</f>
        <v/>
      </c>
      <c r="AN633" s="125" t="n"/>
      <c r="AO633" s="125" t="n"/>
      <c r="AP633" s="125">
        <f>SQRT(((VLOOKUP($AT$4,$A$4:$R$1021,18,FALSE))-R633)^2)</f>
        <v/>
      </c>
      <c r="AQ633" s="125" t="inlineStr">
        <is>
          <t>HY850X240</t>
        </is>
      </c>
      <c r="BB633" s="125">
        <f>SQRT(($J$1022-J633)^2)</f>
        <v/>
      </c>
      <c r="BC633" s="125">
        <f>SQRT(($R$1022-R633)^2)</f>
        <v/>
      </c>
      <c r="BD633" s="125" t="inlineStr">
        <is>
          <t>HY850X240</t>
        </is>
      </c>
      <c r="BI633">
        <f>SQRT(($J$1023-J633)^2)</f>
        <v/>
      </c>
      <c r="BJ633">
        <f>SQRT(($R$1023-R633)^2)</f>
        <v/>
      </c>
      <c r="BK633" s="125" t="inlineStr">
        <is>
          <t>HY850X240</t>
        </is>
      </c>
      <c r="BP633">
        <f>SQRT(($J$1024-J633)^2)</f>
        <v/>
      </c>
      <c r="BQ633">
        <f>SQRT(($R$1024-R633)^2)</f>
        <v/>
      </c>
      <c r="BR633" s="125" t="inlineStr">
        <is>
          <t>HY850X240</t>
        </is>
      </c>
      <c r="BW633">
        <f>SQRT(($J$1025-J633)^2)</f>
        <v/>
      </c>
      <c r="BX633">
        <f>SQRT(($R$1025-R633)^2)</f>
        <v/>
      </c>
      <c r="BY633" s="125" t="inlineStr">
        <is>
          <t>HY850X240</t>
        </is>
      </c>
      <c r="CD633">
        <f>SQRT(($J$1026-J633)^2)</f>
        <v/>
      </c>
      <c r="CE633">
        <f>SQRT(($R$1026-R633)^2)</f>
        <v/>
      </c>
      <c r="CF633" s="125" t="inlineStr">
        <is>
          <t>HY850X240</t>
        </is>
      </c>
    </row>
    <row r="634">
      <c r="A634" s="125" t="inlineStr">
        <is>
          <t>HY850X243</t>
        </is>
      </c>
      <c r="B634" s="129" t="inlineStr">
        <is>
          <t>HY</t>
        </is>
      </c>
      <c r="C634" s="125" t="n">
        <v>243</v>
      </c>
      <c r="D634" s="125" t="n">
        <v>850</v>
      </c>
      <c r="E634" s="125" t="n">
        <v>350</v>
      </c>
      <c r="F634" s="125" t="n">
        <v>28</v>
      </c>
      <c r="G634" s="125" t="n">
        <v>14</v>
      </c>
      <c r="H634" s="125" t="n">
        <v>18</v>
      </c>
      <c r="I634" s="125">
        <f>D634-(2*(H634+F634))</f>
        <v/>
      </c>
      <c r="J634" s="125">
        <f>(2*E634/10*F634/10)+((D634-F634-F634)/10*G634/10)+((H634/10+H634/10)^2)-(PI()*H634/10*H634/10)</f>
        <v/>
      </c>
      <c r="K634" s="125">
        <f>((E634-G634)/2)/F634</f>
        <v/>
      </c>
      <c r="L634" s="125">
        <f>I634/G634</f>
        <v/>
      </c>
      <c r="M634" s="125">
        <f>(E634*2+F634*4+((E634-G634)/2-H634)*4+2*PI()*H634+(D634-2*F634-2*H634)*2)/1000</f>
        <v/>
      </c>
      <c r="N634" s="5" t="n">
        <v>394000</v>
      </c>
      <c r="O634" s="5" t="n">
        <v>20000</v>
      </c>
      <c r="P634" s="125" t="n">
        <v>35.6</v>
      </c>
      <c r="Q634" s="125" t="n">
        <v>8</v>
      </c>
      <c r="R634" s="5" t="n">
        <v>9270</v>
      </c>
      <c r="S634" s="5" t="n">
        <v>1140</v>
      </c>
      <c r="T634" s="5" t="n">
        <v>10400</v>
      </c>
      <c r="U634" s="5" t="n">
        <v>1760</v>
      </c>
      <c r="X634" s="129">
        <f t="array" ref="X634">_xlfn.IFS((D634/F634) &lt;= (640/SQRT($AT$32)), "Compact", L634 &lt;= ($AT$32*(0.79-(0.002*((E634-G634/2)/(2*F634))*SQRT($AT$32)))), "Non-Compact", L634 &gt; ($AT$32*(0.79-(0.002*((E634-G634/2)/(2*F634))*SQRT($AT$32)))), "Slender")</f>
        <v/>
      </c>
      <c r="Y634" s="129">
        <f t="array" ref="Y634">_xlfn.IFS(K634 &lt;= (65/SQRT($AT$32)), "Compact", K634 &lt;= (95/SQRT($AT$32)), "Non-Compact", K634 &gt; (95/SQRT($AT$32)), "Slender")</f>
        <v/>
      </c>
      <c r="Z634" s="125">
        <f>E634/F634</f>
        <v/>
      </c>
      <c r="AA634" s="125">
        <f>D634/G634</f>
        <v/>
      </c>
      <c r="AB634" s="125">
        <f t="array" ref="AB634">_xlfn.IFS(Z634 &lt;= 9, "1", Z634 &lt;= 12, "2", Z634 &lt;= 15, "3", Z634 &gt; 15, "4")</f>
        <v/>
      </c>
      <c r="AC634" s="125">
        <f t="array" ref="AC634">_xlfn.IFS(AA634 &lt;= 200, "1", L634 &lt;= 300, "2", L634 &lt;= 400, "3", L634 &gt; 400, "4")</f>
        <v/>
      </c>
      <c r="AF634" s="129">
        <f>SQRT((((VLOOKUP($AT$4,$A$4:$D$1021,4,FALSE))-D634)^2)+(((VLOOKUP($AT$4,$A$4:$E$1021,5,FALSE))-E634)^2)+(((VLOOKUP($AT$4,$A$4:$N$1021,14,FALSE))-N634)^2)+(((VLOOKUP($AT$4,$A$4:$O$1021,15,FALSE))-O634)^2))</f>
        <v/>
      </c>
      <c r="AG634" s="129" t="n"/>
      <c r="AI634" s="129">
        <f>SQRT((((VLOOKUP($AT$4,$A$4:$D$1021,4,FALSE))-D634)^2)+(((VLOOKUP($AT$4,$A$4:$E$1021,5,FALSE))-E634)^2)+(((VLOOKUP($AT$4,$A$4:$R$1021,18,FALSE))-R634)^2)+(((VLOOKUP($AT$4,$A$4:$S$1021,19,FALSE))-S634)^2))</f>
        <v/>
      </c>
      <c r="AJ634" s="125" t="inlineStr">
        <is>
          <t>HY850X243</t>
        </is>
      </c>
      <c r="AK634" s="125" t="n"/>
      <c r="AL634" s="125" t="n"/>
      <c r="AM634" s="125">
        <f>SQRT(((VLOOKUP($AT$4,$A$4:$J$1021,10,FALSE))-J634)^2)</f>
        <v/>
      </c>
      <c r="AN634" s="125" t="n"/>
      <c r="AO634" s="125" t="n"/>
      <c r="AP634" s="125">
        <f>SQRT(((VLOOKUP($AT$4,$A$4:$R$1021,18,FALSE))-R634)^2)</f>
        <v/>
      </c>
      <c r="AQ634" s="125" t="inlineStr">
        <is>
          <t>HY850X243</t>
        </is>
      </c>
      <c r="BB634" s="125">
        <f>SQRT(($J$1022-J634)^2)</f>
        <v/>
      </c>
      <c r="BC634" s="125">
        <f>SQRT(($R$1022-R634)^2)</f>
        <v/>
      </c>
      <c r="BD634" s="125" t="inlineStr">
        <is>
          <t>HY850X243</t>
        </is>
      </c>
      <c r="BI634">
        <f>SQRT(($J$1023-J634)^2)</f>
        <v/>
      </c>
      <c r="BJ634">
        <f>SQRT(($R$1023-R634)^2)</f>
        <v/>
      </c>
      <c r="BK634" s="125" t="inlineStr">
        <is>
          <t>HY850X243</t>
        </is>
      </c>
      <c r="BP634">
        <f>SQRT(($J$1024-J634)^2)</f>
        <v/>
      </c>
      <c r="BQ634">
        <f>SQRT(($R$1024-R634)^2)</f>
        <v/>
      </c>
      <c r="BR634" s="125" t="inlineStr">
        <is>
          <t>HY850X243</t>
        </is>
      </c>
      <c r="BW634">
        <f>SQRT(($J$1025-J634)^2)</f>
        <v/>
      </c>
      <c r="BX634">
        <f>SQRT(($R$1025-R634)^2)</f>
        <v/>
      </c>
      <c r="BY634" s="125" t="inlineStr">
        <is>
          <t>HY850X243</t>
        </is>
      </c>
      <c r="CD634">
        <f>SQRT(($J$1026-J634)^2)</f>
        <v/>
      </c>
      <c r="CE634">
        <f>SQRT(($R$1026-R634)^2)</f>
        <v/>
      </c>
      <c r="CF634" s="125" t="inlineStr">
        <is>
          <t>HY850X243</t>
        </is>
      </c>
    </row>
    <row r="635">
      <c r="A635" s="125" t="inlineStr">
        <is>
          <t>HY850X227</t>
        </is>
      </c>
      <c r="B635" s="129" t="inlineStr">
        <is>
          <t>HY</t>
        </is>
      </c>
      <c r="C635" s="125" t="n">
        <v>227</v>
      </c>
      <c r="D635" s="125" t="n">
        <v>850</v>
      </c>
      <c r="E635" s="125" t="n">
        <v>350</v>
      </c>
      <c r="F635" s="125" t="n">
        <v>25</v>
      </c>
      <c r="G635" s="125" t="n">
        <v>14</v>
      </c>
      <c r="H635" s="125" t="n">
        <v>18</v>
      </c>
      <c r="I635" s="125">
        <f>D635-(2*(H635+F635))</f>
        <v/>
      </c>
      <c r="J635" s="125">
        <f>(2*E635/10*F635/10)+((D635-F635-F635)/10*G635/10)+((H635/10+H635/10)^2)-(PI()*H635/10*H635/10)</f>
        <v/>
      </c>
      <c r="K635" s="125">
        <f>((E635-G635)/2)/F635</f>
        <v/>
      </c>
      <c r="L635" s="125">
        <f>I635/G635</f>
        <v/>
      </c>
      <c r="M635" s="125">
        <f>(E635*2+F635*4+((E635-G635)/2-H635)*4+2*PI()*H635+(D635-2*F635-2*H635)*2)/1000</f>
        <v/>
      </c>
      <c r="N635" s="5" t="n">
        <v>362000</v>
      </c>
      <c r="O635" s="5" t="n">
        <v>17900</v>
      </c>
      <c r="P635" s="125" t="n">
        <v>35.3</v>
      </c>
      <c r="Q635" s="125" t="n">
        <v>7.9</v>
      </c>
      <c r="R635" s="5" t="n">
        <v>8520</v>
      </c>
      <c r="S635" s="5" t="n">
        <v>1020</v>
      </c>
      <c r="T635" s="5" t="n">
        <v>9570</v>
      </c>
      <c r="U635" s="5" t="n">
        <v>1570</v>
      </c>
      <c r="X635" s="129">
        <f t="array" ref="X635">_xlfn.IFS((D635/F635) &lt;= (640/SQRT($AT$32)), "Compact", L635 &lt;= ($AT$32*(0.79-(0.002*((E635-G635/2)/(2*F635))*SQRT($AT$32)))), "Non-Compact", L635 &gt; ($AT$32*(0.79-(0.002*((E635-G635/2)/(2*F635))*SQRT($AT$32)))), "Slender")</f>
        <v/>
      </c>
      <c r="Y635" s="129">
        <f t="array" ref="Y635">_xlfn.IFS(K635 &lt;= (65/SQRT($AT$32)), "Compact", K635 &lt;= (95/SQRT($AT$32)), "Non-Compact", K635 &gt; (95/SQRT($AT$32)), "Slender")</f>
        <v/>
      </c>
      <c r="Z635" s="125">
        <f>E635/F635</f>
        <v/>
      </c>
      <c r="AA635" s="125">
        <f>D635/G635</f>
        <v/>
      </c>
      <c r="AB635" s="125">
        <f t="array" ref="AB635">_xlfn.IFS(Z635 &lt;= 9, "1", Z635 &lt;= 12, "2", Z635 &lt;= 15, "3", Z635 &gt; 15, "4")</f>
        <v/>
      </c>
      <c r="AC635" s="125">
        <f t="array" ref="AC635">_xlfn.IFS(AA635 &lt;= 200, "1", L635 &lt;= 300, "2", L635 &lt;= 400, "3", L635 &gt; 400, "4")</f>
        <v/>
      </c>
      <c r="AF635" s="129">
        <f>SQRT((((VLOOKUP($AT$4,$A$4:$D$1021,4,FALSE))-D635)^2)+(((VLOOKUP($AT$4,$A$4:$E$1021,5,FALSE))-E635)^2)+(((VLOOKUP($AT$4,$A$4:$N$1021,14,FALSE))-N635)^2)+(((VLOOKUP($AT$4,$A$4:$O$1021,15,FALSE))-O635)^2))</f>
        <v/>
      </c>
      <c r="AG635" s="129" t="n"/>
      <c r="AI635" s="129">
        <f>SQRT((((VLOOKUP($AT$4,$A$4:$D$1021,4,FALSE))-D635)^2)+(((VLOOKUP($AT$4,$A$4:$E$1021,5,FALSE))-E635)^2)+(((VLOOKUP($AT$4,$A$4:$R$1021,18,FALSE))-R635)^2)+(((VLOOKUP($AT$4,$A$4:$S$1021,19,FALSE))-S635)^2))</f>
        <v/>
      </c>
      <c r="AJ635" s="125" t="inlineStr">
        <is>
          <t>HY850X227</t>
        </is>
      </c>
      <c r="AK635" s="125" t="n"/>
      <c r="AL635" s="125" t="n"/>
      <c r="AM635" s="125">
        <f>SQRT(((VLOOKUP($AT$4,$A$4:$J$1021,10,FALSE))-J635)^2)</f>
        <v/>
      </c>
      <c r="AN635" s="125" t="n"/>
      <c r="AO635" s="125" t="n"/>
      <c r="AP635" s="125">
        <f>SQRT(((VLOOKUP($AT$4,$A$4:$R$1021,18,FALSE))-R635)^2)</f>
        <v/>
      </c>
      <c r="AQ635" s="125" t="inlineStr">
        <is>
          <t>HY850X227</t>
        </is>
      </c>
      <c r="BB635" s="125">
        <f>SQRT(($J$1022-J635)^2)</f>
        <v/>
      </c>
      <c r="BC635" s="125">
        <f>SQRT(($R$1022-R635)^2)</f>
        <v/>
      </c>
      <c r="BD635" s="125" t="inlineStr">
        <is>
          <t>HY850X227</t>
        </is>
      </c>
      <c r="BI635">
        <f>SQRT(($J$1023-J635)^2)</f>
        <v/>
      </c>
      <c r="BJ635">
        <f>SQRT(($R$1023-R635)^2)</f>
        <v/>
      </c>
      <c r="BK635" s="125" t="inlineStr">
        <is>
          <t>HY850X227</t>
        </is>
      </c>
      <c r="BP635">
        <f>SQRT(($J$1024-J635)^2)</f>
        <v/>
      </c>
      <c r="BQ635">
        <f>SQRT(($R$1024-R635)^2)</f>
        <v/>
      </c>
      <c r="BR635" s="125" t="inlineStr">
        <is>
          <t>HY850X227</t>
        </is>
      </c>
      <c r="BW635">
        <f>SQRT(($J$1025-J635)^2)</f>
        <v/>
      </c>
      <c r="BX635">
        <f>SQRT(($R$1025-R635)^2)</f>
        <v/>
      </c>
      <c r="BY635" s="125" t="inlineStr">
        <is>
          <t>HY850X227</t>
        </is>
      </c>
      <c r="CD635">
        <f>SQRT(($J$1026-J635)^2)</f>
        <v/>
      </c>
      <c r="CE635">
        <f>SQRT(($R$1026-R635)^2)</f>
        <v/>
      </c>
      <c r="CF635" s="125" t="inlineStr">
        <is>
          <t>HY850X227</t>
        </is>
      </c>
    </row>
    <row r="636">
      <c r="A636" s="125" t="inlineStr">
        <is>
          <t>HY850X305</t>
        </is>
      </c>
      <c r="B636" s="129" t="inlineStr">
        <is>
          <t>HY</t>
        </is>
      </c>
      <c r="C636" s="125" t="n">
        <v>305</v>
      </c>
      <c r="D636" s="125" t="n">
        <v>850</v>
      </c>
      <c r="E636" s="125" t="n">
        <v>300</v>
      </c>
      <c r="F636" s="125" t="n">
        <v>40</v>
      </c>
      <c r="G636" s="125" t="n">
        <v>19</v>
      </c>
      <c r="H636" s="125" t="n">
        <v>18</v>
      </c>
      <c r="I636" s="125">
        <f>D636-(2*(H636+F636))</f>
        <v/>
      </c>
      <c r="J636" s="125">
        <f>(2*E636/10*F636/10)+((D636-F636-F636)/10*G636/10)+((H636/10+H636/10)^2)-(PI()*H636/10*H636/10)</f>
        <v/>
      </c>
      <c r="K636" s="125">
        <f>((E636-G636)/2)/F636</f>
        <v/>
      </c>
      <c r="L636" s="125">
        <f>I636/G636</f>
        <v/>
      </c>
      <c r="M636" s="125">
        <f>(E636*2+F636*4+((E636-G636)/2-H636)*4+2*PI()*H636+(D636-2*F636-2*H636)*2)/1000</f>
        <v/>
      </c>
      <c r="N636" s="5" t="n">
        <v>470000</v>
      </c>
      <c r="O636" s="5" t="n">
        <v>18000</v>
      </c>
      <c r="P636" s="125" t="n">
        <v>34.8</v>
      </c>
      <c r="Q636" s="125" t="n">
        <v>6.8</v>
      </c>
      <c r="R636" s="5" t="n">
        <v>11100</v>
      </c>
      <c r="S636" s="5" t="n">
        <v>1200</v>
      </c>
      <c r="T636" s="5" t="n">
        <v>12600</v>
      </c>
      <c r="U636" s="5" t="n">
        <v>1870</v>
      </c>
      <c r="X636" s="129">
        <f t="array" ref="X636">_xlfn.IFS((D636/F636) &lt;= (640/SQRT($AT$32)), "Compact", L636 &lt;= ($AT$32*(0.79-(0.002*((E636-G636/2)/(2*F636))*SQRT($AT$32)))), "Non-Compact", L636 &gt; ($AT$32*(0.79-(0.002*((E636-G636/2)/(2*F636))*SQRT($AT$32)))), "Slender")</f>
        <v/>
      </c>
      <c r="Y636" s="129">
        <f t="array" ref="Y636">_xlfn.IFS(K636 &lt;= (65/SQRT($AT$32)), "Compact", K636 &lt;= (95/SQRT($AT$32)), "Non-Compact", K636 &gt; (95/SQRT($AT$32)), "Slender")</f>
        <v/>
      </c>
      <c r="Z636" s="125">
        <f>E636/F636</f>
        <v/>
      </c>
      <c r="AA636" s="125">
        <f>D636/G636</f>
        <v/>
      </c>
      <c r="AB636" s="125">
        <f t="array" ref="AB636">_xlfn.IFS(Z636 &lt;= 9, "1", Z636 &lt;= 12, "2", Z636 &lt;= 15, "3", Z636 &gt; 15, "4")</f>
        <v/>
      </c>
      <c r="AC636" s="125">
        <f t="array" ref="AC636">_xlfn.IFS(AA636 &lt;= 200, "1", L636 &lt;= 300, "2", L636 &lt;= 400, "3", L636 &gt; 400, "4")</f>
        <v/>
      </c>
      <c r="AF636" s="129">
        <f>SQRT((((VLOOKUP($AT$4,$A$4:$D$1021,4,FALSE))-D636)^2)+(((VLOOKUP($AT$4,$A$4:$E$1021,5,FALSE))-E636)^2)+(((VLOOKUP($AT$4,$A$4:$N$1021,14,FALSE))-N636)^2)+(((VLOOKUP($AT$4,$A$4:$O$1021,15,FALSE))-O636)^2))</f>
        <v/>
      </c>
      <c r="AG636" s="129" t="n"/>
      <c r="AI636" s="129">
        <f>SQRT((((VLOOKUP($AT$4,$A$4:$D$1021,4,FALSE))-D636)^2)+(((VLOOKUP($AT$4,$A$4:$E$1021,5,FALSE))-E636)^2)+(((VLOOKUP($AT$4,$A$4:$R$1021,18,FALSE))-R636)^2)+(((VLOOKUP($AT$4,$A$4:$S$1021,19,FALSE))-S636)^2))</f>
        <v/>
      </c>
      <c r="AJ636" s="125" t="inlineStr">
        <is>
          <t>HY850X305</t>
        </is>
      </c>
      <c r="AK636" s="125" t="n"/>
      <c r="AL636" s="125" t="n"/>
      <c r="AM636" s="125">
        <f>SQRT(((VLOOKUP($AT$4,$A$4:$J$1021,10,FALSE))-J636)^2)</f>
        <v/>
      </c>
      <c r="AN636" s="125" t="n"/>
      <c r="AO636" s="125" t="n"/>
      <c r="AP636" s="125">
        <f>SQRT(((VLOOKUP($AT$4,$A$4:$R$1021,18,FALSE))-R636)^2)</f>
        <v/>
      </c>
      <c r="AQ636" s="125" t="inlineStr">
        <is>
          <t>HY850X305</t>
        </is>
      </c>
      <c r="BB636" s="125">
        <f>SQRT(($J$1022-J636)^2)</f>
        <v/>
      </c>
      <c r="BC636" s="125">
        <f>SQRT(($R$1022-R636)^2)</f>
        <v/>
      </c>
      <c r="BD636" s="125" t="inlineStr">
        <is>
          <t>HY850X305</t>
        </is>
      </c>
      <c r="BI636">
        <f>SQRT(($J$1023-J636)^2)</f>
        <v/>
      </c>
      <c r="BJ636">
        <f>SQRT(($R$1023-R636)^2)</f>
        <v/>
      </c>
      <c r="BK636" s="125" t="inlineStr">
        <is>
          <t>HY850X305</t>
        </is>
      </c>
      <c r="BP636">
        <f>SQRT(($J$1024-J636)^2)</f>
        <v/>
      </c>
      <c r="BQ636">
        <f>SQRT(($R$1024-R636)^2)</f>
        <v/>
      </c>
      <c r="BR636" s="125" t="inlineStr">
        <is>
          <t>HY850X305</t>
        </is>
      </c>
      <c r="BW636">
        <f>SQRT(($J$1025-J636)^2)</f>
        <v/>
      </c>
      <c r="BX636">
        <f>SQRT(($R$1025-R636)^2)</f>
        <v/>
      </c>
      <c r="BY636" s="125" t="inlineStr">
        <is>
          <t>HY850X305</t>
        </is>
      </c>
      <c r="CD636">
        <f>SQRT(($J$1026-J636)^2)</f>
        <v/>
      </c>
      <c r="CE636">
        <f>SQRT(($R$1026-R636)^2)</f>
        <v/>
      </c>
      <c r="CF636" s="125" t="inlineStr">
        <is>
          <t>HY850X305</t>
        </is>
      </c>
    </row>
    <row r="637">
      <c r="A637" s="125" t="inlineStr">
        <is>
          <t>HY850X288</t>
        </is>
      </c>
      <c r="B637" s="129" t="inlineStr">
        <is>
          <t>HY</t>
        </is>
      </c>
      <c r="C637" s="125" t="n">
        <v>288</v>
      </c>
      <c r="D637" s="125" t="n">
        <v>850</v>
      </c>
      <c r="E637" s="125" t="n">
        <v>300</v>
      </c>
      <c r="F637" s="125" t="n">
        <v>36</v>
      </c>
      <c r="G637" s="125" t="n">
        <v>19</v>
      </c>
      <c r="H637" s="125" t="n">
        <v>18</v>
      </c>
      <c r="I637" s="125">
        <f>D637-(2*(H637+F637))</f>
        <v/>
      </c>
      <c r="J637" s="125">
        <f>(2*E637/10*F637/10)+((D637-F637-F637)/10*G637/10)+((H637/10+H637/10)^2)-(PI()*H637/10*H637/10)</f>
        <v/>
      </c>
      <c r="K637" s="125">
        <f>((E637-G637)/2)/F637</f>
        <v/>
      </c>
      <c r="L637" s="125">
        <f>I637/G637</f>
        <v/>
      </c>
      <c r="M637" s="125">
        <f>(E637*2+F637*4+((E637-G637)/2-H637)*4+2*PI()*H637+(D637-2*F637-2*H637)*2)/1000</f>
        <v/>
      </c>
      <c r="N637" s="5" t="n">
        <v>437000</v>
      </c>
      <c r="O637" s="5" t="n">
        <v>16200</v>
      </c>
      <c r="P637" s="125" t="n">
        <v>34.5</v>
      </c>
      <c r="Q637" s="125" t="n">
        <v>6.7</v>
      </c>
      <c r="R637" s="5" t="n">
        <v>10300</v>
      </c>
      <c r="S637" s="5" t="n">
        <v>1080</v>
      </c>
      <c r="T637" s="5" t="n">
        <v>11800</v>
      </c>
      <c r="U637" s="5" t="n">
        <v>1690</v>
      </c>
      <c r="X637" s="129">
        <f t="array" ref="X637">_xlfn.IFS((D637/F637) &lt;= (640/SQRT($AT$32)), "Compact", L637 &lt;= ($AT$32*(0.79-(0.002*((E637-G637/2)/(2*F637))*SQRT($AT$32)))), "Non-Compact", L637 &gt; ($AT$32*(0.79-(0.002*((E637-G637/2)/(2*F637))*SQRT($AT$32)))), "Slender")</f>
        <v/>
      </c>
      <c r="Y637" s="129">
        <f t="array" ref="Y637">_xlfn.IFS(K637 &lt;= (65/SQRT($AT$32)), "Compact", K637 &lt;= (95/SQRT($AT$32)), "Non-Compact", K637 &gt; (95/SQRT($AT$32)), "Slender")</f>
        <v/>
      </c>
      <c r="Z637" s="125">
        <f>E637/F637</f>
        <v/>
      </c>
      <c r="AA637" s="125">
        <f>D637/G637</f>
        <v/>
      </c>
      <c r="AB637" s="125">
        <f t="array" ref="AB637">_xlfn.IFS(Z637 &lt;= 9, "1", Z637 &lt;= 12, "2", Z637 &lt;= 15, "3", Z637 &gt; 15, "4")</f>
        <v/>
      </c>
      <c r="AC637" s="125">
        <f t="array" ref="AC637">_xlfn.IFS(AA637 &lt;= 200, "1", L637 &lt;= 300, "2", L637 &lt;= 400, "3", L637 &gt; 400, "4")</f>
        <v/>
      </c>
      <c r="AF637" s="129">
        <f>SQRT((((VLOOKUP($AT$4,$A$4:$D$1021,4,FALSE))-D637)^2)+(((VLOOKUP($AT$4,$A$4:$E$1021,5,FALSE))-E637)^2)+(((VLOOKUP($AT$4,$A$4:$N$1021,14,FALSE))-N637)^2)+(((VLOOKUP($AT$4,$A$4:$O$1021,15,FALSE))-O637)^2))</f>
        <v/>
      </c>
      <c r="AG637" s="129" t="n"/>
      <c r="AI637" s="129">
        <f>SQRT((((VLOOKUP($AT$4,$A$4:$D$1021,4,FALSE))-D637)^2)+(((VLOOKUP($AT$4,$A$4:$E$1021,5,FALSE))-E637)^2)+(((VLOOKUP($AT$4,$A$4:$R$1021,18,FALSE))-R637)^2)+(((VLOOKUP($AT$4,$A$4:$S$1021,19,FALSE))-S637)^2))</f>
        <v/>
      </c>
      <c r="AJ637" s="125" t="inlineStr">
        <is>
          <t>HY850X288</t>
        </is>
      </c>
      <c r="AK637" s="125" t="n"/>
      <c r="AL637" s="125" t="n"/>
      <c r="AM637" s="125">
        <f>SQRT(((VLOOKUP($AT$4,$A$4:$J$1021,10,FALSE))-J637)^2)</f>
        <v/>
      </c>
      <c r="AN637" s="125" t="n"/>
      <c r="AO637" s="125" t="n"/>
      <c r="AP637" s="125">
        <f>SQRT(((VLOOKUP($AT$4,$A$4:$R$1021,18,FALSE))-R637)^2)</f>
        <v/>
      </c>
      <c r="AQ637" s="125" t="inlineStr">
        <is>
          <t>HY850X288</t>
        </is>
      </c>
      <c r="BB637" s="125">
        <f>SQRT(($J$1022-J637)^2)</f>
        <v/>
      </c>
      <c r="BC637" s="125">
        <f>SQRT(($R$1022-R637)^2)</f>
        <v/>
      </c>
      <c r="BD637" s="125" t="inlineStr">
        <is>
          <t>HY850X288</t>
        </is>
      </c>
      <c r="BI637">
        <f>SQRT(($J$1023-J637)^2)</f>
        <v/>
      </c>
      <c r="BJ637">
        <f>SQRT(($R$1023-R637)^2)</f>
        <v/>
      </c>
      <c r="BK637" s="125" t="inlineStr">
        <is>
          <t>HY850X288</t>
        </is>
      </c>
      <c r="BP637">
        <f>SQRT(($J$1024-J637)^2)</f>
        <v/>
      </c>
      <c r="BQ637">
        <f>SQRT(($R$1024-R637)^2)</f>
        <v/>
      </c>
      <c r="BR637" s="125" t="inlineStr">
        <is>
          <t>HY850X288</t>
        </is>
      </c>
      <c r="BW637">
        <f>SQRT(($J$1025-J637)^2)</f>
        <v/>
      </c>
      <c r="BX637">
        <f>SQRT(($R$1025-R637)^2)</f>
        <v/>
      </c>
      <c r="BY637" s="125" t="inlineStr">
        <is>
          <t>HY850X288</t>
        </is>
      </c>
      <c r="CD637">
        <f>SQRT(($J$1026-J637)^2)</f>
        <v/>
      </c>
      <c r="CE637">
        <f>SQRT(($R$1026-R637)^2)</f>
        <v/>
      </c>
      <c r="CF637" s="125" t="inlineStr">
        <is>
          <t>HY850X288</t>
        </is>
      </c>
    </row>
    <row r="638">
      <c r="A638" s="125" t="inlineStr">
        <is>
          <t>HY850X270</t>
        </is>
      </c>
      <c r="B638" s="129" t="inlineStr">
        <is>
          <t>HY</t>
        </is>
      </c>
      <c r="C638" s="125" t="n">
        <v>270</v>
      </c>
      <c r="D638" s="125" t="n">
        <v>850</v>
      </c>
      <c r="E638" s="125" t="n">
        <v>300</v>
      </c>
      <c r="F638" s="125" t="n">
        <v>32</v>
      </c>
      <c r="G638" s="125" t="n">
        <v>19</v>
      </c>
      <c r="H638" s="125" t="n">
        <v>18</v>
      </c>
      <c r="I638" s="125">
        <f>D638-(2*(H638+F638))</f>
        <v/>
      </c>
      <c r="J638" s="125">
        <f>(2*E638/10*F638/10)+((D638-F638-F638)/10*G638/10)+((H638/10+H638/10)^2)-(PI()*H638/10*H638/10)</f>
        <v/>
      </c>
      <c r="K638" s="125">
        <f>((E638-G638)/2)/F638</f>
        <v/>
      </c>
      <c r="L638" s="125">
        <f>I638/G638</f>
        <v/>
      </c>
      <c r="M638" s="125">
        <f>(E638*2+F638*4+((E638-G638)/2-H638)*4+2*PI()*H638+(D638-2*F638-2*H638)*2)/1000</f>
        <v/>
      </c>
      <c r="N638" s="5" t="n">
        <v>402000</v>
      </c>
      <c r="O638" s="5" t="n">
        <v>14500</v>
      </c>
      <c r="P638" s="125" t="n">
        <v>34.2</v>
      </c>
      <c r="Q638" s="125" t="n">
        <v>6.5</v>
      </c>
      <c r="R638" s="5" t="n">
        <v>9470</v>
      </c>
      <c r="S638" s="125" t="n">
        <v>963</v>
      </c>
      <c r="T638" s="5" t="n">
        <v>10900</v>
      </c>
      <c r="U638" s="5" t="n">
        <v>1510</v>
      </c>
      <c r="X638" s="129">
        <f t="array" ref="X638">_xlfn.IFS((D638/F638) &lt;= (640/SQRT($AT$32)), "Compact", L638 &lt;= ($AT$32*(0.79-(0.002*((E638-G638/2)/(2*F638))*SQRT($AT$32)))), "Non-Compact", L638 &gt; ($AT$32*(0.79-(0.002*((E638-G638/2)/(2*F638))*SQRT($AT$32)))), "Slender")</f>
        <v/>
      </c>
      <c r="Y638" s="129">
        <f t="array" ref="Y638">_xlfn.IFS(K638 &lt;= (65/SQRT($AT$32)), "Compact", K638 &lt;= (95/SQRT($AT$32)), "Non-Compact", K638 &gt; (95/SQRT($AT$32)), "Slender")</f>
        <v/>
      </c>
      <c r="Z638" s="125">
        <f>E638/F638</f>
        <v/>
      </c>
      <c r="AA638" s="125">
        <f>D638/G638</f>
        <v/>
      </c>
      <c r="AB638" s="125">
        <f t="array" ref="AB638">_xlfn.IFS(Z638 &lt;= 9, "1", Z638 &lt;= 12, "2", Z638 &lt;= 15, "3", Z638 &gt; 15, "4")</f>
        <v/>
      </c>
      <c r="AC638" s="125">
        <f t="array" ref="AC638">_xlfn.IFS(AA638 &lt;= 200, "1", L638 &lt;= 300, "2", L638 &lt;= 400, "3", L638 &gt; 400, "4")</f>
        <v/>
      </c>
      <c r="AF638" s="129">
        <f>SQRT((((VLOOKUP($AT$4,$A$4:$D$1021,4,FALSE))-D638)^2)+(((VLOOKUP($AT$4,$A$4:$E$1021,5,FALSE))-E638)^2)+(((VLOOKUP($AT$4,$A$4:$N$1021,14,FALSE))-N638)^2)+(((VLOOKUP($AT$4,$A$4:$O$1021,15,FALSE))-O638)^2))</f>
        <v/>
      </c>
      <c r="AG638" s="129" t="n"/>
      <c r="AI638" s="129">
        <f>SQRT((((VLOOKUP($AT$4,$A$4:$D$1021,4,FALSE))-D638)^2)+(((VLOOKUP($AT$4,$A$4:$E$1021,5,FALSE))-E638)^2)+(((VLOOKUP($AT$4,$A$4:$R$1021,18,FALSE))-R638)^2)+(((VLOOKUP($AT$4,$A$4:$S$1021,19,FALSE))-S638)^2))</f>
        <v/>
      </c>
      <c r="AJ638" s="125" t="inlineStr">
        <is>
          <t>HY850X270</t>
        </is>
      </c>
      <c r="AK638" s="125" t="n"/>
      <c r="AL638" s="125" t="n"/>
      <c r="AM638" s="125">
        <f>SQRT(((VLOOKUP($AT$4,$A$4:$J$1021,10,FALSE))-J638)^2)</f>
        <v/>
      </c>
      <c r="AN638" s="125" t="n"/>
      <c r="AO638" s="125" t="n"/>
      <c r="AP638" s="125">
        <f>SQRT(((VLOOKUP($AT$4,$A$4:$R$1021,18,FALSE))-R638)^2)</f>
        <v/>
      </c>
      <c r="AQ638" s="125" t="inlineStr">
        <is>
          <t>HY850X270</t>
        </is>
      </c>
      <c r="BB638" s="125">
        <f>SQRT(($J$1022-J638)^2)</f>
        <v/>
      </c>
      <c r="BC638" s="125">
        <f>SQRT(($R$1022-R638)^2)</f>
        <v/>
      </c>
      <c r="BD638" s="125" t="inlineStr">
        <is>
          <t>HY850X270</t>
        </is>
      </c>
      <c r="BI638">
        <f>SQRT(($J$1023-J638)^2)</f>
        <v/>
      </c>
      <c r="BJ638">
        <f>SQRT(($R$1023-R638)^2)</f>
        <v/>
      </c>
      <c r="BK638" s="125" t="inlineStr">
        <is>
          <t>HY850X270</t>
        </is>
      </c>
      <c r="BP638">
        <f>SQRT(($J$1024-J638)^2)</f>
        <v/>
      </c>
      <c r="BQ638">
        <f>SQRT(($R$1024-R638)^2)</f>
        <v/>
      </c>
      <c r="BR638" s="125" t="inlineStr">
        <is>
          <t>HY850X270</t>
        </is>
      </c>
      <c r="BW638">
        <f>SQRT(($J$1025-J638)^2)</f>
        <v/>
      </c>
      <c r="BX638">
        <f>SQRT(($R$1025-R638)^2)</f>
        <v/>
      </c>
      <c r="BY638" s="125" t="inlineStr">
        <is>
          <t>HY850X270</t>
        </is>
      </c>
      <c r="CD638">
        <f>SQRT(($J$1026-J638)^2)</f>
        <v/>
      </c>
      <c r="CE638">
        <f>SQRT(($R$1026-R638)^2)</f>
        <v/>
      </c>
      <c r="CF638" s="125" t="inlineStr">
        <is>
          <t>HY850X270</t>
        </is>
      </c>
    </row>
    <row r="639">
      <c r="A639" s="125" t="inlineStr">
        <is>
          <t>HY850X252</t>
        </is>
      </c>
      <c r="B639" s="129" t="inlineStr">
        <is>
          <t>HY</t>
        </is>
      </c>
      <c r="C639" s="125" t="n">
        <v>252</v>
      </c>
      <c r="D639" s="125" t="n">
        <v>850</v>
      </c>
      <c r="E639" s="125" t="n">
        <v>300</v>
      </c>
      <c r="F639" s="125" t="n">
        <v>28</v>
      </c>
      <c r="G639" s="125" t="n">
        <v>19</v>
      </c>
      <c r="H639" s="125" t="n">
        <v>18</v>
      </c>
      <c r="I639" s="125">
        <f>D639-(2*(H639+F639))</f>
        <v/>
      </c>
      <c r="J639" s="125">
        <f>(2*E639/10*F639/10)+((D639-F639-F639)/10*G639/10)+((H639/10+H639/10)^2)-(PI()*H639/10*H639/10)</f>
        <v/>
      </c>
      <c r="K639" s="125">
        <f>((E639-G639)/2)/F639</f>
        <v/>
      </c>
      <c r="L639" s="125">
        <f>I639/G639</f>
        <v/>
      </c>
      <c r="M639" s="125">
        <f>(E639*2+F639*4+((E639-G639)/2-H639)*4+2*PI()*H639+(D639-2*F639-2*H639)*2)/1000</f>
        <v/>
      </c>
      <c r="N639" s="5" t="n">
        <v>367000</v>
      </c>
      <c r="O639" s="5" t="n">
        <v>12700</v>
      </c>
      <c r="P639" s="125" t="n">
        <v>33.8</v>
      </c>
      <c r="Q639" s="125" t="n">
        <v>6.3</v>
      </c>
      <c r="R639" s="5" t="n">
        <v>8650</v>
      </c>
      <c r="S639" s="125" t="n">
        <v>843</v>
      </c>
      <c r="T639" s="5" t="n">
        <v>10000</v>
      </c>
      <c r="U639" s="5" t="n">
        <v>1340</v>
      </c>
      <c r="X639" s="129">
        <f t="array" ref="X639">_xlfn.IFS((D639/F639) &lt;= (640/SQRT($AT$32)), "Compact", L639 &lt;= ($AT$32*(0.79-(0.002*((E639-G639/2)/(2*F639))*SQRT($AT$32)))), "Non-Compact", L639 &gt; ($AT$32*(0.79-(0.002*((E639-G639/2)/(2*F639))*SQRT($AT$32)))), "Slender")</f>
        <v/>
      </c>
      <c r="Y639" s="129">
        <f t="array" ref="Y639">_xlfn.IFS(K639 &lt;= (65/SQRT($AT$32)), "Compact", K639 &lt;= (95/SQRT($AT$32)), "Non-Compact", K639 &gt; (95/SQRT($AT$32)), "Slender")</f>
        <v/>
      </c>
      <c r="Z639" s="125">
        <f>E639/F639</f>
        <v/>
      </c>
      <c r="AA639" s="125">
        <f>D639/G639</f>
        <v/>
      </c>
      <c r="AB639" s="125">
        <f t="array" ref="AB639">_xlfn.IFS(Z639 &lt;= 9, "1", Z639 &lt;= 12, "2", Z639 &lt;= 15, "3", Z639 &gt; 15, "4")</f>
        <v/>
      </c>
      <c r="AC639" s="125">
        <f t="array" ref="AC639">_xlfn.IFS(AA639 &lt;= 200, "1", L639 &lt;= 300, "2", L639 &lt;= 400, "3", L639 &gt; 400, "4")</f>
        <v/>
      </c>
      <c r="AF639" s="129">
        <f>SQRT((((VLOOKUP($AT$4,$A$4:$D$1021,4,FALSE))-D639)^2)+(((VLOOKUP($AT$4,$A$4:$E$1021,5,FALSE))-E639)^2)+(((VLOOKUP($AT$4,$A$4:$N$1021,14,FALSE))-N639)^2)+(((VLOOKUP($AT$4,$A$4:$O$1021,15,FALSE))-O639)^2))</f>
        <v/>
      </c>
      <c r="AG639" s="129" t="n"/>
      <c r="AI639" s="129">
        <f>SQRT((((VLOOKUP($AT$4,$A$4:$D$1021,4,FALSE))-D639)^2)+(((VLOOKUP($AT$4,$A$4:$E$1021,5,FALSE))-E639)^2)+(((VLOOKUP($AT$4,$A$4:$R$1021,18,FALSE))-R639)^2)+(((VLOOKUP($AT$4,$A$4:$S$1021,19,FALSE))-S639)^2))</f>
        <v/>
      </c>
      <c r="AJ639" s="125" t="inlineStr">
        <is>
          <t>HY850X252</t>
        </is>
      </c>
      <c r="AK639" s="125" t="n"/>
      <c r="AL639" s="125" t="n"/>
      <c r="AM639" s="125">
        <f>SQRT(((VLOOKUP($AT$4,$A$4:$J$1021,10,FALSE))-J639)^2)</f>
        <v/>
      </c>
      <c r="AN639" s="125" t="n"/>
      <c r="AO639" s="125" t="n"/>
      <c r="AP639" s="125">
        <f>SQRT(((VLOOKUP($AT$4,$A$4:$R$1021,18,FALSE))-R639)^2)</f>
        <v/>
      </c>
      <c r="AQ639" s="125" t="inlineStr">
        <is>
          <t>HY850X252</t>
        </is>
      </c>
      <c r="BB639" s="125">
        <f>SQRT(($J$1022-J639)^2)</f>
        <v/>
      </c>
      <c r="BC639" s="125">
        <f>SQRT(($R$1022-R639)^2)</f>
        <v/>
      </c>
      <c r="BD639" s="125" t="inlineStr">
        <is>
          <t>HY850X252</t>
        </is>
      </c>
      <c r="BI639">
        <f>SQRT(($J$1023-J639)^2)</f>
        <v/>
      </c>
      <c r="BJ639">
        <f>SQRT(($R$1023-R639)^2)</f>
        <v/>
      </c>
      <c r="BK639" s="125" t="inlineStr">
        <is>
          <t>HY850X252</t>
        </is>
      </c>
      <c r="BP639">
        <f>SQRT(($J$1024-J639)^2)</f>
        <v/>
      </c>
      <c r="BQ639">
        <f>SQRT(($R$1024-R639)^2)</f>
        <v/>
      </c>
      <c r="BR639" s="125" t="inlineStr">
        <is>
          <t>HY850X252</t>
        </is>
      </c>
      <c r="BW639">
        <f>SQRT(($J$1025-J639)^2)</f>
        <v/>
      </c>
      <c r="BX639">
        <f>SQRT(($R$1025-R639)^2)</f>
        <v/>
      </c>
      <c r="BY639" s="125" t="inlineStr">
        <is>
          <t>HY850X252</t>
        </is>
      </c>
      <c r="CD639">
        <f>SQRT(($J$1026-J639)^2)</f>
        <v/>
      </c>
      <c r="CE639">
        <f>SQRT(($R$1026-R639)^2)</f>
        <v/>
      </c>
      <c r="CF639" s="125" t="inlineStr">
        <is>
          <t>HY850X252</t>
        </is>
      </c>
    </row>
    <row r="640">
      <c r="A640" s="125" t="inlineStr">
        <is>
          <t>HY850X239</t>
        </is>
      </c>
      <c r="B640" s="129" t="inlineStr">
        <is>
          <t>HY</t>
        </is>
      </c>
      <c r="C640" s="125" t="n">
        <v>239</v>
      </c>
      <c r="D640" s="125" t="n">
        <v>850</v>
      </c>
      <c r="E640" s="125" t="n">
        <v>300</v>
      </c>
      <c r="F640" s="125" t="n">
        <v>25</v>
      </c>
      <c r="G640" s="125" t="n">
        <v>19</v>
      </c>
      <c r="H640" s="125" t="n">
        <v>18</v>
      </c>
      <c r="I640" s="125">
        <f>D640-(2*(H640+F640))</f>
        <v/>
      </c>
      <c r="J640" s="125">
        <f>(2*E640/10*F640/10)+((D640-F640-F640)/10*G640/10)+((H640/10+H640/10)^2)-(PI()*H640/10*H640/10)</f>
        <v/>
      </c>
      <c r="K640" s="125">
        <f>((E640-G640)/2)/F640</f>
        <v/>
      </c>
      <c r="L640" s="125">
        <f>I640/G640</f>
        <v/>
      </c>
      <c r="M640" s="125">
        <f>(E640*2+F640*4+((E640-G640)/2-H640)*4+2*PI()*H640+(D640-2*F640-2*H640)*2)/1000</f>
        <v/>
      </c>
      <c r="N640" s="5" t="n">
        <v>341000</v>
      </c>
      <c r="O640" s="5" t="n">
        <v>11300</v>
      </c>
      <c r="P640" s="125" t="n">
        <v>33.4</v>
      </c>
      <c r="Q640" s="125" t="n">
        <v>6.1</v>
      </c>
      <c r="R640" s="5" t="n">
        <v>8020</v>
      </c>
      <c r="S640" s="125" t="n">
        <v>753</v>
      </c>
      <c r="T640" s="5" t="n">
        <v>9340</v>
      </c>
      <c r="U640" s="5" t="n">
        <v>1200</v>
      </c>
      <c r="X640" s="129">
        <f t="array" ref="X640">_xlfn.IFS((D640/F640) &lt;= (640/SQRT($AT$32)), "Compact", L640 &lt;= ($AT$32*(0.79-(0.002*((E640-G640/2)/(2*F640))*SQRT($AT$32)))), "Non-Compact", L640 &gt; ($AT$32*(0.79-(0.002*((E640-G640/2)/(2*F640))*SQRT($AT$32)))), "Slender")</f>
        <v/>
      </c>
      <c r="Y640" s="129">
        <f t="array" ref="Y640">_xlfn.IFS(K640 &lt;= (65/SQRT($AT$32)), "Compact", K640 &lt;= (95/SQRT($AT$32)), "Non-Compact", K640 &gt; (95/SQRT($AT$32)), "Slender")</f>
        <v/>
      </c>
      <c r="Z640" s="125">
        <f>E640/F640</f>
        <v/>
      </c>
      <c r="AA640" s="125">
        <f>D640/G640</f>
        <v/>
      </c>
      <c r="AB640" s="125">
        <f t="array" ref="AB640">_xlfn.IFS(Z640 &lt;= 9, "1", Z640 &lt;= 12, "2", Z640 &lt;= 15, "3", Z640 &gt; 15, "4")</f>
        <v/>
      </c>
      <c r="AC640" s="125">
        <f t="array" ref="AC640">_xlfn.IFS(AA640 &lt;= 200, "1", L640 &lt;= 300, "2", L640 &lt;= 400, "3", L640 &gt; 400, "4")</f>
        <v/>
      </c>
      <c r="AF640" s="129">
        <f>SQRT((((VLOOKUP($AT$4,$A$4:$D$1021,4,FALSE))-D640)^2)+(((VLOOKUP($AT$4,$A$4:$E$1021,5,FALSE))-E640)^2)+(((VLOOKUP($AT$4,$A$4:$N$1021,14,FALSE))-N640)^2)+(((VLOOKUP($AT$4,$A$4:$O$1021,15,FALSE))-O640)^2))</f>
        <v/>
      </c>
      <c r="AG640" s="129" t="n"/>
      <c r="AI640" s="129">
        <f>SQRT((((VLOOKUP($AT$4,$A$4:$D$1021,4,FALSE))-D640)^2)+(((VLOOKUP($AT$4,$A$4:$E$1021,5,FALSE))-E640)^2)+(((VLOOKUP($AT$4,$A$4:$R$1021,18,FALSE))-R640)^2)+(((VLOOKUP($AT$4,$A$4:$S$1021,19,FALSE))-S640)^2))</f>
        <v/>
      </c>
      <c r="AJ640" s="125" t="inlineStr">
        <is>
          <t>HY850X239</t>
        </is>
      </c>
      <c r="AK640" s="125" t="n"/>
      <c r="AL640" s="125" t="n"/>
      <c r="AM640" s="125">
        <f>SQRT(((VLOOKUP($AT$4,$A$4:$J$1021,10,FALSE))-J640)^2)</f>
        <v/>
      </c>
      <c r="AN640" s="125" t="n"/>
      <c r="AO640" s="125" t="n"/>
      <c r="AP640" s="125">
        <f>SQRT(((VLOOKUP($AT$4,$A$4:$R$1021,18,FALSE))-R640)^2)</f>
        <v/>
      </c>
      <c r="AQ640" s="125" t="inlineStr">
        <is>
          <t>HY850X239</t>
        </is>
      </c>
      <c r="BB640" s="125">
        <f>SQRT(($J$1022-J640)^2)</f>
        <v/>
      </c>
      <c r="BC640" s="125">
        <f>SQRT(($R$1022-R640)^2)</f>
        <v/>
      </c>
      <c r="BD640" s="125" t="inlineStr">
        <is>
          <t>HY850X239</t>
        </is>
      </c>
      <c r="BI640">
        <f>SQRT(($J$1023-J640)^2)</f>
        <v/>
      </c>
      <c r="BJ640">
        <f>SQRT(($R$1023-R640)^2)</f>
        <v/>
      </c>
      <c r="BK640" s="125" t="inlineStr">
        <is>
          <t>HY850X239</t>
        </is>
      </c>
      <c r="BP640">
        <f>SQRT(($J$1024-J640)^2)</f>
        <v/>
      </c>
      <c r="BQ640">
        <f>SQRT(($R$1024-R640)^2)</f>
        <v/>
      </c>
      <c r="BR640" s="125" t="inlineStr">
        <is>
          <t>HY850X239</t>
        </is>
      </c>
      <c r="BW640">
        <f>SQRT(($J$1025-J640)^2)</f>
        <v/>
      </c>
      <c r="BX640">
        <f>SQRT(($R$1025-R640)^2)</f>
        <v/>
      </c>
      <c r="BY640" s="125" t="inlineStr">
        <is>
          <t>HY850X239</t>
        </is>
      </c>
      <c r="CD640">
        <f>SQRT(($J$1026-J640)^2)</f>
        <v/>
      </c>
      <c r="CE640">
        <f>SQRT(($R$1026-R640)^2)</f>
        <v/>
      </c>
      <c r="CF640" s="125" t="inlineStr">
        <is>
          <t>HY850X239</t>
        </is>
      </c>
    </row>
    <row r="641">
      <c r="A641" s="125" t="inlineStr">
        <is>
          <t>HY850X226</t>
        </is>
      </c>
      <c r="B641" s="129" t="inlineStr">
        <is>
          <t>HY</t>
        </is>
      </c>
      <c r="C641" s="125" t="n">
        <v>226</v>
      </c>
      <c r="D641" s="125" t="n">
        <v>850</v>
      </c>
      <c r="E641" s="125" t="n">
        <v>300</v>
      </c>
      <c r="F641" s="125" t="n">
        <v>22</v>
      </c>
      <c r="G641" s="125" t="n">
        <v>19</v>
      </c>
      <c r="H641" s="125" t="n">
        <v>18</v>
      </c>
      <c r="I641" s="125">
        <f>D641-(2*(H641+F641))</f>
        <v/>
      </c>
      <c r="J641" s="125">
        <f>(2*E641/10*F641/10)+((D641-F641-F641)/10*G641/10)+((H641/10+H641/10)^2)-(PI()*H641/10*H641/10)</f>
        <v/>
      </c>
      <c r="K641" s="125">
        <f>((E641-G641)/2)/F641</f>
        <v/>
      </c>
      <c r="L641" s="125">
        <f>I641/G641</f>
        <v/>
      </c>
      <c r="M641" s="125">
        <f>(E641*2+F641*4+((E641-G641)/2-H641)*4+2*PI()*H641+(D641-2*F641-2*H641)*2)/1000</f>
        <v/>
      </c>
      <c r="N641" s="5" t="n">
        <v>314000</v>
      </c>
      <c r="O641" s="5" t="n">
        <v>9950</v>
      </c>
      <c r="P641" s="125" t="n">
        <v>33</v>
      </c>
      <c r="Q641" s="125" t="n">
        <v>5.9</v>
      </c>
      <c r="R641" s="5" t="n">
        <v>7380</v>
      </c>
      <c r="S641" s="125" t="n">
        <v>663</v>
      </c>
      <c r="T641" s="5" t="n">
        <v>8660</v>
      </c>
      <c r="U641" s="5" t="n">
        <v>1070</v>
      </c>
      <c r="X641" s="129">
        <f t="array" ref="X641">_xlfn.IFS((D641/F641) &lt;= (640/SQRT($AT$32)), "Compact", L641 &lt;= ($AT$32*(0.79-(0.002*((E641-G641/2)/(2*F641))*SQRT($AT$32)))), "Non-Compact", L641 &gt; ($AT$32*(0.79-(0.002*((E641-G641/2)/(2*F641))*SQRT($AT$32)))), "Slender")</f>
        <v/>
      </c>
      <c r="Y641" s="129">
        <f t="array" ref="Y641">_xlfn.IFS(K641 &lt;= (65/SQRT($AT$32)), "Compact", K641 &lt;= (95/SQRT($AT$32)), "Non-Compact", K641 &gt; (95/SQRT($AT$32)), "Slender")</f>
        <v/>
      </c>
      <c r="Z641" s="125">
        <f>E641/F641</f>
        <v/>
      </c>
      <c r="AA641" s="125">
        <f>D641/G641</f>
        <v/>
      </c>
      <c r="AB641" s="125">
        <f t="array" ref="AB641">_xlfn.IFS(Z641 &lt;= 9, "1", Z641 &lt;= 12, "2", Z641 &lt;= 15, "3", Z641 &gt; 15, "4")</f>
        <v/>
      </c>
      <c r="AC641" s="125">
        <f t="array" ref="AC641">_xlfn.IFS(AA641 &lt;= 200, "1", L641 &lt;= 300, "2", L641 &lt;= 400, "3", L641 &gt; 400, "4")</f>
        <v/>
      </c>
      <c r="AF641" s="129">
        <f>SQRT((((VLOOKUP($AT$4,$A$4:$D$1021,4,FALSE))-D641)^2)+(((VLOOKUP($AT$4,$A$4:$E$1021,5,FALSE))-E641)^2)+(((VLOOKUP($AT$4,$A$4:$N$1021,14,FALSE))-N641)^2)+(((VLOOKUP($AT$4,$A$4:$O$1021,15,FALSE))-O641)^2))</f>
        <v/>
      </c>
      <c r="AG641" s="129" t="n"/>
      <c r="AI641" s="129">
        <f>SQRT((((VLOOKUP($AT$4,$A$4:$D$1021,4,FALSE))-D641)^2)+(((VLOOKUP($AT$4,$A$4:$E$1021,5,FALSE))-E641)^2)+(((VLOOKUP($AT$4,$A$4:$R$1021,18,FALSE))-R641)^2)+(((VLOOKUP($AT$4,$A$4:$S$1021,19,FALSE))-S641)^2))</f>
        <v/>
      </c>
      <c r="AJ641" s="125" t="inlineStr">
        <is>
          <t>HY850X226</t>
        </is>
      </c>
      <c r="AK641" s="125" t="n"/>
      <c r="AL641" s="125" t="n"/>
      <c r="AM641" s="125">
        <f>SQRT(((VLOOKUP($AT$4,$A$4:$J$1021,10,FALSE))-J641)^2)</f>
        <v/>
      </c>
      <c r="AN641" s="125" t="n"/>
      <c r="AO641" s="125" t="n"/>
      <c r="AP641" s="125">
        <f>SQRT(((VLOOKUP($AT$4,$A$4:$R$1021,18,FALSE))-R641)^2)</f>
        <v/>
      </c>
      <c r="AQ641" s="125" t="inlineStr">
        <is>
          <t>HY850X226</t>
        </is>
      </c>
      <c r="BB641" s="125">
        <f>SQRT(($J$1022-J641)^2)</f>
        <v/>
      </c>
      <c r="BC641" s="125">
        <f>SQRT(($R$1022-R641)^2)</f>
        <v/>
      </c>
      <c r="BD641" s="125" t="inlineStr">
        <is>
          <t>HY850X226</t>
        </is>
      </c>
      <c r="BI641">
        <f>SQRT(($J$1023-J641)^2)</f>
        <v/>
      </c>
      <c r="BJ641">
        <f>SQRT(($R$1023-R641)^2)</f>
        <v/>
      </c>
      <c r="BK641" s="125" t="inlineStr">
        <is>
          <t>HY850X226</t>
        </is>
      </c>
      <c r="BP641">
        <f>SQRT(($J$1024-J641)^2)</f>
        <v/>
      </c>
      <c r="BQ641">
        <f>SQRT(($R$1024-R641)^2)</f>
        <v/>
      </c>
      <c r="BR641" s="125" t="inlineStr">
        <is>
          <t>HY850X226</t>
        </is>
      </c>
      <c r="BW641">
        <f>SQRT(($J$1025-J641)^2)</f>
        <v/>
      </c>
      <c r="BX641">
        <f>SQRT(($R$1025-R641)^2)</f>
        <v/>
      </c>
      <c r="BY641" s="125" t="inlineStr">
        <is>
          <t>HY850X226</t>
        </is>
      </c>
      <c r="CD641">
        <f>SQRT(($J$1026-J641)^2)</f>
        <v/>
      </c>
      <c r="CE641">
        <f>SQRT(($R$1026-R641)^2)</f>
        <v/>
      </c>
      <c r="CF641" s="125" t="inlineStr">
        <is>
          <t>HY850X226</t>
        </is>
      </c>
    </row>
    <row r="642">
      <c r="A642" s="125" t="inlineStr">
        <is>
          <t>HY850X269</t>
        </is>
      </c>
      <c r="B642" s="129" t="inlineStr">
        <is>
          <t>HY</t>
        </is>
      </c>
      <c r="C642" s="125" t="n">
        <v>269</v>
      </c>
      <c r="D642" s="125" t="n">
        <v>850</v>
      </c>
      <c r="E642" s="125" t="n">
        <v>300</v>
      </c>
      <c r="F642" s="125" t="n">
        <v>36</v>
      </c>
      <c r="G642" s="125" t="n">
        <v>16</v>
      </c>
      <c r="H642" s="125" t="n">
        <v>18</v>
      </c>
      <c r="I642" s="125">
        <f>D642-(2*(H642+F642))</f>
        <v/>
      </c>
      <c r="J642" s="125">
        <f>(2*E642/10*F642/10)+((D642-F642-F642)/10*G642/10)+((H642/10+H642/10)^2)-(PI()*H642/10*H642/10)</f>
        <v/>
      </c>
      <c r="K642" s="125">
        <f>((E642-G642)/2)/F642</f>
        <v/>
      </c>
      <c r="L642" s="125">
        <f>I642/G642</f>
        <v/>
      </c>
      <c r="M642" s="125">
        <f>(E642*2+F642*4+((E642-G642)/2-H642)*4+2*PI()*H642+(D642-2*F642-2*H642)*2)/1000</f>
        <v/>
      </c>
      <c r="N642" s="5" t="n">
        <v>425000</v>
      </c>
      <c r="O642" s="5" t="n">
        <v>16200</v>
      </c>
      <c r="P642" s="125" t="n">
        <v>35.2</v>
      </c>
      <c r="Q642" s="125" t="n">
        <v>6.9</v>
      </c>
      <c r="R642" s="5" t="n">
        <v>10000</v>
      </c>
      <c r="S642" s="5" t="n">
        <v>1080</v>
      </c>
      <c r="T642" s="5" t="n">
        <v>11300</v>
      </c>
      <c r="U642" s="5" t="n">
        <v>1670</v>
      </c>
      <c r="X642" s="129">
        <f t="array" ref="X642">_xlfn.IFS((D642/F642) &lt;= (640/SQRT($AT$32)), "Compact", L642 &lt;= ($AT$32*(0.79-(0.002*((E642-G642/2)/(2*F642))*SQRT($AT$32)))), "Non-Compact", L642 &gt; ($AT$32*(0.79-(0.002*((E642-G642/2)/(2*F642))*SQRT($AT$32)))), "Slender")</f>
        <v/>
      </c>
      <c r="Y642" s="129">
        <f t="array" ref="Y642">_xlfn.IFS(K642 &lt;= (65/SQRT($AT$32)), "Compact", K642 &lt;= (95/SQRT($AT$32)), "Non-Compact", K642 &gt; (95/SQRT($AT$32)), "Slender")</f>
        <v/>
      </c>
      <c r="Z642" s="125">
        <f>E642/F642</f>
        <v/>
      </c>
      <c r="AA642" s="125">
        <f>D642/G642</f>
        <v/>
      </c>
      <c r="AB642" s="125">
        <f t="array" ref="AB642">_xlfn.IFS(Z642 &lt;= 9, "1", Z642 &lt;= 12, "2", Z642 &lt;= 15, "3", Z642 &gt; 15, "4")</f>
        <v/>
      </c>
      <c r="AC642" s="125">
        <f t="array" ref="AC642">_xlfn.IFS(AA642 &lt;= 200, "1", L642 &lt;= 300, "2", L642 &lt;= 400, "3", L642 &gt; 400, "4")</f>
        <v/>
      </c>
      <c r="AF642" s="129">
        <f>SQRT((((VLOOKUP($AT$4,$A$4:$D$1021,4,FALSE))-D642)^2)+(((VLOOKUP($AT$4,$A$4:$E$1021,5,FALSE))-E642)^2)+(((VLOOKUP($AT$4,$A$4:$N$1021,14,FALSE))-N642)^2)+(((VLOOKUP($AT$4,$A$4:$O$1021,15,FALSE))-O642)^2))</f>
        <v/>
      </c>
      <c r="AG642" s="129" t="n"/>
      <c r="AI642" s="129">
        <f>SQRT((((VLOOKUP($AT$4,$A$4:$D$1021,4,FALSE))-D642)^2)+(((VLOOKUP($AT$4,$A$4:$E$1021,5,FALSE))-E642)^2)+(((VLOOKUP($AT$4,$A$4:$R$1021,18,FALSE))-R642)^2)+(((VLOOKUP($AT$4,$A$4:$S$1021,19,FALSE))-S642)^2))</f>
        <v/>
      </c>
      <c r="AJ642" s="125" t="inlineStr">
        <is>
          <t>HY850X269</t>
        </is>
      </c>
      <c r="AK642" s="125" t="n"/>
      <c r="AL642" s="125" t="n"/>
      <c r="AM642" s="125">
        <f>SQRT(((VLOOKUP($AT$4,$A$4:$J$1021,10,FALSE))-J642)^2)</f>
        <v/>
      </c>
      <c r="AN642" s="125" t="n"/>
      <c r="AO642" s="125" t="n"/>
      <c r="AP642" s="125">
        <f>SQRT(((VLOOKUP($AT$4,$A$4:$R$1021,18,FALSE))-R642)^2)</f>
        <v/>
      </c>
      <c r="AQ642" s="125" t="inlineStr">
        <is>
          <t>HY850X269</t>
        </is>
      </c>
      <c r="BB642" s="125">
        <f>SQRT(($J$1022-J642)^2)</f>
        <v/>
      </c>
      <c r="BC642" s="125">
        <f>SQRT(($R$1022-R642)^2)</f>
        <v/>
      </c>
      <c r="BD642" s="125" t="inlineStr">
        <is>
          <t>HY850X269</t>
        </is>
      </c>
      <c r="BI642">
        <f>SQRT(($J$1023-J642)^2)</f>
        <v/>
      </c>
      <c r="BJ642">
        <f>SQRT(($R$1023-R642)^2)</f>
        <v/>
      </c>
      <c r="BK642" s="125" t="inlineStr">
        <is>
          <t>HY850X269</t>
        </is>
      </c>
      <c r="BP642">
        <f>SQRT(($J$1024-J642)^2)</f>
        <v/>
      </c>
      <c r="BQ642">
        <f>SQRT(($R$1024-R642)^2)</f>
        <v/>
      </c>
      <c r="BR642" s="125" t="inlineStr">
        <is>
          <t>HY850X269</t>
        </is>
      </c>
      <c r="BW642">
        <f>SQRT(($J$1025-J642)^2)</f>
        <v/>
      </c>
      <c r="BX642">
        <f>SQRT(($R$1025-R642)^2)</f>
        <v/>
      </c>
      <c r="BY642" s="125" t="inlineStr">
        <is>
          <t>HY850X269</t>
        </is>
      </c>
      <c r="CD642">
        <f>SQRT(($J$1026-J642)^2)</f>
        <v/>
      </c>
      <c r="CE642">
        <f>SQRT(($R$1026-R642)^2)</f>
        <v/>
      </c>
      <c r="CF642" s="125" t="inlineStr">
        <is>
          <t>HY850X269</t>
        </is>
      </c>
    </row>
    <row r="643">
      <c r="A643" s="125" t="inlineStr">
        <is>
          <t>HY850X252</t>
        </is>
      </c>
      <c r="B643" s="129" t="inlineStr">
        <is>
          <t>HY</t>
        </is>
      </c>
      <c r="C643" s="125" t="n">
        <v>252</v>
      </c>
      <c r="D643" s="125" t="n">
        <v>850</v>
      </c>
      <c r="E643" s="125" t="n">
        <v>300</v>
      </c>
      <c r="F643" s="125" t="n">
        <v>32</v>
      </c>
      <c r="G643" s="125" t="n">
        <v>16</v>
      </c>
      <c r="H643" s="125" t="n">
        <v>18</v>
      </c>
      <c r="I643" s="125">
        <f>D643-(2*(H643+F643))</f>
        <v/>
      </c>
      <c r="J643" s="125">
        <f>(2*E643/10*F643/10)+((D643-F643-F643)/10*G643/10)+((H643/10+H643/10)^2)-(PI()*H643/10*H643/10)</f>
        <v/>
      </c>
      <c r="K643" s="125">
        <f>((E643-G643)/2)/F643</f>
        <v/>
      </c>
      <c r="L643" s="125">
        <f>I643/G643</f>
        <v/>
      </c>
      <c r="M643" s="125">
        <f>(E643*2+F643*4+((E643-G643)/2-H643)*4+2*PI()*H643+(D643-2*F643-2*H643)*2)/1000</f>
        <v/>
      </c>
      <c r="N643" s="5" t="n">
        <v>390000</v>
      </c>
      <c r="O643" s="5" t="n">
        <v>14400</v>
      </c>
      <c r="P643" s="125" t="n">
        <v>34.9</v>
      </c>
      <c r="Q643" s="125" t="n">
        <v>6.7</v>
      </c>
      <c r="R643" s="5" t="n">
        <v>9180</v>
      </c>
      <c r="S643" s="125" t="n">
        <v>962</v>
      </c>
      <c r="T643" s="5" t="n">
        <v>10400</v>
      </c>
      <c r="U643" s="5" t="n">
        <v>1490</v>
      </c>
      <c r="X643" s="129">
        <f t="array" ref="X643">_xlfn.IFS((D643/F643) &lt;= (640/SQRT($AT$32)), "Compact", L643 &lt;= ($AT$32*(0.79-(0.002*((E643-G643/2)/(2*F643))*SQRT($AT$32)))), "Non-Compact", L643 &gt; ($AT$32*(0.79-(0.002*((E643-G643/2)/(2*F643))*SQRT($AT$32)))), "Slender")</f>
        <v/>
      </c>
      <c r="Y643" s="129">
        <f t="array" ref="Y643">_xlfn.IFS(K643 &lt;= (65/SQRT($AT$32)), "Compact", K643 &lt;= (95/SQRT($AT$32)), "Non-Compact", K643 &gt; (95/SQRT($AT$32)), "Slender")</f>
        <v/>
      </c>
      <c r="Z643" s="125">
        <f>E643/F643</f>
        <v/>
      </c>
      <c r="AA643" s="125">
        <f>D643/G643</f>
        <v/>
      </c>
      <c r="AB643" s="125">
        <f t="array" ref="AB643">_xlfn.IFS(Z643 &lt;= 9, "1", Z643 &lt;= 12, "2", Z643 &lt;= 15, "3", Z643 &gt; 15, "4")</f>
        <v/>
      </c>
      <c r="AC643" s="125">
        <f t="array" ref="AC643">_xlfn.IFS(AA643 &lt;= 200, "1", L643 &lt;= 300, "2", L643 &lt;= 400, "3", L643 &gt; 400, "4")</f>
        <v/>
      </c>
      <c r="AF643" s="129">
        <f>SQRT((((VLOOKUP($AT$4,$A$4:$D$1021,4,FALSE))-D643)^2)+(((VLOOKUP($AT$4,$A$4:$E$1021,5,FALSE))-E643)^2)+(((VLOOKUP($AT$4,$A$4:$N$1021,14,FALSE))-N643)^2)+(((VLOOKUP($AT$4,$A$4:$O$1021,15,FALSE))-O643)^2))</f>
        <v/>
      </c>
      <c r="AG643" s="129" t="n"/>
      <c r="AI643" s="129">
        <f>SQRT((((VLOOKUP($AT$4,$A$4:$D$1021,4,FALSE))-D643)^2)+(((VLOOKUP($AT$4,$A$4:$E$1021,5,FALSE))-E643)^2)+(((VLOOKUP($AT$4,$A$4:$R$1021,18,FALSE))-R643)^2)+(((VLOOKUP($AT$4,$A$4:$S$1021,19,FALSE))-S643)^2))</f>
        <v/>
      </c>
      <c r="AJ643" s="125" t="inlineStr">
        <is>
          <t>HY850X252</t>
        </is>
      </c>
      <c r="AK643" s="125" t="n"/>
      <c r="AL643" s="125" t="n"/>
      <c r="AM643" s="125">
        <f>SQRT(((VLOOKUP($AT$4,$A$4:$J$1021,10,FALSE))-J643)^2)</f>
        <v/>
      </c>
      <c r="AN643" s="125" t="n"/>
      <c r="AO643" s="125" t="n"/>
      <c r="AP643" s="125">
        <f>SQRT(((VLOOKUP($AT$4,$A$4:$R$1021,18,FALSE))-R643)^2)</f>
        <v/>
      </c>
      <c r="AQ643" s="125" t="inlineStr">
        <is>
          <t>HY850X252</t>
        </is>
      </c>
      <c r="BB643" s="125">
        <f>SQRT(($J$1022-J643)^2)</f>
        <v/>
      </c>
      <c r="BC643" s="125">
        <f>SQRT(($R$1022-R643)^2)</f>
        <v/>
      </c>
      <c r="BD643" s="125" t="inlineStr">
        <is>
          <t>HY850X252</t>
        </is>
      </c>
      <c r="BI643">
        <f>SQRT(($J$1023-J643)^2)</f>
        <v/>
      </c>
      <c r="BJ643">
        <f>SQRT(($R$1023-R643)^2)</f>
        <v/>
      </c>
      <c r="BK643" s="125" t="inlineStr">
        <is>
          <t>HY850X252</t>
        </is>
      </c>
      <c r="BP643">
        <f>SQRT(($J$1024-J643)^2)</f>
        <v/>
      </c>
      <c r="BQ643">
        <f>SQRT(($R$1024-R643)^2)</f>
        <v/>
      </c>
      <c r="BR643" s="125" t="inlineStr">
        <is>
          <t>HY850X252</t>
        </is>
      </c>
      <c r="BW643">
        <f>SQRT(($J$1025-J643)^2)</f>
        <v/>
      </c>
      <c r="BX643">
        <f>SQRT(($R$1025-R643)^2)</f>
        <v/>
      </c>
      <c r="BY643" s="125" t="inlineStr">
        <is>
          <t>HY850X252</t>
        </is>
      </c>
      <c r="CD643">
        <f>SQRT(($J$1026-J643)^2)</f>
        <v/>
      </c>
      <c r="CE643">
        <f>SQRT(($R$1026-R643)^2)</f>
        <v/>
      </c>
      <c r="CF643" s="125" t="inlineStr">
        <is>
          <t>HY850X252</t>
        </is>
      </c>
    </row>
    <row r="644">
      <c r="A644" s="125" t="inlineStr">
        <is>
          <t>HY850X234</t>
        </is>
      </c>
      <c r="B644" s="129" t="inlineStr">
        <is>
          <t>HY</t>
        </is>
      </c>
      <c r="C644" s="125" t="n">
        <v>234</v>
      </c>
      <c r="D644" s="125" t="n">
        <v>850</v>
      </c>
      <c r="E644" s="125" t="n">
        <v>300</v>
      </c>
      <c r="F644" s="125" t="n">
        <v>28</v>
      </c>
      <c r="G644" s="125" t="n">
        <v>16</v>
      </c>
      <c r="H644" s="125" t="n">
        <v>18</v>
      </c>
      <c r="I644" s="125">
        <f>D644-(2*(H644+F644))</f>
        <v/>
      </c>
      <c r="J644" s="125">
        <f>(2*E644/10*F644/10)+((D644-F644-F644)/10*G644/10)+((H644/10+H644/10)^2)-(PI()*H644/10*H644/10)</f>
        <v/>
      </c>
      <c r="K644" s="125">
        <f>((E644-G644)/2)/F644</f>
        <v/>
      </c>
      <c r="L644" s="125">
        <f>I644/G644</f>
        <v/>
      </c>
      <c r="M644" s="125">
        <f>(E644*2+F644*4+((E644-G644)/2-H644)*4+2*PI()*H644+(D644-2*F644-2*H644)*2)/1000</f>
        <v/>
      </c>
      <c r="N644" s="5" t="n">
        <v>355000</v>
      </c>
      <c r="O644" s="5" t="n">
        <v>12600</v>
      </c>
      <c r="P644" s="125" t="n">
        <v>34.5</v>
      </c>
      <c r="Q644" s="125" t="n">
        <v>6.5</v>
      </c>
      <c r="R644" s="5" t="n">
        <v>8350</v>
      </c>
      <c r="S644" s="125" t="n">
        <v>842</v>
      </c>
      <c r="T644" s="5" t="n">
        <v>9540</v>
      </c>
      <c r="U644" s="5" t="n">
        <v>1310</v>
      </c>
      <c r="X644" s="129">
        <f t="array" ref="X644">_xlfn.IFS((D644/F644) &lt;= (640/SQRT($AT$32)), "Compact", L644 &lt;= ($AT$32*(0.79-(0.002*((E644-G644/2)/(2*F644))*SQRT($AT$32)))), "Non-Compact", L644 &gt; ($AT$32*(0.79-(0.002*((E644-G644/2)/(2*F644))*SQRT($AT$32)))), "Slender")</f>
        <v/>
      </c>
      <c r="Y644" s="129">
        <f t="array" ref="Y644">_xlfn.IFS(K644 &lt;= (65/SQRT($AT$32)), "Compact", K644 &lt;= (95/SQRT($AT$32)), "Non-Compact", K644 &gt; (95/SQRT($AT$32)), "Slender")</f>
        <v/>
      </c>
      <c r="Z644" s="125">
        <f>E644/F644</f>
        <v/>
      </c>
      <c r="AA644" s="125">
        <f>D644/G644</f>
        <v/>
      </c>
      <c r="AB644" s="125">
        <f t="array" ref="AB644">_xlfn.IFS(Z644 &lt;= 9, "1", Z644 &lt;= 12, "2", Z644 &lt;= 15, "3", Z644 &gt; 15, "4")</f>
        <v/>
      </c>
      <c r="AC644" s="125">
        <f t="array" ref="AC644">_xlfn.IFS(AA644 &lt;= 200, "1", L644 &lt;= 300, "2", L644 &lt;= 400, "3", L644 &gt; 400, "4")</f>
        <v/>
      </c>
      <c r="AF644" s="129">
        <f>SQRT((((VLOOKUP($AT$4,$A$4:$D$1021,4,FALSE))-D644)^2)+(((VLOOKUP($AT$4,$A$4:$E$1021,5,FALSE))-E644)^2)+(((VLOOKUP($AT$4,$A$4:$N$1021,14,FALSE))-N644)^2)+(((VLOOKUP($AT$4,$A$4:$O$1021,15,FALSE))-O644)^2))</f>
        <v/>
      </c>
      <c r="AG644" s="129" t="n"/>
      <c r="AI644" s="129">
        <f>SQRT((((VLOOKUP($AT$4,$A$4:$D$1021,4,FALSE))-D644)^2)+(((VLOOKUP($AT$4,$A$4:$E$1021,5,FALSE))-E644)^2)+(((VLOOKUP($AT$4,$A$4:$R$1021,18,FALSE))-R644)^2)+(((VLOOKUP($AT$4,$A$4:$S$1021,19,FALSE))-S644)^2))</f>
        <v/>
      </c>
      <c r="AJ644" s="125" t="inlineStr">
        <is>
          <t>HY850X234</t>
        </is>
      </c>
      <c r="AK644" s="125" t="n"/>
      <c r="AL644" s="125" t="n"/>
      <c r="AM644" s="125">
        <f>SQRT(((VLOOKUP($AT$4,$A$4:$J$1021,10,FALSE))-J644)^2)</f>
        <v/>
      </c>
      <c r="AN644" s="125" t="n"/>
      <c r="AO644" s="125" t="n"/>
      <c r="AP644" s="125">
        <f>SQRT(((VLOOKUP($AT$4,$A$4:$R$1021,18,FALSE))-R644)^2)</f>
        <v/>
      </c>
      <c r="AQ644" s="125" t="inlineStr">
        <is>
          <t>HY850X234</t>
        </is>
      </c>
      <c r="BB644" s="125">
        <f>SQRT(($J$1022-J644)^2)</f>
        <v/>
      </c>
      <c r="BC644" s="125">
        <f>SQRT(($R$1022-R644)^2)</f>
        <v/>
      </c>
      <c r="BD644" s="125" t="inlineStr">
        <is>
          <t>HY850X234</t>
        </is>
      </c>
      <c r="BI644">
        <f>SQRT(($J$1023-J644)^2)</f>
        <v/>
      </c>
      <c r="BJ644">
        <f>SQRT(($R$1023-R644)^2)</f>
        <v/>
      </c>
      <c r="BK644" s="125" t="inlineStr">
        <is>
          <t>HY850X234</t>
        </is>
      </c>
      <c r="BP644">
        <f>SQRT(($J$1024-J644)^2)</f>
        <v/>
      </c>
      <c r="BQ644">
        <f>SQRT(($R$1024-R644)^2)</f>
        <v/>
      </c>
      <c r="BR644" s="125" t="inlineStr">
        <is>
          <t>HY850X234</t>
        </is>
      </c>
      <c r="BW644">
        <f>SQRT(($J$1025-J644)^2)</f>
        <v/>
      </c>
      <c r="BX644">
        <f>SQRT(($R$1025-R644)^2)</f>
        <v/>
      </c>
      <c r="BY644" s="125" t="inlineStr">
        <is>
          <t>HY850X234</t>
        </is>
      </c>
      <c r="CD644">
        <f>SQRT(($J$1026-J644)^2)</f>
        <v/>
      </c>
      <c r="CE644">
        <f>SQRT(($R$1026-R644)^2)</f>
        <v/>
      </c>
      <c r="CF644" s="125" t="inlineStr">
        <is>
          <t>HY850X234</t>
        </is>
      </c>
    </row>
    <row r="645">
      <c r="A645" s="125" t="inlineStr">
        <is>
          <t>HY850X220</t>
        </is>
      </c>
      <c r="B645" s="129" t="inlineStr">
        <is>
          <t>HY</t>
        </is>
      </c>
      <c r="C645" s="125" t="n">
        <v>220</v>
      </c>
      <c r="D645" s="125" t="n">
        <v>850</v>
      </c>
      <c r="E645" s="125" t="n">
        <v>300</v>
      </c>
      <c r="F645" s="125" t="n">
        <v>25</v>
      </c>
      <c r="G645" s="125" t="n">
        <v>16</v>
      </c>
      <c r="H645" s="125" t="n">
        <v>18</v>
      </c>
      <c r="I645" s="125">
        <f>D645-(2*(H645+F645))</f>
        <v/>
      </c>
      <c r="J645" s="125">
        <f>(2*E645/10*F645/10)+((D645-F645-F645)/10*G645/10)+((H645/10+H645/10)^2)-(PI()*H645/10*H645/10)</f>
        <v/>
      </c>
      <c r="K645" s="125">
        <f>((E645-G645)/2)/F645</f>
        <v/>
      </c>
      <c r="L645" s="125">
        <f>I645/G645</f>
        <v/>
      </c>
      <c r="M645" s="125">
        <f>(E645*2+F645*4+((E645-G645)/2-H645)*4+2*PI()*H645+(D645-2*F645-2*H645)*2)/1000</f>
        <v/>
      </c>
      <c r="N645" s="5" t="n">
        <v>328000</v>
      </c>
      <c r="O645" s="5" t="n">
        <v>11300</v>
      </c>
      <c r="P645" s="125" t="n">
        <v>34.2</v>
      </c>
      <c r="Q645" s="125" t="n">
        <v>6.3</v>
      </c>
      <c r="R645" s="5" t="n">
        <v>7720</v>
      </c>
      <c r="S645" s="125" t="n">
        <v>752</v>
      </c>
      <c r="T645" s="5" t="n">
        <v>8860</v>
      </c>
      <c r="U645" s="5" t="n">
        <v>1180</v>
      </c>
      <c r="X645" s="129">
        <f t="array" ref="X645">_xlfn.IFS((D645/F645) &lt;= (640/SQRT($AT$32)), "Compact", L645 &lt;= ($AT$32*(0.79-(0.002*((E645-G645/2)/(2*F645))*SQRT($AT$32)))), "Non-Compact", L645 &gt; ($AT$32*(0.79-(0.002*((E645-G645/2)/(2*F645))*SQRT($AT$32)))), "Slender")</f>
        <v/>
      </c>
      <c r="Y645" s="129">
        <f t="array" ref="Y645">_xlfn.IFS(K645 &lt;= (65/SQRT($AT$32)), "Compact", K645 &lt;= (95/SQRT($AT$32)), "Non-Compact", K645 &gt; (95/SQRT($AT$32)), "Slender")</f>
        <v/>
      </c>
      <c r="Z645" s="125">
        <f>E645/F645</f>
        <v/>
      </c>
      <c r="AA645" s="125">
        <f>D645/G645</f>
        <v/>
      </c>
      <c r="AB645" s="125">
        <f t="array" ref="AB645">_xlfn.IFS(Z645 &lt;= 9, "1", Z645 &lt;= 12, "2", Z645 &lt;= 15, "3", Z645 &gt; 15, "4")</f>
        <v/>
      </c>
      <c r="AC645" s="125">
        <f t="array" ref="AC645">_xlfn.IFS(AA645 &lt;= 200, "1", L645 &lt;= 300, "2", L645 &lt;= 400, "3", L645 &gt; 400, "4")</f>
        <v/>
      </c>
      <c r="AF645" s="129">
        <f>SQRT((((VLOOKUP($AT$4,$A$4:$D$1021,4,FALSE))-D645)^2)+(((VLOOKUP($AT$4,$A$4:$E$1021,5,FALSE))-E645)^2)+(((VLOOKUP($AT$4,$A$4:$N$1021,14,FALSE))-N645)^2)+(((VLOOKUP($AT$4,$A$4:$O$1021,15,FALSE))-O645)^2))</f>
        <v/>
      </c>
      <c r="AG645" s="129" t="n"/>
      <c r="AI645" s="129">
        <f>SQRT((((VLOOKUP($AT$4,$A$4:$D$1021,4,FALSE))-D645)^2)+(((VLOOKUP($AT$4,$A$4:$E$1021,5,FALSE))-E645)^2)+(((VLOOKUP($AT$4,$A$4:$R$1021,18,FALSE))-R645)^2)+(((VLOOKUP($AT$4,$A$4:$S$1021,19,FALSE))-S645)^2))</f>
        <v/>
      </c>
      <c r="AJ645" s="125" t="inlineStr">
        <is>
          <t>HY850X220</t>
        </is>
      </c>
      <c r="AK645" s="125" t="n"/>
      <c r="AL645" s="125" t="n"/>
      <c r="AM645" s="125">
        <f>SQRT(((VLOOKUP($AT$4,$A$4:$J$1021,10,FALSE))-J645)^2)</f>
        <v/>
      </c>
      <c r="AN645" s="125" t="n"/>
      <c r="AO645" s="125" t="n"/>
      <c r="AP645" s="125">
        <f>SQRT(((VLOOKUP($AT$4,$A$4:$R$1021,18,FALSE))-R645)^2)</f>
        <v/>
      </c>
      <c r="AQ645" s="125" t="inlineStr">
        <is>
          <t>HY850X220</t>
        </is>
      </c>
      <c r="BB645" s="125">
        <f>SQRT(($J$1022-J645)^2)</f>
        <v/>
      </c>
      <c r="BC645" s="125">
        <f>SQRT(($R$1022-R645)^2)</f>
        <v/>
      </c>
      <c r="BD645" s="125" t="inlineStr">
        <is>
          <t>HY850X220</t>
        </is>
      </c>
      <c r="BI645">
        <f>SQRT(($J$1023-J645)^2)</f>
        <v/>
      </c>
      <c r="BJ645">
        <f>SQRT(($R$1023-R645)^2)</f>
        <v/>
      </c>
      <c r="BK645" s="125" t="inlineStr">
        <is>
          <t>HY850X220</t>
        </is>
      </c>
      <c r="BP645">
        <f>SQRT(($J$1024-J645)^2)</f>
        <v/>
      </c>
      <c r="BQ645">
        <f>SQRT(($R$1024-R645)^2)</f>
        <v/>
      </c>
      <c r="BR645" s="125" t="inlineStr">
        <is>
          <t>HY850X220</t>
        </is>
      </c>
      <c r="BW645">
        <f>SQRT(($J$1025-J645)^2)</f>
        <v/>
      </c>
      <c r="BX645">
        <f>SQRT(($R$1025-R645)^2)</f>
        <v/>
      </c>
      <c r="BY645" s="125" t="inlineStr">
        <is>
          <t>HY850X220</t>
        </is>
      </c>
      <c r="CD645">
        <f>SQRT(($J$1026-J645)^2)</f>
        <v/>
      </c>
      <c r="CE645">
        <f>SQRT(($R$1026-R645)^2)</f>
        <v/>
      </c>
      <c r="CF645" s="125" t="inlineStr">
        <is>
          <t>HY850X220</t>
        </is>
      </c>
    </row>
    <row r="646">
      <c r="A646" s="125" t="inlineStr">
        <is>
          <t>HY850X207</t>
        </is>
      </c>
      <c r="B646" s="129" t="inlineStr">
        <is>
          <t>HY</t>
        </is>
      </c>
      <c r="C646" s="125" t="n">
        <v>207</v>
      </c>
      <c r="D646" s="125" t="n">
        <v>850</v>
      </c>
      <c r="E646" s="125" t="n">
        <v>300</v>
      </c>
      <c r="F646" s="125" t="n">
        <v>22</v>
      </c>
      <c r="G646" s="125" t="n">
        <v>16</v>
      </c>
      <c r="H646" s="125" t="n">
        <v>18</v>
      </c>
      <c r="I646" s="125">
        <f>D646-(2*(H646+F646))</f>
        <v/>
      </c>
      <c r="J646" s="125">
        <f>(2*E646/10*F646/10)+((D646-F646-F646)/10*G646/10)+((H646/10+H646/10)^2)-(PI()*H646/10*H646/10)</f>
        <v/>
      </c>
      <c r="K646" s="125">
        <f>((E646-G646)/2)/F646</f>
        <v/>
      </c>
      <c r="L646" s="125">
        <f>I646/G646</f>
        <v/>
      </c>
      <c r="M646" s="125">
        <f>(E646*2+F646*4+((E646-G646)/2-H646)*4+2*PI()*H646+(D646-2*F646-2*H646)*2)/1000</f>
        <v/>
      </c>
      <c r="N646" s="5" t="n">
        <v>301000</v>
      </c>
      <c r="O646" s="5" t="n">
        <v>9930</v>
      </c>
      <c r="P646" s="125" t="n">
        <v>33.8</v>
      </c>
      <c r="Q646" s="125" t="n">
        <v>6.1</v>
      </c>
      <c r="R646" s="5" t="n">
        <v>7070</v>
      </c>
      <c r="S646" s="125" t="n">
        <v>662</v>
      </c>
      <c r="T646" s="5" t="n">
        <v>8170</v>
      </c>
      <c r="U646" s="5" t="n">
        <v>1040</v>
      </c>
      <c r="X646" s="129">
        <f t="array" ref="X646">_xlfn.IFS((D646/F646) &lt;= (640/SQRT($AT$32)), "Compact", L646 &lt;= ($AT$32*(0.79-(0.002*((E646-G646/2)/(2*F646))*SQRT($AT$32)))), "Non-Compact", L646 &gt; ($AT$32*(0.79-(0.002*((E646-G646/2)/(2*F646))*SQRT($AT$32)))), "Slender")</f>
        <v/>
      </c>
      <c r="Y646" s="129">
        <f t="array" ref="Y646">_xlfn.IFS(K646 &lt;= (65/SQRT($AT$32)), "Compact", K646 &lt;= (95/SQRT($AT$32)), "Non-Compact", K646 &gt; (95/SQRT($AT$32)), "Slender")</f>
        <v/>
      </c>
      <c r="Z646" s="125">
        <f>E646/F646</f>
        <v/>
      </c>
      <c r="AA646" s="125">
        <f>D646/G646</f>
        <v/>
      </c>
      <c r="AB646" s="125">
        <f t="array" ref="AB646">_xlfn.IFS(Z646 &lt;= 9, "1", Z646 &lt;= 12, "2", Z646 &lt;= 15, "3", Z646 &gt; 15, "4")</f>
        <v/>
      </c>
      <c r="AC646" s="125">
        <f t="array" ref="AC646">_xlfn.IFS(AA646 &lt;= 200, "1", L646 &lt;= 300, "2", L646 &lt;= 400, "3", L646 &gt; 400, "4")</f>
        <v/>
      </c>
      <c r="AF646" s="129">
        <f>SQRT((((VLOOKUP($AT$4,$A$4:$D$1021,4,FALSE))-D646)^2)+(((VLOOKUP($AT$4,$A$4:$E$1021,5,FALSE))-E646)^2)+(((VLOOKUP($AT$4,$A$4:$N$1021,14,FALSE))-N646)^2)+(((VLOOKUP($AT$4,$A$4:$O$1021,15,FALSE))-O646)^2))</f>
        <v/>
      </c>
      <c r="AG646" s="129" t="n"/>
      <c r="AI646" s="129">
        <f>SQRT((((VLOOKUP($AT$4,$A$4:$D$1021,4,FALSE))-D646)^2)+(((VLOOKUP($AT$4,$A$4:$E$1021,5,FALSE))-E646)^2)+(((VLOOKUP($AT$4,$A$4:$R$1021,18,FALSE))-R646)^2)+(((VLOOKUP($AT$4,$A$4:$S$1021,19,FALSE))-S646)^2))</f>
        <v/>
      </c>
      <c r="AJ646" s="125" t="inlineStr">
        <is>
          <t>HY850X207</t>
        </is>
      </c>
      <c r="AK646" s="125" t="n"/>
      <c r="AL646" s="125" t="n"/>
      <c r="AM646" s="125">
        <f>SQRT(((VLOOKUP($AT$4,$A$4:$J$1021,10,FALSE))-J646)^2)</f>
        <v/>
      </c>
      <c r="AN646" s="125" t="n"/>
      <c r="AO646" s="125" t="n"/>
      <c r="AP646" s="125">
        <f>SQRT(((VLOOKUP($AT$4,$A$4:$R$1021,18,FALSE))-R646)^2)</f>
        <v/>
      </c>
      <c r="AQ646" s="125" t="inlineStr">
        <is>
          <t>HY850X207</t>
        </is>
      </c>
      <c r="BB646" s="125">
        <f>SQRT(($J$1022-J646)^2)</f>
        <v/>
      </c>
      <c r="BC646" s="125">
        <f>SQRT(($R$1022-R646)^2)</f>
        <v/>
      </c>
      <c r="BD646" s="125" t="inlineStr">
        <is>
          <t>HY850X207</t>
        </is>
      </c>
      <c r="BI646">
        <f>SQRT(($J$1023-J646)^2)</f>
        <v/>
      </c>
      <c r="BJ646">
        <f>SQRT(($R$1023-R646)^2)</f>
        <v/>
      </c>
      <c r="BK646" s="125" t="inlineStr">
        <is>
          <t>HY850X207</t>
        </is>
      </c>
      <c r="BP646">
        <f>SQRT(($J$1024-J646)^2)</f>
        <v/>
      </c>
      <c r="BQ646">
        <f>SQRT(($R$1024-R646)^2)</f>
        <v/>
      </c>
      <c r="BR646" s="125" t="inlineStr">
        <is>
          <t>HY850X207</t>
        </is>
      </c>
      <c r="BW646">
        <f>SQRT(($J$1025-J646)^2)</f>
        <v/>
      </c>
      <c r="BX646">
        <f>SQRT(($R$1025-R646)^2)</f>
        <v/>
      </c>
      <c r="BY646" s="125" t="inlineStr">
        <is>
          <t>HY850X207</t>
        </is>
      </c>
      <c r="CD646">
        <f>SQRT(($J$1026-J646)^2)</f>
        <v/>
      </c>
      <c r="CE646">
        <f>SQRT(($R$1026-R646)^2)</f>
        <v/>
      </c>
      <c r="CF646" s="125" t="inlineStr">
        <is>
          <t>HY850X207</t>
        </is>
      </c>
    </row>
    <row r="647">
      <c r="A647" s="125" t="inlineStr">
        <is>
          <t>HY850X221</t>
        </is>
      </c>
      <c r="B647" s="129" t="inlineStr">
        <is>
          <t>HY</t>
        </is>
      </c>
      <c r="C647" s="125" t="n">
        <v>221</v>
      </c>
      <c r="D647" s="125" t="n">
        <v>850</v>
      </c>
      <c r="E647" s="125" t="n">
        <v>300</v>
      </c>
      <c r="F647" s="125" t="n">
        <v>28</v>
      </c>
      <c r="G647" s="125" t="n">
        <v>14</v>
      </c>
      <c r="H647" s="125" t="n">
        <v>18</v>
      </c>
      <c r="I647" s="125">
        <f>D647-(2*(H647+F647))</f>
        <v/>
      </c>
      <c r="J647" s="125">
        <f>(2*E647/10*F647/10)+((D647-F647-F647)/10*G647/10)+((H647/10+H647/10)^2)-(PI()*H647/10*H647/10)</f>
        <v/>
      </c>
      <c r="K647" s="125">
        <f>((E647-G647)/2)/F647</f>
        <v/>
      </c>
      <c r="L647" s="125">
        <f>I647/G647</f>
        <v/>
      </c>
      <c r="M647" s="125">
        <f>(E647*2+F647*4+((E647-G647)/2-H647)*4+2*PI()*H647+(D647-2*F647-2*H647)*2)/1000</f>
        <v/>
      </c>
      <c r="N647" s="5" t="n">
        <v>347000</v>
      </c>
      <c r="O647" s="5" t="n">
        <v>12600</v>
      </c>
      <c r="P647" s="125" t="n">
        <v>35.1</v>
      </c>
      <c r="Q647" s="125" t="n">
        <v>6.7</v>
      </c>
      <c r="R647" s="5" t="n">
        <v>8160</v>
      </c>
      <c r="S647" s="125" t="n">
        <v>841</v>
      </c>
      <c r="T647" s="5" t="n">
        <v>9220</v>
      </c>
      <c r="U647" s="5" t="n">
        <v>1300</v>
      </c>
      <c r="X647" s="129">
        <f t="array" ref="X647">_xlfn.IFS((D647/F647) &lt;= (640/SQRT($AT$32)), "Compact", L647 &lt;= ($AT$32*(0.79-(0.002*((E647-G647/2)/(2*F647))*SQRT($AT$32)))), "Non-Compact", L647 &gt; ($AT$32*(0.79-(0.002*((E647-G647/2)/(2*F647))*SQRT($AT$32)))), "Slender")</f>
        <v/>
      </c>
      <c r="Y647" s="129">
        <f t="array" ref="Y647">_xlfn.IFS(K647 &lt;= (65/SQRT($AT$32)), "Compact", K647 &lt;= (95/SQRT($AT$32)), "Non-Compact", K647 &gt; (95/SQRT($AT$32)), "Slender")</f>
        <v/>
      </c>
      <c r="Z647" s="125">
        <f>E647/F647</f>
        <v/>
      </c>
      <c r="AA647" s="125">
        <f>D647/G647</f>
        <v/>
      </c>
      <c r="AB647" s="125">
        <f t="array" ref="AB647">_xlfn.IFS(Z647 &lt;= 9, "1", Z647 &lt;= 12, "2", Z647 &lt;= 15, "3", Z647 &gt; 15, "4")</f>
        <v/>
      </c>
      <c r="AC647" s="125">
        <f t="array" ref="AC647">_xlfn.IFS(AA647 &lt;= 200, "1", L647 &lt;= 300, "2", L647 &lt;= 400, "3", L647 &gt; 400, "4")</f>
        <v/>
      </c>
      <c r="AF647" s="129">
        <f>SQRT((((VLOOKUP($AT$4,$A$4:$D$1021,4,FALSE))-D647)^2)+(((VLOOKUP($AT$4,$A$4:$E$1021,5,FALSE))-E647)^2)+(((VLOOKUP($AT$4,$A$4:$N$1021,14,FALSE))-N647)^2)+(((VLOOKUP($AT$4,$A$4:$O$1021,15,FALSE))-O647)^2))</f>
        <v/>
      </c>
      <c r="AG647" s="129" t="n"/>
      <c r="AI647" s="129">
        <f>SQRT((((VLOOKUP($AT$4,$A$4:$D$1021,4,FALSE))-D647)^2)+(((VLOOKUP($AT$4,$A$4:$E$1021,5,FALSE))-E647)^2)+(((VLOOKUP($AT$4,$A$4:$R$1021,18,FALSE))-R647)^2)+(((VLOOKUP($AT$4,$A$4:$S$1021,19,FALSE))-S647)^2))</f>
        <v/>
      </c>
      <c r="AJ647" s="125" t="inlineStr">
        <is>
          <t>HY850X221</t>
        </is>
      </c>
      <c r="AK647" s="125" t="n"/>
      <c r="AL647" s="125" t="n"/>
      <c r="AM647" s="125">
        <f>SQRT(((VLOOKUP($AT$4,$A$4:$J$1021,10,FALSE))-J647)^2)</f>
        <v/>
      </c>
      <c r="AN647" s="125" t="n"/>
      <c r="AO647" s="125" t="n"/>
      <c r="AP647" s="125">
        <f>SQRT(((VLOOKUP($AT$4,$A$4:$R$1021,18,FALSE))-R647)^2)</f>
        <v/>
      </c>
      <c r="AQ647" s="125" t="inlineStr">
        <is>
          <t>HY850X221</t>
        </is>
      </c>
      <c r="BB647" s="125">
        <f>SQRT(($J$1022-J647)^2)</f>
        <v/>
      </c>
      <c r="BC647" s="125">
        <f>SQRT(($R$1022-R647)^2)</f>
        <v/>
      </c>
      <c r="BD647" s="125" t="inlineStr">
        <is>
          <t>HY850X221</t>
        </is>
      </c>
      <c r="BI647">
        <f>SQRT(($J$1023-J647)^2)</f>
        <v/>
      </c>
      <c r="BJ647">
        <f>SQRT(($R$1023-R647)^2)</f>
        <v/>
      </c>
      <c r="BK647" s="125" t="inlineStr">
        <is>
          <t>HY850X221</t>
        </is>
      </c>
      <c r="BP647">
        <f>SQRT(($J$1024-J647)^2)</f>
        <v/>
      </c>
      <c r="BQ647">
        <f>SQRT(($R$1024-R647)^2)</f>
        <v/>
      </c>
      <c r="BR647" s="125" t="inlineStr">
        <is>
          <t>HY850X221</t>
        </is>
      </c>
      <c r="BW647">
        <f>SQRT(($J$1025-J647)^2)</f>
        <v/>
      </c>
      <c r="BX647">
        <f>SQRT(($R$1025-R647)^2)</f>
        <v/>
      </c>
      <c r="BY647" s="125" t="inlineStr">
        <is>
          <t>HY850X221</t>
        </is>
      </c>
      <c r="CD647">
        <f>SQRT(($J$1026-J647)^2)</f>
        <v/>
      </c>
      <c r="CE647">
        <f>SQRT(($R$1026-R647)^2)</f>
        <v/>
      </c>
      <c r="CF647" s="125" t="inlineStr">
        <is>
          <t>HY850X221</t>
        </is>
      </c>
    </row>
    <row r="648">
      <c r="A648" s="125" t="inlineStr">
        <is>
          <t>HY850X208</t>
        </is>
      </c>
      <c r="B648" s="129" t="inlineStr">
        <is>
          <t>HY</t>
        </is>
      </c>
      <c r="C648" s="125" t="n">
        <v>208</v>
      </c>
      <c r="D648" s="125" t="n">
        <v>850</v>
      </c>
      <c r="E648" s="125" t="n">
        <v>300</v>
      </c>
      <c r="F648" s="125" t="n">
        <v>25</v>
      </c>
      <c r="G648" s="125" t="n">
        <v>14</v>
      </c>
      <c r="H648" s="125" t="n">
        <v>18</v>
      </c>
      <c r="I648" s="125">
        <f>D648-(2*(H648+F648))</f>
        <v/>
      </c>
      <c r="J648" s="125">
        <f>(2*E648/10*F648/10)+((D648-F648-F648)/10*G648/10)+((H648/10+H648/10)^2)-(PI()*H648/10*H648/10)</f>
        <v/>
      </c>
      <c r="K648" s="125">
        <f>((E648-G648)/2)/F648</f>
        <v/>
      </c>
      <c r="L648" s="125">
        <f>I648/G648</f>
        <v/>
      </c>
      <c r="M648" s="125">
        <f>(E648*2+F648*4+((E648-G648)/2-H648)*4+2*PI()*H648+(D648-2*F648-2*H648)*2)/1000</f>
        <v/>
      </c>
      <c r="N648" s="5" t="n">
        <v>319000</v>
      </c>
      <c r="O648" s="5" t="n">
        <v>11300</v>
      </c>
      <c r="P648" s="125" t="n">
        <v>34.7</v>
      </c>
      <c r="Q648" s="125" t="n">
        <v>6.5</v>
      </c>
      <c r="R648" s="5" t="n">
        <v>7520</v>
      </c>
      <c r="S648" s="125" t="n">
        <v>751</v>
      </c>
      <c r="T648" s="5" t="n">
        <v>8540</v>
      </c>
      <c r="U648" s="5" t="n">
        <v>1170</v>
      </c>
      <c r="X648" s="129">
        <f t="array" ref="X648">_xlfn.IFS((D648/F648) &lt;= (640/SQRT($AT$32)), "Compact", L648 &lt;= ($AT$32*(0.79-(0.002*((E648-G648/2)/(2*F648))*SQRT($AT$32)))), "Non-Compact", L648 &gt; ($AT$32*(0.79-(0.002*((E648-G648/2)/(2*F648))*SQRT($AT$32)))), "Slender")</f>
        <v/>
      </c>
      <c r="Y648" s="129">
        <f t="array" ref="Y648">_xlfn.IFS(K648 &lt;= (65/SQRT($AT$32)), "Compact", K648 &lt;= (95/SQRT($AT$32)), "Non-Compact", K648 &gt; (95/SQRT($AT$32)), "Slender")</f>
        <v/>
      </c>
      <c r="Z648" s="125">
        <f>E648/F648</f>
        <v/>
      </c>
      <c r="AA648" s="125">
        <f>D648/G648</f>
        <v/>
      </c>
      <c r="AB648" s="125">
        <f t="array" ref="AB648">_xlfn.IFS(Z648 &lt;= 9, "1", Z648 &lt;= 12, "2", Z648 &lt;= 15, "3", Z648 &gt; 15, "4")</f>
        <v/>
      </c>
      <c r="AC648" s="125">
        <f t="array" ref="AC648">_xlfn.IFS(AA648 &lt;= 200, "1", L648 &lt;= 300, "2", L648 &lt;= 400, "3", L648 &gt; 400, "4")</f>
        <v/>
      </c>
      <c r="AF648" s="129">
        <f>SQRT((((VLOOKUP($AT$4,$A$4:$D$1021,4,FALSE))-D648)^2)+(((VLOOKUP($AT$4,$A$4:$E$1021,5,FALSE))-E648)^2)+(((VLOOKUP($AT$4,$A$4:$N$1021,14,FALSE))-N648)^2)+(((VLOOKUP($AT$4,$A$4:$O$1021,15,FALSE))-O648)^2))</f>
        <v/>
      </c>
      <c r="AG648" s="129" t="n"/>
      <c r="AI648" s="129">
        <f>SQRT((((VLOOKUP($AT$4,$A$4:$D$1021,4,FALSE))-D648)^2)+(((VLOOKUP($AT$4,$A$4:$E$1021,5,FALSE))-E648)^2)+(((VLOOKUP($AT$4,$A$4:$R$1021,18,FALSE))-R648)^2)+(((VLOOKUP($AT$4,$A$4:$S$1021,19,FALSE))-S648)^2))</f>
        <v/>
      </c>
      <c r="AJ648" s="125" t="inlineStr">
        <is>
          <t>HY850X208</t>
        </is>
      </c>
      <c r="AK648" s="125" t="n"/>
      <c r="AL648" s="125" t="n"/>
      <c r="AM648" s="125">
        <f>SQRT(((VLOOKUP($AT$4,$A$4:$J$1021,10,FALSE))-J648)^2)</f>
        <v/>
      </c>
      <c r="AN648" s="125" t="n"/>
      <c r="AO648" s="125" t="n"/>
      <c r="AP648" s="125">
        <f>SQRT(((VLOOKUP($AT$4,$A$4:$R$1021,18,FALSE))-R648)^2)</f>
        <v/>
      </c>
      <c r="AQ648" s="125" t="inlineStr">
        <is>
          <t>HY850X208</t>
        </is>
      </c>
      <c r="BB648" s="125">
        <f>SQRT(($J$1022-J648)^2)</f>
        <v/>
      </c>
      <c r="BC648" s="125">
        <f>SQRT(($R$1022-R648)^2)</f>
        <v/>
      </c>
      <c r="BD648" s="125" t="inlineStr">
        <is>
          <t>HY850X208</t>
        </is>
      </c>
      <c r="BI648">
        <f>SQRT(($J$1023-J648)^2)</f>
        <v/>
      </c>
      <c r="BJ648">
        <f>SQRT(($R$1023-R648)^2)</f>
        <v/>
      </c>
      <c r="BK648" s="125" t="inlineStr">
        <is>
          <t>HY850X208</t>
        </is>
      </c>
      <c r="BP648">
        <f>SQRT(($J$1024-J648)^2)</f>
        <v/>
      </c>
      <c r="BQ648">
        <f>SQRT(($R$1024-R648)^2)</f>
        <v/>
      </c>
      <c r="BR648" s="125" t="inlineStr">
        <is>
          <t>HY850X208</t>
        </is>
      </c>
      <c r="BW648">
        <f>SQRT(($J$1025-J648)^2)</f>
        <v/>
      </c>
      <c r="BX648">
        <f>SQRT(($R$1025-R648)^2)</f>
        <v/>
      </c>
      <c r="BY648" s="125" t="inlineStr">
        <is>
          <t>HY850X208</t>
        </is>
      </c>
      <c r="CD648">
        <f>SQRT(($J$1026-J648)^2)</f>
        <v/>
      </c>
      <c r="CE648">
        <f>SQRT(($R$1026-R648)^2)</f>
        <v/>
      </c>
      <c r="CF648" s="125" t="inlineStr">
        <is>
          <t>HY850X208</t>
        </is>
      </c>
    </row>
    <row r="649">
      <c r="A649" s="125" t="inlineStr">
        <is>
          <t>HY850X194</t>
        </is>
      </c>
      <c r="B649" s="129" t="inlineStr">
        <is>
          <t>HY</t>
        </is>
      </c>
      <c r="C649" s="125" t="n">
        <v>194</v>
      </c>
      <c r="D649" s="125" t="n">
        <v>850</v>
      </c>
      <c r="E649" s="125" t="n">
        <v>300</v>
      </c>
      <c r="F649" s="125" t="n">
        <v>22</v>
      </c>
      <c r="G649" s="125" t="n">
        <v>14</v>
      </c>
      <c r="H649" s="125" t="n">
        <v>18</v>
      </c>
      <c r="I649" s="125">
        <f>D649-(2*(H649+F649))</f>
        <v/>
      </c>
      <c r="J649" s="125">
        <f>(2*E649/10*F649/10)+((D649-F649-F649)/10*G649/10)+((H649/10+H649/10)^2)-(PI()*H649/10*H649/10)</f>
        <v/>
      </c>
      <c r="K649" s="125">
        <f>((E649-G649)/2)/F649</f>
        <v/>
      </c>
      <c r="L649" s="125">
        <f>I649/G649</f>
        <v/>
      </c>
      <c r="M649" s="125">
        <f>(E649*2+F649*4+((E649-G649)/2-H649)*4+2*PI()*H649+(D649-2*F649-2*H649)*2)/1000</f>
        <v/>
      </c>
      <c r="N649" s="5" t="n">
        <v>292000</v>
      </c>
      <c r="O649" s="5" t="n">
        <v>9920</v>
      </c>
      <c r="P649" s="125" t="n">
        <v>34.3</v>
      </c>
      <c r="Q649" s="125" t="n">
        <v>6.3</v>
      </c>
      <c r="R649" s="5" t="n">
        <v>6870</v>
      </c>
      <c r="S649" s="125" t="n">
        <v>661</v>
      </c>
      <c r="T649" s="5" t="n">
        <v>7850</v>
      </c>
      <c r="U649" s="5" t="n">
        <v>1030</v>
      </c>
      <c r="X649" s="129">
        <f t="array" ref="X649">_xlfn.IFS((D649/F649) &lt;= (640/SQRT($AT$32)), "Compact", L649 &lt;= ($AT$32*(0.79-(0.002*((E649-G649/2)/(2*F649))*SQRT($AT$32)))), "Non-Compact", L649 &gt; ($AT$32*(0.79-(0.002*((E649-G649/2)/(2*F649))*SQRT($AT$32)))), "Slender")</f>
        <v/>
      </c>
      <c r="Y649" s="129">
        <f t="array" ref="Y649">_xlfn.IFS(K649 &lt;= (65/SQRT($AT$32)), "Compact", K649 &lt;= (95/SQRT($AT$32)), "Non-Compact", K649 &gt; (95/SQRT($AT$32)), "Slender")</f>
        <v/>
      </c>
      <c r="Z649" s="125">
        <f>E649/F649</f>
        <v/>
      </c>
      <c r="AA649" s="125">
        <f>D649/G649</f>
        <v/>
      </c>
      <c r="AB649" s="125">
        <f t="array" ref="AB649">_xlfn.IFS(Z649 &lt;= 9, "1", Z649 &lt;= 12, "2", Z649 &lt;= 15, "3", Z649 &gt; 15, "4")</f>
        <v/>
      </c>
      <c r="AC649" s="125">
        <f t="array" ref="AC649">_xlfn.IFS(AA649 &lt;= 200, "1", L649 &lt;= 300, "2", L649 &lt;= 400, "3", L649 &gt; 400, "4")</f>
        <v/>
      </c>
      <c r="AF649" s="129">
        <f>SQRT((((VLOOKUP($AT$4,$A$4:$D$1021,4,FALSE))-D649)^2)+(((VLOOKUP($AT$4,$A$4:$E$1021,5,FALSE))-E649)^2)+(((VLOOKUP($AT$4,$A$4:$N$1021,14,FALSE))-N649)^2)+(((VLOOKUP($AT$4,$A$4:$O$1021,15,FALSE))-O649)^2))</f>
        <v/>
      </c>
      <c r="AG649" s="129" t="n"/>
      <c r="AI649" s="129">
        <f>SQRT((((VLOOKUP($AT$4,$A$4:$D$1021,4,FALSE))-D649)^2)+(((VLOOKUP($AT$4,$A$4:$E$1021,5,FALSE))-E649)^2)+(((VLOOKUP($AT$4,$A$4:$R$1021,18,FALSE))-R649)^2)+(((VLOOKUP($AT$4,$A$4:$S$1021,19,FALSE))-S649)^2))</f>
        <v/>
      </c>
      <c r="AJ649" s="125" t="inlineStr">
        <is>
          <t>HY850X194</t>
        </is>
      </c>
      <c r="AK649" s="125" t="n"/>
      <c r="AL649" s="125" t="n"/>
      <c r="AM649" s="125">
        <f>SQRT(((VLOOKUP($AT$4,$A$4:$J$1021,10,FALSE))-J649)^2)</f>
        <v/>
      </c>
      <c r="AN649" s="125" t="n"/>
      <c r="AO649" s="125" t="n"/>
      <c r="AP649" s="125">
        <f>SQRT(((VLOOKUP($AT$4,$A$4:$R$1021,18,FALSE))-R649)^2)</f>
        <v/>
      </c>
      <c r="AQ649" s="125" t="inlineStr">
        <is>
          <t>HY850X194</t>
        </is>
      </c>
      <c r="BB649" s="125">
        <f>SQRT(($J$1022-J649)^2)</f>
        <v/>
      </c>
      <c r="BC649" s="125">
        <f>SQRT(($R$1022-R649)^2)</f>
        <v/>
      </c>
      <c r="BD649" s="125" t="inlineStr">
        <is>
          <t>HY850X194</t>
        </is>
      </c>
      <c r="BI649">
        <f>SQRT(($J$1023-J649)^2)</f>
        <v/>
      </c>
      <c r="BJ649">
        <f>SQRT(($R$1023-R649)^2)</f>
        <v/>
      </c>
      <c r="BK649" s="125" t="inlineStr">
        <is>
          <t>HY850X194</t>
        </is>
      </c>
      <c r="BP649">
        <f>SQRT(($J$1024-J649)^2)</f>
        <v/>
      </c>
      <c r="BQ649">
        <f>SQRT(($R$1024-R649)^2)</f>
        <v/>
      </c>
      <c r="BR649" s="125" t="inlineStr">
        <is>
          <t>HY850X194</t>
        </is>
      </c>
      <c r="BW649">
        <f>SQRT(($J$1025-J649)^2)</f>
        <v/>
      </c>
      <c r="BX649">
        <f>SQRT(($R$1025-R649)^2)</f>
        <v/>
      </c>
      <c r="BY649" s="125" t="inlineStr">
        <is>
          <t>HY850X194</t>
        </is>
      </c>
      <c r="CD649">
        <f>SQRT(($J$1026-J649)^2)</f>
        <v/>
      </c>
      <c r="CE649">
        <f>SQRT(($R$1026-R649)^2)</f>
        <v/>
      </c>
      <c r="CF649" s="125" t="inlineStr">
        <is>
          <t>HY850X194</t>
        </is>
      </c>
    </row>
    <row r="650">
      <c r="A650" s="125" t="inlineStr">
        <is>
          <t>HY850X274</t>
        </is>
      </c>
      <c r="B650" s="129" t="inlineStr">
        <is>
          <t>HY</t>
        </is>
      </c>
      <c r="C650" s="125" t="n">
        <v>274</v>
      </c>
      <c r="D650" s="125" t="n">
        <v>850</v>
      </c>
      <c r="E650" s="125" t="n">
        <v>250</v>
      </c>
      <c r="F650" s="125" t="n">
        <v>40</v>
      </c>
      <c r="G650" s="125" t="n">
        <v>19</v>
      </c>
      <c r="H650" s="125" t="n">
        <v>18</v>
      </c>
      <c r="I650" s="125">
        <f>D650-(2*(H650+F650))</f>
        <v/>
      </c>
      <c r="J650" s="125">
        <f>(2*E650/10*F650/10)+((D650-F650-F650)/10*G650/10)+((H650/10+H650/10)^2)-(PI()*H650/10*H650/10)</f>
        <v/>
      </c>
      <c r="K650" s="125">
        <f>((E650-G650)/2)/F650</f>
        <v/>
      </c>
      <c r="L650" s="125">
        <f>I650/G650</f>
        <v/>
      </c>
      <c r="M650" s="125">
        <f>(E650*2+F650*4+((E650-G650)/2-H650)*4+2*PI()*H650+(D650-2*F650-2*H650)*2)/1000</f>
        <v/>
      </c>
      <c r="N650" s="5" t="n">
        <v>405000</v>
      </c>
      <c r="O650" s="5" t="n">
        <v>10500</v>
      </c>
      <c r="P650" s="125" t="n">
        <v>34</v>
      </c>
      <c r="Q650" s="125" t="n">
        <v>5.5</v>
      </c>
      <c r="R650" s="5" t="n">
        <v>9520</v>
      </c>
      <c r="S650" s="125" t="n">
        <v>837</v>
      </c>
      <c r="T650" s="5" t="n">
        <v>11000</v>
      </c>
      <c r="U650" s="5" t="n">
        <v>1320</v>
      </c>
      <c r="X650" s="129">
        <f t="array" ref="X650">_xlfn.IFS((D650/F650) &lt;= (640/SQRT($AT$32)), "Compact", L650 &lt;= ($AT$32*(0.79-(0.002*((E650-G650/2)/(2*F650))*SQRT($AT$32)))), "Non-Compact", L650 &gt; ($AT$32*(0.79-(0.002*((E650-G650/2)/(2*F650))*SQRT($AT$32)))), "Slender")</f>
        <v/>
      </c>
      <c r="Y650" s="129">
        <f t="array" ref="Y650">_xlfn.IFS(K650 &lt;= (65/SQRT($AT$32)), "Compact", K650 &lt;= (95/SQRT($AT$32)), "Non-Compact", K650 &gt; (95/SQRT($AT$32)), "Slender")</f>
        <v/>
      </c>
      <c r="Z650" s="125">
        <f>E650/F650</f>
        <v/>
      </c>
      <c r="AA650" s="125">
        <f>D650/G650</f>
        <v/>
      </c>
      <c r="AB650" s="125">
        <f t="array" ref="AB650">_xlfn.IFS(Z650 &lt;= 9, "1", Z650 &lt;= 12, "2", Z650 &lt;= 15, "3", Z650 &gt; 15, "4")</f>
        <v/>
      </c>
      <c r="AC650" s="125">
        <f t="array" ref="AC650">_xlfn.IFS(AA650 &lt;= 200, "1", L650 &lt;= 300, "2", L650 &lt;= 400, "3", L650 &gt; 400, "4")</f>
        <v/>
      </c>
      <c r="AF650" s="129">
        <f>SQRT((((VLOOKUP($AT$4,$A$4:$D$1021,4,FALSE))-D650)^2)+(((VLOOKUP($AT$4,$A$4:$E$1021,5,FALSE))-E650)^2)+(((VLOOKUP($AT$4,$A$4:$N$1021,14,FALSE))-N650)^2)+(((VLOOKUP($AT$4,$A$4:$O$1021,15,FALSE))-O650)^2))</f>
        <v/>
      </c>
      <c r="AG650" s="129" t="n"/>
      <c r="AI650" s="129">
        <f>SQRT((((VLOOKUP($AT$4,$A$4:$D$1021,4,FALSE))-D650)^2)+(((VLOOKUP($AT$4,$A$4:$E$1021,5,FALSE))-E650)^2)+(((VLOOKUP($AT$4,$A$4:$R$1021,18,FALSE))-R650)^2)+(((VLOOKUP($AT$4,$A$4:$S$1021,19,FALSE))-S650)^2))</f>
        <v/>
      </c>
      <c r="AJ650" s="125" t="inlineStr">
        <is>
          <t>HY850X274</t>
        </is>
      </c>
      <c r="AK650" s="125" t="n"/>
      <c r="AL650" s="125" t="n"/>
      <c r="AM650" s="125">
        <f>SQRT(((VLOOKUP($AT$4,$A$4:$J$1021,10,FALSE))-J650)^2)</f>
        <v/>
      </c>
      <c r="AN650" s="125" t="n"/>
      <c r="AO650" s="125" t="n"/>
      <c r="AP650" s="125">
        <f>SQRT(((VLOOKUP($AT$4,$A$4:$R$1021,18,FALSE))-R650)^2)</f>
        <v/>
      </c>
      <c r="AQ650" s="125" t="inlineStr">
        <is>
          <t>HY850X274</t>
        </is>
      </c>
      <c r="BB650" s="125">
        <f>SQRT(($J$1022-J650)^2)</f>
        <v/>
      </c>
      <c r="BC650" s="125">
        <f>SQRT(($R$1022-R650)^2)</f>
        <v/>
      </c>
      <c r="BD650" s="125" t="inlineStr">
        <is>
          <t>HY850X274</t>
        </is>
      </c>
      <c r="BI650">
        <f>SQRT(($J$1023-J650)^2)</f>
        <v/>
      </c>
      <c r="BJ650">
        <f>SQRT(($R$1023-R650)^2)</f>
        <v/>
      </c>
      <c r="BK650" s="125" t="inlineStr">
        <is>
          <t>HY850X274</t>
        </is>
      </c>
      <c r="BP650">
        <f>SQRT(($J$1024-J650)^2)</f>
        <v/>
      </c>
      <c r="BQ650">
        <f>SQRT(($R$1024-R650)^2)</f>
        <v/>
      </c>
      <c r="BR650" s="125" t="inlineStr">
        <is>
          <t>HY850X274</t>
        </is>
      </c>
      <c r="BW650">
        <f>SQRT(($J$1025-J650)^2)</f>
        <v/>
      </c>
      <c r="BX650">
        <f>SQRT(($R$1025-R650)^2)</f>
        <v/>
      </c>
      <c r="BY650" s="125" t="inlineStr">
        <is>
          <t>HY850X274</t>
        </is>
      </c>
      <c r="CD650">
        <f>SQRT(($J$1026-J650)^2)</f>
        <v/>
      </c>
      <c r="CE650">
        <f>SQRT(($R$1026-R650)^2)</f>
        <v/>
      </c>
      <c r="CF650" s="125" t="inlineStr">
        <is>
          <t>HY850X274</t>
        </is>
      </c>
    </row>
    <row r="651">
      <c r="A651" s="125" t="inlineStr">
        <is>
          <t>HY850X260</t>
        </is>
      </c>
      <c r="B651" s="129" t="inlineStr">
        <is>
          <t>HY</t>
        </is>
      </c>
      <c r="C651" s="125" t="n">
        <v>260</v>
      </c>
      <c r="D651" s="125" t="n">
        <v>850</v>
      </c>
      <c r="E651" s="125" t="n">
        <v>250</v>
      </c>
      <c r="F651" s="125" t="n">
        <v>36</v>
      </c>
      <c r="G651" s="125" t="n">
        <v>19</v>
      </c>
      <c r="H651" s="125" t="n">
        <v>18</v>
      </c>
      <c r="I651" s="125">
        <f>D651-(2*(H651+F651))</f>
        <v/>
      </c>
      <c r="J651" s="125">
        <f>(2*E651/10*F651/10)+((D651-F651-F651)/10*G651/10)+((H651/10+H651/10)^2)-(PI()*H651/10*H651/10)</f>
        <v/>
      </c>
      <c r="K651" s="125">
        <f>((E651-G651)/2)/F651</f>
        <v/>
      </c>
      <c r="L651" s="125">
        <f>I651/G651</f>
        <v/>
      </c>
      <c r="M651" s="125">
        <f>(E651*2+F651*4+((E651-G651)/2-H651)*4+2*PI()*H651+(D651-2*F651-2*H651)*2)/1000</f>
        <v/>
      </c>
      <c r="N651" s="5" t="n">
        <v>377000</v>
      </c>
      <c r="O651" s="5" t="n">
        <v>9420</v>
      </c>
      <c r="P651" s="125" t="n">
        <v>33.8</v>
      </c>
      <c r="Q651" s="125" t="n">
        <v>5.3</v>
      </c>
      <c r="R651" s="5" t="n">
        <v>8870</v>
      </c>
      <c r="S651" s="125" t="n">
        <v>754</v>
      </c>
      <c r="T651" s="5" t="n">
        <v>10300</v>
      </c>
      <c r="U651" s="5" t="n">
        <v>1200</v>
      </c>
      <c r="X651" s="129">
        <f t="array" ref="X651">_xlfn.IFS((D651/F651) &lt;= (640/SQRT($AT$32)), "Compact", L651 &lt;= ($AT$32*(0.79-(0.002*((E651-G651/2)/(2*F651))*SQRT($AT$32)))), "Non-Compact", L651 &gt; ($AT$32*(0.79-(0.002*((E651-G651/2)/(2*F651))*SQRT($AT$32)))), "Slender")</f>
        <v/>
      </c>
      <c r="Y651" s="129">
        <f t="array" ref="Y651">_xlfn.IFS(K651 &lt;= (65/SQRT($AT$32)), "Compact", K651 &lt;= (95/SQRT($AT$32)), "Non-Compact", K651 &gt; (95/SQRT($AT$32)), "Slender")</f>
        <v/>
      </c>
      <c r="Z651" s="125">
        <f>E651/F651</f>
        <v/>
      </c>
      <c r="AA651" s="125">
        <f>D651/G651</f>
        <v/>
      </c>
      <c r="AB651" s="125">
        <f t="array" ref="AB651">_xlfn.IFS(Z651 &lt;= 9, "1", Z651 &lt;= 12, "2", Z651 &lt;= 15, "3", Z651 &gt; 15, "4")</f>
        <v/>
      </c>
      <c r="AC651" s="125">
        <f t="array" ref="AC651">_xlfn.IFS(AA651 &lt;= 200, "1", L651 &lt;= 300, "2", L651 &lt;= 400, "3", L651 &gt; 400, "4")</f>
        <v/>
      </c>
      <c r="AF651" s="129">
        <f>SQRT((((VLOOKUP($AT$4,$A$4:$D$1021,4,FALSE))-D651)^2)+(((VLOOKUP($AT$4,$A$4:$E$1021,5,FALSE))-E651)^2)+(((VLOOKUP($AT$4,$A$4:$N$1021,14,FALSE))-N651)^2)+(((VLOOKUP($AT$4,$A$4:$O$1021,15,FALSE))-O651)^2))</f>
        <v/>
      </c>
      <c r="AG651" s="129" t="n"/>
      <c r="AI651" s="129">
        <f>SQRT((((VLOOKUP($AT$4,$A$4:$D$1021,4,FALSE))-D651)^2)+(((VLOOKUP($AT$4,$A$4:$E$1021,5,FALSE))-E651)^2)+(((VLOOKUP($AT$4,$A$4:$R$1021,18,FALSE))-R651)^2)+(((VLOOKUP($AT$4,$A$4:$S$1021,19,FALSE))-S651)^2))</f>
        <v/>
      </c>
      <c r="AJ651" s="125" t="inlineStr">
        <is>
          <t>HY850X260</t>
        </is>
      </c>
      <c r="AK651" s="125" t="n"/>
      <c r="AL651" s="125" t="n"/>
      <c r="AM651" s="125">
        <f>SQRT(((VLOOKUP($AT$4,$A$4:$J$1021,10,FALSE))-J651)^2)</f>
        <v/>
      </c>
      <c r="AN651" s="125" t="n"/>
      <c r="AO651" s="125" t="n"/>
      <c r="AP651" s="125">
        <f>SQRT(((VLOOKUP($AT$4,$A$4:$R$1021,18,FALSE))-R651)^2)</f>
        <v/>
      </c>
      <c r="AQ651" s="125" t="inlineStr">
        <is>
          <t>HY850X260</t>
        </is>
      </c>
      <c r="BB651" s="125">
        <f>SQRT(($J$1022-J651)^2)</f>
        <v/>
      </c>
      <c r="BC651" s="125">
        <f>SQRT(($R$1022-R651)^2)</f>
        <v/>
      </c>
      <c r="BD651" s="125" t="inlineStr">
        <is>
          <t>HY850X260</t>
        </is>
      </c>
      <c r="BI651">
        <f>SQRT(($J$1023-J651)^2)</f>
        <v/>
      </c>
      <c r="BJ651">
        <f>SQRT(($R$1023-R651)^2)</f>
        <v/>
      </c>
      <c r="BK651" s="125" t="inlineStr">
        <is>
          <t>HY850X260</t>
        </is>
      </c>
      <c r="BP651">
        <f>SQRT(($J$1024-J651)^2)</f>
        <v/>
      </c>
      <c r="BQ651">
        <f>SQRT(($R$1024-R651)^2)</f>
        <v/>
      </c>
      <c r="BR651" s="125" t="inlineStr">
        <is>
          <t>HY850X260</t>
        </is>
      </c>
      <c r="BW651">
        <f>SQRT(($J$1025-J651)^2)</f>
        <v/>
      </c>
      <c r="BX651">
        <f>SQRT(($R$1025-R651)^2)</f>
        <v/>
      </c>
      <c r="BY651" s="125" t="inlineStr">
        <is>
          <t>HY850X260</t>
        </is>
      </c>
      <c r="CD651">
        <f>SQRT(($J$1026-J651)^2)</f>
        <v/>
      </c>
      <c r="CE651">
        <f>SQRT(($R$1026-R651)^2)</f>
        <v/>
      </c>
      <c r="CF651" s="125" t="inlineStr">
        <is>
          <t>HY850X260</t>
        </is>
      </c>
    </row>
    <row r="652">
      <c r="A652" s="125" t="inlineStr">
        <is>
          <t>HY850X245</t>
        </is>
      </c>
      <c r="B652" s="129" t="inlineStr">
        <is>
          <t>HY</t>
        </is>
      </c>
      <c r="C652" s="125" t="n">
        <v>245</v>
      </c>
      <c r="D652" s="125" t="n">
        <v>850</v>
      </c>
      <c r="E652" s="125" t="n">
        <v>250</v>
      </c>
      <c r="F652" s="125" t="n">
        <v>32</v>
      </c>
      <c r="G652" s="125" t="n">
        <v>19</v>
      </c>
      <c r="H652" s="125" t="n">
        <v>18</v>
      </c>
      <c r="I652" s="125">
        <f>D652-(2*(H652+F652))</f>
        <v/>
      </c>
      <c r="J652" s="125">
        <f>(2*E652/10*F652/10)+((D652-F652-F652)/10*G652/10)+((H652/10+H652/10)^2)-(PI()*H652/10*H652/10)</f>
        <v/>
      </c>
      <c r="K652" s="125">
        <f>((E652-G652)/2)/F652</f>
        <v/>
      </c>
      <c r="L652" s="125">
        <f>I652/G652</f>
        <v/>
      </c>
      <c r="M652" s="125">
        <f>(E652*2+F652*4+((E652-G652)/2-H652)*4+2*PI()*H652+(D652-2*F652-2*H652)*2)/1000</f>
        <v/>
      </c>
      <c r="N652" s="5" t="n">
        <v>349000</v>
      </c>
      <c r="O652" s="5" t="n">
        <v>8380</v>
      </c>
      <c r="P652" s="125" t="n">
        <v>33.4</v>
      </c>
      <c r="Q652" s="125" t="n">
        <v>5.2</v>
      </c>
      <c r="R652" s="5" t="n">
        <v>8210</v>
      </c>
      <c r="S652" s="125" t="n">
        <v>671</v>
      </c>
      <c r="T652" s="5" t="n">
        <v>9590</v>
      </c>
      <c r="U652" s="5" t="n">
        <v>1070</v>
      </c>
      <c r="X652" s="129">
        <f t="array" ref="X652">_xlfn.IFS((D652/F652) &lt;= (640/SQRT($AT$32)), "Compact", L652 &lt;= ($AT$32*(0.79-(0.002*((E652-G652/2)/(2*F652))*SQRT($AT$32)))), "Non-Compact", L652 &gt; ($AT$32*(0.79-(0.002*((E652-G652/2)/(2*F652))*SQRT($AT$32)))), "Slender")</f>
        <v/>
      </c>
      <c r="Y652" s="129">
        <f t="array" ref="Y652">_xlfn.IFS(K652 &lt;= (65/SQRT($AT$32)), "Compact", K652 &lt;= (95/SQRT($AT$32)), "Non-Compact", K652 &gt; (95/SQRT($AT$32)), "Slender")</f>
        <v/>
      </c>
      <c r="Z652" s="125">
        <f>E652/F652</f>
        <v/>
      </c>
      <c r="AA652" s="125">
        <f>D652/G652</f>
        <v/>
      </c>
      <c r="AB652" s="125">
        <f t="array" ref="AB652">_xlfn.IFS(Z652 &lt;= 9, "1", Z652 &lt;= 12, "2", Z652 &lt;= 15, "3", Z652 &gt; 15, "4")</f>
        <v/>
      </c>
      <c r="AC652" s="125">
        <f t="array" ref="AC652">_xlfn.IFS(AA652 &lt;= 200, "1", L652 &lt;= 300, "2", L652 &lt;= 400, "3", L652 &gt; 400, "4")</f>
        <v/>
      </c>
      <c r="AF652" s="129">
        <f>SQRT((((VLOOKUP($AT$4,$A$4:$D$1021,4,FALSE))-D652)^2)+(((VLOOKUP($AT$4,$A$4:$E$1021,5,FALSE))-E652)^2)+(((VLOOKUP($AT$4,$A$4:$N$1021,14,FALSE))-N652)^2)+(((VLOOKUP($AT$4,$A$4:$O$1021,15,FALSE))-O652)^2))</f>
        <v/>
      </c>
      <c r="AG652" s="129" t="n"/>
      <c r="AI652" s="129">
        <f>SQRT((((VLOOKUP($AT$4,$A$4:$D$1021,4,FALSE))-D652)^2)+(((VLOOKUP($AT$4,$A$4:$E$1021,5,FALSE))-E652)^2)+(((VLOOKUP($AT$4,$A$4:$R$1021,18,FALSE))-R652)^2)+(((VLOOKUP($AT$4,$A$4:$S$1021,19,FALSE))-S652)^2))</f>
        <v/>
      </c>
      <c r="AJ652" s="125" t="inlineStr">
        <is>
          <t>HY850X245</t>
        </is>
      </c>
      <c r="AK652" s="125" t="n"/>
      <c r="AL652" s="125" t="n"/>
      <c r="AM652" s="125">
        <f>SQRT(((VLOOKUP($AT$4,$A$4:$J$1021,10,FALSE))-J652)^2)</f>
        <v/>
      </c>
      <c r="AN652" s="125" t="n"/>
      <c r="AO652" s="125" t="n"/>
      <c r="AP652" s="125">
        <f>SQRT(((VLOOKUP($AT$4,$A$4:$R$1021,18,FALSE))-R652)^2)</f>
        <v/>
      </c>
      <c r="AQ652" s="125" t="inlineStr">
        <is>
          <t>HY850X245</t>
        </is>
      </c>
      <c r="BB652" s="125">
        <f>SQRT(($J$1022-J652)^2)</f>
        <v/>
      </c>
      <c r="BC652" s="125">
        <f>SQRT(($R$1022-R652)^2)</f>
        <v/>
      </c>
      <c r="BD652" s="125" t="inlineStr">
        <is>
          <t>HY850X245</t>
        </is>
      </c>
      <c r="BI652">
        <f>SQRT(($J$1023-J652)^2)</f>
        <v/>
      </c>
      <c r="BJ652">
        <f>SQRT(($R$1023-R652)^2)</f>
        <v/>
      </c>
      <c r="BK652" s="125" t="inlineStr">
        <is>
          <t>HY850X245</t>
        </is>
      </c>
      <c r="BP652">
        <f>SQRT(($J$1024-J652)^2)</f>
        <v/>
      </c>
      <c r="BQ652">
        <f>SQRT(($R$1024-R652)^2)</f>
        <v/>
      </c>
      <c r="BR652" s="125" t="inlineStr">
        <is>
          <t>HY850X245</t>
        </is>
      </c>
      <c r="BW652">
        <f>SQRT(($J$1025-J652)^2)</f>
        <v/>
      </c>
      <c r="BX652">
        <f>SQRT(($R$1025-R652)^2)</f>
        <v/>
      </c>
      <c r="BY652" s="125" t="inlineStr">
        <is>
          <t>HY850X245</t>
        </is>
      </c>
      <c r="CD652">
        <f>SQRT(($J$1026-J652)^2)</f>
        <v/>
      </c>
      <c r="CE652">
        <f>SQRT(($R$1026-R652)^2)</f>
        <v/>
      </c>
      <c r="CF652" s="125" t="inlineStr">
        <is>
          <t>HY850X245</t>
        </is>
      </c>
    </row>
    <row r="653">
      <c r="A653" s="125" t="inlineStr">
        <is>
          <t>HY850X231</t>
        </is>
      </c>
      <c r="B653" s="129" t="inlineStr">
        <is>
          <t>HY</t>
        </is>
      </c>
      <c r="C653" s="125" t="n">
        <v>231</v>
      </c>
      <c r="D653" s="125" t="n">
        <v>850</v>
      </c>
      <c r="E653" s="125" t="n">
        <v>250</v>
      </c>
      <c r="F653" s="125" t="n">
        <v>28</v>
      </c>
      <c r="G653" s="125" t="n">
        <v>19</v>
      </c>
      <c r="H653" s="125" t="n">
        <v>18</v>
      </c>
      <c r="I653" s="125">
        <f>D653-(2*(H653+F653))</f>
        <v/>
      </c>
      <c r="J653" s="125">
        <f>(2*E653/10*F653/10)+((D653-F653-F653)/10*G653/10)+((H653/10+H653/10)^2)-(PI()*H653/10*H653/10)</f>
        <v/>
      </c>
      <c r="K653" s="125">
        <f>((E653-G653)/2)/F653</f>
        <v/>
      </c>
      <c r="L653" s="125">
        <f>I653/G653</f>
        <v/>
      </c>
      <c r="M653" s="125">
        <f>(E653*2+F653*4+((E653-G653)/2-H653)*4+2*PI()*H653+(D653-2*F653-2*H653)*2)/1000</f>
        <v/>
      </c>
      <c r="N653" s="5" t="n">
        <v>320000</v>
      </c>
      <c r="O653" s="5" t="n">
        <v>7340</v>
      </c>
      <c r="P653" s="125" t="n">
        <v>33</v>
      </c>
      <c r="Q653" s="125" t="n">
        <v>5</v>
      </c>
      <c r="R653" s="5" t="n">
        <v>7530</v>
      </c>
      <c r="S653" s="125" t="n">
        <v>587</v>
      </c>
      <c r="T653" s="5" t="n">
        <v>8860</v>
      </c>
      <c r="U653" s="125" t="n">
        <v>950</v>
      </c>
      <c r="X653" s="129">
        <f t="array" ref="X653">_xlfn.IFS((D653/F653) &lt;= (640/SQRT($AT$32)), "Compact", L653 &lt;= ($AT$32*(0.79-(0.002*((E653-G653/2)/(2*F653))*SQRT($AT$32)))), "Non-Compact", L653 &gt; ($AT$32*(0.79-(0.002*((E653-G653/2)/(2*F653))*SQRT($AT$32)))), "Slender")</f>
        <v/>
      </c>
      <c r="Y653" s="129">
        <f t="array" ref="Y653">_xlfn.IFS(K653 &lt;= (65/SQRT($AT$32)), "Compact", K653 &lt;= (95/SQRT($AT$32)), "Non-Compact", K653 &gt; (95/SQRT($AT$32)), "Slender")</f>
        <v/>
      </c>
      <c r="Z653" s="125">
        <f>E653/F653</f>
        <v/>
      </c>
      <c r="AA653" s="125">
        <f>D653/G653</f>
        <v/>
      </c>
      <c r="AB653" s="125">
        <f t="array" ref="AB653">_xlfn.IFS(Z653 &lt;= 9, "1", Z653 &lt;= 12, "2", Z653 &lt;= 15, "3", Z653 &gt; 15, "4")</f>
        <v/>
      </c>
      <c r="AC653" s="125">
        <f t="array" ref="AC653">_xlfn.IFS(AA653 &lt;= 200, "1", L653 &lt;= 300, "2", L653 &lt;= 400, "3", L653 &gt; 400, "4")</f>
        <v/>
      </c>
      <c r="AF653" s="129">
        <f>SQRT((((VLOOKUP($AT$4,$A$4:$D$1021,4,FALSE))-D653)^2)+(((VLOOKUP($AT$4,$A$4:$E$1021,5,FALSE))-E653)^2)+(((VLOOKUP($AT$4,$A$4:$N$1021,14,FALSE))-N653)^2)+(((VLOOKUP($AT$4,$A$4:$O$1021,15,FALSE))-O653)^2))</f>
        <v/>
      </c>
      <c r="AG653" s="129" t="n"/>
      <c r="AI653" s="129">
        <f>SQRT((((VLOOKUP($AT$4,$A$4:$D$1021,4,FALSE))-D653)^2)+(((VLOOKUP($AT$4,$A$4:$E$1021,5,FALSE))-E653)^2)+(((VLOOKUP($AT$4,$A$4:$R$1021,18,FALSE))-R653)^2)+(((VLOOKUP($AT$4,$A$4:$S$1021,19,FALSE))-S653)^2))</f>
        <v/>
      </c>
      <c r="AJ653" s="125" t="inlineStr">
        <is>
          <t>HY850X231</t>
        </is>
      </c>
      <c r="AK653" s="125" t="n"/>
      <c r="AL653" s="125" t="n"/>
      <c r="AM653" s="125">
        <f>SQRT(((VLOOKUP($AT$4,$A$4:$J$1021,10,FALSE))-J653)^2)</f>
        <v/>
      </c>
      <c r="AN653" s="125" t="n"/>
      <c r="AO653" s="125" t="n"/>
      <c r="AP653" s="125">
        <f>SQRT(((VLOOKUP($AT$4,$A$4:$R$1021,18,FALSE))-R653)^2)</f>
        <v/>
      </c>
      <c r="AQ653" s="125" t="inlineStr">
        <is>
          <t>HY850X231</t>
        </is>
      </c>
      <c r="BB653" s="125">
        <f>SQRT(($J$1022-J653)^2)</f>
        <v/>
      </c>
      <c r="BC653" s="125">
        <f>SQRT(($R$1022-R653)^2)</f>
        <v/>
      </c>
      <c r="BD653" s="125" t="inlineStr">
        <is>
          <t>HY850X231</t>
        </is>
      </c>
      <c r="BI653">
        <f>SQRT(($J$1023-J653)^2)</f>
        <v/>
      </c>
      <c r="BJ653">
        <f>SQRT(($R$1023-R653)^2)</f>
        <v/>
      </c>
      <c r="BK653" s="125" t="inlineStr">
        <is>
          <t>HY850X231</t>
        </is>
      </c>
      <c r="BP653">
        <f>SQRT(($J$1024-J653)^2)</f>
        <v/>
      </c>
      <c r="BQ653">
        <f>SQRT(($R$1024-R653)^2)</f>
        <v/>
      </c>
      <c r="BR653" s="125" t="inlineStr">
        <is>
          <t>HY850X231</t>
        </is>
      </c>
      <c r="BW653">
        <f>SQRT(($J$1025-J653)^2)</f>
        <v/>
      </c>
      <c r="BX653">
        <f>SQRT(($R$1025-R653)^2)</f>
        <v/>
      </c>
      <c r="BY653" s="125" t="inlineStr">
        <is>
          <t>HY850X231</t>
        </is>
      </c>
      <c r="CD653">
        <f>SQRT(($J$1026-J653)^2)</f>
        <v/>
      </c>
      <c r="CE653">
        <f>SQRT(($R$1026-R653)^2)</f>
        <v/>
      </c>
      <c r="CF653" s="125" t="inlineStr">
        <is>
          <t>HY850X231</t>
        </is>
      </c>
    </row>
    <row r="654">
      <c r="A654" s="125" t="inlineStr">
        <is>
          <t>HY850X220</t>
        </is>
      </c>
      <c r="B654" s="129" t="inlineStr">
        <is>
          <t>HY</t>
        </is>
      </c>
      <c r="C654" s="125" t="n">
        <v>220</v>
      </c>
      <c r="D654" s="125" t="n">
        <v>850</v>
      </c>
      <c r="E654" s="125" t="n">
        <v>250</v>
      </c>
      <c r="F654" s="125" t="n">
        <v>25</v>
      </c>
      <c r="G654" s="125" t="n">
        <v>19</v>
      </c>
      <c r="H654" s="125" t="n">
        <v>18</v>
      </c>
      <c r="I654" s="125">
        <f>D654-(2*(H654+F654))</f>
        <v/>
      </c>
      <c r="J654" s="125">
        <f>(2*E654/10*F654/10)+((D654-F654-F654)/10*G654/10)+((H654/10+H654/10)^2)-(PI()*H654/10*H654/10)</f>
        <v/>
      </c>
      <c r="K654" s="125">
        <f>((E654-G654)/2)/F654</f>
        <v/>
      </c>
      <c r="L654" s="125">
        <f>I654/G654</f>
        <v/>
      </c>
      <c r="M654" s="125">
        <f>(E654*2+F654*4+((E654-G654)/2-H654)*4+2*PI()*H654+(D654-2*F654-2*H654)*2)/1000</f>
        <v/>
      </c>
      <c r="N654" s="5" t="n">
        <v>298000</v>
      </c>
      <c r="O654" s="5" t="n">
        <v>6560</v>
      </c>
      <c r="P654" s="125" t="n">
        <v>32.6</v>
      </c>
      <c r="Q654" s="125" t="n">
        <v>4.8</v>
      </c>
      <c r="R654" s="5" t="n">
        <v>7020</v>
      </c>
      <c r="S654" s="125" t="n">
        <v>525</v>
      </c>
      <c r="T654" s="5" t="n">
        <v>8310</v>
      </c>
      <c r="U654" s="125" t="n">
        <v>857</v>
      </c>
      <c r="X654" s="129">
        <f t="array" ref="X654">_xlfn.IFS((D654/F654) &lt;= (640/SQRT($AT$32)), "Compact", L654 &lt;= ($AT$32*(0.79-(0.002*((E654-G654/2)/(2*F654))*SQRT($AT$32)))), "Non-Compact", L654 &gt; ($AT$32*(0.79-(0.002*((E654-G654/2)/(2*F654))*SQRT($AT$32)))), "Slender")</f>
        <v/>
      </c>
      <c r="Y654" s="129">
        <f t="array" ref="Y654">_xlfn.IFS(K654 &lt;= (65/SQRT($AT$32)), "Compact", K654 &lt;= (95/SQRT($AT$32)), "Non-Compact", K654 &gt; (95/SQRT($AT$32)), "Slender")</f>
        <v/>
      </c>
      <c r="Z654" s="125">
        <f>E654/F654</f>
        <v/>
      </c>
      <c r="AA654" s="125">
        <f>D654/G654</f>
        <v/>
      </c>
      <c r="AB654" s="125">
        <f t="array" ref="AB654">_xlfn.IFS(Z654 &lt;= 9, "1", Z654 &lt;= 12, "2", Z654 &lt;= 15, "3", Z654 &gt; 15, "4")</f>
        <v/>
      </c>
      <c r="AC654" s="125">
        <f t="array" ref="AC654">_xlfn.IFS(AA654 &lt;= 200, "1", L654 &lt;= 300, "2", L654 &lt;= 400, "3", L654 &gt; 400, "4")</f>
        <v/>
      </c>
      <c r="AF654" s="129">
        <f>SQRT((((VLOOKUP($AT$4,$A$4:$D$1021,4,FALSE))-D654)^2)+(((VLOOKUP($AT$4,$A$4:$E$1021,5,FALSE))-E654)^2)+(((VLOOKUP($AT$4,$A$4:$N$1021,14,FALSE))-N654)^2)+(((VLOOKUP($AT$4,$A$4:$O$1021,15,FALSE))-O654)^2))</f>
        <v/>
      </c>
      <c r="AG654" s="129" t="n"/>
      <c r="AI654" s="129">
        <f>SQRT((((VLOOKUP($AT$4,$A$4:$D$1021,4,FALSE))-D654)^2)+(((VLOOKUP($AT$4,$A$4:$E$1021,5,FALSE))-E654)^2)+(((VLOOKUP($AT$4,$A$4:$R$1021,18,FALSE))-R654)^2)+(((VLOOKUP($AT$4,$A$4:$S$1021,19,FALSE))-S654)^2))</f>
        <v/>
      </c>
      <c r="AJ654" s="125" t="inlineStr">
        <is>
          <t>HY850X220</t>
        </is>
      </c>
      <c r="AK654" s="125" t="n"/>
      <c r="AL654" s="125" t="n"/>
      <c r="AM654" s="125">
        <f>SQRT(((VLOOKUP($AT$4,$A$4:$J$1021,10,FALSE))-J654)^2)</f>
        <v/>
      </c>
      <c r="AN654" s="125" t="n"/>
      <c r="AO654" s="125" t="n"/>
      <c r="AP654" s="125">
        <f>SQRT(((VLOOKUP($AT$4,$A$4:$R$1021,18,FALSE))-R654)^2)</f>
        <v/>
      </c>
      <c r="AQ654" s="125" t="inlineStr">
        <is>
          <t>HY850X220</t>
        </is>
      </c>
      <c r="BB654" s="125">
        <f>SQRT(($J$1022-J654)^2)</f>
        <v/>
      </c>
      <c r="BC654" s="125">
        <f>SQRT(($R$1022-R654)^2)</f>
        <v/>
      </c>
      <c r="BD654" s="125" t="inlineStr">
        <is>
          <t>HY850X220</t>
        </is>
      </c>
      <c r="BI654">
        <f>SQRT(($J$1023-J654)^2)</f>
        <v/>
      </c>
      <c r="BJ654">
        <f>SQRT(($R$1023-R654)^2)</f>
        <v/>
      </c>
      <c r="BK654" s="125" t="inlineStr">
        <is>
          <t>HY850X220</t>
        </is>
      </c>
      <c r="BP654">
        <f>SQRT(($J$1024-J654)^2)</f>
        <v/>
      </c>
      <c r="BQ654">
        <f>SQRT(($R$1024-R654)^2)</f>
        <v/>
      </c>
      <c r="BR654" s="125" t="inlineStr">
        <is>
          <t>HY850X220</t>
        </is>
      </c>
      <c r="BW654">
        <f>SQRT(($J$1025-J654)^2)</f>
        <v/>
      </c>
      <c r="BX654">
        <f>SQRT(($R$1025-R654)^2)</f>
        <v/>
      </c>
      <c r="BY654" s="125" t="inlineStr">
        <is>
          <t>HY850X220</t>
        </is>
      </c>
      <c r="CD654">
        <f>SQRT(($J$1026-J654)^2)</f>
        <v/>
      </c>
      <c r="CE654">
        <f>SQRT(($R$1026-R654)^2)</f>
        <v/>
      </c>
      <c r="CF654" s="125" t="inlineStr">
        <is>
          <t>HY850X220</t>
        </is>
      </c>
    </row>
    <row r="655">
      <c r="A655" s="125" t="inlineStr">
        <is>
          <t>HY850X209</t>
        </is>
      </c>
      <c r="B655" s="129" t="inlineStr">
        <is>
          <t>HY</t>
        </is>
      </c>
      <c r="C655" s="125" t="n">
        <v>209</v>
      </c>
      <c r="D655" s="125" t="n">
        <v>850</v>
      </c>
      <c r="E655" s="125" t="n">
        <v>250</v>
      </c>
      <c r="F655" s="125" t="n">
        <v>22</v>
      </c>
      <c r="G655" s="125" t="n">
        <v>19</v>
      </c>
      <c r="H655" s="125" t="n">
        <v>18</v>
      </c>
      <c r="I655" s="125">
        <f>D655-(2*(H655+F655))</f>
        <v/>
      </c>
      <c r="J655" s="125">
        <f>(2*E655/10*F655/10)+((D655-F655-F655)/10*G655/10)+((H655/10+H655/10)^2)-(PI()*H655/10*H655/10)</f>
        <v/>
      </c>
      <c r="K655" s="125">
        <f>((E655-G655)/2)/F655</f>
        <v/>
      </c>
      <c r="L655" s="125">
        <f>I655/G655</f>
        <v/>
      </c>
      <c r="M655" s="125">
        <f>(E655*2+F655*4+((E655-G655)/2-H655)*4+2*PI()*H655+(D655-2*F655-2*H655)*2)/1000</f>
        <v/>
      </c>
      <c r="N655" s="5" t="n">
        <v>276000</v>
      </c>
      <c r="O655" s="5" t="n">
        <v>5780</v>
      </c>
      <c r="P655" s="125" t="n">
        <v>32.2</v>
      </c>
      <c r="Q655" s="125" t="n">
        <v>4.7</v>
      </c>
      <c r="R655" s="5" t="n">
        <v>6490</v>
      </c>
      <c r="S655" s="125" t="n">
        <v>462</v>
      </c>
      <c r="T655" s="5" t="n">
        <v>7750</v>
      </c>
      <c r="U655" s="125" t="n">
        <v>764</v>
      </c>
      <c r="X655" s="129">
        <f t="array" ref="X655">_xlfn.IFS((D655/F655) &lt;= (640/SQRT($AT$32)), "Compact", L655 &lt;= ($AT$32*(0.79-(0.002*((E655-G655/2)/(2*F655))*SQRT($AT$32)))), "Non-Compact", L655 &gt; ($AT$32*(0.79-(0.002*((E655-G655/2)/(2*F655))*SQRT($AT$32)))), "Slender")</f>
        <v/>
      </c>
      <c r="Y655" s="129">
        <f t="array" ref="Y655">_xlfn.IFS(K655 &lt;= (65/SQRT($AT$32)), "Compact", K655 &lt;= (95/SQRT($AT$32)), "Non-Compact", K655 &gt; (95/SQRT($AT$32)), "Slender")</f>
        <v/>
      </c>
      <c r="Z655" s="125">
        <f>E655/F655</f>
        <v/>
      </c>
      <c r="AA655" s="125">
        <f>D655/G655</f>
        <v/>
      </c>
      <c r="AB655" s="125">
        <f t="array" ref="AB655">_xlfn.IFS(Z655 &lt;= 9, "1", Z655 &lt;= 12, "2", Z655 &lt;= 15, "3", Z655 &gt; 15, "4")</f>
        <v/>
      </c>
      <c r="AC655" s="125">
        <f t="array" ref="AC655">_xlfn.IFS(AA655 &lt;= 200, "1", L655 &lt;= 300, "2", L655 &lt;= 400, "3", L655 &gt; 400, "4")</f>
        <v/>
      </c>
      <c r="AF655" s="129">
        <f>SQRT((((VLOOKUP($AT$4,$A$4:$D$1021,4,FALSE))-D655)^2)+(((VLOOKUP($AT$4,$A$4:$E$1021,5,FALSE))-E655)^2)+(((VLOOKUP($AT$4,$A$4:$N$1021,14,FALSE))-N655)^2)+(((VLOOKUP($AT$4,$A$4:$O$1021,15,FALSE))-O655)^2))</f>
        <v/>
      </c>
      <c r="AG655" s="129" t="n"/>
      <c r="AI655" s="129">
        <f>SQRT((((VLOOKUP($AT$4,$A$4:$D$1021,4,FALSE))-D655)^2)+(((VLOOKUP($AT$4,$A$4:$E$1021,5,FALSE))-E655)^2)+(((VLOOKUP($AT$4,$A$4:$R$1021,18,FALSE))-R655)^2)+(((VLOOKUP($AT$4,$A$4:$S$1021,19,FALSE))-S655)^2))</f>
        <v/>
      </c>
      <c r="AJ655" s="125" t="inlineStr">
        <is>
          <t>HY850X209</t>
        </is>
      </c>
      <c r="AK655" s="125" t="n"/>
      <c r="AL655" s="125" t="n"/>
      <c r="AM655" s="125">
        <f>SQRT(((VLOOKUP($AT$4,$A$4:$J$1021,10,FALSE))-J655)^2)</f>
        <v/>
      </c>
      <c r="AN655" s="125" t="n"/>
      <c r="AO655" s="125" t="n"/>
      <c r="AP655" s="125">
        <f>SQRT(((VLOOKUP($AT$4,$A$4:$R$1021,18,FALSE))-R655)^2)</f>
        <v/>
      </c>
      <c r="AQ655" s="125" t="inlineStr">
        <is>
          <t>HY850X209</t>
        </is>
      </c>
      <c r="BB655" s="125">
        <f>SQRT(($J$1022-J655)^2)</f>
        <v/>
      </c>
      <c r="BC655" s="125">
        <f>SQRT(($R$1022-R655)^2)</f>
        <v/>
      </c>
      <c r="BD655" s="125" t="inlineStr">
        <is>
          <t>HY850X209</t>
        </is>
      </c>
      <c r="BI655">
        <f>SQRT(($J$1023-J655)^2)</f>
        <v/>
      </c>
      <c r="BJ655">
        <f>SQRT(($R$1023-R655)^2)</f>
        <v/>
      </c>
      <c r="BK655" s="125" t="inlineStr">
        <is>
          <t>HY850X209</t>
        </is>
      </c>
      <c r="BP655">
        <f>SQRT(($J$1024-J655)^2)</f>
        <v/>
      </c>
      <c r="BQ655">
        <f>SQRT(($R$1024-R655)^2)</f>
        <v/>
      </c>
      <c r="BR655" s="125" t="inlineStr">
        <is>
          <t>HY850X209</t>
        </is>
      </c>
      <c r="BW655">
        <f>SQRT(($J$1025-J655)^2)</f>
        <v/>
      </c>
      <c r="BX655">
        <f>SQRT(($R$1025-R655)^2)</f>
        <v/>
      </c>
      <c r="BY655" s="125" t="inlineStr">
        <is>
          <t>HY850X209</t>
        </is>
      </c>
      <c r="CD655">
        <f>SQRT(($J$1026-J655)^2)</f>
        <v/>
      </c>
      <c r="CE655">
        <f>SQRT(($R$1026-R655)^2)</f>
        <v/>
      </c>
      <c r="CF655" s="125" t="inlineStr">
        <is>
          <t>HY850X209</t>
        </is>
      </c>
    </row>
    <row r="656">
      <c r="A656" s="125" t="inlineStr">
        <is>
          <t>HY850X227</t>
        </is>
      </c>
      <c r="B656" s="129" t="inlineStr">
        <is>
          <t>HY</t>
        </is>
      </c>
      <c r="C656" s="125" t="n">
        <v>227</v>
      </c>
      <c r="D656" s="125" t="n">
        <v>850</v>
      </c>
      <c r="E656" s="125" t="n">
        <v>250</v>
      </c>
      <c r="F656" s="125" t="n">
        <v>32</v>
      </c>
      <c r="G656" s="125" t="n">
        <v>16</v>
      </c>
      <c r="H656" s="125" t="n">
        <v>18</v>
      </c>
      <c r="I656" s="125">
        <f>D656-(2*(H656+F656))</f>
        <v/>
      </c>
      <c r="J656" s="125">
        <f>(2*E656/10*F656/10)+((D656-F656-F656)/10*G656/10)+((H656/10+H656/10)^2)-(PI()*H656/10*H656/10)</f>
        <v/>
      </c>
      <c r="K656" s="125">
        <f>((E656-G656)/2)/F656</f>
        <v/>
      </c>
      <c r="L656" s="125">
        <f>I656/G656</f>
        <v/>
      </c>
      <c r="M656" s="125">
        <f>(E656*2+F656*4+((E656-G656)/2-H656)*4+2*PI()*H656+(D656-2*F656-2*H656)*2)/1000</f>
        <v/>
      </c>
      <c r="N656" s="5" t="n">
        <v>337000</v>
      </c>
      <c r="O656" s="5" t="n">
        <v>8360</v>
      </c>
      <c r="P656" s="125" t="n">
        <v>34.2</v>
      </c>
      <c r="Q656" s="125" t="n">
        <v>5.4</v>
      </c>
      <c r="R656" s="5" t="n">
        <v>7920</v>
      </c>
      <c r="S656" s="125" t="n">
        <v>669</v>
      </c>
      <c r="T656" s="5" t="n">
        <v>9120</v>
      </c>
      <c r="U656" s="5" t="n">
        <v>1050</v>
      </c>
      <c r="X656" s="129">
        <f t="array" ref="X656">_xlfn.IFS((D656/F656) &lt;= (640/SQRT($AT$32)), "Compact", L656 &lt;= ($AT$32*(0.79-(0.002*((E656-G656/2)/(2*F656))*SQRT($AT$32)))), "Non-Compact", L656 &gt; ($AT$32*(0.79-(0.002*((E656-G656/2)/(2*F656))*SQRT($AT$32)))), "Slender")</f>
        <v/>
      </c>
      <c r="Y656" s="129">
        <f t="array" ref="Y656">_xlfn.IFS(K656 &lt;= (65/SQRT($AT$32)), "Compact", K656 &lt;= (95/SQRT($AT$32)), "Non-Compact", K656 &gt; (95/SQRT($AT$32)), "Slender")</f>
        <v/>
      </c>
      <c r="Z656" s="125">
        <f>E656/F656</f>
        <v/>
      </c>
      <c r="AA656" s="125">
        <f>D656/G656</f>
        <v/>
      </c>
      <c r="AB656" s="125">
        <f t="array" ref="AB656">_xlfn.IFS(Z656 &lt;= 9, "1", Z656 &lt;= 12, "2", Z656 &lt;= 15, "3", Z656 &gt; 15, "4")</f>
        <v/>
      </c>
      <c r="AC656" s="125">
        <f t="array" ref="AC656">_xlfn.IFS(AA656 &lt;= 200, "1", L656 &lt;= 300, "2", L656 &lt;= 400, "3", L656 &gt; 400, "4")</f>
        <v/>
      </c>
      <c r="AF656" s="129">
        <f>SQRT((((VLOOKUP($AT$4,$A$4:$D$1021,4,FALSE))-D656)^2)+(((VLOOKUP($AT$4,$A$4:$E$1021,5,FALSE))-E656)^2)+(((VLOOKUP($AT$4,$A$4:$N$1021,14,FALSE))-N656)^2)+(((VLOOKUP($AT$4,$A$4:$O$1021,15,FALSE))-O656)^2))</f>
        <v/>
      </c>
      <c r="AG656" s="129" t="n"/>
      <c r="AI656" s="129">
        <f>SQRT((((VLOOKUP($AT$4,$A$4:$D$1021,4,FALSE))-D656)^2)+(((VLOOKUP($AT$4,$A$4:$E$1021,5,FALSE))-E656)^2)+(((VLOOKUP($AT$4,$A$4:$R$1021,18,FALSE))-R656)^2)+(((VLOOKUP($AT$4,$A$4:$S$1021,19,FALSE))-S656)^2))</f>
        <v/>
      </c>
      <c r="AJ656" s="125" t="inlineStr">
        <is>
          <t>HY850X227</t>
        </is>
      </c>
      <c r="AK656" s="125" t="n"/>
      <c r="AL656" s="125" t="n"/>
      <c r="AM656" s="125">
        <f>SQRT(((VLOOKUP($AT$4,$A$4:$J$1021,10,FALSE))-J656)^2)</f>
        <v/>
      </c>
      <c r="AN656" s="125" t="n"/>
      <c r="AO656" s="125" t="n"/>
      <c r="AP656" s="125">
        <f>SQRT(((VLOOKUP($AT$4,$A$4:$R$1021,18,FALSE))-R656)^2)</f>
        <v/>
      </c>
      <c r="AQ656" s="125" t="inlineStr">
        <is>
          <t>HY850X227</t>
        </is>
      </c>
      <c r="BB656" s="125">
        <f>SQRT(($J$1022-J656)^2)</f>
        <v/>
      </c>
      <c r="BC656" s="125">
        <f>SQRT(($R$1022-R656)^2)</f>
        <v/>
      </c>
      <c r="BD656" s="125" t="inlineStr">
        <is>
          <t>HY850X227</t>
        </is>
      </c>
      <c r="BI656">
        <f>SQRT(($J$1023-J656)^2)</f>
        <v/>
      </c>
      <c r="BJ656">
        <f>SQRT(($R$1023-R656)^2)</f>
        <v/>
      </c>
      <c r="BK656" s="125" t="inlineStr">
        <is>
          <t>HY850X227</t>
        </is>
      </c>
      <c r="BP656">
        <f>SQRT(($J$1024-J656)^2)</f>
        <v/>
      </c>
      <c r="BQ656">
        <f>SQRT(($R$1024-R656)^2)</f>
        <v/>
      </c>
      <c r="BR656" s="125" t="inlineStr">
        <is>
          <t>HY850X227</t>
        </is>
      </c>
      <c r="BW656">
        <f>SQRT(($J$1025-J656)^2)</f>
        <v/>
      </c>
      <c r="BX656">
        <f>SQRT(($R$1025-R656)^2)</f>
        <v/>
      </c>
      <c r="BY656" s="125" t="inlineStr">
        <is>
          <t>HY850X227</t>
        </is>
      </c>
      <c r="CD656">
        <f>SQRT(($J$1026-J656)^2)</f>
        <v/>
      </c>
      <c r="CE656">
        <f>SQRT(($R$1026-R656)^2)</f>
        <v/>
      </c>
      <c r="CF656" s="125" t="inlineStr">
        <is>
          <t>HY850X227</t>
        </is>
      </c>
    </row>
    <row r="657">
      <c r="A657" s="125" t="inlineStr">
        <is>
          <t>HY850X212</t>
        </is>
      </c>
      <c r="B657" s="129" t="inlineStr">
        <is>
          <t>HY</t>
        </is>
      </c>
      <c r="C657" s="125" t="n">
        <v>212</v>
      </c>
      <c r="D657" s="125" t="n">
        <v>850</v>
      </c>
      <c r="E657" s="125" t="n">
        <v>250</v>
      </c>
      <c r="F657" s="125" t="n">
        <v>28</v>
      </c>
      <c r="G657" s="125" t="n">
        <v>16</v>
      </c>
      <c r="H657" s="125" t="n">
        <v>18</v>
      </c>
      <c r="I657" s="125">
        <f>D657-(2*(H657+F657))</f>
        <v/>
      </c>
      <c r="J657" s="125">
        <f>(2*E657/10*F657/10)+((D657-F657-F657)/10*G657/10)+((H657/10+H657/10)^2)-(PI()*H657/10*H657/10)</f>
        <v/>
      </c>
      <c r="K657" s="125">
        <f>((E657-G657)/2)/F657</f>
        <v/>
      </c>
      <c r="L657" s="125">
        <f>I657/G657</f>
        <v/>
      </c>
      <c r="M657" s="125">
        <f>(E657*2+F657*4+((E657-G657)/2-H657)*4+2*PI()*H657+(D657-2*F657-2*H657)*2)/1000</f>
        <v/>
      </c>
      <c r="N657" s="5" t="n">
        <v>308000</v>
      </c>
      <c r="O657" s="5" t="n">
        <v>7320</v>
      </c>
      <c r="P657" s="125" t="n">
        <v>33.8</v>
      </c>
      <c r="Q657" s="125" t="n">
        <v>5.2</v>
      </c>
      <c r="R657" s="5" t="n">
        <v>7240</v>
      </c>
      <c r="S657" s="125" t="n">
        <v>586</v>
      </c>
      <c r="T657" s="5" t="n">
        <v>8390</v>
      </c>
      <c r="U657" s="125" t="n">
        <v>929</v>
      </c>
      <c r="X657" s="129">
        <f t="array" ref="X657">_xlfn.IFS((D657/F657) &lt;= (640/SQRT($AT$32)), "Compact", L657 &lt;= ($AT$32*(0.79-(0.002*((E657-G657/2)/(2*F657))*SQRT($AT$32)))), "Non-Compact", L657 &gt; ($AT$32*(0.79-(0.002*((E657-G657/2)/(2*F657))*SQRT($AT$32)))), "Slender")</f>
        <v/>
      </c>
      <c r="Y657" s="129">
        <f t="array" ref="Y657">_xlfn.IFS(K657 &lt;= (65/SQRT($AT$32)), "Compact", K657 &lt;= (95/SQRT($AT$32)), "Non-Compact", K657 &gt; (95/SQRT($AT$32)), "Slender")</f>
        <v/>
      </c>
      <c r="Z657" s="125">
        <f>E657/F657</f>
        <v/>
      </c>
      <c r="AA657" s="125">
        <f>D657/G657</f>
        <v/>
      </c>
      <c r="AB657" s="125">
        <f t="array" ref="AB657">_xlfn.IFS(Z657 &lt;= 9, "1", Z657 &lt;= 12, "2", Z657 &lt;= 15, "3", Z657 &gt; 15, "4")</f>
        <v/>
      </c>
      <c r="AC657" s="125">
        <f t="array" ref="AC657">_xlfn.IFS(AA657 &lt;= 200, "1", L657 &lt;= 300, "2", L657 &lt;= 400, "3", L657 &gt; 400, "4")</f>
        <v/>
      </c>
      <c r="AF657" s="129">
        <f>SQRT((((VLOOKUP($AT$4,$A$4:$D$1021,4,FALSE))-D657)^2)+(((VLOOKUP($AT$4,$A$4:$E$1021,5,FALSE))-E657)^2)+(((VLOOKUP($AT$4,$A$4:$N$1021,14,FALSE))-N657)^2)+(((VLOOKUP($AT$4,$A$4:$O$1021,15,FALSE))-O657)^2))</f>
        <v/>
      </c>
      <c r="AG657" s="129" t="n"/>
      <c r="AI657" s="129">
        <f>SQRT((((VLOOKUP($AT$4,$A$4:$D$1021,4,FALSE))-D657)^2)+(((VLOOKUP($AT$4,$A$4:$E$1021,5,FALSE))-E657)^2)+(((VLOOKUP($AT$4,$A$4:$R$1021,18,FALSE))-R657)^2)+(((VLOOKUP($AT$4,$A$4:$S$1021,19,FALSE))-S657)^2))</f>
        <v/>
      </c>
      <c r="AJ657" s="125" t="inlineStr">
        <is>
          <t>HY850X212</t>
        </is>
      </c>
      <c r="AK657" s="125" t="n"/>
      <c r="AL657" s="125" t="n"/>
      <c r="AM657" s="125">
        <f>SQRT(((VLOOKUP($AT$4,$A$4:$J$1021,10,FALSE))-J657)^2)</f>
        <v/>
      </c>
      <c r="AN657" s="125" t="n"/>
      <c r="AO657" s="125" t="n"/>
      <c r="AP657" s="125">
        <f>SQRT(((VLOOKUP($AT$4,$A$4:$R$1021,18,FALSE))-R657)^2)</f>
        <v/>
      </c>
      <c r="AQ657" s="125" t="inlineStr">
        <is>
          <t>HY850X212</t>
        </is>
      </c>
      <c r="BB657" s="125">
        <f>SQRT(($J$1022-J657)^2)</f>
        <v/>
      </c>
      <c r="BC657" s="125">
        <f>SQRT(($R$1022-R657)^2)</f>
        <v/>
      </c>
      <c r="BD657" s="125" t="inlineStr">
        <is>
          <t>HY850X212</t>
        </is>
      </c>
      <c r="BI657">
        <f>SQRT(($J$1023-J657)^2)</f>
        <v/>
      </c>
      <c r="BJ657">
        <f>SQRT(($R$1023-R657)^2)</f>
        <v/>
      </c>
      <c r="BK657" s="125" t="inlineStr">
        <is>
          <t>HY850X212</t>
        </is>
      </c>
      <c r="BP657">
        <f>SQRT(($J$1024-J657)^2)</f>
        <v/>
      </c>
      <c r="BQ657">
        <f>SQRT(($R$1024-R657)^2)</f>
        <v/>
      </c>
      <c r="BR657" s="125" t="inlineStr">
        <is>
          <t>HY850X212</t>
        </is>
      </c>
      <c r="BW657">
        <f>SQRT(($J$1025-J657)^2)</f>
        <v/>
      </c>
      <c r="BX657">
        <f>SQRT(($R$1025-R657)^2)</f>
        <v/>
      </c>
      <c r="BY657" s="125" t="inlineStr">
        <is>
          <t>HY850X212</t>
        </is>
      </c>
      <c r="CD657">
        <f>SQRT(($J$1026-J657)^2)</f>
        <v/>
      </c>
      <c r="CE657">
        <f>SQRT(($R$1026-R657)^2)</f>
        <v/>
      </c>
      <c r="CF657" s="125" t="inlineStr">
        <is>
          <t>HY850X212</t>
        </is>
      </c>
    </row>
    <row r="658">
      <c r="A658" s="125" t="inlineStr">
        <is>
          <t>HY850X201</t>
        </is>
      </c>
      <c r="B658" s="129" t="inlineStr">
        <is>
          <t>HY</t>
        </is>
      </c>
      <c r="C658" s="125" t="n">
        <v>201</v>
      </c>
      <c r="D658" s="125" t="n">
        <v>850</v>
      </c>
      <c r="E658" s="125" t="n">
        <v>250</v>
      </c>
      <c r="F658" s="125" t="n">
        <v>25</v>
      </c>
      <c r="G658" s="125" t="n">
        <v>16</v>
      </c>
      <c r="H658" s="125" t="n">
        <v>18</v>
      </c>
      <c r="I658" s="125">
        <f>D658-(2*(H658+F658))</f>
        <v/>
      </c>
      <c r="J658" s="125">
        <f>(2*E658/10*F658/10)+((D658-F658-F658)/10*G658/10)+((H658/10+H658/10)^2)-(PI()*H658/10*H658/10)</f>
        <v/>
      </c>
      <c r="K658" s="125">
        <f>((E658-G658)/2)/F658</f>
        <v/>
      </c>
      <c r="L658" s="125">
        <f>I658/G658</f>
        <v/>
      </c>
      <c r="M658" s="125">
        <f>(E658*2+F658*4+((E658-G658)/2-H658)*4+2*PI()*H658+(D658-2*F658-2*H658)*2)/1000</f>
        <v/>
      </c>
      <c r="N658" s="5" t="n">
        <v>285000</v>
      </c>
      <c r="O658" s="5" t="n">
        <v>6540</v>
      </c>
      <c r="P658" s="125" t="n">
        <v>33.4</v>
      </c>
      <c r="Q658" s="125" t="n">
        <v>5.1</v>
      </c>
      <c r="R658" s="5" t="n">
        <v>6720</v>
      </c>
      <c r="S658" s="125" t="n">
        <v>523</v>
      </c>
      <c r="T658" s="5" t="n">
        <v>7830</v>
      </c>
      <c r="U658" s="125" t="n">
        <v>836</v>
      </c>
      <c r="X658" s="129">
        <f t="array" ref="X658">_xlfn.IFS((D658/F658) &lt;= (640/SQRT($AT$32)), "Compact", L658 &lt;= ($AT$32*(0.79-(0.002*((E658-G658/2)/(2*F658))*SQRT($AT$32)))), "Non-Compact", L658 &gt; ($AT$32*(0.79-(0.002*((E658-G658/2)/(2*F658))*SQRT($AT$32)))), "Slender")</f>
        <v/>
      </c>
      <c r="Y658" s="129">
        <f t="array" ref="Y658">_xlfn.IFS(K658 &lt;= (65/SQRT($AT$32)), "Compact", K658 &lt;= (95/SQRT($AT$32)), "Non-Compact", K658 &gt; (95/SQRT($AT$32)), "Slender")</f>
        <v/>
      </c>
      <c r="Z658" s="125">
        <f>E658/F658</f>
        <v/>
      </c>
      <c r="AA658" s="125">
        <f>D658/G658</f>
        <v/>
      </c>
      <c r="AB658" s="125">
        <f t="array" ref="AB658">_xlfn.IFS(Z658 &lt;= 9, "1", Z658 &lt;= 12, "2", Z658 &lt;= 15, "3", Z658 &gt; 15, "4")</f>
        <v/>
      </c>
      <c r="AC658" s="125">
        <f t="array" ref="AC658">_xlfn.IFS(AA658 &lt;= 200, "1", L658 &lt;= 300, "2", L658 &lt;= 400, "3", L658 &gt; 400, "4")</f>
        <v/>
      </c>
      <c r="AF658" s="129">
        <f>SQRT((((VLOOKUP($AT$4,$A$4:$D$1021,4,FALSE))-D658)^2)+(((VLOOKUP($AT$4,$A$4:$E$1021,5,FALSE))-E658)^2)+(((VLOOKUP($AT$4,$A$4:$N$1021,14,FALSE))-N658)^2)+(((VLOOKUP($AT$4,$A$4:$O$1021,15,FALSE))-O658)^2))</f>
        <v/>
      </c>
      <c r="AG658" s="129" t="n"/>
      <c r="AI658" s="129">
        <f>SQRT((((VLOOKUP($AT$4,$A$4:$D$1021,4,FALSE))-D658)^2)+(((VLOOKUP($AT$4,$A$4:$E$1021,5,FALSE))-E658)^2)+(((VLOOKUP($AT$4,$A$4:$R$1021,18,FALSE))-R658)^2)+(((VLOOKUP($AT$4,$A$4:$S$1021,19,FALSE))-S658)^2))</f>
        <v/>
      </c>
      <c r="AJ658" s="125" t="inlineStr">
        <is>
          <t>HY850X201</t>
        </is>
      </c>
      <c r="AK658" s="125" t="n"/>
      <c r="AL658" s="125" t="n"/>
      <c r="AM658" s="125">
        <f>SQRT(((VLOOKUP($AT$4,$A$4:$J$1021,10,FALSE))-J658)^2)</f>
        <v/>
      </c>
      <c r="AN658" s="125" t="n"/>
      <c r="AO658" s="125" t="n"/>
      <c r="AP658" s="125">
        <f>SQRT(((VLOOKUP($AT$4,$A$4:$R$1021,18,FALSE))-R658)^2)</f>
        <v/>
      </c>
      <c r="AQ658" s="125" t="inlineStr">
        <is>
          <t>HY850X201</t>
        </is>
      </c>
      <c r="BB658" s="125">
        <f>SQRT(($J$1022-J658)^2)</f>
        <v/>
      </c>
      <c r="BC658" s="125">
        <f>SQRT(($R$1022-R658)^2)</f>
        <v/>
      </c>
      <c r="BD658" s="125" t="inlineStr">
        <is>
          <t>HY850X201</t>
        </is>
      </c>
      <c r="BI658">
        <f>SQRT(($J$1023-J658)^2)</f>
        <v/>
      </c>
      <c r="BJ658">
        <f>SQRT(($R$1023-R658)^2)</f>
        <v/>
      </c>
      <c r="BK658" s="125" t="inlineStr">
        <is>
          <t>HY850X201</t>
        </is>
      </c>
      <c r="BP658">
        <f>SQRT(($J$1024-J658)^2)</f>
        <v/>
      </c>
      <c r="BQ658">
        <f>SQRT(($R$1024-R658)^2)</f>
        <v/>
      </c>
      <c r="BR658" s="125" t="inlineStr">
        <is>
          <t>HY850X201</t>
        </is>
      </c>
      <c r="BW658">
        <f>SQRT(($J$1025-J658)^2)</f>
        <v/>
      </c>
      <c r="BX658">
        <f>SQRT(($R$1025-R658)^2)</f>
        <v/>
      </c>
      <c r="BY658" s="125" t="inlineStr">
        <is>
          <t>HY850X201</t>
        </is>
      </c>
      <c r="CD658">
        <f>SQRT(($J$1026-J658)^2)</f>
        <v/>
      </c>
      <c r="CE658">
        <f>SQRT(($R$1026-R658)^2)</f>
        <v/>
      </c>
      <c r="CF658" s="125" t="inlineStr">
        <is>
          <t>HY850X201</t>
        </is>
      </c>
    </row>
    <row r="659">
      <c r="A659" s="125" t="inlineStr">
        <is>
          <t>HY850X190</t>
        </is>
      </c>
      <c r="B659" s="129" t="inlineStr">
        <is>
          <t>HY</t>
        </is>
      </c>
      <c r="C659" s="125" t="n">
        <v>190</v>
      </c>
      <c r="D659" s="125" t="n">
        <v>850</v>
      </c>
      <c r="E659" s="125" t="n">
        <v>250</v>
      </c>
      <c r="F659" s="125" t="n">
        <v>22</v>
      </c>
      <c r="G659" s="125" t="n">
        <v>16</v>
      </c>
      <c r="H659" s="125" t="n">
        <v>18</v>
      </c>
      <c r="I659" s="125">
        <f>D659-(2*(H659+F659))</f>
        <v/>
      </c>
      <c r="J659" s="125">
        <f>(2*E659/10*F659/10)+((D659-F659-F659)/10*G659/10)+((H659/10+H659/10)^2)-(PI()*H659/10*H659/10)</f>
        <v/>
      </c>
      <c r="K659" s="125">
        <f>((E659-G659)/2)/F659</f>
        <v/>
      </c>
      <c r="L659" s="125">
        <f>I659/G659</f>
        <v/>
      </c>
      <c r="M659" s="125">
        <f>(E659*2+F659*4+((E659-G659)/2-H659)*4+2*PI()*H659+(D659-2*F659-2*H659)*2)/1000</f>
        <v/>
      </c>
      <c r="N659" s="5" t="n">
        <v>263000</v>
      </c>
      <c r="O659" s="5" t="n">
        <v>5760</v>
      </c>
      <c r="P659" s="125" t="n">
        <v>33</v>
      </c>
      <c r="Q659" s="125" t="n">
        <v>4.9</v>
      </c>
      <c r="R659" s="5" t="n">
        <v>6180</v>
      </c>
      <c r="S659" s="125" t="n">
        <v>461</v>
      </c>
      <c r="T659" s="5" t="n">
        <v>7260</v>
      </c>
      <c r="U659" s="125" t="n">
        <v>742</v>
      </c>
      <c r="X659" s="129">
        <f t="array" ref="X659">_xlfn.IFS((D659/F659) &lt;= (640/SQRT($AT$32)), "Compact", L659 &lt;= ($AT$32*(0.79-(0.002*((E659-G659/2)/(2*F659))*SQRT($AT$32)))), "Non-Compact", L659 &gt; ($AT$32*(0.79-(0.002*((E659-G659/2)/(2*F659))*SQRT($AT$32)))), "Slender")</f>
        <v/>
      </c>
      <c r="Y659" s="129">
        <f t="array" ref="Y659">_xlfn.IFS(K659 &lt;= (65/SQRT($AT$32)), "Compact", K659 &lt;= (95/SQRT($AT$32)), "Non-Compact", K659 &gt; (95/SQRT($AT$32)), "Slender")</f>
        <v/>
      </c>
      <c r="Z659" s="125">
        <f>E659/F659</f>
        <v/>
      </c>
      <c r="AA659" s="125">
        <f>D659/G659</f>
        <v/>
      </c>
      <c r="AB659" s="125">
        <f t="array" ref="AB659">_xlfn.IFS(Z659 &lt;= 9, "1", Z659 &lt;= 12, "2", Z659 &lt;= 15, "3", Z659 &gt; 15, "4")</f>
        <v/>
      </c>
      <c r="AC659" s="125">
        <f t="array" ref="AC659">_xlfn.IFS(AA659 &lt;= 200, "1", L659 &lt;= 300, "2", L659 &lt;= 400, "3", L659 &gt; 400, "4")</f>
        <v/>
      </c>
      <c r="AF659" s="129">
        <f>SQRT((((VLOOKUP($AT$4,$A$4:$D$1021,4,FALSE))-D659)^2)+(((VLOOKUP($AT$4,$A$4:$E$1021,5,FALSE))-E659)^2)+(((VLOOKUP($AT$4,$A$4:$N$1021,14,FALSE))-N659)^2)+(((VLOOKUP($AT$4,$A$4:$O$1021,15,FALSE))-O659)^2))</f>
        <v/>
      </c>
      <c r="AG659" s="129" t="n"/>
      <c r="AI659" s="129">
        <f>SQRT((((VLOOKUP($AT$4,$A$4:$D$1021,4,FALSE))-D659)^2)+(((VLOOKUP($AT$4,$A$4:$E$1021,5,FALSE))-E659)^2)+(((VLOOKUP($AT$4,$A$4:$R$1021,18,FALSE))-R659)^2)+(((VLOOKUP($AT$4,$A$4:$S$1021,19,FALSE))-S659)^2))</f>
        <v/>
      </c>
      <c r="AJ659" s="125" t="inlineStr">
        <is>
          <t>HY850X190</t>
        </is>
      </c>
      <c r="AK659" s="125" t="n"/>
      <c r="AL659" s="125" t="n"/>
      <c r="AM659" s="125">
        <f>SQRT(((VLOOKUP($AT$4,$A$4:$J$1021,10,FALSE))-J659)^2)</f>
        <v/>
      </c>
      <c r="AN659" s="125" t="n"/>
      <c r="AO659" s="125" t="n"/>
      <c r="AP659" s="125">
        <f>SQRT(((VLOOKUP($AT$4,$A$4:$R$1021,18,FALSE))-R659)^2)</f>
        <v/>
      </c>
      <c r="AQ659" s="125" t="inlineStr">
        <is>
          <t>HY850X190</t>
        </is>
      </c>
      <c r="BB659" s="125">
        <f>SQRT(($J$1022-J659)^2)</f>
        <v/>
      </c>
      <c r="BC659" s="125">
        <f>SQRT(($R$1022-R659)^2)</f>
        <v/>
      </c>
      <c r="BD659" s="125" t="inlineStr">
        <is>
          <t>HY850X190</t>
        </is>
      </c>
      <c r="BI659">
        <f>SQRT(($J$1023-J659)^2)</f>
        <v/>
      </c>
      <c r="BJ659">
        <f>SQRT(($R$1023-R659)^2)</f>
        <v/>
      </c>
      <c r="BK659" s="125" t="inlineStr">
        <is>
          <t>HY850X190</t>
        </is>
      </c>
      <c r="BP659">
        <f>SQRT(($J$1024-J659)^2)</f>
        <v/>
      </c>
      <c r="BQ659">
        <f>SQRT(($R$1024-R659)^2)</f>
        <v/>
      </c>
      <c r="BR659" s="125" t="inlineStr">
        <is>
          <t>HY850X190</t>
        </is>
      </c>
      <c r="BW659">
        <f>SQRT(($J$1025-J659)^2)</f>
        <v/>
      </c>
      <c r="BX659">
        <f>SQRT(($R$1025-R659)^2)</f>
        <v/>
      </c>
      <c r="BY659" s="125" t="inlineStr">
        <is>
          <t>HY850X190</t>
        </is>
      </c>
      <c r="CD659">
        <f>SQRT(($J$1026-J659)^2)</f>
        <v/>
      </c>
      <c r="CE659">
        <f>SQRT(($R$1026-R659)^2)</f>
        <v/>
      </c>
      <c r="CF659" s="125" t="inlineStr">
        <is>
          <t>HY850X190</t>
        </is>
      </c>
    </row>
    <row r="660">
      <c r="A660" s="125" t="inlineStr">
        <is>
          <t>HY850X199</t>
        </is>
      </c>
      <c r="B660" s="129" t="inlineStr">
        <is>
          <t>HY</t>
        </is>
      </c>
      <c r="C660" s="125" t="n">
        <v>199</v>
      </c>
      <c r="D660" s="125" t="n">
        <v>850</v>
      </c>
      <c r="E660" s="125" t="n">
        <v>250</v>
      </c>
      <c r="F660" s="125" t="n">
        <v>28</v>
      </c>
      <c r="G660" s="125" t="n">
        <v>14</v>
      </c>
      <c r="H660" s="125" t="n">
        <v>18</v>
      </c>
      <c r="I660" s="125">
        <f>D660-(2*(H660+F660))</f>
        <v/>
      </c>
      <c r="J660" s="125">
        <f>(2*E660/10*F660/10)+((D660-F660-F660)/10*G660/10)+((H660/10+H660/10)^2)-(PI()*H660/10*H660/10)</f>
        <v/>
      </c>
      <c r="K660" s="125">
        <f>((E660-G660)/2)/F660</f>
        <v/>
      </c>
      <c r="L660" s="125">
        <f>I660/G660</f>
        <v/>
      </c>
      <c r="M660" s="125">
        <f>(E660*2+F660*4+((E660-G660)/2-H660)*4+2*PI()*H660+(D660-2*F660-2*H660)*2)/1000</f>
        <v/>
      </c>
      <c r="N660" s="5" t="n">
        <v>299000</v>
      </c>
      <c r="O660" s="5" t="n">
        <v>7310</v>
      </c>
      <c r="P660" s="125" t="n">
        <v>34.3</v>
      </c>
      <c r="Q660" s="125" t="n">
        <v>5.4</v>
      </c>
      <c r="R660" s="5" t="n">
        <v>7040</v>
      </c>
      <c r="S660" s="125" t="n">
        <v>585</v>
      </c>
      <c r="T660" s="5" t="n">
        <v>8070</v>
      </c>
      <c r="U660" s="125" t="n">
        <v>917</v>
      </c>
      <c r="X660" s="129">
        <f t="array" ref="X660">_xlfn.IFS((D660/F660) &lt;= (640/SQRT($AT$32)), "Compact", L660 &lt;= ($AT$32*(0.79-(0.002*((E660-G660/2)/(2*F660))*SQRT($AT$32)))), "Non-Compact", L660 &gt; ($AT$32*(0.79-(0.002*((E660-G660/2)/(2*F660))*SQRT($AT$32)))), "Slender")</f>
        <v/>
      </c>
      <c r="Y660" s="129">
        <f t="array" ref="Y660">_xlfn.IFS(K660 &lt;= (65/SQRT($AT$32)), "Compact", K660 &lt;= (95/SQRT($AT$32)), "Non-Compact", K660 &gt; (95/SQRT($AT$32)), "Slender")</f>
        <v/>
      </c>
      <c r="Z660" s="125">
        <f>E660/F660</f>
        <v/>
      </c>
      <c r="AA660" s="125">
        <f>D660/G660</f>
        <v/>
      </c>
      <c r="AB660" s="125">
        <f t="array" ref="AB660">_xlfn.IFS(Z660 &lt;= 9, "1", Z660 &lt;= 12, "2", Z660 &lt;= 15, "3", Z660 &gt; 15, "4")</f>
        <v/>
      </c>
      <c r="AC660" s="125">
        <f t="array" ref="AC660">_xlfn.IFS(AA660 &lt;= 200, "1", L660 &lt;= 300, "2", L660 &lt;= 400, "3", L660 &gt; 400, "4")</f>
        <v/>
      </c>
      <c r="AF660" s="129">
        <f>SQRT((((VLOOKUP($AT$4,$A$4:$D$1021,4,FALSE))-D660)^2)+(((VLOOKUP($AT$4,$A$4:$E$1021,5,FALSE))-E660)^2)+(((VLOOKUP($AT$4,$A$4:$N$1021,14,FALSE))-N660)^2)+(((VLOOKUP($AT$4,$A$4:$O$1021,15,FALSE))-O660)^2))</f>
        <v/>
      </c>
      <c r="AG660" s="129" t="n"/>
      <c r="AI660" s="129">
        <f>SQRT((((VLOOKUP($AT$4,$A$4:$D$1021,4,FALSE))-D660)^2)+(((VLOOKUP($AT$4,$A$4:$E$1021,5,FALSE))-E660)^2)+(((VLOOKUP($AT$4,$A$4:$R$1021,18,FALSE))-R660)^2)+(((VLOOKUP($AT$4,$A$4:$S$1021,19,FALSE))-S660)^2))</f>
        <v/>
      </c>
      <c r="AJ660" s="125" t="inlineStr">
        <is>
          <t>HY850X199</t>
        </is>
      </c>
      <c r="AK660" s="125" t="n"/>
      <c r="AL660" s="125" t="n"/>
      <c r="AM660" s="125">
        <f>SQRT(((VLOOKUP($AT$4,$A$4:$J$1021,10,FALSE))-J660)^2)</f>
        <v/>
      </c>
      <c r="AN660" s="125" t="n"/>
      <c r="AO660" s="125" t="n"/>
      <c r="AP660" s="125">
        <f>SQRT(((VLOOKUP($AT$4,$A$4:$R$1021,18,FALSE))-R660)^2)</f>
        <v/>
      </c>
      <c r="AQ660" s="125" t="inlineStr">
        <is>
          <t>HY850X199</t>
        </is>
      </c>
      <c r="BB660" s="125">
        <f>SQRT(($J$1022-J660)^2)</f>
        <v/>
      </c>
      <c r="BC660" s="125">
        <f>SQRT(($R$1022-R660)^2)</f>
        <v/>
      </c>
      <c r="BD660" s="125" t="inlineStr">
        <is>
          <t>HY850X199</t>
        </is>
      </c>
      <c r="BI660">
        <f>SQRT(($J$1023-J660)^2)</f>
        <v/>
      </c>
      <c r="BJ660">
        <f>SQRT(($R$1023-R660)^2)</f>
        <v/>
      </c>
      <c r="BK660" s="125" t="inlineStr">
        <is>
          <t>HY850X199</t>
        </is>
      </c>
      <c r="BP660">
        <f>SQRT(($J$1024-J660)^2)</f>
        <v/>
      </c>
      <c r="BQ660">
        <f>SQRT(($R$1024-R660)^2)</f>
        <v/>
      </c>
      <c r="BR660" s="125" t="inlineStr">
        <is>
          <t>HY850X199</t>
        </is>
      </c>
      <c r="BW660">
        <f>SQRT(($J$1025-J660)^2)</f>
        <v/>
      </c>
      <c r="BX660">
        <f>SQRT(($R$1025-R660)^2)</f>
        <v/>
      </c>
      <c r="BY660" s="125" t="inlineStr">
        <is>
          <t>HY850X199</t>
        </is>
      </c>
      <c r="CD660">
        <f>SQRT(($J$1026-J660)^2)</f>
        <v/>
      </c>
      <c r="CE660">
        <f>SQRT(($R$1026-R660)^2)</f>
        <v/>
      </c>
      <c r="CF660" s="125" t="inlineStr">
        <is>
          <t>HY850X199</t>
        </is>
      </c>
    </row>
    <row r="661">
      <c r="A661" s="125" t="inlineStr">
        <is>
          <t>HY850X188</t>
        </is>
      </c>
      <c r="B661" s="129" t="inlineStr">
        <is>
          <t>HY</t>
        </is>
      </c>
      <c r="C661" s="125" t="n">
        <v>188</v>
      </c>
      <c r="D661" s="125" t="n">
        <v>850</v>
      </c>
      <c r="E661" s="125" t="n">
        <v>250</v>
      </c>
      <c r="F661" s="125" t="n">
        <v>25</v>
      </c>
      <c r="G661" s="125" t="n">
        <v>14</v>
      </c>
      <c r="H661" s="125" t="n">
        <v>18</v>
      </c>
      <c r="I661" s="125">
        <f>D661-(2*(H661+F661))</f>
        <v/>
      </c>
      <c r="J661" s="125">
        <f>(2*E661/10*F661/10)+((D661-F661-F661)/10*G661/10)+((H661/10+H661/10)^2)-(PI()*H661/10*H661/10)</f>
        <v/>
      </c>
      <c r="K661" s="125">
        <f>((E661-G661)/2)/F661</f>
        <v/>
      </c>
      <c r="L661" s="125">
        <f>I661/G661</f>
        <v/>
      </c>
      <c r="M661" s="125">
        <f>(E661*2+F661*4+((E661-G661)/2-H661)*4+2*PI()*H661+(D661-2*F661-2*H661)*2)/1000</f>
        <v/>
      </c>
      <c r="N661" s="5" t="n">
        <v>277000</v>
      </c>
      <c r="O661" s="5" t="n">
        <v>6530</v>
      </c>
      <c r="P661" s="125" t="n">
        <v>34</v>
      </c>
      <c r="Q661" s="125" t="n">
        <v>5.2</v>
      </c>
      <c r="R661" s="5" t="n">
        <v>6510</v>
      </c>
      <c r="S661" s="125" t="n">
        <v>523</v>
      </c>
      <c r="T661" s="5" t="n">
        <v>7510</v>
      </c>
      <c r="U661" s="125" t="n">
        <v>824</v>
      </c>
      <c r="X661" s="129">
        <f t="array" ref="X661">_xlfn.IFS((D661/F661) &lt;= (640/SQRT($AT$32)), "Compact", L661 &lt;= ($AT$32*(0.79-(0.002*((E661-G661/2)/(2*F661))*SQRT($AT$32)))), "Non-Compact", L661 &gt; ($AT$32*(0.79-(0.002*((E661-G661/2)/(2*F661))*SQRT($AT$32)))), "Slender")</f>
        <v/>
      </c>
      <c r="Y661" s="129">
        <f t="array" ref="Y661">_xlfn.IFS(K661 &lt;= (65/SQRT($AT$32)), "Compact", K661 &lt;= (95/SQRT($AT$32)), "Non-Compact", K661 &gt; (95/SQRT($AT$32)), "Slender")</f>
        <v/>
      </c>
      <c r="Z661" s="125">
        <f>E661/F661</f>
        <v/>
      </c>
      <c r="AA661" s="125">
        <f>D661/G661</f>
        <v/>
      </c>
      <c r="AB661" s="125">
        <f t="array" ref="AB661">_xlfn.IFS(Z661 &lt;= 9, "1", Z661 &lt;= 12, "2", Z661 &lt;= 15, "3", Z661 &gt; 15, "4")</f>
        <v/>
      </c>
      <c r="AC661" s="125">
        <f t="array" ref="AC661">_xlfn.IFS(AA661 &lt;= 200, "1", L661 &lt;= 300, "2", L661 &lt;= 400, "3", L661 &gt; 400, "4")</f>
        <v/>
      </c>
      <c r="AF661" s="129">
        <f>SQRT((((VLOOKUP($AT$4,$A$4:$D$1021,4,FALSE))-D661)^2)+(((VLOOKUP($AT$4,$A$4:$E$1021,5,FALSE))-E661)^2)+(((VLOOKUP($AT$4,$A$4:$N$1021,14,FALSE))-N661)^2)+(((VLOOKUP($AT$4,$A$4:$O$1021,15,FALSE))-O661)^2))</f>
        <v/>
      </c>
      <c r="AG661" s="129" t="n"/>
      <c r="AI661" s="129">
        <f>SQRT((((VLOOKUP($AT$4,$A$4:$D$1021,4,FALSE))-D661)^2)+(((VLOOKUP($AT$4,$A$4:$E$1021,5,FALSE))-E661)^2)+(((VLOOKUP($AT$4,$A$4:$R$1021,18,FALSE))-R661)^2)+(((VLOOKUP($AT$4,$A$4:$S$1021,19,FALSE))-S661)^2))</f>
        <v/>
      </c>
      <c r="AJ661" s="125" t="inlineStr">
        <is>
          <t>HY850X188</t>
        </is>
      </c>
      <c r="AK661" s="125" t="n"/>
      <c r="AL661" s="125" t="n"/>
      <c r="AM661" s="125">
        <f>SQRT(((VLOOKUP($AT$4,$A$4:$J$1021,10,FALSE))-J661)^2)</f>
        <v/>
      </c>
      <c r="AN661" s="125" t="n"/>
      <c r="AO661" s="125" t="n"/>
      <c r="AP661" s="125">
        <f>SQRT(((VLOOKUP($AT$4,$A$4:$R$1021,18,FALSE))-R661)^2)</f>
        <v/>
      </c>
      <c r="AQ661" s="125" t="inlineStr">
        <is>
          <t>HY850X188</t>
        </is>
      </c>
      <c r="BB661" s="125">
        <f>SQRT(($J$1022-J661)^2)</f>
        <v/>
      </c>
      <c r="BC661" s="125">
        <f>SQRT(($R$1022-R661)^2)</f>
        <v/>
      </c>
      <c r="BD661" s="125" t="inlineStr">
        <is>
          <t>HY850X188</t>
        </is>
      </c>
      <c r="BI661">
        <f>SQRT(($J$1023-J661)^2)</f>
        <v/>
      </c>
      <c r="BJ661">
        <f>SQRT(($R$1023-R661)^2)</f>
        <v/>
      </c>
      <c r="BK661" s="125" t="inlineStr">
        <is>
          <t>HY850X188</t>
        </is>
      </c>
      <c r="BP661">
        <f>SQRT(($J$1024-J661)^2)</f>
        <v/>
      </c>
      <c r="BQ661">
        <f>SQRT(($R$1024-R661)^2)</f>
        <v/>
      </c>
      <c r="BR661" s="125" t="inlineStr">
        <is>
          <t>HY850X188</t>
        </is>
      </c>
      <c r="BW661">
        <f>SQRT(($J$1025-J661)^2)</f>
        <v/>
      </c>
      <c r="BX661">
        <f>SQRT(($R$1025-R661)^2)</f>
        <v/>
      </c>
      <c r="BY661" s="125" t="inlineStr">
        <is>
          <t>HY850X188</t>
        </is>
      </c>
      <c r="CD661">
        <f>SQRT(($J$1026-J661)^2)</f>
        <v/>
      </c>
      <c r="CE661">
        <f>SQRT(($R$1026-R661)^2)</f>
        <v/>
      </c>
      <c r="CF661" s="125" t="inlineStr">
        <is>
          <t>HY850X188</t>
        </is>
      </c>
    </row>
    <row r="662">
      <c r="A662" s="125" t="inlineStr">
        <is>
          <t>HY850X177</t>
        </is>
      </c>
      <c r="B662" s="129" t="inlineStr">
        <is>
          <t>HY</t>
        </is>
      </c>
      <c r="C662" s="125" t="n">
        <v>177</v>
      </c>
      <c r="D662" s="125" t="n">
        <v>850</v>
      </c>
      <c r="E662" s="125" t="n">
        <v>250</v>
      </c>
      <c r="F662" s="125" t="n">
        <v>22</v>
      </c>
      <c r="G662" s="125" t="n">
        <v>14</v>
      </c>
      <c r="H662" s="125" t="n">
        <v>18</v>
      </c>
      <c r="I662" s="125">
        <f>D662-(2*(H662+F662))</f>
        <v/>
      </c>
      <c r="J662" s="125">
        <f>(2*E662/10*F662/10)+((D662-F662-F662)/10*G662/10)+((H662/10+H662/10)^2)-(PI()*H662/10*H662/10)</f>
        <v/>
      </c>
      <c r="K662" s="125">
        <f>((E662-G662)/2)/F662</f>
        <v/>
      </c>
      <c r="L662" s="125">
        <f>I662/G662</f>
        <v/>
      </c>
      <c r="M662" s="125">
        <f>(E662*2+F662*4+((E662-G662)/2-H662)*4+2*PI()*H662+(D662-2*F662-2*H662)*2)/1000</f>
        <v/>
      </c>
      <c r="N662" s="5" t="n">
        <v>254000</v>
      </c>
      <c r="O662" s="5" t="n">
        <v>5750</v>
      </c>
      <c r="P662" s="125" t="n">
        <v>33.6</v>
      </c>
      <c r="Q662" s="125" t="n">
        <v>5.1</v>
      </c>
      <c r="R662" s="5" t="n">
        <v>5980</v>
      </c>
      <c r="S662" s="125" t="n">
        <v>460</v>
      </c>
      <c r="T662" s="5" t="n">
        <v>6940</v>
      </c>
      <c r="U662" s="125" t="n">
        <v>730</v>
      </c>
      <c r="X662" s="129">
        <f t="array" ref="X662">_xlfn.IFS((D662/F662) &lt;= (640/SQRT($AT$32)), "Compact", L662 &lt;= ($AT$32*(0.79-(0.002*((E662-G662/2)/(2*F662))*SQRT($AT$32)))), "Non-Compact", L662 &gt; ($AT$32*(0.79-(0.002*((E662-G662/2)/(2*F662))*SQRT($AT$32)))), "Slender")</f>
        <v/>
      </c>
      <c r="Y662" s="129">
        <f t="array" ref="Y662">_xlfn.IFS(K662 &lt;= (65/SQRT($AT$32)), "Compact", K662 &lt;= (95/SQRT($AT$32)), "Non-Compact", K662 &gt; (95/SQRT($AT$32)), "Slender")</f>
        <v/>
      </c>
      <c r="Z662" s="125">
        <f>E662/F662</f>
        <v/>
      </c>
      <c r="AA662" s="125">
        <f>D662/G662</f>
        <v/>
      </c>
      <c r="AB662" s="125">
        <f t="array" ref="AB662">_xlfn.IFS(Z662 &lt;= 9, "1", Z662 &lt;= 12, "2", Z662 &lt;= 15, "3", Z662 &gt; 15, "4")</f>
        <v/>
      </c>
      <c r="AC662" s="125">
        <f t="array" ref="AC662">_xlfn.IFS(AA662 &lt;= 200, "1", L662 &lt;= 300, "2", L662 &lt;= 400, "3", L662 &gt; 400, "4")</f>
        <v/>
      </c>
      <c r="AF662" s="129">
        <f>SQRT((((VLOOKUP($AT$4,$A$4:$D$1021,4,FALSE))-D662)^2)+(((VLOOKUP($AT$4,$A$4:$E$1021,5,FALSE))-E662)^2)+(((VLOOKUP($AT$4,$A$4:$N$1021,14,FALSE))-N662)^2)+(((VLOOKUP($AT$4,$A$4:$O$1021,15,FALSE))-O662)^2))</f>
        <v/>
      </c>
      <c r="AG662" s="129" t="n"/>
      <c r="AI662" s="129">
        <f>SQRT((((VLOOKUP($AT$4,$A$4:$D$1021,4,FALSE))-D662)^2)+(((VLOOKUP($AT$4,$A$4:$E$1021,5,FALSE))-E662)^2)+(((VLOOKUP($AT$4,$A$4:$R$1021,18,FALSE))-R662)^2)+(((VLOOKUP($AT$4,$A$4:$S$1021,19,FALSE))-S662)^2))</f>
        <v/>
      </c>
      <c r="AJ662" s="125" t="inlineStr">
        <is>
          <t>HY850X177</t>
        </is>
      </c>
      <c r="AK662" s="125" t="n"/>
      <c r="AL662" s="125" t="n"/>
      <c r="AM662" s="125">
        <f>SQRT(((VLOOKUP($AT$4,$A$4:$J$1021,10,FALSE))-J662)^2)</f>
        <v/>
      </c>
      <c r="AN662" s="125" t="n"/>
      <c r="AO662" s="125" t="n"/>
      <c r="AP662" s="125">
        <f>SQRT(((VLOOKUP($AT$4,$A$4:$R$1021,18,FALSE))-R662)^2)</f>
        <v/>
      </c>
      <c r="AQ662" s="125" t="inlineStr">
        <is>
          <t>HY850X177</t>
        </is>
      </c>
      <c r="BB662" s="125">
        <f>SQRT(($J$1022-J662)^2)</f>
        <v/>
      </c>
      <c r="BC662" s="125">
        <f>SQRT(($R$1022-R662)^2)</f>
        <v/>
      </c>
      <c r="BD662" s="125" t="inlineStr">
        <is>
          <t>HY850X177</t>
        </is>
      </c>
      <c r="BI662">
        <f>SQRT(($J$1023-J662)^2)</f>
        <v/>
      </c>
      <c r="BJ662">
        <f>SQRT(($R$1023-R662)^2)</f>
        <v/>
      </c>
      <c r="BK662" s="125" t="inlineStr">
        <is>
          <t>HY850X177</t>
        </is>
      </c>
      <c r="BP662">
        <f>SQRT(($J$1024-J662)^2)</f>
        <v/>
      </c>
      <c r="BQ662">
        <f>SQRT(($R$1024-R662)^2)</f>
        <v/>
      </c>
      <c r="BR662" s="125" t="inlineStr">
        <is>
          <t>HY850X177</t>
        </is>
      </c>
      <c r="BW662">
        <f>SQRT(($J$1025-J662)^2)</f>
        <v/>
      </c>
      <c r="BX662">
        <f>SQRT(($R$1025-R662)^2)</f>
        <v/>
      </c>
      <c r="BY662" s="125" t="inlineStr">
        <is>
          <t>HY850X177</t>
        </is>
      </c>
      <c r="CD662">
        <f>SQRT(($J$1026-J662)^2)</f>
        <v/>
      </c>
      <c r="CE662">
        <f>SQRT(($R$1026-R662)^2)</f>
        <v/>
      </c>
      <c r="CF662" s="125" t="inlineStr">
        <is>
          <t>HY850X177</t>
        </is>
      </c>
    </row>
    <row r="663">
      <c r="A663" s="125" t="inlineStr">
        <is>
          <t>HY850X378</t>
        </is>
      </c>
      <c r="B663" s="129" t="inlineStr">
        <is>
          <t>HY</t>
        </is>
      </c>
      <c r="C663" s="125" t="n">
        <v>378</v>
      </c>
      <c r="D663" s="125" t="n">
        <v>800</v>
      </c>
      <c r="E663" s="125" t="n">
        <v>400</v>
      </c>
      <c r="F663" s="125" t="n">
        <v>40</v>
      </c>
      <c r="G663" s="125" t="n">
        <v>22</v>
      </c>
      <c r="H663" s="125" t="n">
        <v>18</v>
      </c>
      <c r="I663" s="125">
        <f>D663-(2*(H663+F663))</f>
        <v/>
      </c>
      <c r="J663" s="125">
        <f>(2*E663/10*F663/10)+((D663-F663-F663)/10*G663/10)+((H663/10+H663/10)^2)-(PI()*H663/10*H663/10)</f>
        <v/>
      </c>
      <c r="K663" s="125">
        <f>((E663-G663)/2)/F663</f>
        <v/>
      </c>
      <c r="L663" s="125">
        <f>I663/G663</f>
        <v/>
      </c>
      <c r="M663" s="125">
        <f>(E663*2+F663*4+((E663-G663)/2-H663)*4+2*PI()*H663+(D663-2*F663-2*H663)*2)/1000</f>
        <v/>
      </c>
      <c r="N663" s="5" t="n">
        <v>534000</v>
      </c>
      <c r="O663" s="5" t="n">
        <v>42700</v>
      </c>
      <c r="P663" s="125" t="n">
        <v>33.3</v>
      </c>
      <c r="Q663" s="125" t="n">
        <v>9.4</v>
      </c>
      <c r="R663" s="5" t="n">
        <v>13400</v>
      </c>
      <c r="S663" s="5" t="n">
        <v>2140</v>
      </c>
      <c r="T663" s="5" t="n">
        <v>15100</v>
      </c>
      <c r="U663" s="5" t="n">
        <v>3290</v>
      </c>
      <c r="X663" s="129">
        <f t="array" ref="X663">_xlfn.IFS((D663/F663) &lt;= (640/SQRT($AT$32)), "Compact", L663 &lt;= ($AT$32*(0.79-(0.002*((E663-G663/2)/(2*F663))*SQRT($AT$32)))), "Non-Compact", L663 &gt; ($AT$32*(0.79-(0.002*((E663-G663/2)/(2*F663))*SQRT($AT$32)))), "Slender")</f>
        <v/>
      </c>
      <c r="Y663" s="129">
        <f t="array" ref="Y663">_xlfn.IFS(K663 &lt;= (65/SQRT($AT$32)), "Compact", K663 &lt;= (95/SQRT($AT$32)), "Non-Compact", K663 &gt; (95/SQRT($AT$32)), "Slender")</f>
        <v/>
      </c>
      <c r="Z663" s="125">
        <f>E663/F663</f>
        <v/>
      </c>
      <c r="AA663" s="125">
        <f>D663/G663</f>
        <v/>
      </c>
      <c r="AB663" s="125">
        <f t="array" ref="AB663">_xlfn.IFS(Z663 &lt;= 9, "1", Z663 &lt;= 12, "2", Z663 &lt;= 15, "3", Z663 &gt; 15, "4")</f>
        <v/>
      </c>
      <c r="AC663" s="125">
        <f t="array" ref="AC663">_xlfn.IFS(AA663 &lt;= 200, "1", L663 &lt;= 300, "2", L663 &lt;= 400, "3", L663 &gt; 400, "4")</f>
        <v/>
      </c>
      <c r="AF663" s="129">
        <f>SQRT((((VLOOKUP($AT$4,$A$4:$D$1021,4,FALSE))-D663)^2)+(((VLOOKUP($AT$4,$A$4:$E$1021,5,FALSE))-E663)^2)+(((VLOOKUP($AT$4,$A$4:$N$1021,14,FALSE))-N663)^2)+(((VLOOKUP($AT$4,$A$4:$O$1021,15,FALSE))-O663)^2))</f>
        <v/>
      </c>
      <c r="AG663" s="129" t="n"/>
      <c r="AI663" s="129">
        <f>SQRT((((VLOOKUP($AT$4,$A$4:$D$1021,4,FALSE))-D663)^2)+(((VLOOKUP($AT$4,$A$4:$E$1021,5,FALSE))-E663)^2)+(((VLOOKUP($AT$4,$A$4:$R$1021,18,FALSE))-R663)^2)+(((VLOOKUP($AT$4,$A$4:$S$1021,19,FALSE))-S663)^2))</f>
        <v/>
      </c>
      <c r="AJ663" s="125" t="inlineStr">
        <is>
          <t>HY850X378</t>
        </is>
      </c>
      <c r="AK663" s="125" t="n"/>
      <c r="AL663" s="125" t="n"/>
      <c r="AM663" s="125">
        <f>SQRT(((VLOOKUP($AT$4,$A$4:$J$1021,10,FALSE))-J663)^2)</f>
        <v/>
      </c>
      <c r="AN663" s="125" t="n"/>
      <c r="AO663" s="125" t="n"/>
      <c r="AP663" s="125">
        <f>SQRT(((VLOOKUP($AT$4,$A$4:$R$1021,18,FALSE))-R663)^2)</f>
        <v/>
      </c>
      <c r="AQ663" s="125" t="inlineStr">
        <is>
          <t>HY850X378</t>
        </is>
      </c>
      <c r="BB663" s="125">
        <f>SQRT(($J$1022-J663)^2)</f>
        <v/>
      </c>
      <c r="BC663" s="125">
        <f>SQRT(($R$1022-R663)^2)</f>
        <v/>
      </c>
      <c r="BD663" s="125" t="inlineStr">
        <is>
          <t>HY850X378</t>
        </is>
      </c>
      <c r="BI663">
        <f>SQRT(($J$1023-J663)^2)</f>
        <v/>
      </c>
      <c r="BJ663">
        <f>SQRT(($R$1023-R663)^2)</f>
        <v/>
      </c>
      <c r="BK663" s="125" t="inlineStr">
        <is>
          <t>HY850X378</t>
        </is>
      </c>
      <c r="BP663">
        <f>SQRT(($J$1024-J663)^2)</f>
        <v/>
      </c>
      <c r="BQ663">
        <f>SQRT(($R$1024-R663)^2)</f>
        <v/>
      </c>
      <c r="BR663" s="125" t="inlineStr">
        <is>
          <t>HY850X378</t>
        </is>
      </c>
      <c r="BW663">
        <f>SQRT(($J$1025-J663)^2)</f>
        <v/>
      </c>
      <c r="BX663">
        <f>SQRT(($R$1025-R663)^2)</f>
        <v/>
      </c>
      <c r="BY663" s="125" t="inlineStr">
        <is>
          <t>HY850X378</t>
        </is>
      </c>
      <c r="CD663">
        <f>SQRT(($J$1026-J663)^2)</f>
        <v/>
      </c>
      <c r="CE663">
        <f>SQRT(($R$1026-R663)^2)</f>
        <v/>
      </c>
      <c r="CF663" s="125" t="inlineStr">
        <is>
          <t>HY850X378</t>
        </is>
      </c>
    </row>
    <row r="664">
      <c r="A664" s="125" t="inlineStr">
        <is>
          <t>HY850X354</t>
        </is>
      </c>
      <c r="B664" s="129" t="inlineStr">
        <is>
          <t>HY</t>
        </is>
      </c>
      <c r="C664" s="125" t="n">
        <v>354</v>
      </c>
      <c r="D664" s="125" t="n">
        <v>800</v>
      </c>
      <c r="E664" s="125" t="n">
        <v>400</v>
      </c>
      <c r="F664" s="125" t="n">
        <v>36</v>
      </c>
      <c r="G664" s="125" t="n">
        <v>22</v>
      </c>
      <c r="H664" s="125" t="n">
        <v>18</v>
      </c>
      <c r="I664" s="125">
        <f>D664-(2*(H664+F664))</f>
        <v/>
      </c>
      <c r="J664" s="125">
        <f>(2*E664/10*F664/10)+((D664-F664-F664)/10*G664/10)+((H664/10+H664/10)^2)-(PI()*H664/10*H664/10)</f>
        <v/>
      </c>
      <c r="K664" s="125">
        <f>((E664-G664)/2)/F664</f>
        <v/>
      </c>
      <c r="L664" s="125">
        <f>I664/G664</f>
        <v/>
      </c>
      <c r="M664" s="125">
        <f>(E664*2+F664*4+((E664-G664)/2-H664)*4+2*PI()*H664+(D664-2*F664-2*H664)*2)/1000</f>
        <v/>
      </c>
      <c r="N664" s="5" t="n">
        <v>495000</v>
      </c>
      <c r="O664" s="5" t="n">
        <v>38500</v>
      </c>
      <c r="P664" s="125" t="n">
        <v>33.1</v>
      </c>
      <c r="Q664" s="125" t="n">
        <v>9.199999999999999</v>
      </c>
      <c r="R664" s="5" t="n">
        <v>12400</v>
      </c>
      <c r="S664" s="5" t="n">
        <v>1920</v>
      </c>
      <c r="T664" s="5" t="n">
        <v>14000</v>
      </c>
      <c r="U664" s="5" t="n">
        <v>2970</v>
      </c>
      <c r="X664" s="129">
        <f t="array" ref="X664">_xlfn.IFS((D664/F664) &lt;= (640/SQRT($AT$32)), "Compact", L664 &lt;= ($AT$32*(0.79-(0.002*((E664-G664/2)/(2*F664))*SQRT($AT$32)))), "Non-Compact", L664 &gt; ($AT$32*(0.79-(0.002*((E664-G664/2)/(2*F664))*SQRT($AT$32)))), "Slender")</f>
        <v/>
      </c>
      <c r="Y664" s="129">
        <f t="array" ref="Y664">_xlfn.IFS(K664 &lt;= (65/SQRT($AT$32)), "Compact", K664 &lt;= (95/SQRT($AT$32)), "Non-Compact", K664 &gt; (95/SQRT($AT$32)), "Slender")</f>
        <v/>
      </c>
      <c r="Z664" s="125">
        <f>E664/F664</f>
        <v/>
      </c>
      <c r="AA664" s="125">
        <f>D664/G664</f>
        <v/>
      </c>
      <c r="AB664" s="125">
        <f t="array" ref="AB664">_xlfn.IFS(Z664 &lt;= 9, "1", Z664 &lt;= 12, "2", Z664 &lt;= 15, "3", Z664 &gt; 15, "4")</f>
        <v/>
      </c>
      <c r="AC664" s="125">
        <f t="array" ref="AC664">_xlfn.IFS(AA664 &lt;= 200, "1", L664 &lt;= 300, "2", L664 &lt;= 400, "3", L664 &gt; 400, "4")</f>
        <v/>
      </c>
      <c r="AF664" s="129">
        <f>SQRT((((VLOOKUP($AT$4,$A$4:$D$1021,4,FALSE))-D664)^2)+(((VLOOKUP($AT$4,$A$4:$E$1021,5,FALSE))-E664)^2)+(((VLOOKUP($AT$4,$A$4:$N$1021,14,FALSE))-N664)^2)+(((VLOOKUP($AT$4,$A$4:$O$1021,15,FALSE))-O664)^2))</f>
        <v/>
      </c>
      <c r="AG664" s="129" t="n"/>
      <c r="AI664" s="129">
        <f>SQRT((((VLOOKUP($AT$4,$A$4:$D$1021,4,FALSE))-D664)^2)+(((VLOOKUP($AT$4,$A$4:$E$1021,5,FALSE))-E664)^2)+(((VLOOKUP($AT$4,$A$4:$R$1021,18,FALSE))-R664)^2)+(((VLOOKUP($AT$4,$A$4:$S$1021,19,FALSE))-S664)^2))</f>
        <v/>
      </c>
      <c r="AJ664" s="125" t="inlineStr">
        <is>
          <t>HY850X354</t>
        </is>
      </c>
      <c r="AK664" s="125" t="n"/>
      <c r="AL664" s="125" t="n"/>
      <c r="AM664" s="125">
        <f>SQRT(((VLOOKUP($AT$4,$A$4:$J$1021,10,FALSE))-J664)^2)</f>
        <v/>
      </c>
      <c r="AN664" s="125" t="n"/>
      <c r="AO664" s="125" t="n"/>
      <c r="AP664" s="125">
        <f>SQRT(((VLOOKUP($AT$4,$A$4:$R$1021,18,FALSE))-R664)^2)</f>
        <v/>
      </c>
      <c r="AQ664" s="125" t="inlineStr">
        <is>
          <t>HY850X354</t>
        </is>
      </c>
      <c r="BB664" s="125">
        <f>SQRT(($J$1022-J664)^2)</f>
        <v/>
      </c>
      <c r="BC664" s="125">
        <f>SQRT(($R$1022-R664)^2)</f>
        <v/>
      </c>
      <c r="BD664" s="125" t="inlineStr">
        <is>
          <t>HY850X354</t>
        </is>
      </c>
      <c r="BI664">
        <f>SQRT(($J$1023-J664)^2)</f>
        <v/>
      </c>
      <c r="BJ664">
        <f>SQRT(($R$1023-R664)^2)</f>
        <v/>
      </c>
      <c r="BK664" s="125" t="inlineStr">
        <is>
          <t>HY850X354</t>
        </is>
      </c>
      <c r="BP664">
        <f>SQRT(($J$1024-J664)^2)</f>
        <v/>
      </c>
      <c r="BQ664">
        <f>SQRT(($R$1024-R664)^2)</f>
        <v/>
      </c>
      <c r="BR664" s="125" t="inlineStr">
        <is>
          <t>HY850X354</t>
        </is>
      </c>
      <c r="BW664">
        <f>SQRT(($J$1025-J664)^2)</f>
        <v/>
      </c>
      <c r="BX664">
        <f>SQRT(($R$1025-R664)^2)</f>
        <v/>
      </c>
      <c r="BY664" s="125" t="inlineStr">
        <is>
          <t>HY850X354</t>
        </is>
      </c>
      <c r="CD664">
        <f>SQRT(($J$1026-J664)^2)</f>
        <v/>
      </c>
      <c r="CE664">
        <f>SQRT(($R$1026-R664)^2)</f>
        <v/>
      </c>
      <c r="CF664" s="125" t="inlineStr">
        <is>
          <t>HY850X354</t>
        </is>
      </c>
    </row>
    <row r="665">
      <c r="A665" s="125" t="inlineStr">
        <is>
          <t>HY850X330</t>
        </is>
      </c>
      <c r="B665" s="129" t="inlineStr">
        <is>
          <t>HY</t>
        </is>
      </c>
      <c r="C665" s="125" t="n">
        <v>330</v>
      </c>
      <c r="D665" s="125" t="n">
        <v>800</v>
      </c>
      <c r="E665" s="125" t="n">
        <v>400</v>
      </c>
      <c r="F665" s="125" t="n">
        <v>32</v>
      </c>
      <c r="G665" s="125" t="n">
        <v>22</v>
      </c>
      <c r="H665" s="125" t="n">
        <v>18</v>
      </c>
      <c r="I665" s="125">
        <f>D665-(2*(H665+F665))</f>
        <v/>
      </c>
      <c r="J665" s="125">
        <f>(2*E665/10*F665/10)+((D665-F665-F665)/10*G665/10)+((H665/10+H665/10)^2)-(PI()*H665/10*H665/10)</f>
        <v/>
      </c>
      <c r="K665" s="125">
        <f>((E665-G665)/2)/F665</f>
        <v/>
      </c>
      <c r="L665" s="125">
        <f>I665/G665</f>
        <v/>
      </c>
      <c r="M665" s="125">
        <f>(E665*2+F665*4+((E665-G665)/2-H665)*4+2*PI()*H665+(D665-2*F665-2*H665)*2)/1000</f>
        <v/>
      </c>
      <c r="N665" s="5" t="n">
        <v>454000</v>
      </c>
      <c r="O665" s="5" t="n">
        <v>34200</v>
      </c>
      <c r="P665" s="125" t="n">
        <v>32.9</v>
      </c>
      <c r="Q665" s="125" t="n">
        <v>9</v>
      </c>
      <c r="R665" s="5" t="n">
        <v>11400</v>
      </c>
      <c r="S665" s="5" t="n">
        <v>1710</v>
      </c>
      <c r="T665" s="5" t="n">
        <v>12900</v>
      </c>
      <c r="U665" s="5" t="n">
        <v>2650</v>
      </c>
      <c r="X665" s="129">
        <f t="array" ref="X665">_xlfn.IFS((D665/F665) &lt;= (640/SQRT($AT$32)), "Compact", L665 &lt;= ($AT$32*(0.79-(0.002*((E665-G665/2)/(2*F665))*SQRT($AT$32)))), "Non-Compact", L665 &gt; ($AT$32*(0.79-(0.002*((E665-G665/2)/(2*F665))*SQRT($AT$32)))), "Slender")</f>
        <v/>
      </c>
      <c r="Y665" s="129">
        <f t="array" ref="Y665">_xlfn.IFS(K665 &lt;= (65/SQRT($AT$32)), "Compact", K665 &lt;= (95/SQRT($AT$32)), "Non-Compact", K665 &gt; (95/SQRT($AT$32)), "Slender")</f>
        <v/>
      </c>
      <c r="Z665" s="125">
        <f>E665/F665</f>
        <v/>
      </c>
      <c r="AA665" s="125">
        <f>D665/G665</f>
        <v/>
      </c>
      <c r="AB665" s="125">
        <f t="array" ref="AB665">_xlfn.IFS(Z665 &lt;= 9, "1", Z665 &lt;= 12, "2", Z665 &lt;= 15, "3", Z665 &gt; 15, "4")</f>
        <v/>
      </c>
      <c r="AC665" s="125">
        <f t="array" ref="AC665">_xlfn.IFS(AA665 &lt;= 200, "1", L665 &lt;= 300, "2", L665 &lt;= 400, "3", L665 &gt; 400, "4")</f>
        <v/>
      </c>
      <c r="AF665" s="129">
        <f>SQRT((((VLOOKUP($AT$4,$A$4:$D$1021,4,FALSE))-D665)^2)+(((VLOOKUP($AT$4,$A$4:$E$1021,5,FALSE))-E665)^2)+(((VLOOKUP($AT$4,$A$4:$N$1021,14,FALSE))-N665)^2)+(((VLOOKUP($AT$4,$A$4:$O$1021,15,FALSE))-O665)^2))</f>
        <v/>
      </c>
      <c r="AG665" s="129" t="n"/>
      <c r="AI665" s="129">
        <f>SQRT((((VLOOKUP($AT$4,$A$4:$D$1021,4,FALSE))-D665)^2)+(((VLOOKUP($AT$4,$A$4:$E$1021,5,FALSE))-E665)^2)+(((VLOOKUP($AT$4,$A$4:$R$1021,18,FALSE))-R665)^2)+(((VLOOKUP($AT$4,$A$4:$S$1021,19,FALSE))-S665)^2))</f>
        <v/>
      </c>
      <c r="AJ665" s="125" t="inlineStr">
        <is>
          <t>HY850X330</t>
        </is>
      </c>
      <c r="AK665" s="125" t="n"/>
      <c r="AL665" s="125" t="n"/>
      <c r="AM665" s="125">
        <f>SQRT(((VLOOKUP($AT$4,$A$4:$J$1021,10,FALSE))-J665)^2)</f>
        <v/>
      </c>
      <c r="AN665" s="125" t="n"/>
      <c r="AO665" s="125" t="n"/>
      <c r="AP665" s="125">
        <f>SQRT(((VLOOKUP($AT$4,$A$4:$R$1021,18,FALSE))-R665)^2)</f>
        <v/>
      </c>
      <c r="AQ665" s="125" t="inlineStr">
        <is>
          <t>HY850X330</t>
        </is>
      </c>
      <c r="BB665" s="125">
        <f>SQRT(($J$1022-J665)^2)</f>
        <v/>
      </c>
      <c r="BC665" s="125">
        <f>SQRT(($R$1022-R665)^2)</f>
        <v/>
      </c>
      <c r="BD665" s="125" t="inlineStr">
        <is>
          <t>HY850X330</t>
        </is>
      </c>
      <c r="BI665">
        <f>SQRT(($J$1023-J665)^2)</f>
        <v/>
      </c>
      <c r="BJ665">
        <f>SQRT(($R$1023-R665)^2)</f>
        <v/>
      </c>
      <c r="BK665" s="125" t="inlineStr">
        <is>
          <t>HY850X330</t>
        </is>
      </c>
      <c r="BP665">
        <f>SQRT(($J$1024-J665)^2)</f>
        <v/>
      </c>
      <c r="BQ665">
        <f>SQRT(($R$1024-R665)^2)</f>
        <v/>
      </c>
      <c r="BR665" s="125" t="inlineStr">
        <is>
          <t>HY850X330</t>
        </is>
      </c>
      <c r="BW665">
        <f>SQRT(($J$1025-J665)^2)</f>
        <v/>
      </c>
      <c r="BX665">
        <f>SQRT(($R$1025-R665)^2)</f>
        <v/>
      </c>
      <c r="BY665" s="125" t="inlineStr">
        <is>
          <t>HY850X330</t>
        </is>
      </c>
      <c r="CD665">
        <f>SQRT(($J$1026-J665)^2)</f>
        <v/>
      </c>
      <c r="CE665">
        <f>SQRT(($R$1026-R665)^2)</f>
        <v/>
      </c>
      <c r="CF665" s="125" t="inlineStr">
        <is>
          <t>HY850X330</t>
        </is>
      </c>
    </row>
    <row r="666">
      <c r="A666" s="125" t="inlineStr">
        <is>
          <t>HY850X307</t>
        </is>
      </c>
      <c r="B666" s="129" t="inlineStr">
        <is>
          <t>HY</t>
        </is>
      </c>
      <c r="C666" s="125" t="n">
        <v>307</v>
      </c>
      <c r="D666" s="125" t="n">
        <v>800</v>
      </c>
      <c r="E666" s="125" t="n">
        <v>400</v>
      </c>
      <c r="F666" s="125" t="n">
        <v>28</v>
      </c>
      <c r="G666" s="125" t="n">
        <v>22</v>
      </c>
      <c r="H666" s="125" t="n">
        <v>18</v>
      </c>
      <c r="I666" s="125">
        <f>D666-(2*(H666+F666))</f>
        <v/>
      </c>
      <c r="J666" s="125">
        <f>(2*E666/10*F666/10)+((D666-F666-F666)/10*G666/10)+((H666/10+H666/10)^2)-(PI()*H666/10*H666/10)</f>
        <v/>
      </c>
      <c r="K666" s="125">
        <f>((E666-G666)/2)/F666</f>
        <v/>
      </c>
      <c r="L666" s="125">
        <f>I666/G666</f>
        <v/>
      </c>
      <c r="M666" s="125">
        <f>(E666*2+F666*4+((E666-G666)/2-H666)*4+2*PI()*H666+(D666-2*F666-2*H666)*2)/1000</f>
        <v/>
      </c>
      <c r="N666" s="5" t="n">
        <v>413000</v>
      </c>
      <c r="O666" s="5" t="n">
        <v>29900</v>
      </c>
      <c r="P666" s="125" t="n">
        <v>32.5</v>
      </c>
      <c r="Q666" s="125" t="n">
        <v>8.800000000000001</v>
      </c>
      <c r="R666" s="5" t="n">
        <v>10300</v>
      </c>
      <c r="S666" s="5" t="n">
        <v>1500</v>
      </c>
      <c r="T666" s="5" t="n">
        <v>11800</v>
      </c>
      <c r="U666" s="5" t="n">
        <v>2330</v>
      </c>
      <c r="X666" s="129">
        <f t="array" ref="X666">_xlfn.IFS((D666/F666) &lt;= (640/SQRT($AT$32)), "Compact", L666 &lt;= ($AT$32*(0.79-(0.002*((E666-G666/2)/(2*F666))*SQRT($AT$32)))), "Non-Compact", L666 &gt; ($AT$32*(0.79-(0.002*((E666-G666/2)/(2*F666))*SQRT($AT$32)))), "Slender")</f>
        <v/>
      </c>
      <c r="Y666" s="129">
        <f t="array" ref="Y666">_xlfn.IFS(K666 &lt;= (65/SQRT($AT$32)), "Compact", K666 &lt;= (95/SQRT($AT$32)), "Non-Compact", K666 &gt; (95/SQRT($AT$32)), "Slender")</f>
        <v/>
      </c>
      <c r="Z666" s="125">
        <f>E666/F666</f>
        <v/>
      </c>
      <c r="AA666" s="125">
        <f>D666/G666</f>
        <v/>
      </c>
      <c r="AB666" s="125">
        <f t="array" ref="AB666">_xlfn.IFS(Z666 &lt;= 9, "1", Z666 &lt;= 12, "2", Z666 &lt;= 15, "3", Z666 &gt; 15, "4")</f>
        <v/>
      </c>
      <c r="AC666" s="125">
        <f t="array" ref="AC666">_xlfn.IFS(AA666 &lt;= 200, "1", L666 &lt;= 300, "2", L666 &lt;= 400, "3", L666 &gt; 400, "4")</f>
        <v/>
      </c>
      <c r="AF666" s="129">
        <f>SQRT((((VLOOKUP($AT$4,$A$4:$D$1021,4,FALSE))-D666)^2)+(((VLOOKUP($AT$4,$A$4:$E$1021,5,FALSE))-E666)^2)+(((VLOOKUP($AT$4,$A$4:$N$1021,14,FALSE))-N666)^2)+(((VLOOKUP($AT$4,$A$4:$O$1021,15,FALSE))-O666)^2))</f>
        <v/>
      </c>
      <c r="AG666" s="129" t="n"/>
      <c r="AI666" s="129">
        <f>SQRT((((VLOOKUP($AT$4,$A$4:$D$1021,4,FALSE))-D666)^2)+(((VLOOKUP($AT$4,$A$4:$E$1021,5,FALSE))-E666)^2)+(((VLOOKUP($AT$4,$A$4:$R$1021,18,FALSE))-R666)^2)+(((VLOOKUP($AT$4,$A$4:$S$1021,19,FALSE))-S666)^2))</f>
        <v/>
      </c>
      <c r="AJ666" s="125" t="inlineStr">
        <is>
          <t>HY850X307</t>
        </is>
      </c>
      <c r="AK666" s="125" t="n"/>
      <c r="AL666" s="125" t="n"/>
      <c r="AM666" s="125">
        <f>SQRT(((VLOOKUP($AT$4,$A$4:$J$1021,10,FALSE))-J666)^2)</f>
        <v/>
      </c>
      <c r="AN666" s="125" t="n"/>
      <c r="AO666" s="125" t="n"/>
      <c r="AP666" s="125">
        <f>SQRT(((VLOOKUP($AT$4,$A$4:$R$1021,18,FALSE))-R666)^2)</f>
        <v/>
      </c>
      <c r="AQ666" s="125" t="inlineStr">
        <is>
          <t>HY850X307</t>
        </is>
      </c>
      <c r="BB666" s="125">
        <f>SQRT(($J$1022-J666)^2)</f>
        <v/>
      </c>
      <c r="BC666" s="125">
        <f>SQRT(($R$1022-R666)^2)</f>
        <v/>
      </c>
      <c r="BD666" s="125" t="inlineStr">
        <is>
          <t>HY850X307</t>
        </is>
      </c>
      <c r="BI666">
        <f>SQRT(($J$1023-J666)^2)</f>
        <v/>
      </c>
      <c r="BJ666">
        <f>SQRT(($R$1023-R666)^2)</f>
        <v/>
      </c>
      <c r="BK666" s="125" t="inlineStr">
        <is>
          <t>HY850X307</t>
        </is>
      </c>
      <c r="BP666">
        <f>SQRT(($J$1024-J666)^2)</f>
        <v/>
      </c>
      <c r="BQ666">
        <f>SQRT(($R$1024-R666)^2)</f>
        <v/>
      </c>
      <c r="BR666" s="125" t="inlineStr">
        <is>
          <t>HY850X307</t>
        </is>
      </c>
      <c r="BW666">
        <f>SQRT(($J$1025-J666)^2)</f>
        <v/>
      </c>
      <c r="BX666">
        <f>SQRT(($R$1025-R666)^2)</f>
        <v/>
      </c>
      <c r="BY666" s="125" t="inlineStr">
        <is>
          <t>HY850X307</t>
        </is>
      </c>
      <c r="CD666">
        <f>SQRT(($J$1026-J666)^2)</f>
        <v/>
      </c>
      <c r="CE666">
        <f>SQRT(($R$1026-R666)^2)</f>
        <v/>
      </c>
      <c r="CF666" s="125" t="inlineStr">
        <is>
          <t>HY850X307</t>
        </is>
      </c>
    </row>
    <row r="667">
      <c r="A667" s="125" t="inlineStr">
        <is>
          <t>HY850X361</t>
        </is>
      </c>
      <c r="B667" s="129" t="inlineStr">
        <is>
          <t>HY</t>
        </is>
      </c>
      <c r="C667" s="125" t="n">
        <v>361</v>
      </c>
      <c r="D667" s="125" t="n">
        <v>800</v>
      </c>
      <c r="E667" s="125" t="n">
        <v>400</v>
      </c>
      <c r="F667" s="125" t="n">
        <v>40</v>
      </c>
      <c r="G667" s="125" t="n">
        <v>19</v>
      </c>
      <c r="H667" s="125" t="n">
        <v>18</v>
      </c>
      <c r="I667" s="125">
        <f>D667-(2*(H667+F667))</f>
        <v/>
      </c>
      <c r="J667" s="125">
        <f>(2*E667/10*F667/10)+((D667-F667-F667)/10*G667/10)+((H667/10+H667/10)^2)-(PI()*H667/10*H667/10)</f>
        <v/>
      </c>
      <c r="K667" s="125">
        <f>((E667-G667)/2)/F667</f>
        <v/>
      </c>
      <c r="L667" s="125">
        <f>I667/G667</f>
        <v/>
      </c>
      <c r="M667" s="125">
        <f>(E667*2+F667*4+((E667-G667)/2-H667)*4+2*PI()*H667+(D667-2*F667-2*H667)*2)/1000</f>
        <v/>
      </c>
      <c r="N667" s="5" t="n">
        <v>525000</v>
      </c>
      <c r="O667" s="5" t="n">
        <v>42700</v>
      </c>
      <c r="P667" s="125" t="n">
        <v>33.8</v>
      </c>
      <c r="Q667" s="125" t="n">
        <v>9.6</v>
      </c>
      <c r="R667" s="5" t="n">
        <v>13100</v>
      </c>
      <c r="S667" s="5" t="n">
        <v>2140</v>
      </c>
      <c r="T667" s="5" t="n">
        <v>14700</v>
      </c>
      <c r="U667" s="5" t="n">
        <v>3270</v>
      </c>
      <c r="X667" s="129">
        <f t="array" ref="X667">_xlfn.IFS((D667/F667) &lt;= (640/SQRT($AT$32)), "Compact", L667 &lt;= ($AT$32*(0.79-(0.002*((E667-G667/2)/(2*F667))*SQRT($AT$32)))), "Non-Compact", L667 &gt; ($AT$32*(0.79-(0.002*((E667-G667/2)/(2*F667))*SQRT($AT$32)))), "Slender")</f>
        <v/>
      </c>
      <c r="Y667" s="129">
        <f t="array" ref="Y667">_xlfn.IFS(K667 &lt;= (65/SQRT($AT$32)), "Compact", K667 &lt;= (95/SQRT($AT$32)), "Non-Compact", K667 &gt; (95/SQRT($AT$32)), "Slender")</f>
        <v/>
      </c>
      <c r="Z667" s="125">
        <f>E667/F667</f>
        <v/>
      </c>
      <c r="AA667" s="125">
        <f>D667/G667</f>
        <v/>
      </c>
      <c r="AB667" s="125">
        <f t="array" ref="AB667">_xlfn.IFS(Z667 &lt;= 9, "1", Z667 &lt;= 12, "2", Z667 &lt;= 15, "3", Z667 &gt; 15, "4")</f>
        <v/>
      </c>
      <c r="AC667" s="125">
        <f t="array" ref="AC667">_xlfn.IFS(AA667 &lt;= 200, "1", L667 &lt;= 300, "2", L667 &lt;= 400, "3", L667 &gt; 400, "4")</f>
        <v/>
      </c>
      <c r="AF667" s="129">
        <f>SQRT((((VLOOKUP($AT$4,$A$4:$D$1021,4,FALSE))-D667)^2)+(((VLOOKUP($AT$4,$A$4:$E$1021,5,FALSE))-E667)^2)+(((VLOOKUP($AT$4,$A$4:$N$1021,14,FALSE))-N667)^2)+(((VLOOKUP($AT$4,$A$4:$O$1021,15,FALSE))-O667)^2))</f>
        <v/>
      </c>
      <c r="AG667" s="129" t="n"/>
      <c r="AI667" s="129">
        <f>SQRT((((VLOOKUP($AT$4,$A$4:$D$1021,4,FALSE))-D667)^2)+(((VLOOKUP($AT$4,$A$4:$E$1021,5,FALSE))-E667)^2)+(((VLOOKUP($AT$4,$A$4:$R$1021,18,FALSE))-R667)^2)+(((VLOOKUP($AT$4,$A$4:$S$1021,19,FALSE))-S667)^2))</f>
        <v/>
      </c>
      <c r="AJ667" s="125" t="inlineStr">
        <is>
          <t>HY850X361</t>
        </is>
      </c>
      <c r="AK667" s="125" t="n"/>
      <c r="AL667" s="125" t="n"/>
      <c r="AM667" s="125">
        <f>SQRT(((VLOOKUP($AT$4,$A$4:$J$1021,10,FALSE))-J667)^2)</f>
        <v/>
      </c>
      <c r="AN667" s="125" t="n"/>
      <c r="AO667" s="125" t="n"/>
      <c r="AP667" s="125">
        <f>SQRT(((VLOOKUP($AT$4,$A$4:$R$1021,18,FALSE))-R667)^2)</f>
        <v/>
      </c>
      <c r="AQ667" s="125" t="inlineStr">
        <is>
          <t>HY850X361</t>
        </is>
      </c>
      <c r="BB667" s="125">
        <f>SQRT(($J$1022-J667)^2)</f>
        <v/>
      </c>
      <c r="BC667" s="125">
        <f>SQRT(($R$1022-R667)^2)</f>
        <v/>
      </c>
      <c r="BD667" s="125" t="inlineStr">
        <is>
          <t>HY850X361</t>
        </is>
      </c>
      <c r="BI667">
        <f>SQRT(($J$1023-J667)^2)</f>
        <v/>
      </c>
      <c r="BJ667">
        <f>SQRT(($R$1023-R667)^2)</f>
        <v/>
      </c>
      <c r="BK667" s="125" t="inlineStr">
        <is>
          <t>HY850X361</t>
        </is>
      </c>
      <c r="BP667">
        <f>SQRT(($J$1024-J667)^2)</f>
        <v/>
      </c>
      <c r="BQ667">
        <f>SQRT(($R$1024-R667)^2)</f>
        <v/>
      </c>
      <c r="BR667" s="125" t="inlineStr">
        <is>
          <t>HY850X361</t>
        </is>
      </c>
      <c r="BW667">
        <f>SQRT(($J$1025-J667)^2)</f>
        <v/>
      </c>
      <c r="BX667">
        <f>SQRT(($R$1025-R667)^2)</f>
        <v/>
      </c>
      <c r="BY667" s="125" t="inlineStr">
        <is>
          <t>HY850X361</t>
        </is>
      </c>
      <c r="CD667">
        <f>SQRT(($J$1026-J667)^2)</f>
        <v/>
      </c>
      <c r="CE667">
        <f>SQRT(($R$1026-R667)^2)</f>
        <v/>
      </c>
      <c r="CF667" s="125" t="inlineStr">
        <is>
          <t>HY850X361</t>
        </is>
      </c>
    </row>
    <row r="668">
      <c r="A668" s="125" t="inlineStr">
        <is>
          <t>HY850X337</t>
        </is>
      </c>
      <c r="B668" s="129" t="inlineStr">
        <is>
          <t>HY</t>
        </is>
      </c>
      <c r="C668" s="125" t="n">
        <v>337</v>
      </c>
      <c r="D668" s="125" t="n">
        <v>800</v>
      </c>
      <c r="E668" s="125" t="n">
        <v>400</v>
      </c>
      <c r="F668" s="125" t="n">
        <v>36</v>
      </c>
      <c r="G668" s="125" t="n">
        <v>19</v>
      </c>
      <c r="H668" s="125" t="n">
        <v>18</v>
      </c>
      <c r="I668" s="125">
        <f>D668-(2*(H668+F668))</f>
        <v/>
      </c>
      <c r="J668" s="125">
        <f>(2*E668/10*F668/10)+((D668-F668-F668)/10*G668/10)+((H668/10+H668/10)^2)-(PI()*H668/10*H668/10)</f>
        <v/>
      </c>
      <c r="K668" s="125">
        <f>((E668-G668)/2)/F668</f>
        <v/>
      </c>
      <c r="L668" s="125">
        <f>I668/G668</f>
        <v/>
      </c>
      <c r="M668" s="125">
        <f>(E668*2+F668*4+((E668-G668)/2-H668)*4+2*PI()*H668+(D668-2*F668-2*H668)*2)/1000</f>
        <v/>
      </c>
      <c r="N668" s="5" t="n">
        <v>485000</v>
      </c>
      <c r="O668" s="5" t="n">
        <v>38400</v>
      </c>
      <c r="P668" s="125" t="n">
        <v>33.6</v>
      </c>
      <c r="Q668" s="125" t="n">
        <v>9.5</v>
      </c>
      <c r="R668" s="5" t="n">
        <v>12100</v>
      </c>
      <c r="S668" s="5" t="n">
        <v>1920</v>
      </c>
      <c r="T668" s="5" t="n">
        <v>13600</v>
      </c>
      <c r="U668" s="5" t="n">
        <v>2950</v>
      </c>
      <c r="X668" s="129">
        <f t="array" ref="X668">_xlfn.IFS((D668/F668) &lt;= (640/SQRT($AT$32)), "Compact", L668 &lt;= ($AT$32*(0.79-(0.002*((E668-G668/2)/(2*F668))*SQRT($AT$32)))), "Non-Compact", L668 &gt; ($AT$32*(0.79-(0.002*((E668-G668/2)/(2*F668))*SQRT($AT$32)))), "Slender")</f>
        <v/>
      </c>
      <c r="Y668" s="129">
        <f t="array" ref="Y668">_xlfn.IFS(K668 &lt;= (65/SQRT($AT$32)), "Compact", K668 &lt;= (95/SQRT($AT$32)), "Non-Compact", K668 &gt; (95/SQRT($AT$32)), "Slender")</f>
        <v/>
      </c>
      <c r="Z668" s="125">
        <f>E668/F668</f>
        <v/>
      </c>
      <c r="AA668" s="125">
        <f>D668/G668</f>
        <v/>
      </c>
      <c r="AB668" s="125">
        <f t="array" ref="AB668">_xlfn.IFS(Z668 &lt;= 9, "1", Z668 &lt;= 12, "2", Z668 &lt;= 15, "3", Z668 &gt; 15, "4")</f>
        <v/>
      </c>
      <c r="AC668" s="125">
        <f t="array" ref="AC668">_xlfn.IFS(AA668 &lt;= 200, "1", L668 &lt;= 300, "2", L668 &lt;= 400, "3", L668 &gt; 400, "4")</f>
        <v/>
      </c>
      <c r="AF668" s="129">
        <f>SQRT((((VLOOKUP($AT$4,$A$4:$D$1021,4,FALSE))-D668)^2)+(((VLOOKUP($AT$4,$A$4:$E$1021,5,FALSE))-E668)^2)+(((VLOOKUP($AT$4,$A$4:$N$1021,14,FALSE))-N668)^2)+(((VLOOKUP($AT$4,$A$4:$O$1021,15,FALSE))-O668)^2))</f>
        <v/>
      </c>
      <c r="AG668" s="129" t="n"/>
      <c r="AI668" s="129">
        <f>SQRT((((VLOOKUP($AT$4,$A$4:$D$1021,4,FALSE))-D668)^2)+(((VLOOKUP($AT$4,$A$4:$E$1021,5,FALSE))-E668)^2)+(((VLOOKUP($AT$4,$A$4:$R$1021,18,FALSE))-R668)^2)+(((VLOOKUP($AT$4,$A$4:$S$1021,19,FALSE))-S668)^2))</f>
        <v/>
      </c>
      <c r="AJ668" s="125" t="inlineStr">
        <is>
          <t>HY850X337</t>
        </is>
      </c>
      <c r="AK668" s="125" t="n"/>
      <c r="AL668" s="125" t="n"/>
      <c r="AM668" s="125">
        <f>SQRT(((VLOOKUP($AT$4,$A$4:$J$1021,10,FALSE))-J668)^2)</f>
        <v/>
      </c>
      <c r="AN668" s="125" t="n"/>
      <c r="AO668" s="125" t="n"/>
      <c r="AP668" s="125">
        <f>SQRT(((VLOOKUP($AT$4,$A$4:$R$1021,18,FALSE))-R668)^2)</f>
        <v/>
      </c>
      <c r="AQ668" s="125" t="inlineStr">
        <is>
          <t>HY850X337</t>
        </is>
      </c>
      <c r="BB668" s="125">
        <f>SQRT(($J$1022-J668)^2)</f>
        <v/>
      </c>
      <c r="BC668" s="125">
        <f>SQRT(($R$1022-R668)^2)</f>
        <v/>
      </c>
      <c r="BD668" s="125" t="inlineStr">
        <is>
          <t>HY850X337</t>
        </is>
      </c>
      <c r="BI668">
        <f>SQRT(($J$1023-J668)^2)</f>
        <v/>
      </c>
      <c r="BJ668">
        <f>SQRT(($R$1023-R668)^2)</f>
        <v/>
      </c>
      <c r="BK668" s="125" t="inlineStr">
        <is>
          <t>HY850X337</t>
        </is>
      </c>
      <c r="BP668">
        <f>SQRT(($J$1024-J668)^2)</f>
        <v/>
      </c>
      <c r="BQ668">
        <f>SQRT(($R$1024-R668)^2)</f>
        <v/>
      </c>
      <c r="BR668" s="125" t="inlineStr">
        <is>
          <t>HY850X337</t>
        </is>
      </c>
      <c r="BW668">
        <f>SQRT(($J$1025-J668)^2)</f>
        <v/>
      </c>
      <c r="BX668">
        <f>SQRT(($R$1025-R668)^2)</f>
        <v/>
      </c>
      <c r="BY668" s="125" t="inlineStr">
        <is>
          <t>HY850X337</t>
        </is>
      </c>
      <c r="CD668">
        <f>SQRT(($J$1026-J668)^2)</f>
        <v/>
      </c>
      <c r="CE668">
        <f>SQRT(($R$1026-R668)^2)</f>
        <v/>
      </c>
      <c r="CF668" s="125" t="inlineStr">
        <is>
          <t>HY850X337</t>
        </is>
      </c>
    </row>
    <row r="669">
      <c r="A669" s="125" t="inlineStr">
        <is>
          <t>HY850X313</t>
        </is>
      </c>
      <c r="B669" s="129" t="inlineStr">
        <is>
          <t>HY</t>
        </is>
      </c>
      <c r="C669" s="125" t="n">
        <v>313</v>
      </c>
      <c r="D669" s="125" t="n">
        <v>800</v>
      </c>
      <c r="E669" s="125" t="n">
        <v>400</v>
      </c>
      <c r="F669" s="125" t="n">
        <v>32</v>
      </c>
      <c r="G669" s="125" t="n">
        <v>19</v>
      </c>
      <c r="H669" s="125" t="n">
        <v>18</v>
      </c>
      <c r="I669" s="125">
        <f>D669-(2*(H669+F669))</f>
        <v/>
      </c>
      <c r="J669" s="125">
        <f>(2*E669/10*F669/10)+((D669-F669-F669)/10*G669/10)+((H669/10+H669/10)^2)-(PI()*H669/10*H669/10)</f>
        <v/>
      </c>
      <c r="K669" s="125">
        <f>((E669-G669)/2)/F669</f>
        <v/>
      </c>
      <c r="L669" s="125">
        <f>I669/G669</f>
        <v/>
      </c>
      <c r="M669" s="125">
        <f>(E669*2+F669*4+((E669-G669)/2-H669)*4+2*PI()*H669+(D669-2*F669-2*H669)*2)/1000</f>
        <v/>
      </c>
      <c r="N669" s="5" t="n">
        <v>445000</v>
      </c>
      <c r="O669" s="5" t="n">
        <v>34200</v>
      </c>
      <c r="P669" s="125" t="n">
        <v>33.4</v>
      </c>
      <c r="Q669" s="125" t="n">
        <v>9.300000000000001</v>
      </c>
      <c r="R669" s="5" t="n">
        <v>11100</v>
      </c>
      <c r="S669" s="5" t="n">
        <v>1710</v>
      </c>
      <c r="T669" s="5" t="n">
        <v>12500</v>
      </c>
      <c r="U669" s="5" t="n">
        <v>2630</v>
      </c>
      <c r="X669" s="129">
        <f t="array" ref="X669">_xlfn.IFS((D669/F669) &lt;= (640/SQRT($AT$32)), "Compact", L669 &lt;= ($AT$32*(0.79-(0.002*((E669-G669/2)/(2*F669))*SQRT($AT$32)))), "Non-Compact", L669 &gt; ($AT$32*(0.79-(0.002*((E669-G669/2)/(2*F669))*SQRT($AT$32)))), "Slender")</f>
        <v/>
      </c>
      <c r="Y669" s="129">
        <f t="array" ref="Y669">_xlfn.IFS(K669 &lt;= (65/SQRT($AT$32)), "Compact", K669 &lt;= (95/SQRT($AT$32)), "Non-Compact", K669 &gt; (95/SQRT($AT$32)), "Slender")</f>
        <v/>
      </c>
      <c r="Z669" s="125">
        <f>E669/F669</f>
        <v/>
      </c>
      <c r="AA669" s="125">
        <f>D669/G669</f>
        <v/>
      </c>
      <c r="AB669" s="125">
        <f t="array" ref="AB669">_xlfn.IFS(Z669 &lt;= 9, "1", Z669 &lt;= 12, "2", Z669 &lt;= 15, "3", Z669 &gt; 15, "4")</f>
        <v/>
      </c>
      <c r="AC669" s="125">
        <f t="array" ref="AC669">_xlfn.IFS(AA669 &lt;= 200, "1", L669 &lt;= 300, "2", L669 &lt;= 400, "3", L669 &gt; 400, "4")</f>
        <v/>
      </c>
      <c r="AF669" s="129">
        <f>SQRT((((VLOOKUP($AT$4,$A$4:$D$1021,4,FALSE))-D669)^2)+(((VLOOKUP($AT$4,$A$4:$E$1021,5,FALSE))-E669)^2)+(((VLOOKUP($AT$4,$A$4:$N$1021,14,FALSE))-N669)^2)+(((VLOOKUP($AT$4,$A$4:$O$1021,15,FALSE))-O669)^2))</f>
        <v/>
      </c>
      <c r="AG669" s="129" t="n"/>
      <c r="AI669" s="129">
        <f>SQRT((((VLOOKUP($AT$4,$A$4:$D$1021,4,FALSE))-D669)^2)+(((VLOOKUP($AT$4,$A$4:$E$1021,5,FALSE))-E669)^2)+(((VLOOKUP($AT$4,$A$4:$R$1021,18,FALSE))-R669)^2)+(((VLOOKUP($AT$4,$A$4:$S$1021,19,FALSE))-S669)^2))</f>
        <v/>
      </c>
      <c r="AJ669" s="125" t="inlineStr">
        <is>
          <t>HY850X313</t>
        </is>
      </c>
      <c r="AK669" s="125" t="n"/>
      <c r="AL669" s="125" t="n"/>
      <c r="AM669" s="125">
        <f>SQRT(((VLOOKUP($AT$4,$A$4:$J$1021,10,FALSE))-J669)^2)</f>
        <v/>
      </c>
      <c r="AN669" s="125" t="n"/>
      <c r="AO669" s="125" t="n"/>
      <c r="AP669" s="125">
        <f>SQRT(((VLOOKUP($AT$4,$A$4:$R$1021,18,FALSE))-R669)^2)</f>
        <v/>
      </c>
      <c r="AQ669" s="125" t="inlineStr">
        <is>
          <t>HY850X313</t>
        </is>
      </c>
      <c r="BB669" s="125">
        <f>SQRT(($J$1022-J669)^2)</f>
        <v/>
      </c>
      <c r="BC669" s="125">
        <f>SQRT(($R$1022-R669)^2)</f>
        <v/>
      </c>
      <c r="BD669" s="125" t="inlineStr">
        <is>
          <t>HY850X313</t>
        </is>
      </c>
      <c r="BI669">
        <f>SQRT(($J$1023-J669)^2)</f>
        <v/>
      </c>
      <c r="BJ669">
        <f>SQRT(($R$1023-R669)^2)</f>
        <v/>
      </c>
      <c r="BK669" s="125" t="inlineStr">
        <is>
          <t>HY850X313</t>
        </is>
      </c>
      <c r="BP669">
        <f>SQRT(($J$1024-J669)^2)</f>
        <v/>
      </c>
      <c r="BQ669">
        <f>SQRT(($R$1024-R669)^2)</f>
        <v/>
      </c>
      <c r="BR669" s="125" t="inlineStr">
        <is>
          <t>HY850X313</t>
        </is>
      </c>
      <c r="BW669">
        <f>SQRT(($J$1025-J669)^2)</f>
        <v/>
      </c>
      <c r="BX669">
        <f>SQRT(($R$1025-R669)^2)</f>
        <v/>
      </c>
      <c r="BY669" s="125" t="inlineStr">
        <is>
          <t>HY850X313</t>
        </is>
      </c>
      <c r="CD669">
        <f>SQRT(($J$1026-J669)^2)</f>
        <v/>
      </c>
      <c r="CE669">
        <f>SQRT(($R$1026-R669)^2)</f>
        <v/>
      </c>
      <c r="CF669" s="125" t="inlineStr">
        <is>
          <t>HY850X313</t>
        </is>
      </c>
    </row>
    <row r="670">
      <c r="A670" s="125" t="inlineStr">
        <is>
          <t>HY850X289</t>
        </is>
      </c>
      <c r="B670" s="129" t="inlineStr">
        <is>
          <t>HY</t>
        </is>
      </c>
      <c r="C670" s="125" t="n">
        <v>289</v>
      </c>
      <c r="D670" s="125" t="n">
        <v>800</v>
      </c>
      <c r="E670" s="125" t="n">
        <v>400</v>
      </c>
      <c r="F670" s="125" t="n">
        <v>28</v>
      </c>
      <c r="G670" s="125" t="n">
        <v>19</v>
      </c>
      <c r="H670" s="125" t="n">
        <v>18</v>
      </c>
      <c r="I670" s="125">
        <f>D670-(2*(H670+F670))</f>
        <v/>
      </c>
      <c r="J670" s="125">
        <f>(2*E670/10*F670/10)+((D670-F670-F670)/10*G670/10)+((H670/10+H670/10)^2)-(PI()*H670/10*H670/10)</f>
        <v/>
      </c>
      <c r="K670" s="125">
        <f>((E670-G670)/2)/F670</f>
        <v/>
      </c>
      <c r="L670" s="125">
        <f>I670/G670</f>
        <v/>
      </c>
      <c r="M670" s="125">
        <f>(E670*2+F670*4+((E670-G670)/2-H670)*4+2*PI()*H670+(D670-2*F670-2*H670)*2)/1000</f>
        <v/>
      </c>
      <c r="N670" s="5" t="n">
        <v>403000</v>
      </c>
      <c r="O670" s="5" t="n">
        <v>29900</v>
      </c>
      <c r="P670" s="125" t="n">
        <v>33.1</v>
      </c>
      <c r="Q670" s="125" t="n">
        <v>9</v>
      </c>
      <c r="R670" s="5" t="n">
        <v>10100</v>
      </c>
      <c r="S670" s="5" t="n">
        <v>1500</v>
      </c>
      <c r="T670" s="5" t="n">
        <v>11400</v>
      </c>
      <c r="U670" s="5" t="n">
        <v>2310</v>
      </c>
      <c r="X670" s="129">
        <f t="array" ref="X670">_xlfn.IFS((D670/F670) &lt;= (640/SQRT($AT$32)), "Compact", L670 &lt;= ($AT$32*(0.79-(0.002*((E670-G670/2)/(2*F670))*SQRT($AT$32)))), "Non-Compact", L670 &gt; ($AT$32*(0.79-(0.002*((E670-G670/2)/(2*F670))*SQRT($AT$32)))), "Slender")</f>
        <v/>
      </c>
      <c r="Y670" s="129">
        <f t="array" ref="Y670">_xlfn.IFS(K670 &lt;= (65/SQRT($AT$32)), "Compact", K670 &lt;= (95/SQRT($AT$32)), "Non-Compact", K670 &gt; (95/SQRT($AT$32)), "Slender")</f>
        <v/>
      </c>
      <c r="Z670" s="125">
        <f>E670/F670</f>
        <v/>
      </c>
      <c r="AA670" s="125">
        <f>D670/G670</f>
        <v/>
      </c>
      <c r="AB670" s="125">
        <f t="array" ref="AB670">_xlfn.IFS(Z670 &lt;= 9, "1", Z670 &lt;= 12, "2", Z670 &lt;= 15, "3", Z670 &gt; 15, "4")</f>
        <v/>
      </c>
      <c r="AC670" s="125">
        <f t="array" ref="AC670">_xlfn.IFS(AA670 &lt;= 200, "1", L670 &lt;= 300, "2", L670 &lt;= 400, "3", L670 &gt; 400, "4")</f>
        <v/>
      </c>
      <c r="AF670" s="129">
        <f>SQRT((((VLOOKUP($AT$4,$A$4:$D$1021,4,FALSE))-D670)^2)+(((VLOOKUP($AT$4,$A$4:$E$1021,5,FALSE))-E670)^2)+(((VLOOKUP($AT$4,$A$4:$N$1021,14,FALSE))-N670)^2)+(((VLOOKUP($AT$4,$A$4:$O$1021,15,FALSE))-O670)^2))</f>
        <v/>
      </c>
      <c r="AG670" s="129" t="n"/>
      <c r="AI670" s="129">
        <f>SQRT((((VLOOKUP($AT$4,$A$4:$D$1021,4,FALSE))-D670)^2)+(((VLOOKUP($AT$4,$A$4:$E$1021,5,FALSE))-E670)^2)+(((VLOOKUP($AT$4,$A$4:$R$1021,18,FALSE))-R670)^2)+(((VLOOKUP($AT$4,$A$4:$S$1021,19,FALSE))-S670)^2))</f>
        <v/>
      </c>
      <c r="AJ670" s="125" t="inlineStr">
        <is>
          <t>HY850X289</t>
        </is>
      </c>
      <c r="AK670" s="125" t="n"/>
      <c r="AL670" s="125" t="n"/>
      <c r="AM670" s="125">
        <f>SQRT(((VLOOKUP($AT$4,$A$4:$J$1021,10,FALSE))-J670)^2)</f>
        <v/>
      </c>
      <c r="AN670" s="125" t="n"/>
      <c r="AO670" s="125" t="n"/>
      <c r="AP670" s="125">
        <f>SQRT(((VLOOKUP($AT$4,$A$4:$R$1021,18,FALSE))-R670)^2)</f>
        <v/>
      </c>
      <c r="AQ670" s="125" t="inlineStr">
        <is>
          <t>HY850X289</t>
        </is>
      </c>
      <c r="BB670" s="125">
        <f>SQRT(($J$1022-J670)^2)</f>
        <v/>
      </c>
      <c r="BC670" s="125">
        <f>SQRT(($R$1022-R670)^2)</f>
        <v/>
      </c>
      <c r="BD670" s="125" t="inlineStr">
        <is>
          <t>HY850X289</t>
        </is>
      </c>
      <c r="BI670">
        <f>SQRT(($J$1023-J670)^2)</f>
        <v/>
      </c>
      <c r="BJ670">
        <f>SQRT(($R$1023-R670)^2)</f>
        <v/>
      </c>
      <c r="BK670" s="125" t="inlineStr">
        <is>
          <t>HY850X289</t>
        </is>
      </c>
      <c r="BP670">
        <f>SQRT(($J$1024-J670)^2)</f>
        <v/>
      </c>
      <c r="BQ670">
        <f>SQRT(($R$1024-R670)^2)</f>
        <v/>
      </c>
      <c r="BR670" s="125" t="inlineStr">
        <is>
          <t>HY850X289</t>
        </is>
      </c>
      <c r="BW670">
        <f>SQRT(($J$1025-J670)^2)</f>
        <v/>
      </c>
      <c r="BX670">
        <f>SQRT(($R$1025-R670)^2)</f>
        <v/>
      </c>
      <c r="BY670" s="125" t="inlineStr">
        <is>
          <t>HY850X289</t>
        </is>
      </c>
      <c r="CD670">
        <f>SQRT(($J$1026-J670)^2)</f>
        <v/>
      </c>
      <c r="CE670">
        <f>SQRT(($R$1026-R670)^2)</f>
        <v/>
      </c>
      <c r="CF670" s="125" t="inlineStr">
        <is>
          <t>HY850X289</t>
        </is>
      </c>
    </row>
    <row r="671">
      <c r="A671" s="125" t="inlineStr">
        <is>
          <t>HY850X271</t>
        </is>
      </c>
      <c r="B671" s="129" t="inlineStr">
        <is>
          <t>HY</t>
        </is>
      </c>
      <c r="C671" s="125" t="n">
        <v>271</v>
      </c>
      <c r="D671" s="125" t="n">
        <v>800</v>
      </c>
      <c r="E671" s="125" t="n">
        <v>400</v>
      </c>
      <c r="F671" s="125" t="n">
        <v>25</v>
      </c>
      <c r="G671" s="125" t="n">
        <v>19</v>
      </c>
      <c r="H671" s="125" t="n">
        <v>18</v>
      </c>
      <c r="I671" s="125">
        <f>D671-(2*(H671+F671))</f>
        <v/>
      </c>
      <c r="J671" s="125">
        <f>(2*E671/10*F671/10)+((D671-F671-F671)/10*G671/10)+((H671/10+H671/10)^2)-(PI()*H671/10*H671/10)</f>
        <v/>
      </c>
      <c r="K671" s="125">
        <f>((E671-G671)/2)/F671</f>
        <v/>
      </c>
      <c r="L671" s="125">
        <f>I671/G671</f>
        <v/>
      </c>
      <c r="M671" s="125">
        <f>(E671*2+F671*4+((E671-G671)/2-H671)*4+2*PI()*H671+(D671-2*F671-2*H671)*2)/1000</f>
        <v/>
      </c>
      <c r="N671" s="5" t="n">
        <v>371000</v>
      </c>
      <c r="O671" s="5" t="n">
        <v>26700</v>
      </c>
      <c r="P671" s="125" t="n">
        <v>32.8</v>
      </c>
      <c r="Q671" s="125" t="n">
        <v>8.800000000000001</v>
      </c>
      <c r="R671" s="5" t="n">
        <v>9280</v>
      </c>
      <c r="S671" s="5" t="n">
        <v>1340</v>
      </c>
      <c r="T671" s="5" t="n">
        <v>10500</v>
      </c>
      <c r="U671" s="5" t="n">
        <v>2070</v>
      </c>
      <c r="X671" s="129">
        <f t="array" ref="X671">_xlfn.IFS((D671/F671) &lt;= (640/SQRT($AT$32)), "Compact", L671 &lt;= ($AT$32*(0.79-(0.002*((E671-G671/2)/(2*F671))*SQRT($AT$32)))), "Non-Compact", L671 &gt; ($AT$32*(0.79-(0.002*((E671-G671/2)/(2*F671))*SQRT($AT$32)))), "Slender")</f>
        <v/>
      </c>
      <c r="Y671" s="129">
        <f t="array" ref="Y671">_xlfn.IFS(K671 &lt;= (65/SQRT($AT$32)), "Compact", K671 &lt;= (95/SQRT($AT$32)), "Non-Compact", K671 &gt; (95/SQRT($AT$32)), "Slender")</f>
        <v/>
      </c>
      <c r="Z671" s="125">
        <f>E671/F671</f>
        <v/>
      </c>
      <c r="AA671" s="125">
        <f>D671/G671</f>
        <v/>
      </c>
      <c r="AB671" s="125">
        <f t="array" ref="AB671">_xlfn.IFS(Z671 &lt;= 9, "1", Z671 &lt;= 12, "2", Z671 &lt;= 15, "3", Z671 &gt; 15, "4")</f>
        <v/>
      </c>
      <c r="AC671" s="125">
        <f t="array" ref="AC671">_xlfn.IFS(AA671 &lt;= 200, "1", L671 &lt;= 300, "2", L671 &lt;= 400, "3", L671 &gt; 400, "4")</f>
        <v/>
      </c>
      <c r="AF671" s="129">
        <f>SQRT((((VLOOKUP($AT$4,$A$4:$D$1021,4,FALSE))-D671)^2)+(((VLOOKUP($AT$4,$A$4:$E$1021,5,FALSE))-E671)^2)+(((VLOOKUP($AT$4,$A$4:$N$1021,14,FALSE))-N671)^2)+(((VLOOKUP($AT$4,$A$4:$O$1021,15,FALSE))-O671)^2))</f>
        <v/>
      </c>
      <c r="AG671" s="129" t="n"/>
      <c r="AI671" s="129">
        <f>SQRT((((VLOOKUP($AT$4,$A$4:$D$1021,4,FALSE))-D671)^2)+(((VLOOKUP($AT$4,$A$4:$E$1021,5,FALSE))-E671)^2)+(((VLOOKUP($AT$4,$A$4:$R$1021,18,FALSE))-R671)^2)+(((VLOOKUP($AT$4,$A$4:$S$1021,19,FALSE))-S671)^2))</f>
        <v/>
      </c>
      <c r="AJ671" s="125" t="inlineStr">
        <is>
          <t>HY850X271</t>
        </is>
      </c>
      <c r="AK671" s="125" t="n"/>
      <c r="AL671" s="125" t="n"/>
      <c r="AM671" s="125">
        <f>SQRT(((VLOOKUP($AT$4,$A$4:$J$1021,10,FALSE))-J671)^2)</f>
        <v/>
      </c>
      <c r="AN671" s="125" t="n"/>
      <c r="AO671" s="125" t="n"/>
      <c r="AP671" s="125">
        <f>SQRT(((VLOOKUP($AT$4,$A$4:$R$1021,18,FALSE))-R671)^2)</f>
        <v/>
      </c>
      <c r="AQ671" s="125" t="inlineStr">
        <is>
          <t>HY850X271</t>
        </is>
      </c>
      <c r="BB671" s="125">
        <f>SQRT(($J$1022-J671)^2)</f>
        <v/>
      </c>
      <c r="BC671" s="125">
        <f>SQRT(($R$1022-R671)^2)</f>
        <v/>
      </c>
      <c r="BD671" s="125" t="inlineStr">
        <is>
          <t>HY850X271</t>
        </is>
      </c>
      <c r="BI671">
        <f>SQRT(($J$1023-J671)^2)</f>
        <v/>
      </c>
      <c r="BJ671">
        <f>SQRT(($R$1023-R671)^2)</f>
        <v/>
      </c>
      <c r="BK671" s="125" t="inlineStr">
        <is>
          <t>HY850X271</t>
        </is>
      </c>
      <c r="BP671">
        <f>SQRT(($J$1024-J671)^2)</f>
        <v/>
      </c>
      <c r="BQ671">
        <f>SQRT(($R$1024-R671)^2)</f>
        <v/>
      </c>
      <c r="BR671" s="125" t="inlineStr">
        <is>
          <t>HY850X271</t>
        </is>
      </c>
      <c r="BW671">
        <f>SQRT(($J$1025-J671)^2)</f>
        <v/>
      </c>
      <c r="BX671">
        <f>SQRT(($R$1025-R671)^2)</f>
        <v/>
      </c>
      <c r="BY671" s="125" t="inlineStr">
        <is>
          <t>HY850X271</t>
        </is>
      </c>
      <c r="CD671">
        <f>SQRT(($J$1026-J671)^2)</f>
        <v/>
      </c>
      <c r="CE671">
        <f>SQRT(($R$1026-R671)^2)</f>
        <v/>
      </c>
      <c r="CF671" s="125" t="inlineStr">
        <is>
          <t>HY850X271</t>
        </is>
      </c>
    </row>
    <row r="672">
      <c r="A672" s="125" t="inlineStr">
        <is>
          <t>HY850X320</t>
        </is>
      </c>
      <c r="B672" s="129" t="inlineStr">
        <is>
          <t>HY</t>
        </is>
      </c>
      <c r="C672" s="125" t="n">
        <v>320</v>
      </c>
      <c r="D672" s="125" t="n">
        <v>800</v>
      </c>
      <c r="E672" s="125" t="n">
        <v>400</v>
      </c>
      <c r="F672" s="125" t="n">
        <v>36</v>
      </c>
      <c r="G672" s="125" t="n">
        <v>16</v>
      </c>
      <c r="H672" s="125" t="n">
        <v>18</v>
      </c>
      <c r="I672" s="125">
        <f>D672-(2*(H672+F672))</f>
        <v/>
      </c>
      <c r="J672" s="125">
        <f>(2*E672/10*F672/10)+((D672-F672-F672)/10*G672/10)+((H672/10+H672/10)^2)-(PI()*H672/10*H672/10)</f>
        <v/>
      </c>
      <c r="K672" s="125">
        <f>((E672-G672)/2)/F672</f>
        <v/>
      </c>
      <c r="L672" s="125">
        <f>I672/G672</f>
        <v/>
      </c>
      <c r="M672" s="125">
        <f>(E672*2+F672*4+((E672-G672)/2-H672)*4+2*PI()*H672+(D672-2*F672-2*H672)*2)/1000</f>
        <v/>
      </c>
      <c r="N672" s="5" t="n">
        <v>476000</v>
      </c>
      <c r="O672" s="5" t="n">
        <v>38400</v>
      </c>
      <c r="P672" s="125" t="n">
        <v>34.2</v>
      </c>
      <c r="Q672" s="125" t="n">
        <v>9.699999999999999</v>
      </c>
      <c r="R672" s="5" t="n">
        <v>11900</v>
      </c>
      <c r="S672" s="5" t="n">
        <v>1920</v>
      </c>
      <c r="T672" s="5" t="n">
        <v>13200</v>
      </c>
      <c r="U672" s="5" t="n">
        <v>2930</v>
      </c>
      <c r="X672" s="129">
        <f t="array" ref="X672">_xlfn.IFS((D672/F672) &lt;= (640/SQRT($AT$32)), "Compact", L672 &lt;= ($AT$32*(0.79-(0.002*((E672-G672/2)/(2*F672))*SQRT($AT$32)))), "Non-Compact", L672 &gt; ($AT$32*(0.79-(0.002*((E672-G672/2)/(2*F672))*SQRT($AT$32)))), "Slender")</f>
        <v/>
      </c>
      <c r="Y672" s="129">
        <f t="array" ref="Y672">_xlfn.IFS(K672 &lt;= (65/SQRT($AT$32)), "Compact", K672 &lt;= (95/SQRT($AT$32)), "Non-Compact", K672 &gt; (95/SQRT($AT$32)), "Slender")</f>
        <v/>
      </c>
      <c r="Z672" s="125">
        <f>E672/F672</f>
        <v/>
      </c>
      <c r="AA672" s="125">
        <f>D672/G672</f>
        <v/>
      </c>
      <c r="AB672" s="125">
        <f t="array" ref="AB672">_xlfn.IFS(Z672 &lt;= 9, "1", Z672 &lt;= 12, "2", Z672 &lt;= 15, "3", Z672 &gt; 15, "4")</f>
        <v/>
      </c>
      <c r="AC672" s="125">
        <f t="array" ref="AC672">_xlfn.IFS(AA672 &lt;= 200, "1", L672 &lt;= 300, "2", L672 &lt;= 400, "3", L672 &gt; 400, "4")</f>
        <v/>
      </c>
      <c r="AF672" s="129">
        <f>SQRT((((VLOOKUP($AT$4,$A$4:$D$1021,4,FALSE))-D672)^2)+(((VLOOKUP($AT$4,$A$4:$E$1021,5,FALSE))-E672)^2)+(((VLOOKUP($AT$4,$A$4:$N$1021,14,FALSE))-N672)^2)+(((VLOOKUP($AT$4,$A$4:$O$1021,15,FALSE))-O672)^2))</f>
        <v/>
      </c>
      <c r="AG672" s="129" t="n"/>
      <c r="AI672" s="129">
        <f>SQRT((((VLOOKUP($AT$4,$A$4:$D$1021,4,FALSE))-D672)^2)+(((VLOOKUP($AT$4,$A$4:$E$1021,5,FALSE))-E672)^2)+(((VLOOKUP($AT$4,$A$4:$R$1021,18,FALSE))-R672)^2)+(((VLOOKUP($AT$4,$A$4:$S$1021,19,FALSE))-S672)^2))</f>
        <v/>
      </c>
      <c r="AJ672" s="125" t="inlineStr">
        <is>
          <t>HY850X320</t>
        </is>
      </c>
      <c r="AK672" s="125" t="n"/>
      <c r="AL672" s="125" t="n"/>
      <c r="AM672" s="125">
        <f>SQRT(((VLOOKUP($AT$4,$A$4:$J$1021,10,FALSE))-J672)^2)</f>
        <v/>
      </c>
      <c r="AN672" s="125" t="n"/>
      <c r="AO672" s="125" t="n"/>
      <c r="AP672" s="125">
        <f>SQRT(((VLOOKUP($AT$4,$A$4:$R$1021,18,FALSE))-R672)^2)</f>
        <v/>
      </c>
      <c r="AQ672" s="125" t="inlineStr">
        <is>
          <t>HY850X320</t>
        </is>
      </c>
      <c r="BB672" s="125">
        <f>SQRT(($J$1022-J672)^2)</f>
        <v/>
      </c>
      <c r="BC672" s="125">
        <f>SQRT(($R$1022-R672)^2)</f>
        <v/>
      </c>
      <c r="BD672" s="125" t="inlineStr">
        <is>
          <t>HY850X320</t>
        </is>
      </c>
      <c r="BI672">
        <f>SQRT(($J$1023-J672)^2)</f>
        <v/>
      </c>
      <c r="BJ672">
        <f>SQRT(($R$1023-R672)^2)</f>
        <v/>
      </c>
      <c r="BK672" s="125" t="inlineStr">
        <is>
          <t>HY850X320</t>
        </is>
      </c>
      <c r="BP672">
        <f>SQRT(($J$1024-J672)^2)</f>
        <v/>
      </c>
      <c r="BQ672">
        <f>SQRT(($R$1024-R672)^2)</f>
        <v/>
      </c>
      <c r="BR672" s="125" t="inlineStr">
        <is>
          <t>HY850X320</t>
        </is>
      </c>
      <c r="BW672">
        <f>SQRT(($J$1025-J672)^2)</f>
        <v/>
      </c>
      <c r="BX672">
        <f>SQRT(($R$1025-R672)^2)</f>
        <v/>
      </c>
      <c r="BY672" s="125" t="inlineStr">
        <is>
          <t>HY850X320</t>
        </is>
      </c>
      <c r="CD672">
        <f>SQRT(($J$1026-J672)^2)</f>
        <v/>
      </c>
      <c r="CE672">
        <f>SQRT(($R$1026-R672)^2)</f>
        <v/>
      </c>
      <c r="CF672" s="125" t="inlineStr">
        <is>
          <t>HY850X320</t>
        </is>
      </c>
    </row>
    <row r="673">
      <c r="A673" s="125" t="inlineStr">
        <is>
          <t>HY850X296</t>
        </is>
      </c>
      <c r="B673" s="129" t="inlineStr">
        <is>
          <t>HY</t>
        </is>
      </c>
      <c r="C673" s="125" t="n">
        <v>296</v>
      </c>
      <c r="D673" s="125" t="n">
        <v>800</v>
      </c>
      <c r="E673" s="125" t="n">
        <v>400</v>
      </c>
      <c r="F673" s="125" t="n">
        <v>32</v>
      </c>
      <c r="G673" s="125" t="n">
        <v>16</v>
      </c>
      <c r="H673" s="125" t="n">
        <v>18</v>
      </c>
      <c r="I673" s="125">
        <f>D673-(2*(H673+F673))</f>
        <v/>
      </c>
      <c r="J673" s="125">
        <f>(2*E673/10*F673/10)+((D673-F673-F673)/10*G673/10)+((H673/10+H673/10)^2)-(PI()*H673/10*H673/10)</f>
        <v/>
      </c>
      <c r="K673" s="125">
        <f>((E673-G673)/2)/F673</f>
        <v/>
      </c>
      <c r="L673" s="125">
        <f>I673/G673</f>
        <v/>
      </c>
      <c r="M673" s="125">
        <f>(E673*2+F673*4+((E673-G673)/2-H673)*4+2*PI()*H673+(D673-2*F673-2*H673)*2)/1000</f>
        <v/>
      </c>
      <c r="N673" s="5" t="n">
        <v>435000</v>
      </c>
      <c r="O673" s="5" t="n">
        <v>34200</v>
      </c>
      <c r="P673" s="125" t="n">
        <v>34</v>
      </c>
      <c r="Q673" s="125" t="n">
        <v>9.5</v>
      </c>
      <c r="R673" s="5" t="n">
        <v>10900</v>
      </c>
      <c r="S673" s="5" t="n">
        <v>1710</v>
      </c>
      <c r="T673" s="5" t="n">
        <v>12100</v>
      </c>
      <c r="U673" s="5" t="n">
        <v>2610</v>
      </c>
      <c r="X673" s="129">
        <f t="array" ref="X673">_xlfn.IFS((D673/F673) &lt;= (640/SQRT($AT$32)), "Compact", L673 &lt;= ($AT$32*(0.79-(0.002*((E673-G673/2)/(2*F673))*SQRT($AT$32)))), "Non-Compact", L673 &gt; ($AT$32*(0.79-(0.002*((E673-G673/2)/(2*F673))*SQRT($AT$32)))), "Slender")</f>
        <v/>
      </c>
      <c r="Y673" s="129">
        <f t="array" ref="Y673">_xlfn.IFS(K673 &lt;= (65/SQRT($AT$32)), "Compact", K673 &lt;= (95/SQRT($AT$32)), "Non-Compact", K673 &gt; (95/SQRT($AT$32)), "Slender")</f>
        <v/>
      </c>
      <c r="Z673" s="125">
        <f>E673/F673</f>
        <v/>
      </c>
      <c r="AA673" s="125">
        <f>D673/G673</f>
        <v/>
      </c>
      <c r="AB673" s="125">
        <f t="array" ref="AB673">_xlfn.IFS(Z673 &lt;= 9, "1", Z673 &lt;= 12, "2", Z673 &lt;= 15, "3", Z673 &gt; 15, "4")</f>
        <v/>
      </c>
      <c r="AC673" s="125">
        <f t="array" ref="AC673">_xlfn.IFS(AA673 &lt;= 200, "1", L673 &lt;= 300, "2", L673 &lt;= 400, "3", L673 &gt; 400, "4")</f>
        <v/>
      </c>
      <c r="AF673" s="129">
        <f>SQRT((((VLOOKUP($AT$4,$A$4:$D$1021,4,FALSE))-D673)^2)+(((VLOOKUP($AT$4,$A$4:$E$1021,5,FALSE))-E673)^2)+(((VLOOKUP($AT$4,$A$4:$N$1021,14,FALSE))-N673)^2)+(((VLOOKUP($AT$4,$A$4:$O$1021,15,FALSE))-O673)^2))</f>
        <v/>
      </c>
      <c r="AG673" s="129" t="n"/>
      <c r="AI673" s="129">
        <f>SQRT((((VLOOKUP($AT$4,$A$4:$D$1021,4,FALSE))-D673)^2)+(((VLOOKUP($AT$4,$A$4:$E$1021,5,FALSE))-E673)^2)+(((VLOOKUP($AT$4,$A$4:$R$1021,18,FALSE))-R673)^2)+(((VLOOKUP($AT$4,$A$4:$S$1021,19,FALSE))-S673)^2))</f>
        <v/>
      </c>
      <c r="AJ673" s="125" t="inlineStr">
        <is>
          <t>HY850X296</t>
        </is>
      </c>
      <c r="AK673" s="125" t="n"/>
      <c r="AL673" s="125" t="n"/>
      <c r="AM673" s="125">
        <f>SQRT(((VLOOKUP($AT$4,$A$4:$J$1021,10,FALSE))-J673)^2)</f>
        <v/>
      </c>
      <c r="AN673" s="125" t="n"/>
      <c r="AO673" s="125" t="n"/>
      <c r="AP673" s="125">
        <f>SQRT(((VLOOKUP($AT$4,$A$4:$R$1021,18,FALSE))-R673)^2)</f>
        <v/>
      </c>
      <c r="AQ673" s="125" t="inlineStr">
        <is>
          <t>HY850X296</t>
        </is>
      </c>
      <c r="BB673" s="125">
        <f>SQRT(($J$1022-J673)^2)</f>
        <v/>
      </c>
      <c r="BC673" s="125">
        <f>SQRT(($R$1022-R673)^2)</f>
        <v/>
      </c>
      <c r="BD673" s="125" t="inlineStr">
        <is>
          <t>HY850X296</t>
        </is>
      </c>
      <c r="BI673">
        <f>SQRT(($J$1023-J673)^2)</f>
        <v/>
      </c>
      <c r="BJ673">
        <f>SQRT(($R$1023-R673)^2)</f>
        <v/>
      </c>
      <c r="BK673" s="125" t="inlineStr">
        <is>
          <t>HY850X296</t>
        </is>
      </c>
      <c r="BP673">
        <f>SQRT(($J$1024-J673)^2)</f>
        <v/>
      </c>
      <c r="BQ673">
        <f>SQRT(($R$1024-R673)^2)</f>
        <v/>
      </c>
      <c r="BR673" s="125" t="inlineStr">
        <is>
          <t>HY850X296</t>
        </is>
      </c>
      <c r="BW673">
        <f>SQRT(($J$1025-J673)^2)</f>
        <v/>
      </c>
      <c r="BX673">
        <f>SQRT(($R$1025-R673)^2)</f>
        <v/>
      </c>
      <c r="BY673" s="125" t="inlineStr">
        <is>
          <t>HY850X296</t>
        </is>
      </c>
      <c r="CD673">
        <f>SQRT(($J$1026-J673)^2)</f>
        <v/>
      </c>
      <c r="CE673">
        <f>SQRT(($R$1026-R673)^2)</f>
        <v/>
      </c>
      <c r="CF673" s="125" t="inlineStr">
        <is>
          <t>HY850X296</t>
        </is>
      </c>
    </row>
    <row r="674">
      <c r="A674" s="125" t="inlineStr">
        <is>
          <t>HY850X271</t>
        </is>
      </c>
      <c r="B674" s="129" t="inlineStr">
        <is>
          <t>HY</t>
        </is>
      </c>
      <c r="C674" s="125" t="n">
        <v>271</v>
      </c>
      <c r="D674" s="125" t="n">
        <v>800</v>
      </c>
      <c r="E674" s="125" t="n">
        <v>400</v>
      </c>
      <c r="F674" s="125" t="n">
        <v>28</v>
      </c>
      <c r="G674" s="125" t="n">
        <v>16</v>
      </c>
      <c r="H674" s="125" t="n">
        <v>18</v>
      </c>
      <c r="I674" s="125">
        <f>D674-(2*(H674+F674))</f>
        <v/>
      </c>
      <c r="J674" s="125">
        <f>(2*E674/10*F674/10)+((D674-F674-F674)/10*G674/10)+((H674/10+H674/10)^2)-(PI()*H674/10*H674/10)</f>
        <v/>
      </c>
      <c r="K674" s="125">
        <f>((E674-G674)/2)/F674</f>
        <v/>
      </c>
      <c r="L674" s="125">
        <f>I674/G674</f>
        <v/>
      </c>
      <c r="M674" s="125">
        <f>(E674*2+F674*4+((E674-G674)/2-H674)*4+2*PI()*H674+(D674-2*F674-2*H674)*2)/1000</f>
        <v/>
      </c>
      <c r="N674" s="5" t="n">
        <v>393000</v>
      </c>
      <c r="O674" s="5" t="n">
        <v>29900</v>
      </c>
      <c r="P674" s="125" t="n">
        <v>33.7</v>
      </c>
      <c r="Q674" s="125" t="n">
        <v>9.300000000000001</v>
      </c>
      <c r="R674" s="5" t="n">
        <v>9810</v>
      </c>
      <c r="S674" s="5" t="n">
        <v>1490</v>
      </c>
      <c r="T674" s="5" t="n">
        <v>11000</v>
      </c>
      <c r="U674" s="5" t="n">
        <v>2290</v>
      </c>
      <c r="X674" s="129">
        <f t="array" ref="X674">_xlfn.IFS((D674/F674) &lt;= (640/SQRT($AT$32)), "Compact", L674 &lt;= ($AT$32*(0.79-(0.002*((E674-G674/2)/(2*F674))*SQRT($AT$32)))), "Non-Compact", L674 &gt; ($AT$32*(0.79-(0.002*((E674-G674/2)/(2*F674))*SQRT($AT$32)))), "Slender")</f>
        <v/>
      </c>
      <c r="Y674" s="129">
        <f t="array" ref="Y674">_xlfn.IFS(K674 &lt;= (65/SQRT($AT$32)), "Compact", K674 &lt;= (95/SQRT($AT$32)), "Non-Compact", K674 &gt; (95/SQRT($AT$32)), "Slender")</f>
        <v/>
      </c>
      <c r="Z674" s="125">
        <f>E674/F674</f>
        <v/>
      </c>
      <c r="AA674" s="125">
        <f>D674/G674</f>
        <v/>
      </c>
      <c r="AB674" s="125">
        <f t="array" ref="AB674">_xlfn.IFS(Z674 &lt;= 9, "1", Z674 &lt;= 12, "2", Z674 &lt;= 15, "3", Z674 &gt; 15, "4")</f>
        <v/>
      </c>
      <c r="AC674" s="125">
        <f t="array" ref="AC674">_xlfn.IFS(AA674 &lt;= 200, "1", L674 &lt;= 300, "2", L674 &lt;= 400, "3", L674 &gt; 400, "4")</f>
        <v/>
      </c>
      <c r="AF674" s="129">
        <f>SQRT((((VLOOKUP($AT$4,$A$4:$D$1021,4,FALSE))-D674)^2)+(((VLOOKUP($AT$4,$A$4:$E$1021,5,FALSE))-E674)^2)+(((VLOOKUP($AT$4,$A$4:$N$1021,14,FALSE))-N674)^2)+(((VLOOKUP($AT$4,$A$4:$O$1021,15,FALSE))-O674)^2))</f>
        <v/>
      </c>
      <c r="AG674" s="129" t="n"/>
      <c r="AI674" s="129">
        <f>SQRT((((VLOOKUP($AT$4,$A$4:$D$1021,4,FALSE))-D674)^2)+(((VLOOKUP($AT$4,$A$4:$E$1021,5,FALSE))-E674)^2)+(((VLOOKUP($AT$4,$A$4:$R$1021,18,FALSE))-R674)^2)+(((VLOOKUP($AT$4,$A$4:$S$1021,19,FALSE))-S674)^2))</f>
        <v/>
      </c>
      <c r="AJ674" s="125" t="inlineStr">
        <is>
          <t>HY850X271</t>
        </is>
      </c>
      <c r="AK674" s="125" t="n"/>
      <c r="AL674" s="125" t="n"/>
      <c r="AM674" s="125">
        <f>SQRT(((VLOOKUP($AT$4,$A$4:$J$1021,10,FALSE))-J674)^2)</f>
        <v/>
      </c>
      <c r="AN674" s="125" t="n"/>
      <c r="AO674" s="125" t="n"/>
      <c r="AP674" s="125">
        <f>SQRT(((VLOOKUP($AT$4,$A$4:$R$1021,18,FALSE))-R674)^2)</f>
        <v/>
      </c>
      <c r="AQ674" s="125" t="inlineStr">
        <is>
          <t>HY850X271</t>
        </is>
      </c>
      <c r="BB674" s="125">
        <f>SQRT(($J$1022-J674)^2)</f>
        <v/>
      </c>
      <c r="BC674" s="125">
        <f>SQRT(($R$1022-R674)^2)</f>
        <v/>
      </c>
      <c r="BD674" s="125" t="inlineStr">
        <is>
          <t>HY850X271</t>
        </is>
      </c>
      <c r="BI674">
        <f>SQRT(($J$1023-J674)^2)</f>
        <v/>
      </c>
      <c r="BJ674">
        <f>SQRT(($R$1023-R674)^2)</f>
        <v/>
      </c>
      <c r="BK674" s="125" t="inlineStr">
        <is>
          <t>HY850X271</t>
        </is>
      </c>
      <c r="BP674">
        <f>SQRT(($J$1024-J674)^2)</f>
        <v/>
      </c>
      <c r="BQ674">
        <f>SQRT(($R$1024-R674)^2)</f>
        <v/>
      </c>
      <c r="BR674" s="125" t="inlineStr">
        <is>
          <t>HY850X271</t>
        </is>
      </c>
      <c r="BW674">
        <f>SQRT(($J$1025-J674)^2)</f>
        <v/>
      </c>
      <c r="BX674">
        <f>SQRT(($R$1025-R674)^2)</f>
        <v/>
      </c>
      <c r="BY674" s="125" t="inlineStr">
        <is>
          <t>HY850X271</t>
        </is>
      </c>
      <c r="CD674">
        <f>SQRT(($J$1026-J674)^2)</f>
        <v/>
      </c>
      <c r="CE674">
        <f>SQRT(($R$1026-R674)^2)</f>
        <v/>
      </c>
      <c r="CF674" s="125" t="inlineStr">
        <is>
          <t>HY850X271</t>
        </is>
      </c>
    </row>
    <row r="675">
      <c r="A675" s="125" t="inlineStr">
        <is>
          <t>HY850X253</t>
        </is>
      </c>
      <c r="B675" s="129" t="inlineStr">
        <is>
          <t>HY</t>
        </is>
      </c>
      <c r="C675" s="125" t="n">
        <v>253</v>
      </c>
      <c r="D675" s="125" t="n">
        <v>800</v>
      </c>
      <c r="E675" s="125" t="n">
        <v>400</v>
      </c>
      <c r="F675" s="125" t="n">
        <v>25</v>
      </c>
      <c r="G675" s="125" t="n">
        <v>16</v>
      </c>
      <c r="H675" s="125" t="n">
        <v>18</v>
      </c>
      <c r="I675" s="125">
        <f>D675-(2*(H675+F675))</f>
        <v/>
      </c>
      <c r="J675" s="125">
        <f>(2*E675/10*F675/10)+((D675-F675-F675)/10*G675/10)+((H675/10+H675/10)^2)-(PI()*H675/10*H675/10)</f>
        <v/>
      </c>
      <c r="K675" s="125">
        <f>((E675-G675)/2)/F675</f>
        <v/>
      </c>
      <c r="L675" s="125">
        <f>I675/G675</f>
        <v/>
      </c>
      <c r="M675" s="125">
        <f>(E675*2+F675*4+((E675-G675)/2-H675)*4+2*PI()*H675+(D675-2*F675-2*H675)*2)/1000</f>
        <v/>
      </c>
      <c r="N675" s="5" t="n">
        <v>360000</v>
      </c>
      <c r="O675" s="5" t="n">
        <v>26700</v>
      </c>
      <c r="P675" s="125" t="n">
        <v>33.4</v>
      </c>
      <c r="Q675" s="125" t="n">
        <v>9.1</v>
      </c>
      <c r="R675" s="5" t="n">
        <v>9010</v>
      </c>
      <c r="S675" s="5" t="n">
        <v>1330</v>
      </c>
      <c r="T675" s="5" t="n">
        <v>10100</v>
      </c>
      <c r="U675" s="5" t="n">
        <v>2050</v>
      </c>
      <c r="X675" s="129">
        <f t="array" ref="X675">_xlfn.IFS((D675/F675) &lt;= (640/SQRT($AT$32)), "Compact", L675 &lt;= ($AT$32*(0.79-(0.002*((E675-G675/2)/(2*F675))*SQRT($AT$32)))), "Non-Compact", L675 &gt; ($AT$32*(0.79-(0.002*((E675-G675/2)/(2*F675))*SQRT($AT$32)))), "Slender")</f>
        <v/>
      </c>
      <c r="Y675" s="129">
        <f t="array" ref="Y675">_xlfn.IFS(K675 &lt;= (65/SQRT($AT$32)), "Compact", K675 &lt;= (95/SQRT($AT$32)), "Non-Compact", K675 &gt; (95/SQRT($AT$32)), "Slender")</f>
        <v/>
      </c>
      <c r="Z675" s="125">
        <f>E675/F675</f>
        <v/>
      </c>
      <c r="AA675" s="125">
        <f>D675/G675</f>
        <v/>
      </c>
      <c r="AB675" s="125">
        <f t="array" ref="AB675">_xlfn.IFS(Z675 &lt;= 9, "1", Z675 &lt;= 12, "2", Z675 &lt;= 15, "3", Z675 &gt; 15, "4")</f>
        <v/>
      </c>
      <c r="AC675" s="125">
        <f t="array" ref="AC675">_xlfn.IFS(AA675 &lt;= 200, "1", L675 &lt;= 300, "2", L675 &lt;= 400, "3", L675 &gt; 400, "4")</f>
        <v/>
      </c>
      <c r="AF675" s="129">
        <f>SQRT((((VLOOKUP($AT$4,$A$4:$D$1021,4,FALSE))-D675)^2)+(((VLOOKUP($AT$4,$A$4:$E$1021,5,FALSE))-E675)^2)+(((VLOOKUP($AT$4,$A$4:$N$1021,14,FALSE))-N675)^2)+(((VLOOKUP($AT$4,$A$4:$O$1021,15,FALSE))-O675)^2))</f>
        <v/>
      </c>
      <c r="AG675" s="129" t="n"/>
      <c r="AI675" s="129">
        <f>SQRT((((VLOOKUP($AT$4,$A$4:$D$1021,4,FALSE))-D675)^2)+(((VLOOKUP($AT$4,$A$4:$E$1021,5,FALSE))-E675)^2)+(((VLOOKUP($AT$4,$A$4:$R$1021,18,FALSE))-R675)^2)+(((VLOOKUP($AT$4,$A$4:$S$1021,19,FALSE))-S675)^2))</f>
        <v/>
      </c>
      <c r="AJ675" s="125" t="inlineStr">
        <is>
          <t>HY850X253</t>
        </is>
      </c>
      <c r="AK675" s="125" t="n"/>
      <c r="AL675" s="125" t="n"/>
      <c r="AM675" s="125">
        <f>SQRT(((VLOOKUP($AT$4,$A$4:$J$1021,10,FALSE))-J675)^2)</f>
        <v/>
      </c>
      <c r="AN675" s="125" t="n"/>
      <c r="AO675" s="125" t="n"/>
      <c r="AP675" s="125">
        <f>SQRT(((VLOOKUP($AT$4,$A$4:$R$1021,18,FALSE))-R675)^2)</f>
        <v/>
      </c>
      <c r="AQ675" s="125" t="inlineStr">
        <is>
          <t>HY850X253</t>
        </is>
      </c>
      <c r="BB675" s="125">
        <f>SQRT(($J$1022-J675)^2)</f>
        <v/>
      </c>
      <c r="BC675" s="125">
        <f>SQRT(($R$1022-R675)^2)</f>
        <v/>
      </c>
      <c r="BD675" s="125" t="inlineStr">
        <is>
          <t>HY850X253</t>
        </is>
      </c>
      <c r="BI675">
        <f>SQRT(($J$1023-J675)^2)</f>
        <v/>
      </c>
      <c r="BJ675">
        <f>SQRT(($R$1023-R675)^2)</f>
        <v/>
      </c>
      <c r="BK675" s="125" t="inlineStr">
        <is>
          <t>HY850X253</t>
        </is>
      </c>
      <c r="BP675">
        <f>SQRT(($J$1024-J675)^2)</f>
        <v/>
      </c>
      <c r="BQ675">
        <f>SQRT(($R$1024-R675)^2)</f>
        <v/>
      </c>
      <c r="BR675" s="125" t="inlineStr">
        <is>
          <t>HY850X253</t>
        </is>
      </c>
      <c r="BW675">
        <f>SQRT(($J$1025-J675)^2)</f>
        <v/>
      </c>
      <c r="BX675">
        <f>SQRT(($R$1025-R675)^2)</f>
        <v/>
      </c>
      <c r="BY675" s="125" t="inlineStr">
        <is>
          <t>HY850X253</t>
        </is>
      </c>
      <c r="CD675">
        <f>SQRT(($J$1026-J675)^2)</f>
        <v/>
      </c>
      <c r="CE675">
        <f>SQRT(($R$1026-R675)^2)</f>
        <v/>
      </c>
      <c r="CF675" s="125" t="inlineStr">
        <is>
          <t>HY850X253</t>
        </is>
      </c>
    </row>
    <row r="676">
      <c r="A676" s="125" t="inlineStr">
        <is>
          <t>HY850X260</t>
        </is>
      </c>
      <c r="B676" s="129" t="inlineStr">
        <is>
          <t>HY</t>
        </is>
      </c>
      <c r="C676" s="125" t="n">
        <v>260</v>
      </c>
      <c r="D676" s="125" t="n">
        <v>800</v>
      </c>
      <c r="E676" s="125" t="n">
        <v>400</v>
      </c>
      <c r="F676" s="125" t="n">
        <v>28</v>
      </c>
      <c r="G676" s="125" t="n">
        <v>14</v>
      </c>
      <c r="H676" s="125" t="n">
        <v>18</v>
      </c>
      <c r="I676" s="125">
        <f>D676-(2*(H676+F676))</f>
        <v/>
      </c>
      <c r="J676" s="125">
        <f>(2*E676/10*F676/10)+((D676-F676-F676)/10*G676/10)+((H676/10+H676/10)^2)-(PI()*H676/10*H676/10)</f>
        <v/>
      </c>
      <c r="K676" s="125">
        <f>((E676-G676)/2)/F676</f>
        <v/>
      </c>
      <c r="L676" s="125">
        <f>I676/G676</f>
        <v/>
      </c>
      <c r="M676" s="125">
        <f>(E676*2+F676*4+((E676-G676)/2-H676)*4+2*PI()*H676+(D676-2*F676-2*H676)*2)/1000</f>
        <v/>
      </c>
      <c r="N676" s="5" t="n">
        <v>386000</v>
      </c>
      <c r="O676" s="5" t="n">
        <v>29900</v>
      </c>
      <c r="P676" s="125" t="n">
        <v>34.1</v>
      </c>
      <c r="Q676" s="125" t="n">
        <v>9.5</v>
      </c>
      <c r="R676" s="5" t="n">
        <v>9640</v>
      </c>
      <c r="S676" s="5" t="n">
        <v>1490</v>
      </c>
      <c r="T676" s="5" t="n">
        <v>10700</v>
      </c>
      <c r="U676" s="5" t="n">
        <v>2280</v>
      </c>
      <c r="X676" s="129">
        <f t="array" ref="X676">_xlfn.IFS((D676/F676) &lt;= (640/SQRT($AT$32)), "Compact", L676 &lt;= ($AT$32*(0.79-(0.002*((E676-G676/2)/(2*F676))*SQRT($AT$32)))), "Non-Compact", L676 &gt; ($AT$32*(0.79-(0.002*((E676-G676/2)/(2*F676))*SQRT($AT$32)))), "Slender")</f>
        <v/>
      </c>
      <c r="Y676" s="129">
        <f t="array" ref="Y676">_xlfn.IFS(K676 &lt;= (65/SQRT($AT$32)), "Compact", K676 &lt;= (95/SQRT($AT$32)), "Non-Compact", K676 &gt; (95/SQRT($AT$32)), "Slender")</f>
        <v/>
      </c>
      <c r="Z676" s="125">
        <f>E676/F676</f>
        <v/>
      </c>
      <c r="AA676" s="125">
        <f>D676/G676</f>
        <v/>
      </c>
      <c r="AB676" s="125">
        <f t="array" ref="AB676">_xlfn.IFS(Z676 &lt;= 9, "1", Z676 &lt;= 12, "2", Z676 &lt;= 15, "3", Z676 &gt; 15, "4")</f>
        <v/>
      </c>
      <c r="AC676" s="125">
        <f t="array" ref="AC676">_xlfn.IFS(AA676 &lt;= 200, "1", L676 &lt;= 300, "2", L676 &lt;= 400, "3", L676 &gt; 400, "4")</f>
        <v/>
      </c>
      <c r="AF676" s="129">
        <f>SQRT((((VLOOKUP($AT$4,$A$4:$D$1021,4,FALSE))-D676)^2)+(((VLOOKUP($AT$4,$A$4:$E$1021,5,FALSE))-E676)^2)+(((VLOOKUP($AT$4,$A$4:$N$1021,14,FALSE))-N676)^2)+(((VLOOKUP($AT$4,$A$4:$O$1021,15,FALSE))-O676)^2))</f>
        <v/>
      </c>
      <c r="AG676" s="129" t="n"/>
      <c r="AI676" s="129">
        <f>SQRT((((VLOOKUP($AT$4,$A$4:$D$1021,4,FALSE))-D676)^2)+(((VLOOKUP($AT$4,$A$4:$E$1021,5,FALSE))-E676)^2)+(((VLOOKUP($AT$4,$A$4:$R$1021,18,FALSE))-R676)^2)+(((VLOOKUP($AT$4,$A$4:$S$1021,19,FALSE))-S676)^2))</f>
        <v/>
      </c>
      <c r="AJ676" s="125" t="inlineStr">
        <is>
          <t>HY850X260</t>
        </is>
      </c>
      <c r="AK676" s="125" t="n"/>
      <c r="AL676" s="125" t="n"/>
      <c r="AM676" s="125">
        <f>SQRT(((VLOOKUP($AT$4,$A$4:$J$1021,10,FALSE))-J676)^2)</f>
        <v/>
      </c>
      <c r="AN676" s="125" t="n"/>
      <c r="AO676" s="125" t="n"/>
      <c r="AP676" s="125">
        <f>SQRT(((VLOOKUP($AT$4,$A$4:$R$1021,18,FALSE))-R676)^2)</f>
        <v/>
      </c>
      <c r="AQ676" s="125" t="inlineStr">
        <is>
          <t>HY850X260</t>
        </is>
      </c>
      <c r="BB676" s="125">
        <f>SQRT(($J$1022-J676)^2)</f>
        <v/>
      </c>
      <c r="BC676" s="125">
        <f>SQRT(($R$1022-R676)^2)</f>
        <v/>
      </c>
      <c r="BD676" s="125" t="inlineStr">
        <is>
          <t>HY850X260</t>
        </is>
      </c>
      <c r="BI676">
        <f>SQRT(($J$1023-J676)^2)</f>
        <v/>
      </c>
      <c r="BJ676">
        <f>SQRT(($R$1023-R676)^2)</f>
        <v/>
      </c>
      <c r="BK676" s="125" t="inlineStr">
        <is>
          <t>HY850X260</t>
        </is>
      </c>
      <c r="BP676">
        <f>SQRT(($J$1024-J676)^2)</f>
        <v/>
      </c>
      <c r="BQ676">
        <f>SQRT(($R$1024-R676)^2)</f>
        <v/>
      </c>
      <c r="BR676" s="125" t="inlineStr">
        <is>
          <t>HY850X260</t>
        </is>
      </c>
      <c r="BW676">
        <f>SQRT(($J$1025-J676)^2)</f>
        <v/>
      </c>
      <c r="BX676">
        <f>SQRT(($R$1025-R676)^2)</f>
        <v/>
      </c>
      <c r="BY676" s="125" t="inlineStr">
        <is>
          <t>HY850X260</t>
        </is>
      </c>
      <c r="CD676">
        <f>SQRT(($J$1026-J676)^2)</f>
        <v/>
      </c>
      <c r="CE676">
        <f>SQRT(($R$1026-R676)^2)</f>
        <v/>
      </c>
      <c r="CF676" s="125" t="inlineStr">
        <is>
          <t>HY850X260</t>
        </is>
      </c>
    </row>
    <row r="677">
      <c r="A677" s="125" t="inlineStr">
        <is>
          <t>HY850X242</t>
        </is>
      </c>
      <c r="B677" s="129" t="inlineStr">
        <is>
          <t>HY</t>
        </is>
      </c>
      <c r="C677" s="125" t="n">
        <v>242</v>
      </c>
      <c r="D677" s="125" t="n">
        <v>800</v>
      </c>
      <c r="E677" s="125" t="n">
        <v>400</v>
      </c>
      <c r="F677" s="125" t="n">
        <v>25</v>
      </c>
      <c r="G677" s="125" t="n">
        <v>14</v>
      </c>
      <c r="H677" s="125" t="n">
        <v>18</v>
      </c>
      <c r="I677" s="125">
        <f>D677-(2*(H677+F677))</f>
        <v/>
      </c>
      <c r="J677" s="125">
        <f>(2*E677/10*F677/10)+((D677-F677-F677)/10*G677/10)+((H677/10+H677/10)^2)-(PI()*H677/10*H677/10)</f>
        <v/>
      </c>
      <c r="K677" s="125">
        <f>((E677-G677)/2)/F677</f>
        <v/>
      </c>
      <c r="L677" s="125">
        <f>I677/G677</f>
        <v/>
      </c>
      <c r="M677" s="125">
        <f>(E677*2+F677*4+((E677-G677)/2-H677)*4+2*PI()*H677+(D677-2*F677-2*H677)*2)/1000</f>
        <v/>
      </c>
      <c r="N677" s="5" t="n">
        <v>353000</v>
      </c>
      <c r="O677" s="5" t="n">
        <v>26700</v>
      </c>
      <c r="P677" s="125" t="n">
        <v>33.9</v>
      </c>
      <c r="Q677" s="125" t="n">
        <v>9.300000000000001</v>
      </c>
      <c r="R677" s="5" t="n">
        <v>8840</v>
      </c>
      <c r="S677" s="5" t="n">
        <v>1330</v>
      </c>
      <c r="T677" s="5" t="n">
        <v>9820</v>
      </c>
      <c r="U677" s="5" t="n">
        <v>2040</v>
      </c>
      <c r="X677" s="129">
        <f t="array" ref="X677">_xlfn.IFS((D677/F677) &lt;= (640/SQRT($AT$32)), "Compact", L677 &lt;= ($AT$32*(0.79-(0.002*((E677-G677/2)/(2*F677))*SQRT($AT$32)))), "Non-Compact", L677 &gt; ($AT$32*(0.79-(0.002*((E677-G677/2)/(2*F677))*SQRT($AT$32)))), "Slender")</f>
        <v/>
      </c>
      <c r="Y677" s="129">
        <f t="array" ref="Y677">_xlfn.IFS(K677 &lt;= (65/SQRT($AT$32)), "Compact", K677 &lt;= (95/SQRT($AT$32)), "Non-Compact", K677 &gt; (95/SQRT($AT$32)), "Slender")</f>
        <v/>
      </c>
      <c r="Z677" s="125">
        <f>E677/F677</f>
        <v/>
      </c>
      <c r="AA677" s="125">
        <f>D677/G677</f>
        <v/>
      </c>
      <c r="AB677" s="125">
        <f t="array" ref="AB677">_xlfn.IFS(Z677 &lt;= 9, "1", Z677 &lt;= 12, "2", Z677 &lt;= 15, "3", Z677 &gt; 15, "4")</f>
        <v/>
      </c>
      <c r="AC677" s="125">
        <f t="array" ref="AC677">_xlfn.IFS(AA677 &lt;= 200, "1", L677 &lt;= 300, "2", L677 &lt;= 400, "3", L677 &gt; 400, "4")</f>
        <v/>
      </c>
      <c r="AF677" s="129">
        <f>SQRT((((VLOOKUP($AT$4,$A$4:$D$1021,4,FALSE))-D677)^2)+(((VLOOKUP($AT$4,$A$4:$E$1021,5,FALSE))-E677)^2)+(((VLOOKUP($AT$4,$A$4:$N$1021,14,FALSE))-N677)^2)+(((VLOOKUP($AT$4,$A$4:$O$1021,15,FALSE))-O677)^2))</f>
        <v/>
      </c>
      <c r="AG677" s="129" t="n"/>
      <c r="AI677" s="129">
        <f>SQRT((((VLOOKUP($AT$4,$A$4:$D$1021,4,FALSE))-D677)^2)+(((VLOOKUP($AT$4,$A$4:$E$1021,5,FALSE))-E677)^2)+(((VLOOKUP($AT$4,$A$4:$R$1021,18,FALSE))-R677)^2)+(((VLOOKUP($AT$4,$A$4:$S$1021,19,FALSE))-S677)^2))</f>
        <v/>
      </c>
      <c r="AJ677" s="125" t="inlineStr">
        <is>
          <t>HY850X242</t>
        </is>
      </c>
      <c r="AK677" s="125" t="n"/>
      <c r="AL677" s="125" t="n"/>
      <c r="AM677" s="125">
        <f>SQRT(((VLOOKUP($AT$4,$A$4:$J$1021,10,FALSE))-J677)^2)</f>
        <v/>
      </c>
      <c r="AN677" s="125" t="n"/>
      <c r="AO677" s="125" t="n"/>
      <c r="AP677" s="125">
        <f>SQRT(((VLOOKUP($AT$4,$A$4:$R$1021,18,FALSE))-R677)^2)</f>
        <v/>
      </c>
      <c r="AQ677" s="125" t="inlineStr">
        <is>
          <t>HY850X242</t>
        </is>
      </c>
      <c r="BB677" s="125">
        <f>SQRT(($J$1022-J677)^2)</f>
        <v/>
      </c>
      <c r="BC677" s="125">
        <f>SQRT(($R$1022-R677)^2)</f>
        <v/>
      </c>
      <c r="BD677" s="125" t="inlineStr">
        <is>
          <t>HY850X242</t>
        </is>
      </c>
      <c r="BI677">
        <f>SQRT(($J$1023-J677)^2)</f>
        <v/>
      </c>
      <c r="BJ677">
        <f>SQRT(($R$1023-R677)^2)</f>
        <v/>
      </c>
      <c r="BK677" s="125" t="inlineStr">
        <is>
          <t>HY850X242</t>
        </is>
      </c>
      <c r="BP677">
        <f>SQRT(($J$1024-J677)^2)</f>
        <v/>
      </c>
      <c r="BQ677">
        <f>SQRT(($R$1024-R677)^2)</f>
        <v/>
      </c>
      <c r="BR677" s="125" t="inlineStr">
        <is>
          <t>HY850X242</t>
        </is>
      </c>
      <c r="BW677">
        <f>SQRT(($J$1025-J677)^2)</f>
        <v/>
      </c>
      <c r="BX677">
        <f>SQRT(($R$1025-R677)^2)</f>
        <v/>
      </c>
      <c r="BY677" s="125" t="inlineStr">
        <is>
          <t>HY850X242</t>
        </is>
      </c>
      <c r="CD677">
        <f>SQRT(($J$1026-J677)^2)</f>
        <v/>
      </c>
      <c r="CE677">
        <f>SQRT(($R$1026-R677)^2)</f>
        <v/>
      </c>
      <c r="CF677" s="125" t="inlineStr">
        <is>
          <t>HY850X242</t>
        </is>
      </c>
    </row>
    <row r="678">
      <c r="A678" s="125" t="inlineStr">
        <is>
          <t>HY800X346</t>
        </is>
      </c>
      <c r="B678" s="129" t="inlineStr">
        <is>
          <t>HY</t>
        </is>
      </c>
      <c r="C678" s="125" t="n">
        <v>346</v>
      </c>
      <c r="D678" s="125" t="n">
        <v>800</v>
      </c>
      <c r="E678" s="125" t="n">
        <v>350</v>
      </c>
      <c r="F678" s="125" t="n">
        <v>40</v>
      </c>
      <c r="G678" s="125" t="n">
        <v>22</v>
      </c>
      <c r="H678" s="125" t="n">
        <v>18</v>
      </c>
      <c r="I678" s="125">
        <f>D678-(2*(H678+F678))</f>
        <v/>
      </c>
      <c r="J678" s="125">
        <f>(2*E678/10*F678/10)+((D678-F678-F678)/10*G678/10)+((H678/10+H678/10)^2)-(PI()*H678/10*H678/10)</f>
        <v/>
      </c>
      <c r="K678" s="125">
        <f>((E678-G678)/2)/F678</f>
        <v/>
      </c>
      <c r="L678" s="125">
        <f>I678/G678</f>
        <v/>
      </c>
      <c r="M678" s="125">
        <f>(E678*2+F678*4+((E678-G678)/2-H678)*4+2*PI()*H678+(D678-2*F678-2*H678)*2)/1000</f>
        <v/>
      </c>
      <c r="N678" s="5" t="n">
        <v>477000</v>
      </c>
      <c r="O678" s="5" t="n">
        <v>28700</v>
      </c>
      <c r="P678" s="125" t="n">
        <v>32.9</v>
      </c>
      <c r="Q678" s="125" t="n">
        <v>8.1</v>
      </c>
      <c r="R678" s="5" t="n">
        <v>11900</v>
      </c>
      <c r="S678" s="5" t="n">
        <v>1640</v>
      </c>
      <c r="T678" s="5" t="n">
        <v>13600</v>
      </c>
      <c r="U678" s="5" t="n">
        <v>2540</v>
      </c>
      <c r="X678" s="129">
        <f t="array" ref="X678">_xlfn.IFS((D678/F678) &lt;= (640/SQRT($AT$32)), "Compact", L678 &lt;= ($AT$32*(0.79-(0.002*((E678-G678/2)/(2*F678))*SQRT($AT$32)))), "Non-Compact", L678 &gt; ($AT$32*(0.79-(0.002*((E678-G678/2)/(2*F678))*SQRT($AT$32)))), "Slender")</f>
        <v/>
      </c>
      <c r="Y678" s="129">
        <f t="array" ref="Y678">_xlfn.IFS(K678 &lt;= (65/SQRT($AT$32)), "Compact", K678 &lt;= (95/SQRT($AT$32)), "Non-Compact", K678 &gt; (95/SQRT($AT$32)), "Slender")</f>
        <v/>
      </c>
      <c r="Z678" s="125">
        <f>E678/F678</f>
        <v/>
      </c>
      <c r="AA678" s="125">
        <f>D678/G678</f>
        <v/>
      </c>
      <c r="AB678" s="125">
        <f t="array" ref="AB678">_xlfn.IFS(Z678 &lt;= 9, "1", Z678 &lt;= 12, "2", Z678 &lt;= 15, "3", Z678 &gt; 15, "4")</f>
        <v/>
      </c>
      <c r="AC678" s="125">
        <f t="array" ref="AC678">_xlfn.IFS(AA678 &lt;= 200, "1", L678 &lt;= 300, "2", L678 &lt;= 400, "3", L678 &gt; 400, "4")</f>
        <v/>
      </c>
      <c r="AF678" s="129">
        <f>SQRT((((VLOOKUP($AT$4,$A$4:$D$1021,4,FALSE))-D678)^2)+(((VLOOKUP($AT$4,$A$4:$E$1021,5,FALSE))-E678)^2)+(((VLOOKUP($AT$4,$A$4:$N$1021,14,FALSE))-N678)^2)+(((VLOOKUP($AT$4,$A$4:$O$1021,15,FALSE))-O678)^2))</f>
        <v/>
      </c>
      <c r="AG678" s="129" t="n"/>
      <c r="AI678" s="129">
        <f>SQRT((((VLOOKUP($AT$4,$A$4:$D$1021,4,FALSE))-D678)^2)+(((VLOOKUP($AT$4,$A$4:$E$1021,5,FALSE))-E678)^2)+(((VLOOKUP($AT$4,$A$4:$R$1021,18,FALSE))-R678)^2)+(((VLOOKUP($AT$4,$A$4:$S$1021,19,FALSE))-S678)^2))</f>
        <v/>
      </c>
      <c r="AJ678" s="125" t="inlineStr">
        <is>
          <t>HY800X346</t>
        </is>
      </c>
      <c r="AK678" s="125" t="n"/>
      <c r="AL678" s="125" t="n"/>
      <c r="AM678" s="125">
        <f>SQRT(((VLOOKUP($AT$4,$A$4:$J$1021,10,FALSE))-J678)^2)</f>
        <v/>
      </c>
      <c r="AN678" s="125" t="n"/>
      <c r="AO678" s="125" t="n"/>
      <c r="AP678" s="125">
        <f>SQRT(((VLOOKUP($AT$4,$A$4:$R$1021,18,FALSE))-R678)^2)</f>
        <v/>
      </c>
      <c r="AQ678" s="125" t="inlineStr">
        <is>
          <t>HY800X346</t>
        </is>
      </c>
      <c r="BB678" s="125">
        <f>SQRT(($J$1022-J678)^2)</f>
        <v/>
      </c>
      <c r="BC678" s="125">
        <f>SQRT(($R$1022-R678)^2)</f>
        <v/>
      </c>
      <c r="BD678" s="125" t="inlineStr">
        <is>
          <t>HY800X346</t>
        </is>
      </c>
      <c r="BI678">
        <f>SQRT(($J$1023-J678)^2)</f>
        <v/>
      </c>
      <c r="BJ678">
        <f>SQRT(($R$1023-R678)^2)</f>
        <v/>
      </c>
      <c r="BK678" s="125" t="inlineStr">
        <is>
          <t>HY800X346</t>
        </is>
      </c>
      <c r="BP678">
        <f>SQRT(($J$1024-J678)^2)</f>
        <v/>
      </c>
      <c r="BQ678">
        <f>SQRT(($R$1024-R678)^2)</f>
        <v/>
      </c>
      <c r="BR678" s="125" t="inlineStr">
        <is>
          <t>HY800X346</t>
        </is>
      </c>
      <c r="BW678">
        <f>SQRT(($J$1025-J678)^2)</f>
        <v/>
      </c>
      <c r="BX678">
        <f>SQRT(($R$1025-R678)^2)</f>
        <v/>
      </c>
      <c r="BY678" s="125" t="inlineStr">
        <is>
          <t>HY800X346</t>
        </is>
      </c>
      <c r="CD678">
        <f>SQRT(($J$1026-J678)^2)</f>
        <v/>
      </c>
      <c r="CE678">
        <f>SQRT(($R$1026-R678)^2)</f>
        <v/>
      </c>
      <c r="CF678" s="125" t="inlineStr">
        <is>
          <t>HY800X346</t>
        </is>
      </c>
    </row>
    <row r="679">
      <c r="A679" s="125" t="inlineStr">
        <is>
          <t>HY800X326</t>
        </is>
      </c>
      <c r="B679" s="129" t="inlineStr">
        <is>
          <t>HY</t>
        </is>
      </c>
      <c r="C679" s="125" t="n">
        <v>326</v>
      </c>
      <c r="D679" s="125" t="n">
        <v>800</v>
      </c>
      <c r="E679" s="125" t="n">
        <v>350</v>
      </c>
      <c r="F679" s="125" t="n">
        <v>36</v>
      </c>
      <c r="G679" s="125" t="n">
        <v>22</v>
      </c>
      <c r="H679" s="125" t="n">
        <v>18</v>
      </c>
      <c r="I679" s="125">
        <f>D679-(2*(H679+F679))</f>
        <v/>
      </c>
      <c r="J679" s="125">
        <f>(2*E679/10*F679/10)+((D679-F679-F679)/10*G679/10)+((H679/10+H679/10)^2)-(PI()*H679/10*H679/10)</f>
        <v/>
      </c>
      <c r="K679" s="125">
        <f>((E679-G679)/2)/F679</f>
        <v/>
      </c>
      <c r="L679" s="125">
        <f>I679/G679</f>
        <v/>
      </c>
      <c r="M679" s="125">
        <f>(E679*2+F679*4+((E679-G679)/2-H679)*4+2*PI()*H679+(D679-2*F679-2*H679)*2)/1000</f>
        <v/>
      </c>
      <c r="N679" s="5" t="n">
        <v>442000</v>
      </c>
      <c r="O679" s="5" t="n">
        <v>25800</v>
      </c>
      <c r="P679" s="125" t="n">
        <v>32.7</v>
      </c>
      <c r="Q679" s="125" t="n">
        <v>7.9</v>
      </c>
      <c r="R679" s="5" t="n">
        <v>11100</v>
      </c>
      <c r="S679" s="5" t="n">
        <v>1470</v>
      </c>
      <c r="T679" s="5" t="n">
        <v>12600</v>
      </c>
      <c r="U679" s="5" t="n">
        <v>2300</v>
      </c>
      <c r="X679" s="129">
        <f t="array" ref="X679">_xlfn.IFS((D679/F679) &lt;= (640/SQRT($AT$32)), "Compact", L679 &lt;= ($AT$32*(0.79-(0.002*((E679-G679/2)/(2*F679))*SQRT($AT$32)))), "Non-Compact", L679 &gt; ($AT$32*(0.79-(0.002*((E679-G679/2)/(2*F679))*SQRT($AT$32)))), "Slender")</f>
        <v/>
      </c>
      <c r="Y679" s="129">
        <f t="array" ref="Y679">_xlfn.IFS(K679 &lt;= (65/SQRT($AT$32)), "Compact", K679 &lt;= (95/SQRT($AT$32)), "Non-Compact", K679 &gt; (95/SQRT($AT$32)), "Slender")</f>
        <v/>
      </c>
      <c r="Z679" s="125">
        <f>E679/F679</f>
        <v/>
      </c>
      <c r="AA679" s="125">
        <f>D679/G679</f>
        <v/>
      </c>
      <c r="AB679" s="125">
        <f t="array" ref="AB679">_xlfn.IFS(Z679 &lt;= 9, "1", Z679 &lt;= 12, "2", Z679 &lt;= 15, "3", Z679 &gt; 15, "4")</f>
        <v/>
      </c>
      <c r="AC679" s="125">
        <f t="array" ref="AC679">_xlfn.IFS(AA679 &lt;= 200, "1", L679 &lt;= 300, "2", L679 &lt;= 400, "3", L679 &gt; 400, "4")</f>
        <v/>
      </c>
      <c r="AF679" s="129">
        <f>SQRT((((VLOOKUP($AT$4,$A$4:$D$1021,4,FALSE))-D679)^2)+(((VLOOKUP($AT$4,$A$4:$E$1021,5,FALSE))-E679)^2)+(((VLOOKUP($AT$4,$A$4:$N$1021,14,FALSE))-N679)^2)+(((VLOOKUP($AT$4,$A$4:$O$1021,15,FALSE))-O679)^2))</f>
        <v/>
      </c>
      <c r="AG679" s="129" t="n"/>
      <c r="AI679" s="129">
        <f>SQRT((((VLOOKUP($AT$4,$A$4:$D$1021,4,FALSE))-D679)^2)+(((VLOOKUP($AT$4,$A$4:$E$1021,5,FALSE))-E679)^2)+(((VLOOKUP($AT$4,$A$4:$R$1021,18,FALSE))-R679)^2)+(((VLOOKUP($AT$4,$A$4:$S$1021,19,FALSE))-S679)^2))</f>
        <v/>
      </c>
      <c r="AJ679" s="125" t="inlineStr">
        <is>
          <t>HY800X326</t>
        </is>
      </c>
      <c r="AK679" s="125" t="n"/>
      <c r="AL679" s="125" t="n"/>
      <c r="AM679" s="125">
        <f>SQRT(((VLOOKUP($AT$4,$A$4:$J$1021,10,FALSE))-J679)^2)</f>
        <v/>
      </c>
      <c r="AN679" s="125" t="n"/>
      <c r="AO679" s="125" t="n"/>
      <c r="AP679" s="125">
        <f>SQRT(((VLOOKUP($AT$4,$A$4:$R$1021,18,FALSE))-R679)^2)</f>
        <v/>
      </c>
      <c r="AQ679" s="125" t="inlineStr">
        <is>
          <t>HY800X326</t>
        </is>
      </c>
      <c r="BB679" s="125">
        <f>SQRT(($J$1022-J679)^2)</f>
        <v/>
      </c>
      <c r="BC679" s="125">
        <f>SQRT(($R$1022-R679)^2)</f>
        <v/>
      </c>
      <c r="BD679" s="125" t="inlineStr">
        <is>
          <t>HY800X326</t>
        </is>
      </c>
      <c r="BI679">
        <f>SQRT(($J$1023-J679)^2)</f>
        <v/>
      </c>
      <c r="BJ679">
        <f>SQRT(($R$1023-R679)^2)</f>
        <v/>
      </c>
      <c r="BK679" s="125" t="inlineStr">
        <is>
          <t>HY800X326</t>
        </is>
      </c>
      <c r="BP679">
        <f>SQRT(($J$1024-J679)^2)</f>
        <v/>
      </c>
      <c r="BQ679">
        <f>SQRT(($R$1024-R679)^2)</f>
        <v/>
      </c>
      <c r="BR679" s="125" t="inlineStr">
        <is>
          <t>HY800X326</t>
        </is>
      </c>
      <c r="BW679">
        <f>SQRT(($J$1025-J679)^2)</f>
        <v/>
      </c>
      <c r="BX679">
        <f>SQRT(($R$1025-R679)^2)</f>
        <v/>
      </c>
      <c r="BY679" s="125" t="inlineStr">
        <is>
          <t>HY800X326</t>
        </is>
      </c>
      <c r="CD679">
        <f>SQRT(($J$1026-J679)^2)</f>
        <v/>
      </c>
      <c r="CE679">
        <f>SQRT(($R$1026-R679)^2)</f>
        <v/>
      </c>
      <c r="CF679" s="125" t="inlineStr">
        <is>
          <t>HY800X326</t>
        </is>
      </c>
    </row>
    <row r="680">
      <c r="A680" s="125" t="inlineStr">
        <is>
          <t>HY800X305</t>
        </is>
      </c>
      <c r="B680" s="129" t="inlineStr">
        <is>
          <t>HY</t>
        </is>
      </c>
      <c r="C680" s="125" t="n">
        <v>305</v>
      </c>
      <c r="D680" s="125" t="n">
        <v>800</v>
      </c>
      <c r="E680" s="125" t="n">
        <v>350</v>
      </c>
      <c r="F680" s="125" t="n">
        <v>32</v>
      </c>
      <c r="G680" s="125" t="n">
        <v>22</v>
      </c>
      <c r="H680" s="125" t="n">
        <v>18</v>
      </c>
      <c r="I680" s="125">
        <f>D680-(2*(H680+F680))</f>
        <v/>
      </c>
      <c r="J680" s="125">
        <f>(2*E680/10*F680/10)+((D680-F680-F680)/10*G680/10)+((H680/10+H680/10)^2)-(PI()*H680/10*H680/10)</f>
        <v/>
      </c>
      <c r="K680" s="125">
        <f>((E680-G680)/2)/F680</f>
        <v/>
      </c>
      <c r="L680" s="125">
        <f>I680/G680</f>
        <v/>
      </c>
      <c r="M680" s="125">
        <f>(E680*2+F680*4+((E680-G680)/2-H680)*4+2*PI()*H680+(D680-2*F680-2*H680)*2)/1000</f>
        <v/>
      </c>
      <c r="N680" s="5" t="n">
        <v>407000</v>
      </c>
      <c r="O680" s="5" t="n">
        <v>22900</v>
      </c>
      <c r="P680" s="125" t="n">
        <v>32.4</v>
      </c>
      <c r="Q680" s="125" t="n">
        <v>7.7</v>
      </c>
      <c r="R680" s="5" t="n">
        <v>10200</v>
      </c>
      <c r="S680" s="5" t="n">
        <v>1310</v>
      </c>
      <c r="T680" s="5" t="n">
        <v>11700</v>
      </c>
      <c r="U680" s="5" t="n">
        <v>2050</v>
      </c>
      <c r="X680" s="129">
        <f t="array" ref="X680">_xlfn.IFS((D680/F680) &lt;= (640/SQRT($AT$32)), "Compact", L680 &lt;= ($AT$32*(0.79-(0.002*((E680-G680/2)/(2*F680))*SQRT($AT$32)))), "Non-Compact", L680 &gt; ($AT$32*(0.79-(0.002*((E680-G680/2)/(2*F680))*SQRT($AT$32)))), "Slender")</f>
        <v/>
      </c>
      <c r="Y680" s="129">
        <f t="array" ref="Y680">_xlfn.IFS(K680 &lt;= (65/SQRT($AT$32)), "Compact", K680 &lt;= (95/SQRT($AT$32)), "Non-Compact", K680 &gt; (95/SQRT($AT$32)), "Slender")</f>
        <v/>
      </c>
      <c r="Z680" s="125">
        <f>E680/F680</f>
        <v/>
      </c>
      <c r="AA680" s="125">
        <f>D680/G680</f>
        <v/>
      </c>
      <c r="AB680" s="125">
        <f t="array" ref="AB680">_xlfn.IFS(Z680 &lt;= 9, "1", Z680 &lt;= 12, "2", Z680 &lt;= 15, "3", Z680 &gt; 15, "4")</f>
        <v/>
      </c>
      <c r="AC680" s="125">
        <f t="array" ref="AC680">_xlfn.IFS(AA680 &lt;= 200, "1", L680 &lt;= 300, "2", L680 &lt;= 400, "3", L680 &gt; 400, "4")</f>
        <v/>
      </c>
      <c r="AF680" s="129">
        <f>SQRT((((VLOOKUP($AT$4,$A$4:$D$1021,4,FALSE))-D680)^2)+(((VLOOKUP($AT$4,$A$4:$E$1021,5,FALSE))-E680)^2)+(((VLOOKUP($AT$4,$A$4:$N$1021,14,FALSE))-N680)^2)+(((VLOOKUP($AT$4,$A$4:$O$1021,15,FALSE))-O680)^2))</f>
        <v/>
      </c>
      <c r="AG680" s="129" t="n"/>
      <c r="AI680" s="129">
        <f>SQRT((((VLOOKUP($AT$4,$A$4:$D$1021,4,FALSE))-D680)^2)+(((VLOOKUP($AT$4,$A$4:$E$1021,5,FALSE))-E680)^2)+(((VLOOKUP($AT$4,$A$4:$R$1021,18,FALSE))-R680)^2)+(((VLOOKUP($AT$4,$A$4:$S$1021,19,FALSE))-S680)^2))</f>
        <v/>
      </c>
      <c r="AJ680" s="125" t="inlineStr">
        <is>
          <t>HY800X305</t>
        </is>
      </c>
      <c r="AK680" s="125" t="n"/>
      <c r="AL680" s="125" t="n"/>
      <c r="AM680" s="125">
        <f>SQRT(((VLOOKUP($AT$4,$A$4:$J$1021,10,FALSE))-J680)^2)</f>
        <v/>
      </c>
      <c r="AN680" s="125" t="n"/>
      <c r="AO680" s="125" t="n"/>
      <c r="AP680" s="125">
        <f>SQRT(((VLOOKUP($AT$4,$A$4:$R$1021,18,FALSE))-R680)^2)</f>
        <v/>
      </c>
      <c r="AQ680" s="125" t="inlineStr">
        <is>
          <t>HY800X305</t>
        </is>
      </c>
      <c r="BB680" s="125">
        <f>SQRT(($J$1022-J680)^2)</f>
        <v/>
      </c>
      <c r="BC680" s="125">
        <f>SQRT(($R$1022-R680)^2)</f>
        <v/>
      </c>
      <c r="BD680" s="125" t="inlineStr">
        <is>
          <t>HY800X305</t>
        </is>
      </c>
      <c r="BI680">
        <f>SQRT(($J$1023-J680)^2)</f>
        <v/>
      </c>
      <c r="BJ680">
        <f>SQRT(($R$1023-R680)^2)</f>
        <v/>
      </c>
      <c r="BK680" s="125" t="inlineStr">
        <is>
          <t>HY800X305</t>
        </is>
      </c>
      <c r="BP680">
        <f>SQRT(($J$1024-J680)^2)</f>
        <v/>
      </c>
      <c r="BQ680">
        <f>SQRT(($R$1024-R680)^2)</f>
        <v/>
      </c>
      <c r="BR680" s="125" t="inlineStr">
        <is>
          <t>HY800X305</t>
        </is>
      </c>
      <c r="BW680">
        <f>SQRT(($J$1025-J680)^2)</f>
        <v/>
      </c>
      <c r="BX680">
        <f>SQRT(($R$1025-R680)^2)</f>
        <v/>
      </c>
      <c r="BY680" s="125" t="inlineStr">
        <is>
          <t>HY800X305</t>
        </is>
      </c>
      <c r="CD680">
        <f>SQRT(($J$1026-J680)^2)</f>
        <v/>
      </c>
      <c r="CE680">
        <f>SQRT(($R$1026-R680)^2)</f>
        <v/>
      </c>
      <c r="CF680" s="125" t="inlineStr">
        <is>
          <t>HY800X305</t>
        </is>
      </c>
    </row>
    <row r="681">
      <c r="A681" s="125" t="inlineStr">
        <is>
          <t>HY800X285</t>
        </is>
      </c>
      <c r="B681" s="129" t="inlineStr">
        <is>
          <t>HY</t>
        </is>
      </c>
      <c r="C681" s="125" t="n">
        <v>285</v>
      </c>
      <c r="D681" s="125" t="n">
        <v>800</v>
      </c>
      <c r="E681" s="125" t="n">
        <v>350</v>
      </c>
      <c r="F681" s="125" t="n">
        <v>28</v>
      </c>
      <c r="G681" s="125" t="n">
        <v>22</v>
      </c>
      <c r="H681" s="125" t="n">
        <v>18</v>
      </c>
      <c r="I681" s="125">
        <f>D681-(2*(H681+F681))</f>
        <v/>
      </c>
      <c r="J681" s="125">
        <f>(2*E681/10*F681/10)+((D681-F681-F681)/10*G681/10)+((H681/10+H681/10)^2)-(PI()*H681/10*H681/10)</f>
        <v/>
      </c>
      <c r="K681" s="125">
        <f>((E681-G681)/2)/F681</f>
        <v/>
      </c>
      <c r="L681" s="125">
        <f>I681/G681</f>
        <v/>
      </c>
      <c r="M681" s="125">
        <f>(E681*2+F681*4+((E681-G681)/2-H681)*4+2*PI()*H681+(D681-2*F681-2*H681)*2)/1000</f>
        <v/>
      </c>
      <c r="N681" s="5" t="n">
        <v>371000</v>
      </c>
      <c r="O681" s="5" t="n">
        <v>20100</v>
      </c>
      <c r="P681" s="125" t="n">
        <v>32</v>
      </c>
      <c r="Q681" s="125" t="n">
        <v>7.4</v>
      </c>
      <c r="R681" s="5" t="n">
        <v>9290</v>
      </c>
      <c r="S681" s="5" t="n">
        <v>1150</v>
      </c>
      <c r="T681" s="5" t="n">
        <v>10700</v>
      </c>
      <c r="U681" s="5" t="n">
        <v>1810</v>
      </c>
      <c r="X681" s="129">
        <f t="array" ref="X681">_xlfn.IFS((D681/F681) &lt;= (640/SQRT($AT$32)), "Compact", L681 &lt;= ($AT$32*(0.79-(0.002*((E681-G681/2)/(2*F681))*SQRT($AT$32)))), "Non-Compact", L681 &gt; ($AT$32*(0.79-(0.002*((E681-G681/2)/(2*F681))*SQRT($AT$32)))), "Slender")</f>
        <v/>
      </c>
      <c r="Y681" s="129">
        <f t="array" ref="Y681">_xlfn.IFS(K681 &lt;= (65/SQRT($AT$32)), "Compact", K681 &lt;= (95/SQRT($AT$32)), "Non-Compact", K681 &gt; (95/SQRT($AT$32)), "Slender")</f>
        <v/>
      </c>
      <c r="Z681" s="125">
        <f>E681/F681</f>
        <v/>
      </c>
      <c r="AA681" s="125">
        <f>D681/G681</f>
        <v/>
      </c>
      <c r="AB681" s="125">
        <f t="array" ref="AB681">_xlfn.IFS(Z681 &lt;= 9, "1", Z681 &lt;= 12, "2", Z681 &lt;= 15, "3", Z681 &gt; 15, "4")</f>
        <v/>
      </c>
      <c r="AC681" s="125">
        <f t="array" ref="AC681">_xlfn.IFS(AA681 &lt;= 200, "1", L681 &lt;= 300, "2", L681 &lt;= 400, "3", L681 &gt; 400, "4")</f>
        <v/>
      </c>
      <c r="AF681" s="129">
        <f>SQRT((((VLOOKUP($AT$4,$A$4:$D$1021,4,FALSE))-D681)^2)+(((VLOOKUP($AT$4,$A$4:$E$1021,5,FALSE))-E681)^2)+(((VLOOKUP($AT$4,$A$4:$N$1021,14,FALSE))-N681)^2)+(((VLOOKUP($AT$4,$A$4:$O$1021,15,FALSE))-O681)^2))</f>
        <v/>
      </c>
      <c r="AG681" s="129" t="n"/>
      <c r="AI681" s="129">
        <f>SQRT((((VLOOKUP($AT$4,$A$4:$D$1021,4,FALSE))-D681)^2)+(((VLOOKUP($AT$4,$A$4:$E$1021,5,FALSE))-E681)^2)+(((VLOOKUP($AT$4,$A$4:$R$1021,18,FALSE))-R681)^2)+(((VLOOKUP($AT$4,$A$4:$S$1021,19,FALSE))-S681)^2))</f>
        <v/>
      </c>
      <c r="AJ681" s="125" t="inlineStr">
        <is>
          <t>HY800X285</t>
        </is>
      </c>
      <c r="AK681" s="125" t="n"/>
      <c r="AL681" s="125" t="n"/>
      <c r="AM681" s="125">
        <f>SQRT(((VLOOKUP($AT$4,$A$4:$J$1021,10,FALSE))-J681)^2)</f>
        <v/>
      </c>
      <c r="AN681" s="125" t="n"/>
      <c r="AO681" s="125" t="n"/>
      <c r="AP681" s="125">
        <f>SQRT(((VLOOKUP($AT$4,$A$4:$R$1021,18,FALSE))-R681)^2)</f>
        <v/>
      </c>
      <c r="AQ681" s="125" t="inlineStr">
        <is>
          <t>HY800X285</t>
        </is>
      </c>
      <c r="BB681" s="125">
        <f>SQRT(($J$1022-J681)^2)</f>
        <v/>
      </c>
      <c r="BC681" s="125">
        <f>SQRT(($R$1022-R681)^2)</f>
        <v/>
      </c>
      <c r="BD681" s="125" t="inlineStr">
        <is>
          <t>HY800X285</t>
        </is>
      </c>
      <c r="BI681">
        <f>SQRT(($J$1023-J681)^2)</f>
        <v/>
      </c>
      <c r="BJ681">
        <f>SQRT(($R$1023-R681)^2)</f>
        <v/>
      </c>
      <c r="BK681" s="125" t="inlineStr">
        <is>
          <t>HY800X285</t>
        </is>
      </c>
      <c r="BP681">
        <f>SQRT(($J$1024-J681)^2)</f>
        <v/>
      </c>
      <c r="BQ681">
        <f>SQRT(($R$1024-R681)^2)</f>
        <v/>
      </c>
      <c r="BR681" s="125" t="inlineStr">
        <is>
          <t>HY800X285</t>
        </is>
      </c>
      <c r="BW681">
        <f>SQRT(($J$1025-J681)^2)</f>
        <v/>
      </c>
      <c r="BX681">
        <f>SQRT(($R$1025-R681)^2)</f>
        <v/>
      </c>
      <c r="BY681" s="125" t="inlineStr">
        <is>
          <t>HY800X285</t>
        </is>
      </c>
      <c r="CD681">
        <f>SQRT(($J$1026-J681)^2)</f>
        <v/>
      </c>
      <c r="CE681">
        <f>SQRT(($R$1026-R681)^2)</f>
        <v/>
      </c>
      <c r="CF681" s="125" t="inlineStr">
        <is>
          <t>HY800X285</t>
        </is>
      </c>
    </row>
    <row r="682">
      <c r="A682" s="125" t="inlineStr">
        <is>
          <t>HY800X329</t>
        </is>
      </c>
      <c r="B682" s="129" t="inlineStr">
        <is>
          <t>HY</t>
        </is>
      </c>
      <c r="C682" s="125" t="n">
        <v>329</v>
      </c>
      <c r="D682" s="125" t="n">
        <v>800</v>
      </c>
      <c r="E682" s="125" t="n">
        <v>350</v>
      </c>
      <c r="F682" s="125" t="n">
        <v>40</v>
      </c>
      <c r="G682" s="125" t="n">
        <v>19</v>
      </c>
      <c r="H682" s="125" t="n">
        <v>18</v>
      </c>
      <c r="I682" s="125">
        <f>D682-(2*(H682+F682))</f>
        <v/>
      </c>
      <c r="J682" s="125">
        <f>(2*E682/10*F682/10)+((D682-F682-F682)/10*G682/10)+((H682/10+H682/10)^2)-(PI()*H682/10*H682/10)</f>
        <v/>
      </c>
      <c r="K682" s="125">
        <f>((E682-G682)/2)/F682</f>
        <v/>
      </c>
      <c r="L682" s="125">
        <f>I682/G682</f>
        <v/>
      </c>
      <c r="M682" s="125">
        <f>(E682*2+F682*4+((E682-G682)/2-H682)*4+2*PI()*H682+(D682-2*F682-2*H682)*2)/1000</f>
        <v/>
      </c>
      <c r="N682" s="5" t="n">
        <v>467000</v>
      </c>
      <c r="O682" s="5" t="n">
        <v>28600</v>
      </c>
      <c r="P682" s="125" t="n">
        <v>33.4</v>
      </c>
      <c r="Q682" s="125" t="n">
        <v>8.300000000000001</v>
      </c>
      <c r="R682" s="5" t="n">
        <v>11700</v>
      </c>
      <c r="S682" s="5" t="n">
        <v>1640</v>
      </c>
      <c r="T682" s="5" t="n">
        <v>13200</v>
      </c>
      <c r="U682" s="5" t="n">
        <v>2520</v>
      </c>
      <c r="X682" s="129">
        <f t="array" ref="X682">_xlfn.IFS((D682/F682) &lt;= (640/SQRT($AT$32)), "Compact", L682 &lt;= ($AT$32*(0.79-(0.002*((E682-G682/2)/(2*F682))*SQRT($AT$32)))), "Non-Compact", L682 &gt; ($AT$32*(0.79-(0.002*((E682-G682/2)/(2*F682))*SQRT($AT$32)))), "Slender")</f>
        <v/>
      </c>
      <c r="Y682" s="129">
        <f t="array" ref="Y682">_xlfn.IFS(K682 &lt;= (65/SQRT($AT$32)), "Compact", K682 &lt;= (95/SQRT($AT$32)), "Non-Compact", K682 &gt; (95/SQRT($AT$32)), "Slender")</f>
        <v/>
      </c>
      <c r="Z682" s="125">
        <f>E682/F682</f>
        <v/>
      </c>
      <c r="AA682" s="125">
        <f>D682/G682</f>
        <v/>
      </c>
      <c r="AB682" s="125">
        <f t="array" ref="AB682">_xlfn.IFS(Z682 &lt;= 9, "1", Z682 &lt;= 12, "2", Z682 &lt;= 15, "3", Z682 &gt; 15, "4")</f>
        <v/>
      </c>
      <c r="AC682" s="125">
        <f t="array" ref="AC682">_xlfn.IFS(AA682 &lt;= 200, "1", L682 &lt;= 300, "2", L682 &lt;= 400, "3", L682 &gt; 400, "4")</f>
        <v/>
      </c>
      <c r="AF682" s="129">
        <f>SQRT((((VLOOKUP($AT$4,$A$4:$D$1021,4,FALSE))-D682)^2)+(((VLOOKUP($AT$4,$A$4:$E$1021,5,FALSE))-E682)^2)+(((VLOOKUP($AT$4,$A$4:$N$1021,14,FALSE))-N682)^2)+(((VLOOKUP($AT$4,$A$4:$O$1021,15,FALSE))-O682)^2))</f>
        <v/>
      </c>
      <c r="AG682" s="129" t="n"/>
      <c r="AI682" s="129">
        <f>SQRT((((VLOOKUP($AT$4,$A$4:$D$1021,4,FALSE))-D682)^2)+(((VLOOKUP($AT$4,$A$4:$E$1021,5,FALSE))-E682)^2)+(((VLOOKUP($AT$4,$A$4:$R$1021,18,FALSE))-R682)^2)+(((VLOOKUP($AT$4,$A$4:$S$1021,19,FALSE))-S682)^2))</f>
        <v/>
      </c>
      <c r="AJ682" s="125" t="inlineStr">
        <is>
          <t>HY800X329</t>
        </is>
      </c>
      <c r="AK682" s="125" t="n"/>
      <c r="AL682" s="125" t="n"/>
      <c r="AM682" s="125">
        <f>SQRT(((VLOOKUP($AT$4,$A$4:$J$1021,10,FALSE))-J682)^2)</f>
        <v/>
      </c>
      <c r="AN682" s="125" t="n"/>
      <c r="AO682" s="125" t="n"/>
      <c r="AP682" s="125">
        <f>SQRT(((VLOOKUP($AT$4,$A$4:$R$1021,18,FALSE))-R682)^2)</f>
        <v/>
      </c>
      <c r="AQ682" s="125" t="inlineStr">
        <is>
          <t>HY800X329</t>
        </is>
      </c>
      <c r="BB682" s="125">
        <f>SQRT(($J$1022-J682)^2)</f>
        <v/>
      </c>
      <c r="BC682" s="125">
        <f>SQRT(($R$1022-R682)^2)</f>
        <v/>
      </c>
      <c r="BD682" s="125" t="inlineStr">
        <is>
          <t>HY800X329</t>
        </is>
      </c>
      <c r="BI682">
        <f>SQRT(($J$1023-J682)^2)</f>
        <v/>
      </c>
      <c r="BJ682">
        <f>SQRT(($R$1023-R682)^2)</f>
        <v/>
      </c>
      <c r="BK682" s="125" t="inlineStr">
        <is>
          <t>HY800X329</t>
        </is>
      </c>
      <c r="BP682">
        <f>SQRT(($J$1024-J682)^2)</f>
        <v/>
      </c>
      <c r="BQ682">
        <f>SQRT(($R$1024-R682)^2)</f>
        <v/>
      </c>
      <c r="BR682" s="125" t="inlineStr">
        <is>
          <t>HY800X329</t>
        </is>
      </c>
      <c r="BW682">
        <f>SQRT(($J$1025-J682)^2)</f>
        <v/>
      </c>
      <c r="BX682">
        <f>SQRT(($R$1025-R682)^2)</f>
        <v/>
      </c>
      <c r="BY682" s="125" t="inlineStr">
        <is>
          <t>HY800X329</t>
        </is>
      </c>
      <c r="CD682">
        <f>SQRT(($J$1026-J682)^2)</f>
        <v/>
      </c>
      <c r="CE682">
        <f>SQRT(($R$1026-R682)^2)</f>
        <v/>
      </c>
      <c r="CF682" s="125" t="inlineStr">
        <is>
          <t>HY800X329</t>
        </is>
      </c>
    </row>
    <row r="683">
      <c r="A683" s="125" t="inlineStr">
        <is>
          <t>HY800X309</t>
        </is>
      </c>
      <c r="B683" s="129" t="inlineStr">
        <is>
          <t>HY</t>
        </is>
      </c>
      <c r="C683" s="125" t="n">
        <v>309</v>
      </c>
      <c r="D683" s="125" t="n">
        <v>800</v>
      </c>
      <c r="E683" s="125" t="n">
        <v>350</v>
      </c>
      <c r="F683" s="125" t="n">
        <v>36</v>
      </c>
      <c r="G683" s="125" t="n">
        <v>19</v>
      </c>
      <c r="H683" s="125" t="n">
        <v>18</v>
      </c>
      <c r="I683" s="125">
        <f>D683-(2*(H683+F683))</f>
        <v/>
      </c>
      <c r="J683" s="125">
        <f>(2*E683/10*F683/10)+((D683-F683-F683)/10*G683/10)+((H683/10+H683/10)^2)-(PI()*H683/10*H683/10)</f>
        <v/>
      </c>
      <c r="K683" s="125">
        <f>((E683-G683)/2)/F683</f>
        <v/>
      </c>
      <c r="L683" s="125">
        <f>I683/G683</f>
        <v/>
      </c>
      <c r="M683" s="125">
        <f>(E683*2+F683*4+((E683-G683)/2-H683)*4+2*PI()*H683+(D683-2*F683-2*H683)*2)/1000</f>
        <v/>
      </c>
      <c r="N683" s="5" t="n">
        <v>433000</v>
      </c>
      <c r="O683" s="5" t="n">
        <v>25800</v>
      </c>
      <c r="P683" s="125" t="n">
        <v>33.2</v>
      </c>
      <c r="Q683" s="125" t="n">
        <v>8.1</v>
      </c>
      <c r="R683" s="5" t="n">
        <v>10800</v>
      </c>
      <c r="S683" s="5" t="n">
        <v>1470</v>
      </c>
      <c r="T683" s="5" t="n">
        <v>12200</v>
      </c>
      <c r="U683" s="5" t="n">
        <v>2270</v>
      </c>
      <c r="X683" s="129">
        <f t="array" ref="X683">_xlfn.IFS((D683/F683) &lt;= (640/SQRT($AT$32)), "Compact", L683 &lt;= ($AT$32*(0.79-(0.002*((E683-G683/2)/(2*F683))*SQRT($AT$32)))), "Non-Compact", L683 &gt; ($AT$32*(0.79-(0.002*((E683-G683/2)/(2*F683))*SQRT($AT$32)))), "Slender")</f>
        <v/>
      </c>
      <c r="Y683" s="129">
        <f t="array" ref="Y683">_xlfn.IFS(K683 &lt;= (65/SQRT($AT$32)), "Compact", K683 &lt;= (95/SQRT($AT$32)), "Non-Compact", K683 &gt; (95/SQRT($AT$32)), "Slender")</f>
        <v/>
      </c>
      <c r="Z683" s="125">
        <f>E683/F683</f>
        <v/>
      </c>
      <c r="AA683" s="125">
        <f>D683/G683</f>
        <v/>
      </c>
      <c r="AB683" s="125">
        <f t="array" ref="AB683">_xlfn.IFS(Z683 &lt;= 9, "1", Z683 &lt;= 12, "2", Z683 &lt;= 15, "3", Z683 &gt; 15, "4")</f>
        <v/>
      </c>
      <c r="AC683" s="125">
        <f t="array" ref="AC683">_xlfn.IFS(AA683 &lt;= 200, "1", L683 &lt;= 300, "2", L683 &lt;= 400, "3", L683 &gt; 400, "4")</f>
        <v/>
      </c>
      <c r="AF683" s="129">
        <f>SQRT((((VLOOKUP($AT$4,$A$4:$D$1021,4,FALSE))-D683)^2)+(((VLOOKUP($AT$4,$A$4:$E$1021,5,FALSE))-E683)^2)+(((VLOOKUP($AT$4,$A$4:$N$1021,14,FALSE))-N683)^2)+(((VLOOKUP($AT$4,$A$4:$O$1021,15,FALSE))-O683)^2))</f>
        <v/>
      </c>
      <c r="AG683" s="129" t="n"/>
      <c r="AI683" s="129">
        <f>SQRT((((VLOOKUP($AT$4,$A$4:$D$1021,4,FALSE))-D683)^2)+(((VLOOKUP($AT$4,$A$4:$E$1021,5,FALSE))-E683)^2)+(((VLOOKUP($AT$4,$A$4:$R$1021,18,FALSE))-R683)^2)+(((VLOOKUP($AT$4,$A$4:$S$1021,19,FALSE))-S683)^2))</f>
        <v/>
      </c>
      <c r="AJ683" s="125" t="inlineStr">
        <is>
          <t>HY800X309</t>
        </is>
      </c>
      <c r="AK683" s="125" t="n"/>
      <c r="AL683" s="125" t="n"/>
      <c r="AM683" s="125">
        <f>SQRT(((VLOOKUP($AT$4,$A$4:$J$1021,10,FALSE))-J683)^2)</f>
        <v/>
      </c>
      <c r="AN683" s="125" t="n"/>
      <c r="AO683" s="125" t="n"/>
      <c r="AP683" s="125">
        <f>SQRT(((VLOOKUP($AT$4,$A$4:$R$1021,18,FALSE))-R683)^2)</f>
        <v/>
      </c>
      <c r="AQ683" s="125" t="inlineStr">
        <is>
          <t>HY800X309</t>
        </is>
      </c>
      <c r="BB683" s="125">
        <f>SQRT(($J$1022-J683)^2)</f>
        <v/>
      </c>
      <c r="BC683" s="125">
        <f>SQRT(($R$1022-R683)^2)</f>
        <v/>
      </c>
      <c r="BD683" s="125" t="inlineStr">
        <is>
          <t>HY800X309</t>
        </is>
      </c>
      <c r="BI683">
        <f>SQRT(($J$1023-J683)^2)</f>
        <v/>
      </c>
      <c r="BJ683">
        <f>SQRT(($R$1023-R683)^2)</f>
        <v/>
      </c>
      <c r="BK683" s="125" t="inlineStr">
        <is>
          <t>HY800X309</t>
        </is>
      </c>
      <c r="BP683">
        <f>SQRT(($J$1024-J683)^2)</f>
        <v/>
      </c>
      <c r="BQ683">
        <f>SQRT(($R$1024-R683)^2)</f>
        <v/>
      </c>
      <c r="BR683" s="125" t="inlineStr">
        <is>
          <t>HY800X309</t>
        </is>
      </c>
      <c r="BW683">
        <f>SQRT(($J$1025-J683)^2)</f>
        <v/>
      </c>
      <c r="BX683">
        <f>SQRT(($R$1025-R683)^2)</f>
        <v/>
      </c>
      <c r="BY683" s="125" t="inlineStr">
        <is>
          <t>HY800X309</t>
        </is>
      </c>
      <c r="CD683">
        <f>SQRT(($J$1026-J683)^2)</f>
        <v/>
      </c>
      <c r="CE683">
        <f>SQRT(($R$1026-R683)^2)</f>
        <v/>
      </c>
      <c r="CF683" s="125" t="inlineStr">
        <is>
          <t>HY800X309</t>
        </is>
      </c>
    </row>
    <row r="684">
      <c r="A684" s="125" t="inlineStr">
        <is>
          <t>HY800X288</t>
        </is>
      </c>
      <c r="B684" s="129" t="inlineStr">
        <is>
          <t>HY</t>
        </is>
      </c>
      <c r="C684" s="125" t="n">
        <v>288</v>
      </c>
      <c r="D684" s="125" t="n">
        <v>800</v>
      </c>
      <c r="E684" s="125" t="n">
        <v>350</v>
      </c>
      <c r="F684" s="125" t="n">
        <v>32</v>
      </c>
      <c r="G684" s="125" t="n">
        <v>19</v>
      </c>
      <c r="H684" s="125" t="n">
        <v>18</v>
      </c>
      <c r="I684" s="125">
        <f>D684-(2*(H684+F684))</f>
        <v/>
      </c>
      <c r="J684" s="125">
        <f>(2*E684/10*F684/10)+((D684-F684-F684)/10*G684/10)+((H684/10+H684/10)^2)-(PI()*H684/10*H684/10)</f>
        <v/>
      </c>
      <c r="K684" s="125">
        <f>((E684-G684)/2)/F684</f>
        <v/>
      </c>
      <c r="L684" s="125">
        <f>I684/G684</f>
        <v/>
      </c>
      <c r="M684" s="125">
        <f>(E684*2+F684*4+((E684-G684)/2-H684)*4+2*PI()*H684+(D684-2*F684-2*H684)*2)/1000</f>
        <v/>
      </c>
      <c r="N684" s="5" t="n">
        <v>397000</v>
      </c>
      <c r="O684" s="5" t="n">
        <v>22900</v>
      </c>
      <c r="P684" s="125" t="n">
        <v>32.9</v>
      </c>
      <c r="Q684" s="125" t="n">
        <v>7.9</v>
      </c>
      <c r="R684" s="5" t="n">
        <v>9930</v>
      </c>
      <c r="S684" s="5" t="n">
        <v>1310</v>
      </c>
      <c r="T684" s="5" t="n">
        <v>11300</v>
      </c>
      <c r="U684" s="5" t="n">
        <v>2030</v>
      </c>
      <c r="X684" s="129">
        <f t="array" ref="X684">_xlfn.IFS((D684/F684) &lt;= (640/SQRT($AT$32)), "Compact", L684 &lt;= ($AT$32*(0.79-(0.002*((E684-G684/2)/(2*F684))*SQRT($AT$32)))), "Non-Compact", L684 &gt; ($AT$32*(0.79-(0.002*((E684-G684/2)/(2*F684))*SQRT($AT$32)))), "Slender")</f>
        <v/>
      </c>
      <c r="Y684" s="129">
        <f t="array" ref="Y684">_xlfn.IFS(K684 &lt;= (65/SQRT($AT$32)), "Compact", K684 &lt;= (95/SQRT($AT$32)), "Non-Compact", K684 &gt; (95/SQRT($AT$32)), "Slender")</f>
        <v/>
      </c>
      <c r="Z684" s="125">
        <f>E684/F684</f>
        <v/>
      </c>
      <c r="AA684" s="125">
        <f>D684/G684</f>
        <v/>
      </c>
      <c r="AB684" s="125">
        <f t="array" ref="AB684">_xlfn.IFS(Z684 &lt;= 9, "1", Z684 &lt;= 12, "2", Z684 &lt;= 15, "3", Z684 &gt; 15, "4")</f>
        <v/>
      </c>
      <c r="AC684" s="125">
        <f t="array" ref="AC684">_xlfn.IFS(AA684 &lt;= 200, "1", L684 &lt;= 300, "2", L684 &lt;= 400, "3", L684 &gt; 400, "4")</f>
        <v/>
      </c>
      <c r="AF684" s="129">
        <f>SQRT((((VLOOKUP($AT$4,$A$4:$D$1021,4,FALSE))-D684)^2)+(((VLOOKUP($AT$4,$A$4:$E$1021,5,FALSE))-E684)^2)+(((VLOOKUP($AT$4,$A$4:$N$1021,14,FALSE))-N684)^2)+(((VLOOKUP($AT$4,$A$4:$O$1021,15,FALSE))-O684)^2))</f>
        <v/>
      </c>
      <c r="AG684" s="129" t="n"/>
      <c r="AI684" s="129">
        <f>SQRT((((VLOOKUP($AT$4,$A$4:$D$1021,4,FALSE))-D684)^2)+(((VLOOKUP($AT$4,$A$4:$E$1021,5,FALSE))-E684)^2)+(((VLOOKUP($AT$4,$A$4:$R$1021,18,FALSE))-R684)^2)+(((VLOOKUP($AT$4,$A$4:$S$1021,19,FALSE))-S684)^2))</f>
        <v/>
      </c>
      <c r="AJ684" s="125" t="inlineStr">
        <is>
          <t>HY800X288</t>
        </is>
      </c>
      <c r="AK684" s="125" t="n"/>
      <c r="AL684" s="125" t="n"/>
      <c r="AM684" s="125">
        <f>SQRT(((VLOOKUP($AT$4,$A$4:$J$1021,10,FALSE))-J684)^2)</f>
        <v/>
      </c>
      <c r="AN684" s="125" t="n"/>
      <c r="AO684" s="125" t="n"/>
      <c r="AP684" s="125">
        <f>SQRT(((VLOOKUP($AT$4,$A$4:$R$1021,18,FALSE))-R684)^2)</f>
        <v/>
      </c>
      <c r="AQ684" s="125" t="inlineStr">
        <is>
          <t>HY800X288</t>
        </is>
      </c>
      <c r="BB684" s="125">
        <f>SQRT(($J$1022-J684)^2)</f>
        <v/>
      </c>
      <c r="BC684" s="125">
        <f>SQRT(($R$1022-R684)^2)</f>
        <v/>
      </c>
      <c r="BD684" s="125" t="inlineStr">
        <is>
          <t>HY800X288</t>
        </is>
      </c>
      <c r="BI684">
        <f>SQRT(($J$1023-J684)^2)</f>
        <v/>
      </c>
      <c r="BJ684">
        <f>SQRT(($R$1023-R684)^2)</f>
        <v/>
      </c>
      <c r="BK684" s="125" t="inlineStr">
        <is>
          <t>HY800X288</t>
        </is>
      </c>
      <c r="BP684">
        <f>SQRT(($J$1024-J684)^2)</f>
        <v/>
      </c>
      <c r="BQ684">
        <f>SQRT(($R$1024-R684)^2)</f>
        <v/>
      </c>
      <c r="BR684" s="125" t="inlineStr">
        <is>
          <t>HY800X288</t>
        </is>
      </c>
      <c r="BW684">
        <f>SQRT(($J$1025-J684)^2)</f>
        <v/>
      </c>
      <c r="BX684">
        <f>SQRT(($R$1025-R684)^2)</f>
        <v/>
      </c>
      <c r="BY684" s="125" t="inlineStr">
        <is>
          <t>HY800X288</t>
        </is>
      </c>
      <c r="CD684">
        <f>SQRT(($J$1026-J684)^2)</f>
        <v/>
      </c>
      <c r="CE684">
        <f>SQRT(($R$1026-R684)^2)</f>
        <v/>
      </c>
      <c r="CF684" s="125" t="inlineStr">
        <is>
          <t>HY800X288</t>
        </is>
      </c>
    </row>
    <row r="685">
      <c r="A685" s="125" t="inlineStr">
        <is>
          <t>HY800X267</t>
        </is>
      </c>
      <c r="B685" s="129" t="inlineStr">
        <is>
          <t>HY</t>
        </is>
      </c>
      <c r="C685" s="125" t="n">
        <v>267</v>
      </c>
      <c r="D685" s="125" t="n">
        <v>800</v>
      </c>
      <c r="E685" s="125" t="n">
        <v>350</v>
      </c>
      <c r="F685" s="125" t="n">
        <v>28</v>
      </c>
      <c r="G685" s="125" t="n">
        <v>19</v>
      </c>
      <c r="H685" s="125" t="n">
        <v>18</v>
      </c>
      <c r="I685" s="125">
        <f>D685-(2*(H685+F685))</f>
        <v/>
      </c>
      <c r="J685" s="125">
        <f>(2*E685/10*F685/10)+((D685-F685-F685)/10*G685/10)+((H685/10+H685/10)^2)-(PI()*H685/10*H685/10)</f>
        <v/>
      </c>
      <c r="K685" s="125">
        <f>((E685-G685)/2)/F685</f>
        <v/>
      </c>
      <c r="L685" s="125">
        <f>I685/G685</f>
        <v/>
      </c>
      <c r="M685" s="125">
        <f>(E685*2+F685*4+((E685-G685)/2-H685)*4+2*PI()*H685+(D685-2*F685-2*H685)*2)/1000</f>
        <v/>
      </c>
      <c r="N685" s="5" t="n">
        <v>361000</v>
      </c>
      <c r="O685" s="5" t="n">
        <v>20100</v>
      </c>
      <c r="P685" s="125" t="n">
        <v>32.6</v>
      </c>
      <c r="Q685" s="125" t="n">
        <v>7.7</v>
      </c>
      <c r="R685" s="5" t="n">
        <v>9030</v>
      </c>
      <c r="S685" s="5" t="n">
        <v>1150</v>
      </c>
      <c r="T685" s="5" t="n">
        <v>10300</v>
      </c>
      <c r="U685" s="5" t="n">
        <v>1790</v>
      </c>
      <c r="X685" s="129">
        <f t="array" ref="X685">_xlfn.IFS((D685/F685) &lt;= (640/SQRT($AT$32)), "Compact", L685 &lt;= ($AT$32*(0.79-(0.002*((E685-G685/2)/(2*F685))*SQRT($AT$32)))), "Non-Compact", L685 &gt; ($AT$32*(0.79-(0.002*((E685-G685/2)/(2*F685))*SQRT($AT$32)))), "Slender")</f>
        <v/>
      </c>
      <c r="Y685" s="129">
        <f t="array" ref="Y685">_xlfn.IFS(K685 &lt;= (65/SQRT($AT$32)), "Compact", K685 &lt;= (95/SQRT($AT$32)), "Non-Compact", K685 &gt; (95/SQRT($AT$32)), "Slender")</f>
        <v/>
      </c>
      <c r="Z685" s="125">
        <f>E685/F685</f>
        <v/>
      </c>
      <c r="AA685" s="125">
        <f>D685/G685</f>
        <v/>
      </c>
      <c r="AB685" s="125">
        <f t="array" ref="AB685">_xlfn.IFS(Z685 &lt;= 9, "1", Z685 &lt;= 12, "2", Z685 &lt;= 15, "3", Z685 &gt; 15, "4")</f>
        <v/>
      </c>
      <c r="AC685" s="125">
        <f t="array" ref="AC685">_xlfn.IFS(AA685 &lt;= 200, "1", L685 &lt;= 300, "2", L685 &lt;= 400, "3", L685 &gt; 400, "4")</f>
        <v/>
      </c>
      <c r="AF685" s="129">
        <f>SQRT((((VLOOKUP($AT$4,$A$4:$D$1021,4,FALSE))-D685)^2)+(((VLOOKUP($AT$4,$A$4:$E$1021,5,FALSE))-E685)^2)+(((VLOOKUP($AT$4,$A$4:$N$1021,14,FALSE))-N685)^2)+(((VLOOKUP($AT$4,$A$4:$O$1021,15,FALSE))-O685)^2))</f>
        <v/>
      </c>
      <c r="AG685" s="129" t="n"/>
      <c r="AI685" s="129">
        <f>SQRT((((VLOOKUP($AT$4,$A$4:$D$1021,4,FALSE))-D685)^2)+(((VLOOKUP($AT$4,$A$4:$E$1021,5,FALSE))-E685)^2)+(((VLOOKUP($AT$4,$A$4:$R$1021,18,FALSE))-R685)^2)+(((VLOOKUP($AT$4,$A$4:$S$1021,19,FALSE))-S685)^2))</f>
        <v/>
      </c>
      <c r="AJ685" s="125" t="inlineStr">
        <is>
          <t>HY800X267</t>
        </is>
      </c>
      <c r="AK685" s="125" t="n"/>
      <c r="AL685" s="125" t="n"/>
      <c r="AM685" s="125">
        <f>SQRT(((VLOOKUP($AT$4,$A$4:$J$1021,10,FALSE))-J685)^2)</f>
        <v/>
      </c>
      <c r="AN685" s="125" t="n"/>
      <c r="AO685" s="125" t="n"/>
      <c r="AP685" s="125">
        <f>SQRT(((VLOOKUP($AT$4,$A$4:$R$1021,18,FALSE))-R685)^2)</f>
        <v/>
      </c>
      <c r="AQ685" s="125" t="inlineStr">
        <is>
          <t>HY800X267</t>
        </is>
      </c>
      <c r="BB685" s="125">
        <f>SQRT(($J$1022-J685)^2)</f>
        <v/>
      </c>
      <c r="BC685" s="125">
        <f>SQRT(($R$1022-R685)^2)</f>
        <v/>
      </c>
      <c r="BD685" s="125" t="inlineStr">
        <is>
          <t>HY800X267</t>
        </is>
      </c>
      <c r="BI685">
        <f>SQRT(($J$1023-J685)^2)</f>
        <v/>
      </c>
      <c r="BJ685">
        <f>SQRT(($R$1023-R685)^2)</f>
        <v/>
      </c>
      <c r="BK685" s="125" t="inlineStr">
        <is>
          <t>HY800X267</t>
        </is>
      </c>
      <c r="BP685">
        <f>SQRT(($J$1024-J685)^2)</f>
        <v/>
      </c>
      <c r="BQ685">
        <f>SQRT(($R$1024-R685)^2)</f>
        <v/>
      </c>
      <c r="BR685" s="125" t="inlineStr">
        <is>
          <t>HY800X267</t>
        </is>
      </c>
      <c r="BW685">
        <f>SQRT(($J$1025-J685)^2)</f>
        <v/>
      </c>
      <c r="BX685">
        <f>SQRT(($R$1025-R685)^2)</f>
        <v/>
      </c>
      <c r="BY685" s="125" t="inlineStr">
        <is>
          <t>HY800X267</t>
        </is>
      </c>
      <c r="CD685">
        <f>SQRT(($J$1026-J685)^2)</f>
        <v/>
      </c>
      <c r="CE685">
        <f>SQRT(($R$1026-R685)^2)</f>
        <v/>
      </c>
      <c r="CF685" s="125" t="inlineStr">
        <is>
          <t>HY800X267</t>
        </is>
      </c>
    </row>
    <row r="686">
      <c r="A686" s="125" t="inlineStr">
        <is>
          <t>HY800X251</t>
        </is>
      </c>
      <c r="B686" s="129" t="inlineStr">
        <is>
          <t>HY</t>
        </is>
      </c>
      <c r="C686" s="125" t="n">
        <v>251</v>
      </c>
      <c r="D686" s="125" t="n">
        <v>800</v>
      </c>
      <c r="E686" s="125" t="n">
        <v>350</v>
      </c>
      <c r="F686" s="125" t="n">
        <v>25</v>
      </c>
      <c r="G686" s="125" t="n">
        <v>19</v>
      </c>
      <c r="H686" s="125" t="n">
        <v>18</v>
      </c>
      <c r="I686" s="125">
        <f>D686-(2*(H686+F686))</f>
        <v/>
      </c>
      <c r="J686" s="125">
        <f>(2*E686/10*F686/10)+((D686-F686-F686)/10*G686/10)+((H686/10+H686/10)^2)-(PI()*H686/10*H686/10)</f>
        <v/>
      </c>
      <c r="K686" s="125">
        <f>((E686-G686)/2)/F686</f>
        <v/>
      </c>
      <c r="L686" s="125">
        <f>I686/G686</f>
        <v/>
      </c>
      <c r="M686" s="125">
        <f>(E686*2+F686*4+((E686-G686)/2-H686)*4+2*PI()*H686+(D686-2*F686-2*H686)*2)/1000</f>
        <v/>
      </c>
      <c r="N686" s="5" t="n">
        <v>333000</v>
      </c>
      <c r="O686" s="5" t="n">
        <v>17900</v>
      </c>
      <c r="P686" s="125" t="n">
        <v>32.3</v>
      </c>
      <c r="Q686" s="125" t="n">
        <v>7.5</v>
      </c>
      <c r="R686" s="5" t="n">
        <v>8340</v>
      </c>
      <c r="S686" s="5" t="n">
        <v>1020</v>
      </c>
      <c r="T686" s="5" t="n">
        <v>9560</v>
      </c>
      <c r="U686" s="5" t="n">
        <v>1600</v>
      </c>
      <c r="X686" s="129">
        <f t="array" ref="X686">_xlfn.IFS((D686/F686) &lt;= (640/SQRT($AT$32)), "Compact", L686 &lt;= ($AT$32*(0.79-(0.002*((E686-G686/2)/(2*F686))*SQRT($AT$32)))), "Non-Compact", L686 &gt; ($AT$32*(0.79-(0.002*((E686-G686/2)/(2*F686))*SQRT($AT$32)))), "Slender")</f>
        <v/>
      </c>
      <c r="Y686" s="129">
        <f t="array" ref="Y686">_xlfn.IFS(K686 &lt;= (65/SQRT($AT$32)), "Compact", K686 &lt;= (95/SQRT($AT$32)), "Non-Compact", K686 &gt; (95/SQRT($AT$32)), "Slender")</f>
        <v/>
      </c>
      <c r="Z686" s="125">
        <f>E686/F686</f>
        <v/>
      </c>
      <c r="AA686" s="125">
        <f>D686/G686</f>
        <v/>
      </c>
      <c r="AB686" s="125">
        <f t="array" ref="AB686">_xlfn.IFS(Z686 &lt;= 9, "1", Z686 &lt;= 12, "2", Z686 &lt;= 15, "3", Z686 &gt; 15, "4")</f>
        <v/>
      </c>
      <c r="AC686" s="125">
        <f t="array" ref="AC686">_xlfn.IFS(AA686 &lt;= 200, "1", L686 &lt;= 300, "2", L686 &lt;= 400, "3", L686 &gt; 400, "4")</f>
        <v/>
      </c>
      <c r="AF686" s="129">
        <f>SQRT((((VLOOKUP($AT$4,$A$4:$D$1021,4,FALSE))-D686)^2)+(((VLOOKUP($AT$4,$A$4:$E$1021,5,FALSE))-E686)^2)+(((VLOOKUP($AT$4,$A$4:$N$1021,14,FALSE))-N686)^2)+(((VLOOKUP($AT$4,$A$4:$O$1021,15,FALSE))-O686)^2))</f>
        <v/>
      </c>
      <c r="AG686" s="129" t="n"/>
      <c r="AI686" s="129">
        <f>SQRT((((VLOOKUP($AT$4,$A$4:$D$1021,4,FALSE))-D686)^2)+(((VLOOKUP($AT$4,$A$4:$E$1021,5,FALSE))-E686)^2)+(((VLOOKUP($AT$4,$A$4:$R$1021,18,FALSE))-R686)^2)+(((VLOOKUP($AT$4,$A$4:$S$1021,19,FALSE))-S686)^2))</f>
        <v/>
      </c>
      <c r="AJ686" s="125" t="inlineStr">
        <is>
          <t>HY800X251</t>
        </is>
      </c>
      <c r="AK686" s="125" t="n"/>
      <c r="AL686" s="125" t="n"/>
      <c r="AM686" s="125">
        <f>SQRT(((VLOOKUP($AT$4,$A$4:$J$1021,10,FALSE))-J686)^2)</f>
        <v/>
      </c>
      <c r="AN686" s="125" t="n"/>
      <c r="AO686" s="125" t="n"/>
      <c r="AP686" s="125">
        <f>SQRT(((VLOOKUP($AT$4,$A$4:$R$1021,18,FALSE))-R686)^2)</f>
        <v/>
      </c>
      <c r="AQ686" s="125" t="inlineStr">
        <is>
          <t>HY800X251</t>
        </is>
      </c>
      <c r="BB686" s="125">
        <f>SQRT(($J$1022-J686)^2)</f>
        <v/>
      </c>
      <c r="BC686" s="125">
        <f>SQRT(($R$1022-R686)^2)</f>
        <v/>
      </c>
      <c r="BD686" s="125" t="inlineStr">
        <is>
          <t>HY800X251</t>
        </is>
      </c>
      <c r="BI686">
        <f>SQRT(($J$1023-J686)^2)</f>
        <v/>
      </c>
      <c r="BJ686">
        <f>SQRT(($R$1023-R686)^2)</f>
        <v/>
      </c>
      <c r="BK686" s="125" t="inlineStr">
        <is>
          <t>HY800X251</t>
        </is>
      </c>
      <c r="BP686">
        <f>SQRT(($J$1024-J686)^2)</f>
        <v/>
      </c>
      <c r="BQ686">
        <f>SQRT(($R$1024-R686)^2)</f>
        <v/>
      </c>
      <c r="BR686" s="125" t="inlineStr">
        <is>
          <t>HY800X251</t>
        </is>
      </c>
      <c r="BW686">
        <f>SQRT(($J$1025-J686)^2)</f>
        <v/>
      </c>
      <c r="BX686">
        <f>SQRT(($R$1025-R686)^2)</f>
        <v/>
      </c>
      <c r="BY686" s="125" t="inlineStr">
        <is>
          <t>HY800X251</t>
        </is>
      </c>
      <c r="CD686">
        <f>SQRT(($J$1026-J686)^2)</f>
        <v/>
      </c>
      <c r="CE686">
        <f>SQRT(($R$1026-R686)^2)</f>
        <v/>
      </c>
      <c r="CF686" s="125" t="inlineStr">
        <is>
          <t>HY800X251</t>
        </is>
      </c>
    </row>
    <row r="687">
      <c r="A687" s="125" t="inlineStr">
        <is>
          <t>HY800X291</t>
        </is>
      </c>
      <c r="B687" s="129" t="inlineStr">
        <is>
          <t>HY</t>
        </is>
      </c>
      <c r="C687" s="125" t="n">
        <v>291</v>
      </c>
      <c r="D687" s="125" t="n">
        <v>800</v>
      </c>
      <c r="E687" s="125" t="n">
        <v>350</v>
      </c>
      <c r="F687" s="125" t="n">
        <v>36</v>
      </c>
      <c r="G687" s="125" t="n">
        <v>16</v>
      </c>
      <c r="H687" s="125" t="n">
        <v>18</v>
      </c>
      <c r="I687" s="125">
        <f>D687-(2*(H687+F687))</f>
        <v/>
      </c>
      <c r="J687" s="125">
        <f>(2*E687/10*F687/10)+((D687-F687-F687)/10*G687/10)+((H687/10+H687/10)^2)-(PI()*H687/10*H687/10)</f>
        <v/>
      </c>
      <c r="K687" s="125">
        <f>((E687-G687)/2)/F687</f>
        <v/>
      </c>
      <c r="L687" s="125">
        <f>I687/G687</f>
        <v/>
      </c>
      <c r="M687" s="125">
        <f>(E687*2+F687*4+((E687-G687)/2-H687)*4+2*PI()*H687+(D687-2*F687-2*H687)*2)/1000</f>
        <v/>
      </c>
      <c r="N687" s="5" t="n">
        <v>423000</v>
      </c>
      <c r="O687" s="5" t="n">
        <v>25800</v>
      </c>
      <c r="P687" s="125" t="n">
        <v>33.8</v>
      </c>
      <c r="Q687" s="125" t="n">
        <v>8.300000000000001</v>
      </c>
      <c r="R687" s="5" t="n">
        <v>10600</v>
      </c>
      <c r="S687" s="5" t="n">
        <v>1470</v>
      </c>
      <c r="T687" s="5" t="n">
        <v>11800</v>
      </c>
      <c r="U687" s="5" t="n">
        <v>2250</v>
      </c>
      <c r="X687" s="129">
        <f t="array" ref="X687">_xlfn.IFS((D687/F687) &lt;= (640/SQRT($AT$32)), "Compact", L687 &lt;= ($AT$32*(0.79-(0.002*((E687-G687/2)/(2*F687))*SQRT($AT$32)))), "Non-Compact", L687 &gt; ($AT$32*(0.79-(0.002*((E687-G687/2)/(2*F687))*SQRT($AT$32)))), "Slender")</f>
        <v/>
      </c>
      <c r="Y687" s="129">
        <f t="array" ref="Y687">_xlfn.IFS(K687 &lt;= (65/SQRT($AT$32)), "Compact", K687 &lt;= (95/SQRT($AT$32)), "Non-Compact", K687 &gt; (95/SQRT($AT$32)), "Slender")</f>
        <v/>
      </c>
      <c r="Z687" s="125">
        <f>E687/F687</f>
        <v/>
      </c>
      <c r="AA687" s="125">
        <f>D687/G687</f>
        <v/>
      </c>
      <c r="AB687" s="125">
        <f t="array" ref="AB687">_xlfn.IFS(Z687 &lt;= 9, "1", Z687 &lt;= 12, "2", Z687 &lt;= 15, "3", Z687 &gt; 15, "4")</f>
        <v/>
      </c>
      <c r="AC687" s="125">
        <f t="array" ref="AC687">_xlfn.IFS(AA687 &lt;= 200, "1", L687 &lt;= 300, "2", L687 &lt;= 400, "3", L687 &gt; 400, "4")</f>
        <v/>
      </c>
      <c r="AF687" s="129">
        <f>SQRT((((VLOOKUP($AT$4,$A$4:$D$1021,4,FALSE))-D687)^2)+(((VLOOKUP($AT$4,$A$4:$E$1021,5,FALSE))-E687)^2)+(((VLOOKUP($AT$4,$A$4:$N$1021,14,FALSE))-N687)^2)+(((VLOOKUP($AT$4,$A$4:$O$1021,15,FALSE))-O687)^2))</f>
        <v/>
      </c>
      <c r="AG687" s="129" t="n"/>
      <c r="AI687" s="129">
        <f>SQRT((((VLOOKUP($AT$4,$A$4:$D$1021,4,FALSE))-D687)^2)+(((VLOOKUP($AT$4,$A$4:$E$1021,5,FALSE))-E687)^2)+(((VLOOKUP($AT$4,$A$4:$R$1021,18,FALSE))-R687)^2)+(((VLOOKUP($AT$4,$A$4:$S$1021,19,FALSE))-S687)^2))</f>
        <v/>
      </c>
      <c r="AJ687" s="125" t="inlineStr">
        <is>
          <t>HY800X291</t>
        </is>
      </c>
      <c r="AK687" s="125" t="n"/>
      <c r="AL687" s="125" t="n"/>
      <c r="AM687" s="125">
        <f>SQRT(((VLOOKUP($AT$4,$A$4:$J$1021,10,FALSE))-J687)^2)</f>
        <v/>
      </c>
      <c r="AN687" s="125" t="n"/>
      <c r="AO687" s="125" t="n"/>
      <c r="AP687" s="125">
        <f>SQRT(((VLOOKUP($AT$4,$A$4:$R$1021,18,FALSE))-R687)^2)</f>
        <v/>
      </c>
      <c r="AQ687" s="125" t="inlineStr">
        <is>
          <t>HY800X291</t>
        </is>
      </c>
      <c r="BB687" s="125">
        <f>SQRT(($J$1022-J687)^2)</f>
        <v/>
      </c>
      <c r="BC687" s="125">
        <f>SQRT(($R$1022-R687)^2)</f>
        <v/>
      </c>
      <c r="BD687" s="125" t="inlineStr">
        <is>
          <t>HY800X291</t>
        </is>
      </c>
      <c r="BI687">
        <f>SQRT(($J$1023-J687)^2)</f>
        <v/>
      </c>
      <c r="BJ687">
        <f>SQRT(($R$1023-R687)^2)</f>
        <v/>
      </c>
      <c r="BK687" s="125" t="inlineStr">
        <is>
          <t>HY800X291</t>
        </is>
      </c>
      <c r="BP687">
        <f>SQRT(($J$1024-J687)^2)</f>
        <v/>
      </c>
      <c r="BQ687">
        <f>SQRT(($R$1024-R687)^2)</f>
        <v/>
      </c>
      <c r="BR687" s="125" t="inlineStr">
        <is>
          <t>HY800X291</t>
        </is>
      </c>
      <c r="BW687">
        <f>SQRT(($J$1025-J687)^2)</f>
        <v/>
      </c>
      <c r="BX687">
        <f>SQRT(($R$1025-R687)^2)</f>
        <v/>
      </c>
      <c r="BY687" s="125" t="inlineStr">
        <is>
          <t>HY800X291</t>
        </is>
      </c>
      <c r="CD687">
        <f>SQRT(($J$1026-J687)^2)</f>
        <v/>
      </c>
      <c r="CE687">
        <f>SQRT(($R$1026-R687)^2)</f>
        <v/>
      </c>
      <c r="CF687" s="125" t="inlineStr">
        <is>
          <t>HY800X291</t>
        </is>
      </c>
    </row>
    <row r="688">
      <c r="A688" s="125" t="inlineStr">
        <is>
          <t>HY800X270</t>
        </is>
      </c>
      <c r="B688" s="129" t="inlineStr">
        <is>
          <t>HY</t>
        </is>
      </c>
      <c r="C688" s="125" t="n">
        <v>270</v>
      </c>
      <c r="D688" s="125" t="n">
        <v>800</v>
      </c>
      <c r="E688" s="125" t="n">
        <v>350</v>
      </c>
      <c r="F688" s="125" t="n">
        <v>32</v>
      </c>
      <c r="G688" s="125" t="n">
        <v>16</v>
      </c>
      <c r="H688" s="125" t="n">
        <v>18</v>
      </c>
      <c r="I688" s="125">
        <f>D688-(2*(H688+F688))</f>
        <v/>
      </c>
      <c r="J688" s="125">
        <f>(2*E688/10*F688/10)+((D688-F688-F688)/10*G688/10)+((H688/10+H688/10)^2)-(PI()*H688/10*H688/10)</f>
        <v/>
      </c>
      <c r="K688" s="125">
        <f>((E688-G688)/2)/F688</f>
        <v/>
      </c>
      <c r="L688" s="125">
        <f>I688/G688</f>
        <v/>
      </c>
      <c r="M688" s="125">
        <f>(E688*2+F688*4+((E688-G688)/2-H688)*4+2*PI()*H688+(D688-2*F688-2*H688)*2)/1000</f>
        <v/>
      </c>
      <c r="N688" s="5" t="n">
        <v>387000</v>
      </c>
      <c r="O688" s="5" t="n">
        <v>22900</v>
      </c>
      <c r="P688" s="125" t="n">
        <v>33.5</v>
      </c>
      <c r="Q688" s="125" t="n">
        <v>8.199999999999999</v>
      </c>
      <c r="R688" s="5" t="n">
        <v>9680</v>
      </c>
      <c r="S688" s="5" t="n">
        <v>1310</v>
      </c>
      <c r="T688" s="5" t="n">
        <v>10900</v>
      </c>
      <c r="U688" s="5" t="n">
        <v>2010</v>
      </c>
      <c r="X688" s="129">
        <f t="array" ref="X688">_xlfn.IFS((D688/F688) &lt;= (640/SQRT($AT$32)), "Compact", L688 &lt;= ($AT$32*(0.79-(0.002*((E688-G688/2)/(2*F688))*SQRT($AT$32)))), "Non-Compact", L688 &gt; ($AT$32*(0.79-(0.002*((E688-G688/2)/(2*F688))*SQRT($AT$32)))), "Slender")</f>
        <v/>
      </c>
      <c r="Y688" s="129">
        <f t="array" ref="Y688">_xlfn.IFS(K688 &lt;= (65/SQRT($AT$32)), "Compact", K688 &lt;= (95/SQRT($AT$32)), "Non-Compact", K688 &gt; (95/SQRT($AT$32)), "Slender")</f>
        <v/>
      </c>
      <c r="Z688" s="125">
        <f>E688/F688</f>
        <v/>
      </c>
      <c r="AA688" s="125">
        <f>D688/G688</f>
        <v/>
      </c>
      <c r="AB688" s="125">
        <f t="array" ref="AB688">_xlfn.IFS(Z688 &lt;= 9, "1", Z688 &lt;= 12, "2", Z688 &lt;= 15, "3", Z688 &gt; 15, "4")</f>
        <v/>
      </c>
      <c r="AC688" s="125">
        <f t="array" ref="AC688">_xlfn.IFS(AA688 &lt;= 200, "1", L688 &lt;= 300, "2", L688 &lt;= 400, "3", L688 &gt; 400, "4")</f>
        <v/>
      </c>
      <c r="AF688" s="129">
        <f>SQRT((((VLOOKUP($AT$4,$A$4:$D$1021,4,FALSE))-D688)^2)+(((VLOOKUP($AT$4,$A$4:$E$1021,5,FALSE))-E688)^2)+(((VLOOKUP($AT$4,$A$4:$N$1021,14,FALSE))-N688)^2)+(((VLOOKUP($AT$4,$A$4:$O$1021,15,FALSE))-O688)^2))</f>
        <v/>
      </c>
      <c r="AG688" s="129" t="n"/>
      <c r="AI688" s="129">
        <f>SQRT((((VLOOKUP($AT$4,$A$4:$D$1021,4,FALSE))-D688)^2)+(((VLOOKUP($AT$4,$A$4:$E$1021,5,FALSE))-E688)^2)+(((VLOOKUP($AT$4,$A$4:$R$1021,18,FALSE))-R688)^2)+(((VLOOKUP($AT$4,$A$4:$S$1021,19,FALSE))-S688)^2))</f>
        <v/>
      </c>
      <c r="AJ688" s="125" t="inlineStr">
        <is>
          <t>HY800X270</t>
        </is>
      </c>
      <c r="AK688" s="125" t="n"/>
      <c r="AL688" s="125" t="n"/>
      <c r="AM688" s="125">
        <f>SQRT(((VLOOKUP($AT$4,$A$4:$J$1021,10,FALSE))-J688)^2)</f>
        <v/>
      </c>
      <c r="AN688" s="125" t="n"/>
      <c r="AO688" s="125" t="n"/>
      <c r="AP688" s="125">
        <f>SQRT(((VLOOKUP($AT$4,$A$4:$R$1021,18,FALSE))-R688)^2)</f>
        <v/>
      </c>
      <c r="AQ688" s="125" t="inlineStr">
        <is>
          <t>HY800X270</t>
        </is>
      </c>
      <c r="BB688" s="125">
        <f>SQRT(($J$1022-J688)^2)</f>
        <v/>
      </c>
      <c r="BC688" s="125">
        <f>SQRT(($R$1022-R688)^2)</f>
        <v/>
      </c>
      <c r="BD688" s="125" t="inlineStr">
        <is>
          <t>HY800X270</t>
        </is>
      </c>
      <c r="BI688">
        <f>SQRT(($J$1023-J688)^2)</f>
        <v/>
      </c>
      <c r="BJ688">
        <f>SQRT(($R$1023-R688)^2)</f>
        <v/>
      </c>
      <c r="BK688" s="125" t="inlineStr">
        <is>
          <t>HY800X270</t>
        </is>
      </c>
      <c r="BP688">
        <f>SQRT(($J$1024-J688)^2)</f>
        <v/>
      </c>
      <c r="BQ688">
        <f>SQRT(($R$1024-R688)^2)</f>
        <v/>
      </c>
      <c r="BR688" s="125" t="inlineStr">
        <is>
          <t>HY800X270</t>
        </is>
      </c>
      <c r="BW688">
        <f>SQRT(($J$1025-J688)^2)</f>
        <v/>
      </c>
      <c r="BX688">
        <f>SQRT(($R$1025-R688)^2)</f>
        <v/>
      </c>
      <c r="BY688" s="125" t="inlineStr">
        <is>
          <t>HY800X270</t>
        </is>
      </c>
      <c r="CD688">
        <f>SQRT(($J$1026-J688)^2)</f>
        <v/>
      </c>
      <c r="CE688">
        <f>SQRT(($R$1026-R688)^2)</f>
        <v/>
      </c>
      <c r="CF688" s="125" t="inlineStr">
        <is>
          <t>HY800X270</t>
        </is>
      </c>
    </row>
    <row r="689">
      <c r="A689" s="125" t="inlineStr">
        <is>
          <t>HY800X249</t>
        </is>
      </c>
      <c r="B689" s="129" t="inlineStr">
        <is>
          <t>HY</t>
        </is>
      </c>
      <c r="C689" s="125" t="n">
        <v>249</v>
      </c>
      <c r="D689" s="125" t="n">
        <v>800</v>
      </c>
      <c r="E689" s="125" t="n">
        <v>350</v>
      </c>
      <c r="F689" s="125" t="n">
        <v>28</v>
      </c>
      <c r="G689" s="125" t="n">
        <v>16</v>
      </c>
      <c r="H689" s="125" t="n">
        <v>18</v>
      </c>
      <c r="I689" s="125">
        <f>D689-(2*(H689+F689))</f>
        <v/>
      </c>
      <c r="J689" s="125">
        <f>(2*E689/10*F689/10)+((D689-F689-F689)/10*G689/10)+((H689/10+H689/10)^2)-(PI()*H689/10*H689/10)</f>
        <v/>
      </c>
      <c r="K689" s="125">
        <f>((E689-G689)/2)/F689</f>
        <v/>
      </c>
      <c r="L689" s="125">
        <f>I689/G689</f>
        <v/>
      </c>
      <c r="M689" s="125">
        <f>(E689*2+F689*4+((E689-G689)/2-H689)*4+2*PI()*H689+(D689-2*F689-2*H689)*2)/1000</f>
        <v/>
      </c>
      <c r="N689" s="5" t="n">
        <v>351000</v>
      </c>
      <c r="O689" s="5" t="n">
        <v>20000</v>
      </c>
      <c r="P689" s="125" t="n">
        <v>33.2</v>
      </c>
      <c r="Q689" s="125" t="n">
        <v>7.9</v>
      </c>
      <c r="R689" s="5" t="n">
        <v>8770</v>
      </c>
      <c r="S689" s="5" t="n">
        <v>1150</v>
      </c>
      <c r="T689" s="5" t="n">
        <v>9880</v>
      </c>
      <c r="U689" s="5" t="n">
        <v>1770</v>
      </c>
      <c r="X689" s="129">
        <f t="array" ref="X689">_xlfn.IFS((D689/F689) &lt;= (640/SQRT($AT$32)), "Compact", L689 &lt;= ($AT$32*(0.79-(0.002*((E689-G689/2)/(2*F689))*SQRT($AT$32)))), "Non-Compact", L689 &gt; ($AT$32*(0.79-(0.002*((E689-G689/2)/(2*F689))*SQRT($AT$32)))), "Slender")</f>
        <v/>
      </c>
      <c r="Y689" s="129">
        <f t="array" ref="Y689">_xlfn.IFS(K689 &lt;= (65/SQRT($AT$32)), "Compact", K689 &lt;= (95/SQRT($AT$32)), "Non-Compact", K689 &gt; (95/SQRT($AT$32)), "Slender")</f>
        <v/>
      </c>
      <c r="Z689" s="125">
        <f>E689/F689</f>
        <v/>
      </c>
      <c r="AA689" s="125">
        <f>D689/G689</f>
        <v/>
      </c>
      <c r="AB689" s="125">
        <f t="array" ref="AB689">_xlfn.IFS(Z689 &lt;= 9, "1", Z689 &lt;= 12, "2", Z689 &lt;= 15, "3", Z689 &gt; 15, "4")</f>
        <v/>
      </c>
      <c r="AC689" s="125">
        <f t="array" ref="AC689">_xlfn.IFS(AA689 &lt;= 200, "1", L689 &lt;= 300, "2", L689 &lt;= 400, "3", L689 &gt; 400, "4")</f>
        <v/>
      </c>
      <c r="AF689" s="129">
        <f>SQRT((((VLOOKUP($AT$4,$A$4:$D$1021,4,FALSE))-D689)^2)+(((VLOOKUP($AT$4,$A$4:$E$1021,5,FALSE))-E689)^2)+(((VLOOKUP($AT$4,$A$4:$N$1021,14,FALSE))-N689)^2)+(((VLOOKUP($AT$4,$A$4:$O$1021,15,FALSE))-O689)^2))</f>
        <v/>
      </c>
      <c r="AG689" s="129" t="n"/>
      <c r="AI689" s="129">
        <f>SQRT((((VLOOKUP($AT$4,$A$4:$D$1021,4,FALSE))-D689)^2)+(((VLOOKUP($AT$4,$A$4:$E$1021,5,FALSE))-E689)^2)+(((VLOOKUP($AT$4,$A$4:$R$1021,18,FALSE))-R689)^2)+(((VLOOKUP($AT$4,$A$4:$S$1021,19,FALSE))-S689)^2))</f>
        <v/>
      </c>
      <c r="AJ689" s="125" t="inlineStr">
        <is>
          <t>HY800X249</t>
        </is>
      </c>
      <c r="AK689" s="125" t="n"/>
      <c r="AL689" s="125" t="n"/>
      <c r="AM689" s="125">
        <f>SQRT(((VLOOKUP($AT$4,$A$4:$J$1021,10,FALSE))-J689)^2)</f>
        <v/>
      </c>
      <c r="AN689" s="125" t="n"/>
      <c r="AO689" s="125" t="n"/>
      <c r="AP689" s="125">
        <f>SQRT(((VLOOKUP($AT$4,$A$4:$R$1021,18,FALSE))-R689)^2)</f>
        <v/>
      </c>
      <c r="AQ689" s="125" t="inlineStr">
        <is>
          <t>HY800X249</t>
        </is>
      </c>
      <c r="BB689" s="125">
        <f>SQRT(($J$1022-J689)^2)</f>
        <v/>
      </c>
      <c r="BC689" s="125">
        <f>SQRT(($R$1022-R689)^2)</f>
        <v/>
      </c>
      <c r="BD689" s="125" t="inlineStr">
        <is>
          <t>HY800X249</t>
        </is>
      </c>
      <c r="BI689">
        <f>SQRT(($J$1023-J689)^2)</f>
        <v/>
      </c>
      <c r="BJ689">
        <f>SQRT(($R$1023-R689)^2)</f>
        <v/>
      </c>
      <c r="BK689" s="125" t="inlineStr">
        <is>
          <t>HY800X249</t>
        </is>
      </c>
      <c r="BP689">
        <f>SQRT(($J$1024-J689)^2)</f>
        <v/>
      </c>
      <c r="BQ689">
        <f>SQRT(($R$1024-R689)^2)</f>
        <v/>
      </c>
      <c r="BR689" s="125" t="inlineStr">
        <is>
          <t>HY800X249</t>
        </is>
      </c>
      <c r="BW689">
        <f>SQRT(($J$1025-J689)^2)</f>
        <v/>
      </c>
      <c r="BX689">
        <f>SQRT(($R$1025-R689)^2)</f>
        <v/>
      </c>
      <c r="BY689" s="125" t="inlineStr">
        <is>
          <t>HY800X249</t>
        </is>
      </c>
      <c r="CD689">
        <f>SQRT(($J$1026-J689)^2)</f>
        <v/>
      </c>
      <c r="CE689">
        <f>SQRT(($R$1026-R689)^2)</f>
        <v/>
      </c>
      <c r="CF689" s="125" t="inlineStr">
        <is>
          <t>HY800X249</t>
        </is>
      </c>
    </row>
    <row r="690">
      <c r="A690" s="125" t="inlineStr">
        <is>
          <t>HY800X234</t>
        </is>
      </c>
      <c r="B690" s="129" t="inlineStr">
        <is>
          <t>HY</t>
        </is>
      </c>
      <c r="C690" s="125" t="n">
        <v>234</v>
      </c>
      <c r="D690" s="125" t="n">
        <v>800</v>
      </c>
      <c r="E690" s="125" t="n">
        <v>350</v>
      </c>
      <c r="F690" s="125" t="n">
        <v>25</v>
      </c>
      <c r="G690" s="125" t="n">
        <v>16</v>
      </c>
      <c r="H690" s="125" t="n">
        <v>18</v>
      </c>
      <c r="I690" s="125">
        <f>D690-(2*(H690+F690))</f>
        <v/>
      </c>
      <c r="J690" s="125">
        <f>(2*E690/10*F690/10)+((D690-F690-F690)/10*G690/10)+((H690/10+H690/10)^2)-(PI()*H690/10*H690/10)</f>
        <v/>
      </c>
      <c r="K690" s="125">
        <f>((E690-G690)/2)/F690</f>
        <v/>
      </c>
      <c r="L690" s="125">
        <f>I690/G690</f>
        <v/>
      </c>
      <c r="M690" s="125">
        <f>(E690*2+F690*4+((E690-G690)/2-H690)*4+2*PI()*H690+(D690-2*F690-2*H690)*2)/1000</f>
        <v/>
      </c>
      <c r="N690" s="5" t="n">
        <v>323000</v>
      </c>
      <c r="O690" s="5" t="n">
        <v>17900</v>
      </c>
      <c r="P690" s="125" t="n">
        <v>32.9</v>
      </c>
      <c r="Q690" s="125" t="n">
        <v>7.8</v>
      </c>
      <c r="R690" s="5" t="n">
        <v>8070</v>
      </c>
      <c r="S690" s="5" t="n">
        <v>1020</v>
      </c>
      <c r="T690" s="5" t="n">
        <v>9130</v>
      </c>
      <c r="U690" s="5" t="n">
        <v>1580</v>
      </c>
      <c r="X690" s="129">
        <f t="array" ref="X690">_xlfn.IFS((D690/F690) &lt;= (640/SQRT($AT$32)), "Compact", L690 &lt;= ($AT$32*(0.79-(0.002*((E690-G690/2)/(2*F690))*SQRT($AT$32)))), "Non-Compact", L690 &gt; ($AT$32*(0.79-(0.002*((E690-G690/2)/(2*F690))*SQRT($AT$32)))), "Slender")</f>
        <v/>
      </c>
      <c r="Y690" s="129">
        <f t="array" ref="Y690">_xlfn.IFS(K690 &lt;= (65/SQRT($AT$32)), "Compact", K690 &lt;= (95/SQRT($AT$32)), "Non-Compact", K690 &gt; (95/SQRT($AT$32)), "Slender")</f>
        <v/>
      </c>
      <c r="Z690" s="125">
        <f>E690/F690</f>
        <v/>
      </c>
      <c r="AA690" s="125">
        <f>D690/G690</f>
        <v/>
      </c>
      <c r="AB690" s="125">
        <f t="array" ref="AB690">_xlfn.IFS(Z690 &lt;= 9, "1", Z690 &lt;= 12, "2", Z690 &lt;= 15, "3", Z690 &gt; 15, "4")</f>
        <v/>
      </c>
      <c r="AC690" s="125">
        <f t="array" ref="AC690">_xlfn.IFS(AA690 &lt;= 200, "1", L690 &lt;= 300, "2", L690 &lt;= 400, "3", L690 &gt; 400, "4")</f>
        <v/>
      </c>
      <c r="AF690" s="129">
        <f>SQRT((((VLOOKUP($AT$4,$A$4:$D$1021,4,FALSE))-D690)^2)+(((VLOOKUP($AT$4,$A$4:$E$1021,5,FALSE))-E690)^2)+(((VLOOKUP($AT$4,$A$4:$N$1021,14,FALSE))-N690)^2)+(((VLOOKUP($AT$4,$A$4:$O$1021,15,FALSE))-O690)^2))</f>
        <v/>
      </c>
      <c r="AG690" s="129" t="n"/>
      <c r="AI690" s="129">
        <f>SQRT((((VLOOKUP($AT$4,$A$4:$D$1021,4,FALSE))-D690)^2)+(((VLOOKUP($AT$4,$A$4:$E$1021,5,FALSE))-E690)^2)+(((VLOOKUP($AT$4,$A$4:$R$1021,18,FALSE))-R690)^2)+(((VLOOKUP($AT$4,$A$4:$S$1021,19,FALSE))-S690)^2))</f>
        <v/>
      </c>
      <c r="AJ690" s="125" t="inlineStr">
        <is>
          <t>HY800X234</t>
        </is>
      </c>
      <c r="AK690" s="125" t="n"/>
      <c r="AL690" s="125" t="n"/>
      <c r="AM690" s="125">
        <f>SQRT(((VLOOKUP($AT$4,$A$4:$J$1021,10,FALSE))-J690)^2)</f>
        <v/>
      </c>
      <c r="AN690" s="125" t="n"/>
      <c r="AO690" s="125" t="n"/>
      <c r="AP690" s="125">
        <f>SQRT(((VLOOKUP($AT$4,$A$4:$R$1021,18,FALSE))-R690)^2)</f>
        <v/>
      </c>
      <c r="AQ690" s="125" t="inlineStr">
        <is>
          <t>HY800X234</t>
        </is>
      </c>
      <c r="BB690" s="125">
        <f>SQRT(($J$1022-J690)^2)</f>
        <v/>
      </c>
      <c r="BC690" s="125">
        <f>SQRT(($R$1022-R690)^2)</f>
        <v/>
      </c>
      <c r="BD690" s="125" t="inlineStr">
        <is>
          <t>HY800X234</t>
        </is>
      </c>
      <c r="BI690">
        <f>SQRT(($J$1023-J690)^2)</f>
        <v/>
      </c>
      <c r="BJ690">
        <f>SQRT(($R$1023-R690)^2)</f>
        <v/>
      </c>
      <c r="BK690" s="125" t="inlineStr">
        <is>
          <t>HY800X234</t>
        </is>
      </c>
      <c r="BP690">
        <f>SQRT(($J$1024-J690)^2)</f>
        <v/>
      </c>
      <c r="BQ690">
        <f>SQRT(($R$1024-R690)^2)</f>
        <v/>
      </c>
      <c r="BR690" s="125" t="inlineStr">
        <is>
          <t>HY800X234</t>
        </is>
      </c>
      <c r="BW690">
        <f>SQRT(($J$1025-J690)^2)</f>
        <v/>
      </c>
      <c r="BX690">
        <f>SQRT(($R$1025-R690)^2)</f>
        <v/>
      </c>
      <c r="BY690" s="125" t="inlineStr">
        <is>
          <t>HY800X234</t>
        </is>
      </c>
      <c r="CD690">
        <f>SQRT(($J$1026-J690)^2)</f>
        <v/>
      </c>
      <c r="CE690">
        <f>SQRT(($R$1026-R690)^2)</f>
        <v/>
      </c>
      <c r="CF690" s="125" t="inlineStr">
        <is>
          <t>HY800X234</t>
        </is>
      </c>
    </row>
    <row r="691">
      <c r="A691" s="125" t="inlineStr">
        <is>
          <t>HY800X259</t>
        </is>
      </c>
      <c r="B691" s="129" t="inlineStr">
        <is>
          <t>HY</t>
        </is>
      </c>
      <c r="C691" s="125" t="n">
        <v>259</v>
      </c>
      <c r="D691" s="125" t="n">
        <v>800</v>
      </c>
      <c r="E691" s="125" t="n">
        <v>350</v>
      </c>
      <c r="F691" s="125" t="n">
        <v>32</v>
      </c>
      <c r="G691" s="125" t="n">
        <v>14</v>
      </c>
      <c r="H691" s="125" t="n">
        <v>18</v>
      </c>
      <c r="I691" s="125">
        <f>D691-(2*(H691+F691))</f>
        <v/>
      </c>
      <c r="J691" s="125">
        <f>(2*E691/10*F691/10)+((D691-F691-F691)/10*G691/10)+((H691/10+H691/10)^2)-(PI()*H691/10*H691/10)</f>
        <v/>
      </c>
      <c r="K691" s="125">
        <f>((E691-G691)/2)/F691</f>
        <v/>
      </c>
      <c r="L691" s="125">
        <f>I691/G691</f>
        <v/>
      </c>
      <c r="M691" s="125">
        <f>(E691*2+F691*4+((E691-G691)/2-H691)*4+2*PI()*H691+(D691-2*F691-2*H691)*2)/1000</f>
        <v/>
      </c>
      <c r="N691" s="5" t="n">
        <v>381000</v>
      </c>
      <c r="O691" s="5" t="n">
        <v>22900</v>
      </c>
      <c r="P691" s="125" t="n">
        <v>34</v>
      </c>
      <c r="Q691" s="125" t="n">
        <v>8.300000000000001</v>
      </c>
      <c r="R691" s="5" t="n">
        <v>9520</v>
      </c>
      <c r="S691" s="5" t="n">
        <v>1310</v>
      </c>
      <c r="T691" s="5" t="n">
        <v>10600</v>
      </c>
      <c r="U691" s="5" t="n">
        <v>2000</v>
      </c>
      <c r="X691" s="129">
        <f t="array" ref="X691">_xlfn.IFS((D691/F691) &lt;= (640/SQRT($AT$32)), "Compact", L691 &lt;= ($AT$32*(0.79-(0.002*((E691-G691/2)/(2*F691))*SQRT($AT$32)))), "Non-Compact", L691 &gt; ($AT$32*(0.79-(0.002*((E691-G691/2)/(2*F691))*SQRT($AT$32)))), "Slender")</f>
        <v/>
      </c>
      <c r="Y691" s="129">
        <f t="array" ref="Y691">_xlfn.IFS(K691 &lt;= (65/SQRT($AT$32)), "Compact", K691 &lt;= (95/SQRT($AT$32)), "Non-Compact", K691 &gt; (95/SQRT($AT$32)), "Slender")</f>
        <v/>
      </c>
      <c r="Z691" s="125">
        <f>E691/F691</f>
        <v/>
      </c>
      <c r="AA691" s="125">
        <f>D691/G691</f>
        <v/>
      </c>
      <c r="AB691" s="125">
        <f t="array" ref="AB691">_xlfn.IFS(Z691 &lt;= 9, "1", Z691 &lt;= 12, "2", Z691 &lt;= 15, "3", Z691 &gt; 15, "4")</f>
        <v/>
      </c>
      <c r="AC691" s="125">
        <f t="array" ref="AC691">_xlfn.IFS(AA691 &lt;= 200, "1", L691 &lt;= 300, "2", L691 &lt;= 400, "3", L691 &gt; 400, "4")</f>
        <v/>
      </c>
      <c r="AF691" s="129">
        <f>SQRT((((VLOOKUP($AT$4,$A$4:$D$1021,4,FALSE))-D691)^2)+(((VLOOKUP($AT$4,$A$4:$E$1021,5,FALSE))-E691)^2)+(((VLOOKUP($AT$4,$A$4:$N$1021,14,FALSE))-N691)^2)+(((VLOOKUP($AT$4,$A$4:$O$1021,15,FALSE))-O691)^2))</f>
        <v/>
      </c>
      <c r="AG691" s="129" t="n"/>
      <c r="AI691" s="129">
        <f>SQRT((((VLOOKUP($AT$4,$A$4:$D$1021,4,FALSE))-D691)^2)+(((VLOOKUP($AT$4,$A$4:$E$1021,5,FALSE))-E691)^2)+(((VLOOKUP($AT$4,$A$4:$R$1021,18,FALSE))-R691)^2)+(((VLOOKUP($AT$4,$A$4:$S$1021,19,FALSE))-S691)^2))</f>
        <v/>
      </c>
      <c r="AJ691" s="125" t="inlineStr">
        <is>
          <t>HY800X259</t>
        </is>
      </c>
      <c r="AK691" s="125" t="n"/>
      <c r="AL691" s="125" t="n"/>
      <c r="AM691" s="125">
        <f>SQRT(((VLOOKUP($AT$4,$A$4:$J$1021,10,FALSE))-J691)^2)</f>
        <v/>
      </c>
      <c r="AN691" s="125" t="n"/>
      <c r="AO691" s="125" t="n"/>
      <c r="AP691" s="125">
        <f>SQRT(((VLOOKUP($AT$4,$A$4:$R$1021,18,FALSE))-R691)^2)</f>
        <v/>
      </c>
      <c r="AQ691" s="125" t="inlineStr">
        <is>
          <t>HY800X259</t>
        </is>
      </c>
      <c r="BB691" s="125">
        <f>SQRT(($J$1022-J691)^2)</f>
        <v/>
      </c>
      <c r="BC691" s="125">
        <f>SQRT(($R$1022-R691)^2)</f>
        <v/>
      </c>
      <c r="BD691" s="125" t="inlineStr">
        <is>
          <t>HY800X259</t>
        </is>
      </c>
      <c r="BI691">
        <f>SQRT(($J$1023-J691)^2)</f>
        <v/>
      </c>
      <c r="BJ691">
        <f>SQRT(($R$1023-R691)^2)</f>
        <v/>
      </c>
      <c r="BK691" s="125" t="inlineStr">
        <is>
          <t>HY800X259</t>
        </is>
      </c>
      <c r="BP691">
        <f>SQRT(($J$1024-J691)^2)</f>
        <v/>
      </c>
      <c r="BQ691">
        <f>SQRT(($R$1024-R691)^2)</f>
        <v/>
      </c>
      <c r="BR691" s="125" t="inlineStr">
        <is>
          <t>HY800X259</t>
        </is>
      </c>
      <c r="BW691">
        <f>SQRT(($J$1025-J691)^2)</f>
        <v/>
      </c>
      <c r="BX691">
        <f>SQRT(($R$1025-R691)^2)</f>
        <v/>
      </c>
      <c r="BY691" s="125" t="inlineStr">
        <is>
          <t>HY800X259</t>
        </is>
      </c>
      <c r="CD691">
        <f>SQRT(($J$1026-J691)^2)</f>
        <v/>
      </c>
      <c r="CE691">
        <f>SQRT(($R$1026-R691)^2)</f>
        <v/>
      </c>
      <c r="CF691" s="125" t="inlineStr">
        <is>
          <t>HY800X259</t>
        </is>
      </c>
    </row>
    <row r="692">
      <c r="A692" s="125" t="inlineStr">
        <is>
          <t>HY800X238</t>
        </is>
      </c>
      <c r="B692" s="129" t="inlineStr">
        <is>
          <t>HY</t>
        </is>
      </c>
      <c r="C692" s="125" t="n">
        <v>238</v>
      </c>
      <c r="D692" s="125" t="n">
        <v>800</v>
      </c>
      <c r="E692" s="125" t="n">
        <v>350</v>
      </c>
      <c r="F692" s="125" t="n">
        <v>28</v>
      </c>
      <c r="G692" s="125" t="n">
        <v>14</v>
      </c>
      <c r="H692" s="125" t="n">
        <v>18</v>
      </c>
      <c r="I692" s="125">
        <f>D692-(2*(H692+F692))</f>
        <v/>
      </c>
      <c r="J692" s="125">
        <f>(2*E692/10*F692/10)+((D692-F692-F692)/10*G692/10)+((H692/10+H692/10)^2)-(PI()*H692/10*H692/10)</f>
        <v/>
      </c>
      <c r="K692" s="125">
        <f>((E692-G692)/2)/F692</f>
        <v/>
      </c>
      <c r="L692" s="125">
        <f>I692/G692</f>
        <v/>
      </c>
      <c r="M692" s="125">
        <f>(E692*2+F692*4+((E692-G692)/2-H692)*4+2*PI()*H692+(D692-2*F692-2*H692)*2)/1000</f>
        <v/>
      </c>
      <c r="N692" s="5" t="n">
        <v>344000</v>
      </c>
      <c r="O692" s="5" t="n">
        <v>20000</v>
      </c>
      <c r="P692" s="125" t="n">
        <v>33.7</v>
      </c>
      <c r="Q692" s="125" t="n">
        <v>8.1</v>
      </c>
      <c r="R692" s="5" t="n">
        <v>8600</v>
      </c>
      <c r="S692" s="5" t="n">
        <v>1140</v>
      </c>
      <c r="T692" s="5" t="n">
        <v>9610</v>
      </c>
      <c r="U692" s="5" t="n">
        <v>1750</v>
      </c>
      <c r="X692" s="129">
        <f t="array" ref="X692">_xlfn.IFS((D692/F692) &lt;= (640/SQRT($AT$32)), "Compact", L692 &lt;= ($AT$32*(0.79-(0.002*((E692-G692/2)/(2*F692))*SQRT($AT$32)))), "Non-Compact", L692 &gt; ($AT$32*(0.79-(0.002*((E692-G692/2)/(2*F692))*SQRT($AT$32)))), "Slender")</f>
        <v/>
      </c>
      <c r="Y692" s="129">
        <f t="array" ref="Y692">_xlfn.IFS(K692 &lt;= (65/SQRT($AT$32)), "Compact", K692 &lt;= (95/SQRT($AT$32)), "Non-Compact", K692 &gt; (95/SQRT($AT$32)), "Slender")</f>
        <v/>
      </c>
      <c r="Z692" s="125">
        <f>E692/F692</f>
        <v/>
      </c>
      <c r="AA692" s="125">
        <f>D692/G692</f>
        <v/>
      </c>
      <c r="AB692" s="125">
        <f t="array" ref="AB692">_xlfn.IFS(Z692 &lt;= 9, "1", Z692 &lt;= 12, "2", Z692 &lt;= 15, "3", Z692 &gt; 15, "4")</f>
        <v/>
      </c>
      <c r="AC692" s="125">
        <f t="array" ref="AC692">_xlfn.IFS(AA692 &lt;= 200, "1", L692 &lt;= 300, "2", L692 &lt;= 400, "3", L692 &gt; 400, "4")</f>
        <v/>
      </c>
      <c r="AF692" s="129">
        <f>SQRT((((VLOOKUP($AT$4,$A$4:$D$1021,4,FALSE))-D692)^2)+(((VLOOKUP($AT$4,$A$4:$E$1021,5,FALSE))-E692)^2)+(((VLOOKUP($AT$4,$A$4:$N$1021,14,FALSE))-N692)^2)+(((VLOOKUP($AT$4,$A$4:$O$1021,15,FALSE))-O692)^2))</f>
        <v/>
      </c>
      <c r="AG692" s="129" t="n"/>
      <c r="AI692" s="129">
        <f>SQRT((((VLOOKUP($AT$4,$A$4:$D$1021,4,FALSE))-D692)^2)+(((VLOOKUP($AT$4,$A$4:$E$1021,5,FALSE))-E692)^2)+(((VLOOKUP($AT$4,$A$4:$R$1021,18,FALSE))-R692)^2)+(((VLOOKUP($AT$4,$A$4:$S$1021,19,FALSE))-S692)^2))</f>
        <v/>
      </c>
      <c r="AJ692" s="125" t="inlineStr">
        <is>
          <t>HY800X238</t>
        </is>
      </c>
      <c r="AK692" s="125" t="n"/>
      <c r="AL692" s="125" t="n"/>
      <c r="AM692" s="125">
        <f>SQRT(((VLOOKUP($AT$4,$A$4:$J$1021,10,FALSE))-J692)^2)</f>
        <v/>
      </c>
      <c r="AN692" s="125" t="n"/>
      <c r="AO692" s="125" t="n"/>
      <c r="AP692" s="125">
        <f>SQRT(((VLOOKUP($AT$4,$A$4:$R$1021,18,FALSE))-R692)^2)</f>
        <v/>
      </c>
      <c r="AQ692" s="125" t="inlineStr">
        <is>
          <t>HY800X238</t>
        </is>
      </c>
      <c r="BB692" s="125">
        <f>SQRT(($J$1022-J692)^2)</f>
        <v/>
      </c>
      <c r="BC692" s="125">
        <f>SQRT(($R$1022-R692)^2)</f>
        <v/>
      </c>
      <c r="BD692" s="125" t="inlineStr">
        <is>
          <t>HY800X238</t>
        </is>
      </c>
      <c r="BI692">
        <f>SQRT(($J$1023-J692)^2)</f>
        <v/>
      </c>
      <c r="BJ692">
        <f>SQRT(($R$1023-R692)^2)</f>
        <v/>
      </c>
      <c r="BK692" s="125" t="inlineStr">
        <is>
          <t>HY800X238</t>
        </is>
      </c>
      <c r="BP692">
        <f>SQRT(($J$1024-J692)^2)</f>
        <v/>
      </c>
      <c r="BQ692">
        <f>SQRT(($R$1024-R692)^2)</f>
        <v/>
      </c>
      <c r="BR692" s="125" t="inlineStr">
        <is>
          <t>HY800X238</t>
        </is>
      </c>
      <c r="BW692">
        <f>SQRT(($J$1025-J692)^2)</f>
        <v/>
      </c>
      <c r="BX692">
        <f>SQRT(($R$1025-R692)^2)</f>
        <v/>
      </c>
      <c r="BY692" s="125" t="inlineStr">
        <is>
          <t>HY800X238</t>
        </is>
      </c>
      <c r="CD692">
        <f>SQRT(($J$1026-J692)^2)</f>
        <v/>
      </c>
      <c r="CE692">
        <f>SQRT(($R$1026-R692)^2)</f>
        <v/>
      </c>
      <c r="CF692" s="125" t="inlineStr">
        <is>
          <t>HY800X238</t>
        </is>
      </c>
    </row>
    <row r="693">
      <c r="A693" s="125" t="inlineStr">
        <is>
          <t>HY800X222</t>
        </is>
      </c>
      <c r="B693" s="129" t="inlineStr">
        <is>
          <t>HY</t>
        </is>
      </c>
      <c r="C693" s="125" t="n">
        <v>222</v>
      </c>
      <c r="D693" s="125" t="n">
        <v>800</v>
      </c>
      <c r="E693" s="125" t="n">
        <v>350</v>
      </c>
      <c r="F693" s="125" t="n">
        <v>25</v>
      </c>
      <c r="G693" s="125" t="n">
        <v>14</v>
      </c>
      <c r="H693" s="125" t="n">
        <v>18</v>
      </c>
      <c r="I693" s="125">
        <f>D693-(2*(H693+F693))</f>
        <v/>
      </c>
      <c r="J693" s="125">
        <f>(2*E693/10*F693/10)+((D693-F693-F693)/10*G693/10)+((H693/10+H693/10)^2)-(PI()*H693/10*H693/10)</f>
        <v/>
      </c>
      <c r="K693" s="125">
        <f>((E693-G693)/2)/F693</f>
        <v/>
      </c>
      <c r="L693" s="125">
        <f>I693/G693</f>
        <v/>
      </c>
      <c r="M693" s="125">
        <f>(E693*2+F693*4+((E693-G693)/2-H693)*4+2*PI()*H693+(D693-2*F693-2*H693)*2)/1000</f>
        <v/>
      </c>
      <c r="N693" s="5" t="n">
        <v>316000</v>
      </c>
      <c r="O693" s="5" t="n">
        <v>17900</v>
      </c>
      <c r="P693" s="125" t="n">
        <v>33.4</v>
      </c>
      <c r="Q693" s="125" t="n">
        <v>8</v>
      </c>
      <c r="R693" s="5" t="n">
        <v>7900</v>
      </c>
      <c r="S693" s="5" t="n">
        <v>1020</v>
      </c>
      <c r="T693" s="5" t="n">
        <v>8850</v>
      </c>
      <c r="U693" s="5" t="n">
        <v>1570</v>
      </c>
      <c r="X693" s="129">
        <f t="array" ref="X693">_xlfn.IFS((D693/F693) &lt;= (640/SQRT($AT$32)), "Compact", L693 &lt;= ($AT$32*(0.79-(0.002*((E693-G693/2)/(2*F693))*SQRT($AT$32)))), "Non-Compact", L693 &gt; ($AT$32*(0.79-(0.002*((E693-G693/2)/(2*F693))*SQRT($AT$32)))), "Slender")</f>
        <v/>
      </c>
      <c r="Y693" s="129">
        <f t="array" ref="Y693">_xlfn.IFS(K693 &lt;= (65/SQRT($AT$32)), "Compact", K693 &lt;= (95/SQRT($AT$32)), "Non-Compact", K693 &gt; (95/SQRT($AT$32)), "Slender")</f>
        <v/>
      </c>
      <c r="Z693" s="125">
        <f>E693/F693</f>
        <v/>
      </c>
      <c r="AA693" s="125">
        <f>D693/G693</f>
        <v/>
      </c>
      <c r="AB693" s="125">
        <f t="array" ref="AB693">_xlfn.IFS(Z693 &lt;= 9, "1", Z693 &lt;= 12, "2", Z693 &lt;= 15, "3", Z693 &gt; 15, "4")</f>
        <v/>
      </c>
      <c r="AC693" s="125">
        <f t="array" ref="AC693">_xlfn.IFS(AA693 &lt;= 200, "1", L693 &lt;= 300, "2", L693 &lt;= 400, "3", L693 &gt; 400, "4")</f>
        <v/>
      </c>
      <c r="AF693" s="129">
        <f>SQRT((((VLOOKUP($AT$4,$A$4:$D$1021,4,FALSE))-D693)^2)+(((VLOOKUP($AT$4,$A$4:$E$1021,5,FALSE))-E693)^2)+(((VLOOKUP($AT$4,$A$4:$N$1021,14,FALSE))-N693)^2)+(((VLOOKUP($AT$4,$A$4:$O$1021,15,FALSE))-O693)^2))</f>
        <v/>
      </c>
      <c r="AG693" s="129" t="n"/>
      <c r="AI693" s="129">
        <f>SQRT((((VLOOKUP($AT$4,$A$4:$D$1021,4,FALSE))-D693)^2)+(((VLOOKUP($AT$4,$A$4:$E$1021,5,FALSE))-E693)^2)+(((VLOOKUP($AT$4,$A$4:$R$1021,18,FALSE))-R693)^2)+(((VLOOKUP($AT$4,$A$4:$S$1021,19,FALSE))-S693)^2))</f>
        <v/>
      </c>
      <c r="AJ693" s="125" t="inlineStr">
        <is>
          <t>HY800X222</t>
        </is>
      </c>
      <c r="AK693" s="125" t="n"/>
      <c r="AL693" s="125" t="n"/>
      <c r="AM693" s="125">
        <f>SQRT(((VLOOKUP($AT$4,$A$4:$J$1021,10,FALSE))-J693)^2)</f>
        <v/>
      </c>
      <c r="AN693" s="125" t="n"/>
      <c r="AO693" s="125" t="n"/>
      <c r="AP693" s="125">
        <f>SQRT(((VLOOKUP($AT$4,$A$4:$R$1021,18,FALSE))-R693)^2)</f>
        <v/>
      </c>
      <c r="AQ693" s="125" t="inlineStr">
        <is>
          <t>HY800X222</t>
        </is>
      </c>
      <c r="BB693" s="125">
        <f>SQRT(($J$1022-J693)^2)</f>
        <v/>
      </c>
      <c r="BC693" s="125">
        <f>SQRT(($R$1022-R693)^2)</f>
        <v/>
      </c>
      <c r="BD693" s="125" t="inlineStr">
        <is>
          <t>HY800X222</t>
        </is>
      </c>
      <c r="BI693">
        <f>SQRT(($J$1023-J693)^2)</f>
        <v/>
      </c>
      <c r="BJ693">
        <f>SQRT(($R$1023-R693)^2)</f>
        <v/>
      </c>
      <c r="BK693" s="125" t="inlineStr">
        <is>
          <t>HY800X222</t>
        </is>
      </c>
      <c r="BP693">
        <f>SQRT(($J$1024-J693)^2)</f>
        <v/>
      </c>
      <c r="BQ693">
        <f>SQRT(($R$1024-R693)^2)</f>
        <v/>
      </c>
      <c r="BR693" s="125" t="inlineStr">
        <is>
          <t>HY800X222</t>
        </is>
      </c>
      <c r="BW693">
        <f>SQRT(($J$1025-J693)^2)</f>
        <v/>
      </c>
      <c r="BX693">
        <f>SQRT(($R$1025-R693)^2)</f>
        <v/>
      </c>
      <c r="BY693" s="125" t="inlineStr">
        <is>
          <t>HY800X222</t>
        </is>
      </c>
      <c r="CD693">
        <f>SQRT(($J$1026-J693)^2)</f>
        <v/>
      </c>
      <c r="CE693">
        <f>SQRT(($R$1026-R693)^2)</f>
        <v/>
      </c>
      <c r="CF693" s="125" t="inlineStr">
        <is>
          <t>HY800X222</t>
        </is>
      </c>
    </row>
    <row r="694">
      <c r="A694" s="125" t="inlineStr">
        <is>
          <t>HY800X315</t>
        </is>
      </c>
      <c r="B694" s="129" t="inlineStr">
        <is>
          <t>HY</t>
        </is>
      </c>
      <c r="C694" s="125" t="n">
        <v>315</v>
      </c>
      <c r="D694" s="125" t="n">
        <v>800</v>
      </c>
      <c r="E694" s="125" t="n">
        <v>300</v>
      </c>
      <c r="F694" s="125" t="n">
        <v>40</v>
      </c>
      <c r="G694" s="125" t="n">
        <v>22</v>
      </c>
      <c r="H694" s="125" t="n">
        <v>18</v>
      </c>
      <c r="I694" s="125">
        <f>D694-(2*(H694+F694))</f>
        <v/>
      </c>
      <c r="J694" s="125">
        <f>(2*E694/10*F694/10)+((D694-F694-F694)/10*G694/10)+((H694/10+H694/10)^2)-(PI()*H694/10*H694/10)</f>
        <v/>
      </c>
      <c r="K694" s="125">
        <f>((E694-G694)/2)/F694</f>
        <v/>
      </c>
      <c r="L694" s="125">
        <f>I694/G694</f>
        <v/>
      </c>
      <c r="M694" s="125">
        <f>(E694*2+F694*4+((E694-G694)/2-H694)*4+2*PI()*H694+(D694-2*F694-2*H694)*2)/1000</f>
        <v/>
      </c>
      <c r="N694" s="5" t="n">
        <v>419000</v>
      </c>
      <c r="O694" s="5" t="n">
        <v>18100</v>
      </c>
      <c r="P694" s="125" t="n">
        <v>32.3</v>
      </c>
      <c r="Q694" s="125" t="n">
        <v>6.7</v>
      </c>
      <c r="R694" s="5" t="n">
        <v>10500</v>
      </c>
      <c r="S694" s="5" t="n">
        <v>1200</v>
      </c>
      <c r="T694" s="5" t="n">
        <v>12100</v>
      </c>
      <c r="U694" s="5" t="n">
        <v>1890</v>
      </c>
      <c r="X694" s="129">
        <f t="array" ref="X694">_xlfn.IFS((D694/F694) &lt;= (640/SQRT($AT$32)), "Compact", L694 &lt;= ($AT$32*(0.79-(0.002*((E694-G694/2)/(2*F694))*SQRT($AT$32)))), "Non-Compact", L694 &gt; ($AT$32*(0.79-(0.002*((E694-G694/2)/(2*F694))*SQRT($AT$32)))), "Slender")</f>
        <v/>
      </c>
      <c r="Y694" s="129">
        <f t="array" ref="Y694">_xlfn.IFS(K694 &lt;= (65/SQRT($AT$32)), "Compact", K694 &lt;= (95/SQRT($AT$32)), "Non-Compact", K694 &gt; (95/SQRT($AT$32)), "Slender")</f>
        <v/>
      </c>
      <c r="Z694" s="125">
        <f>E694/F694</f>
        <v/>
      </c>
      <c r="AA694" s="125">
        <f>D694/G694</f>
        <v/>
      </c>
      <c r="AB694" s="125">
        <f t="array" ref="AB694">_xlfn.IFS(Z694 &lt;= 9, "1", Z694 &lt;= 12, "2", Z694 &lt;= 15, "3", Z694 &gt; 15, "4")</f>
        <v/>
      </c>
      <c r="AC694" s="125">
        <f t="array" ref="AC694">_xlfn.IFS(AA694 &lt;= 200, "1", L694 &lt;= 300, "2", L694 &lt;= 400, "3", L694 &gt; 400, "4")</f>
        <v/>
      </c>
      <c r="AF694" s="129">
        <f>SQRT((((VLOOKUP($AT$4,$A$4:$D$1021,4,FALSE))-D694)^2)+(((VLOOKUP($AT$4,$A$4:$E$1021,5,FALSE))-E694)^2)+(((VLOOKUP($AT$4,$A$4:$N$1021,14,FALSE))-N694)^2)+(((VLOOKUP($AT$4,$A$4:$O$1021,15,FALSE))-O694)^2))</f>
        <v/>
      </c>
      <c r="AG694" s="129" t="n"/>
      <c r="AI694" s="129">
        <f>SQRT((((VLOOKUP($AT$4,$A$4:$D$1021,4,FALSE))-D694)^2)+(((VLOOKUP($AT$4,$A$4:$E$1021,5,FALSE))-E694)^2)+(((VLOOKUP($AT$4,$A$4:$R$1021,18,FALSE))-R694)^2)+(((VLOOKUP($AT$4,$A$4:$S$1021,19,FALSE))-S694)^2))</f>
        <v/>
      </c>
      <c r="AJ694" s="125" t="inlineStr">
        <is>
          <t>HY800X315</t>
        </is>
      </c>
      <c r="AK694" s="125" t="n"/>
      <c r="AL694" s="125" t="n"/>
      <c r="AM694" s="125">
        <f>SQRT(((VLOOKUP($AT$4,$A$4:$J$1021,10,FALSE))-J694)^2)</f>
        <v/>
      </c>
      <c r="AN694" s="125" t="n"/>
      <c r="AO694" s="125" t="n"/>
      <c r="AP694" s="125">
        <f>SQRT(((VLOOKUP($AT$4,$A$4:$R$1021,18,FALSE))-R694)^2)</f>
        <v/>
      </c>
      <c r="AQ694" s="125" t="inlineStr">
        <is>
          <t>HY800X315</t>
        </is>
      </c>
      <c r="BB694" s="125">
        <f>SQRT(($J$1022-J694)^2)</f>
        <v/>
      </c>
      <c r="BC694" s="125">
        <f>SQRT(($R$1022-R694)^2)</f>
        <v/>
      </c>
      <c r="BD694" s="125" t="inlineStr">
        <is>
          <t>HY800X315</t>
        </is>
      </c>
      <c r="BI694">
        <f>SQRT(($J$1023-J694)^2)</f>
        <v/>
      </c>
      <c r="BJ694">
        <f>SQRT(($R$1023-R694)^2)</f>
        <v/>
      </c>
      <c r="BK694" s="125" t="inlineStr">
        <is>
          <t>HY800X315</t>
        </is>
      </c>
      <c r="BP694">
        <f>SQRT(($J$1024-J694)^2)</f>
        <v/>
      </c>
      <c r="BQ694">
        <f>SQRT(($R$1024-R694)^2)</f>
        <v/>
      </c>
      <c r="BR694" s="125" t="inlineStr">
        <is>
          <t>HY800X315</t>
        </is>
      </c>
      <c r="BW694">
        <f>SQRT(($J$1025-J694)^2)</f>
        <v/>
      </c>
      <c r="BX694">
        <f>SQRT(($R$1025-R694)^2)</f>
        <v/>
      </c>
      <c r="BY694" s="125" t="inlineStr">
        <is>
          <t>HY800X315</t>
        </is>
      </c>
      <c r="CD694">
        <f>SQRT(($J$1026-J694)^2)</f>
        <v/>
      </c>
      <c r="CE694">
        <f>SQRT(($R$1026-R694)^2)</f>
        <v/>
      </c>
      <c r="CF694" s="125" t="inlineStr">
        <is>
          <t>HY800X315</t>
        </is>
      </c>
    </row>
    <row r="695">
      <c r="A695" s="125" t="inlineStr">
        <is>
          <t>HY800X297</t>
        </is>
      </c>
      <c r="B695" s="129" t="inlineStr">
        <is>
          <t>HY</t>
        </is>
      </c>
      <c r="C695" s="125" t="n">
        <v>297</v>
      </c>
      <c r="D695" s="125" t="n">
        <v>800</v>
      </c>
      <c r="E695" s="125" t="n">
        <v>300</v>
      </c>
      <c r="F695" s="125" t="n">
        <v>36</v>
      </c>
      <c r="G695" s="125" t="n">
        <v>22</v>
      </c>
      <c r="H695" s="125" t="n">
        <v>18</v>
      </c>
      <c r="I695" s="125">
        <f>D695-(2*(H695+F695))</f>
        <v/>
      </c>
      <c r="J695" s="125">
        <f>(2*E695/10*F695/10)+((D695-F695-F695)/10*G695/10)+((H695/10+H695/10)^2)-(PI()*H695/10*H695/10)</f>
        <v/>
      </c>
      <c r="K695" s="125">
        <f>((E695-G695)/2)/F695</f>
        <v/>
      </c>
      <c r="L695" s="125">
        <f>I695/G695</f>
        <v/>
      </c>
      <c r="M695" s="125">
        <f>(E695*2+F695*4+((E695-G695)/2-H695)*4+2*PI()*H695+(D695-2*F695-2*H695)*2)/1000</f>
        <v/>
      </c>
      <c r="N695" s="5" t="n">
        <v>390000</v>
      </c>
      <c r="O695" s="5" t="n">
        <v>16300</v>
      </c>
      <c r="P695" s="125" t="n">
        <v>32.1</v>
      </c>
      <c r="Q695" s="125" t="n">
        <v>6.6</v>
      </c>
      <c r="R695" s="5" t="n">
        <v>9740</v>
      </c>
      <c r="S695" s="5" t="n">
        <v>1080</v>
      </c>
      <c r="T695" s="5" t="n">
        <v>11300</v>
      </c>
      <c r="U695" s="5" t="n">
        <v>1710</v>
      </c>
      <c r="X695" s="129">
        <f t="array" ref="X695">_xlfn.IFS((D695/F695) &lt;= (640/SQRT($AT$32)), "Compact", L695 &lt;= ($AT$32*(0.79-(0.002*((E695-G695/2)/(2*F695))*SQRT($AT$32)))), "Non-Compact", L695 &gt; ($AT$32*(0.79-(0.002*((E695-G695/2)/(2*F695))*SQRT($AT$32)))), "Slender")</f>
        <v/>
      </c>
      <c r="Y695" s="129">
        <f t="array" ref="Y695">_xlfn.IFS(K695 &lt;= (65/SQRT($AT$32)), "Compact", K695 &lt;= (95/SQRT($AT$32)), "Non-Compact", K695 &gt; (95/SQRT($AT$32)), "Slender")</f>
        <v/>
      </c>
      <c r="Z695" s="125">
        <f>E695/F695</f>
        <v/>
      </c>
      <c r="AA695" s="125">
        <f>D695/G695</f>
        <v/>
      </c>
      <c r="AB695" s="125">
        <f t="array" ref="AB695">_xlfn.IFS(Z695 &lt;= 9, "1", Z695 &lt;= 12, "2", Z695 &lt;= 15, "3", Z695 &gt; 15, "4")</f>
        <v/>
      </c>
      <c r="AC695" s="125">
        <f t="array" ref="AC695">_xlfn.IFS(AA695 &lt;= 200, "1", L695 &lt;= 300, "2", L695 &lt;= 400, "3", L695 &gt; 400, "4")</f>
        <v/>
      </c>
      <c r="AF695" s="129">
        <f>SQRT((((VLOOKUP($AT$4,$A$4:$D$1021,4,FALSE))-D695)^2)+(((VLOOKUP($AT$4,$A$4:$E$1021,5,FALSE))-E695)^2)+(((VLOOKUP($AT$4,$A$4:$N$1021,14,FALSE))-N695)^2)+(((VLOOKUP($AT$4,$A$4:$O$1021,15,FALSE))-O695)^2))</f>
        <v/>
      </c>
      <c r="AG695" s="129" t="n"/>
      <c r="AI695" s="129">
        <f>SQRT((((VLOOKUP($AT$4,$A$4:$D$1021,4,FALSE))-D695)^2)+(((VLOOKUP($AT$4,$A$4:$E$1021,5,FALSE))-E695)^2)+(((VLOOKUP($AT$4,$A$4:$R$1021,18,FALSE))-R695)^2)+(((VLOOKUP($AT$4,$A$4:$S$1021,19,FALSE))-S695)^2))</f>
        <v/>
      </c>
      <c r="AJ695" s="125" t="inlineStr">
        <is>
          <t>HY800X297</t>
        </is>
      </c>
      <c r="AK695" s="125" t="n"/>
      <c r="AL695" s="125" t="n"/>
      <c r="AM695" s="125">
        <f>SQRT(((VLOOKUP($AT$4,$A$4:$J$1021,10,FALSE))-J695)^2)</f>
        <v/>
      </c>
      <c r="AN695" s="125" t="n"/>
      <c r="AO695" s="125" t="n"/>
      <c r="AP695" s="125">
        <f>SQRT(((VLOOKUP($AT$4,$A$4:$R$1021,18,FALSE))-R695)^2)</f>
        <v/>
      </c>
      <c r="AQ695" s="125" t="inlineStr">
        <is>
          <t>HY800X297</t>
        </is>
      </c>
      <c r="BB695" s="125">
        <f>SQRT(($J$1022-J695)^2)</f>
        <v/>
      </c>
      <c r="BC695" s="125">
        <f>SQRT(($R$1022-R695)^2)</f>
        <v/>
      </c>
      <c r="BD695" s="125" t="inlineStr">
        <is>
          <t>HY800X297</t>
        </is>
      </c>
      <c r="BI695">
        <f>SQRT(($J$1023-J695)^2)</f>
        <v/>
      </c>
      <c r="BJ695">
        <f>SQRT(($R$1023-R695)^2)</f>
        <v/>
      </c>
      <c r="BK695" s="125" t="inlineStr">
        <is>
          <t>HY800X297</t>
        </is>
      </c>
      <c r="BP695">
        <f>SQRT(($J$1024-J695)^2)</f>
        <v/>
      </c>
      <c r="BQ695">
        <f>SQRT(($R$1024-R695)^2)</f>
        <v/>
      </c>
      <c r="BR695" s="125" t="inlineStr">
        <is>
          <t>HY800X297</t>
        </is>
      </c>
      <c r="BW695">
        <f>SQRT(($J$1025-J695)^2)</f>
        <v/>
      </c>
      <c r="BX695">
        <f>SQRT(($R$1025-R695)^2)</f>
        <v/>
      </c>
      <c r="BY695" s="125" t="inlineStr">
        <is>
          <t>HY800X297</t>
        </is>
      </c>
      <c r="CD695">
        <f>SQRT(($J$1026-J695)^2)</f>
        <v/>
      </c>
      <c r="CE695">
        <f>SQRT(($R$1026-R695)^2)</f>
        <v/>
      </c>
      <c r="CF695" s="125" t="inlineStr">
        <is>
          <t>HY800X297</t>
        </is>
      </c>
    </row>
    <row r="696">
      <c r="A696" s="125" t="inlineStr">
        <is>
          <t>HY800X280</t>
        </is>
      </c>
      <c r="B696" s="129" t="inlineStr">
        <is>
          <t>HY</t>
        </is>
      </c>
      <c r="C696" s="125" t="n">
        <v>280</v>
      </c>
      <c r="D696" s="125" t="n">
        <v>800</v>
      </c>
      <c r="E696" s="125" t="n">
        <v>300</v>
      </c>
      <c r="F696" s="125" t="n">
        <v>32</v>
      </c>
      <c r="G696" s="125" t="n">
        <v>22</v>
      </c>
      <c r="H696" s="125" t="n">
        <v>18</v>
      </c>
      <c r="I696" s="125">
        <f>D696-(2*(H696+F696))</f>
        <v/>
      </c>
      <c r="J696" s="125">
        <f>(2*E696/10*F696/10)+((D696-F696-F696)/10*G696/10)+((H696/10+H696/10)^2)-(PI()*H696/10*H696/10)</f>
        <v/>
      </c>
      <c r="K696" s="125">
        <f>((E696-G696)/2)/F696</f>
        <v/>
      </c>
      <c r="L696" s="125">
        <f>I696/G696</f>
        <v/>
      </c>
      <c r="M696" s="125">
        <f>(E696*2+F696*4+((E696-G696)/2-H696)*4+2*PI()*H696+(D696-2*F696-2*H696)*2)/1000</f>
        <v/>
      </c>
      <c r="N696" s="5" t="n">
        <v>360000</v>
      </c>
      <c r="O696" s="5" t="n">
        <v>14500</v>
      </c>
      <c r="P696" s="125" t="n">
        <v>31.8</v>
      </c>
      <c r="Q696" s="125" t="n">
        <v>6.4</v>
      </c>
      <c r="R696" s="5" t="n">
        <v>9000</v>
      </c>
      <c r="S696" s="125" t="n">
        <v>965</v>
      </c>
      <c r="T696" s="5" t="n">
        <v>10500</v>
      </c>
      <c r="U696" s="5" t="n">
        <v>1530</v>
      </c>
      <c r="X696" s="129">
        <f t="array" ref="X696">_xlfn.IFS((D696/F696) &lt;= (640/SQRT($AT$32)), "Compact", L696 &lt;= ($AT$32*(0.79-(0.002*((E696-G696/2)/(2*F696))*SQRT($AT$32)))), "Non-Compact", L696 &gt; ($AT$32*(0.79-(0.002*((E696-G696/2)/(2*F696))*SQRT($AT$32)))), "Slender")</f>
        <v/>
      </c>
      <c r="Y696" s="129">
        <f t="array" ref="Y696">_xlfn.IFS(K696 &lt;= (65/SQRT($AT$32)), "Compact", K696 &lt;= (95/SQRT($AT$32)), "Non-Compact", K696 &gt; (95/SQRT($AT$32)), "Slender")</f>
        <v/>
      </c>
      <c r="Z696" s="125">
        <f>E696/F696</f>
        <v/>
      </c>
      <c r="AA696" s="125">
        <f>D696/G696</f>
        <v/>
      </c>
      <c r="AB696" s="125">
        <f t="array" ref="AB696">_xlfn.IFS(Z696 &lt;= 9, "1", Z696 &lt;= 12, "2", Z696 &lt;= 15, "3", Z696 &gt; 15, "4")</f>
        <v/>
      </c>
      <c r="AC696" s="125">
        <f t="array" ref="AC696">_xlfn.IFS(AA696 &lt;= 200, "1", L696 &lt;= 300, "2", L696 &lt;= 400, "3", L696 &gt; 400, "4")</f>
        <v/>
      </c>
      <c r="AF696" s="129">
        <f>SQRT((((VLOOKUP($AT$4,$A$4:$D$1021,4,FALSE))-D696)^2)+(((VLOOKUP($AT$4,$A$4:$E$1021,5,FALSE))-E696)^2)+(((VLOOKUP($AT$4,$A$4:$N$1021,14,FALSE))-N696)^2)+(((VLOOKUP($AT$4,$A$4:$O$1021,15,FALSE))-O696)^2))</f>
        <v/>
      </c>
      <c r="AG696" s="129" t="n"/>
      <c r="AI696" s="129">
        <f>SQRT((((VLOOKUP($AT$4,$A$4:$D$1021,4,FALSE))-D696)^2)+(((VLOOKUP($AT$4,$A$4:$E$1021,5,FALSE))-E696)^2)+(((VLOOKUP($AT$4,$A$4:$R$1021,18,FALSE))-R696)^2)+(((VLOOKUP($AT$4,$A$4:$S$1021,19,FALSE))-S696)^2))</f>
        <v/>
      </c>
      <c r="AJ696" s="125" t="inlineStr">
        <is>
          <t>HY800X280</t>
        </is>
      </c>
      <c r="AK696" s="125" t="n"/>
      <c r="AL696" s="125" t="n"/>
      <c r="AM696" s="125">
        <f>SQRT(((VLOOKUP($AT$4,$A$4:$J$1021,10,FALSE))-J696)^2)</f>
        <v/>
      </c>
      <c r="AN696" s="125" t="n"/>
      <c r="AO696" s="125" t="n"/>
      <c r="AP696" s="125">
        <f>SQRT(((VLOOKUP($AT$4,$A$4:$R$1021,18,FALSE))-R696)^2)</f>
        <v/>
      </c>
      <c r="AQ696" s="125" t="inlineStr">
        <is>
          <t>HY800X280</t>
        </is>
      </c>
      <c r="BB696" s="125">
        <f>SQRT(($J$1022-J696)^2)</f>
        <v/>
      </c>
      <c r="BC696" s="125">
        <f>SQRT(($R$1022-R696)^2)</f>
        <v/>
      </c>
      <c r="BD696" s="125" t="inlineStr">
        <is>
          <t>HY800X280</t>
        </is>
      </c>
      <c r="BI696">
        <f>SQRT(($J$1023-J696)^2)</f>
        <v/>
      </c>
      <c r="BJ696">
        <f>SQRT(($R$1023-R696)^2)</f>
        <v/>
      </c>
      <c r="BK696" s="125" t="inlineStr">
        <is>
          <t>HY800X280</t>
        </is>
      </c>
      <c r="BP696">
        <f>SQRT(($J$1024-J696)^2)</f>
        <v/>
      </c>
      <c r="BQ696">
        <f>SQRT(($R$1024-R696)^2)</f>
        <v/>
      </c>
      <c r="BR696" s="125" t="inlineStr">
        <is>
          <t>HY800X280</t>
        </is>
      </c>
      <c r="BW696">
        <f>SQRT(($J$1025-J696)^2)</f>
        <v/>
      </c>
      <c r="BX696">
        <f>SQRT(($R$1025-R696)^2)</f>
        <v/>
      </c>
      <c r="BY696" s="125" t="inlineStr">
        <is>
          <t>HY800X280</t>
        </is>
      </c>
      <c r="CD696">
        <f>SQRT(($J$1026-J696)^2)</f>
        <v/>
      </c>
      <c r="CE696">
        <f>SQRT(($R$1026-R696)^2)</f>
        <v/>
      </c>
      <c r="CF696" s="125" t="inlineStr">
        <is>
          <t>HY800X280</t>
        </is>
      </c>
    </row>
    <row r="697">
      <c r="A697" s="125" t="inlineStr">
        <is>
          <t>HY800X263</t>
        </is>
      </c>
      <c r="B697" s="129" t="inlineStr">
        <is>
          <t>HY</t>
        </is>
      </c>
      <c r="C697" s="125" t="n">
        <v>263</v>
      </c>
      <c r="D697" s="125" t="n">
        <v>800</v>
      </c>
      <c r="E697" s="125" t="n">
        <v>300</v>
      </c>
      <c r="F697" s="125" t="n">
        <v>28</v>
      </c>
      <c r="G697" s="125" t="n">
        <v>22</v>
      </c>
      <c r="H697" s="125" t="n">
        <v>18</v>
      </c>
      <c r="I697" s="125">
        <f>D697-(2*(H697+F697))</f>
        <v/>
      </c>
      <c r="J697" s="125">
        <f>(2*E697/10*F697/10)+((D697-F697-F697)/10*G697/10)+((H697/10+H697/10)^2)-(PI()*H697/10*H697/10)</f>
        <v/>
      </c>
      <c r="K697" s="125">
        <f>((E697-G697)/2)/F697</f>
        <v/>
      </c>
      <c r="L697" s="125">
        <f>I697/G697</f>
        <v/>
      </c>
      <c r="M697" s="125">
        <f>(E697*2+F697*4+((E697-G697)/2-H697)*4+2*PI()*H697+(D697-2*F697-2*H697)*2)/1000</f>
        <v/>
      </c>
      <c r="N697" s="5" t="n">
        <v>330000</v>
      </c>
      <c r="O697" s="5" t="n">
        <v>12700</v>
      </c>
      <c r="P697" s="125" t="n">
        <v>31.4</v>
      </c>
      <c r="Q697" s="125" t="n">
        <v>6.2</v>
      </c>
      <c r="R697" s="5" t="n">
        <v>8240</v>
      </c>
      <c r="S697" s="125" t="n">
        <v>845</v>
      </c>
      <c r="T697" s="5" t="n">
        <v>9630</v>
      </c>
      <c r="U697" s="5" t="n">
        <v>1350</v>
      </c>
      <c r="X697" s="129">
        <f t="array" ref="X697">_xlfn.IFS((D697/F697) &lt;= (640/SQRT($AT$32)), "Compact", L697 &lt;= ($AT$32*(0.79-(0.002*((E697-G697/2)/(2*F697))*SQRT($AT$32)))), "Non-Compact", L697 &gt; ($AT$32*(0.79-(0.002*((E697-G697/2)/(2*F697))*SQRT($AT$32)))), "Slender")</f>
        <v/>
      </c>
      <c r="Y697" s="129">
        <f t="array" ref="Y697">_xlfn.IFS(K697 &lt;= (65/SQRT($AT$32)), "Compact", K697 &lt;= (95/SQRT($AT$32)), "Non-Compact", K697 &gt; (95/SQRT($AT$32)), "Slender")</f>
        <v/>
      </c>
      <c r="Z697" s="125">
        <f>E697/F697</f>
        <v/>
      </c>
      <c r="AA697" s="125">
        <f>D697/G697</f>
        <v/>
      </c>
      <c r="AB697" s="125">
        <f t="array" ref="AB697">_xlfn.IFS(Z697 &lt;= 9, "1", Z697 &lt;= 12, "2", Z697 &lt;= 15, "3", Z697 &gt; 15, "4")</f>
        <v/>
      </c>
      <c r="AC697" s="125">
        <f t="array" ref="AC697">_xlfn.IFS(AA697 &lt;= 200, "1", L697 &lt;= 300, "2", L697 &lt;= 400, "3", L697 &gt; 400, "4")</f>
        <v/>
      </c>
      <c r="AF697" s="129">
        <f>SQRT((((VLOOKUP($AT$4,$A$4:$D$1021,4,FALSE))-D697)^2)+(((VLOOKUP($AT$4,$A$4:$E$1021,5,FALSE))-E697)^2)+(((VLOOKUP($AT$4,$A$4:$N$1021,14,FALSE))-N697)^2)+(((VLOOKUP($AT$4,$A$4:$O$1021,15,FALSE))-O697)^2))</f>
        <v/>
      </c>
      <c r="AG697" s="129" t="n"/>
      <c r="AI697" s="129">
        <f>SQRT((((VLOOKUP($AT$4,$A$4:$D$1021,4,FALSE))-D697)^2)+(((VLOOKUP($AT$4,$A$4:$E$1021,5,FALSE))-E697)^2)+(((VLOOKUP($AT$4,$A$4:$R$1021,18,FALSE))-R697)^2)+(((VLOOKUP($AT$4,$A$4:$S$1021,19,FALSE))-S697)^2))</f>
        <v/>
      </c>
      <c r="AJ697" s="125" t="inlineStr">
        <is>
          <t>HY800X263</t>
        </is>
      </c>
      <c r="AK697" s="125" t="n"/>
      <c r="AL697" s="125" t="n"/>
      <c r="AM697" s="125">
        <f>SQRT(((VLOOKUP($AT$4,$A$4:$J$1021,10,FALSE))-J697)^2)</f>
        <v/>
      </c>
      <c r="AN697" s="125" t="n"/>
      <c r="AO697" s="125" t="n"/>
      <c r="AP697" s="125">
        <f>SQRT(((VLOOKUP($AT$4,$A$4:$R$1021,18,FALSE))-R697)^2)</f>
        <v/>
      </c>
      <c r="AQ697" s="125" t="inlineStr">
        <is>
          <t>HY800X263</t>
        </is>
      </c>
      <c r="BB697" s="125">
        <f>SQRT(($J$1022-J697)^2)</f>
        <v/>
      </c>
      <c r="BC697" s="125">
        <f>SQRT(($R$1022-R697)^2)</f>
        <v/>
      </c>
      <c r="BD697" s="125" t="inlineStr">
        <is>
          <t>HY800X263</t>
        </is>
      </c>
      <c r="BI697">
        <f>SQRT(($J$1023-J697)^2)</f>
        <v/>
      </c>
      <c r="BJ697">
        <f>SQRT(($R$1023-R697)^2)</f>
        <v/>
      </c>
      <c r="BK697" s="125" t="inlineStr">
        <is>
          <t>HY800X263</t>
        </is>
      </c>
      <c r="BP697">
        <f>SQRT(($J$1024-J697)^2)</f>
        <v/>
      </c>
      <c r="BQ697">
        <f>SQRT(($R$1024-R697)^2)</f>
        <v/>
      </c>
      <c r="BR697" s="125" t="inlineStr">
        <is>
          <t>HY800X263</t>
        </is>
      </c>
      <c r="BW697">
        <f>SQRT(($J$1025-J697)^2)</f>
        <v/>
      </c>
      <c r="BX697">
        <f>SQRT(($R$1025-R697)^2)</f>
        <v/>
      </c>
      <c r="BY697" s="125" t="inlineStr">
        <is>
          <t>HY800X263</t>
        </is>
      </c>
      <c r="CD697">
        <f>SQRT(($J$1026-J697)^2)</f>
        <v/>
      </c>
      <c r="CE697">
        <f>SQRT(($R$1026-R697)^2)</f>
        <v/>
      </c>
      <c r="CF697" s="125" t="inlineStr">
        <is>
          <t>HY800X263</t>
        </is>
      </c>
    </row>
    <row r="698">
      <c r="A698" s="125" t="inlineStr">
        <is>
          <t>HY800X249</t>
        </is>
      </c>
      <c r="B698" s="129" t="inlineStr">
        <is>
          <t>HY</t>
        </is>
      </c>
      <c r="C698" s="125" t="n">
        <v>249</v>
      </c>
      <c r="D698" s="125" t="n">
        <v>800</v>
      </c>
      <c r="E698" s="125" t="n">
        <v>300</v>
      </c>
      <c r="F698" s="125" t="n">
        <v>25</v>
      </c>
      <c r="G698" s="125" t="n">
        <v>22</v>
      </c>
      <c r="H698" s="125" t="n">
        <v>18</v>
      </c>
      <c r="I698" s="125">
        <f>D698-(2*(H698+F698))</f>
        <v/>
      </c>
      <c r="J698" s="125">
        <f>(2*E698/10*F698/10)+((D698-F698-F698)/10*G698/10)+((H698/10+H698/10)^2)-(PI()*H698/10*H698/10)</f>
        <v/>
      </c>
      <c r="K698" s="125">
        <f>((E698-G698)/2)/F698</f>
        <v/>
      </c>
      <c r="L698" s="125">
        <f>I698/G698</f>
        <v/>
      </c>
      <c r="M698" s="125">
        <f>(E698*2+F698*4+((E698-G698)/2-H698)*4+2*PI()*H698+(D698-2*F698-2*H698)*2)/1000</f>
        <v/>
      </c>
      <c r="N698" s="5" t="n">
        <v>306000</v>
      </c>
      <c r="O698" s="5" t="n">
        <v>11300</v>
      </c>
      <c r="P698" s="125" t="n">
        <v>31.1</v>
      </c>
      <c r="Q698" s="125" t="n">
        <v>6</v>
      </c>
      <c r="R698" s="5" t="n">
        <v>7660</v>
      </c>
      <c r="S698" s="125" t="n">
        <v>755</v>
      </c>
      <c r="T698" s="5" t="n">
        <v>9010</v>
      </c>
      <c r="U698" s="5" t="n">
        <v>1220</v>
      </c>
      <c r="X698" s="129">
        <f t="array" ref="X698">_xlfn.IFS((D698/F698) &lt;= (640/SQRT($AT$32)), "Compact", L698 &lt;= ($AT$32*(0.79-(0.002*((E698-G698/2)/(2*F698))*SQRT($AT$32)))), "Non-Compact", L698 &gt; ($AT$32*(0.79-(0.002*((E698-G698/2)/(2*F698))*SQRT($AT$32)))), "Slender")</f>
        <v/>
      </c>
      <c r="Y698" s="129">
        <f t="array" ref="Y698">_xlfn.IFS(K698 &lt;= (65/SQRT($AT$32)), "Compact", K698 &lt;= (95/SQRT($AT$32)), "Non-Compact", K698 &gt; (95/SQRT($AT$32)), "Slender")</f>
        <v/>
      </c>
      <c r="Z698" s="125">
        <f>E698/F698</f>
        <v/>
      </c>
      <c r="AA698" s="125">
        <f>D698/G698</f>
        <v/>
      </c>
      <c r="AB698" s="125">
        <f t="array" ref="AB698">_xlfn.IFS(Z698 &lt;= 9, "1", Z698 &lt;= 12, "2", Z698 &lt;= 15, "3", Z698 &gt; 15, "4")</f>
        <v/>
      </c>
      <c r="AC698" s="125">
        <f t="array" ref="AC698">_xlfn.IFS(AA698 &lt;= 200, "1", L698 &lt;= 300, "2", L698 &lt;= 400, "3", L698 &gt; 400, "4")</f>
        <v/>
      </c>
      <c r="AF698" s="129">
        <f>SQRT((((VLOOKUP($AT$4,$A$4:$D$1021,4,FALSE))-D698)^2)+(((VLOOKUP($AT$4,$A$4:$E$1021,5,FALSE))-E698)^2)+(((VLOOKUP($AT$4,$A$4:$N$1021,14,FALSE))-N698)^2)+(((VLOOKUP($AT$4,$A$4:$O$1021,15,FALSE))-O698)^2))</f>
        <v/>
      </c>
      <c r="AG698" s="129" t="n"/>
      <c r="AI698" s="129">
        <f>SQRT((((VLOOKUP($AT$4,$A$4:$D$1021,4,FALSE))-D698)^2)+(((VLOOKUP($AT$4,$A$4:$E$1021,5,FALSE))-E698)^2)+(((VLOOKUP($AT$4,$A$4:$R$1021,18,FALSE))-R698)^2)+(((VLOOKUP($AT$4,$A$4:$S$1021,19,FALSE))-S698)^2))</f>
        <v/>
      </c>
      <c r="AJ698" s="125" t="inlineStr">
        <is>
          <t>HY800X249</t>
        </is>
      </c>
      <c r="AK698" s="125" t="n"/>
      <c r="AL698" s="125" t="n"/>
      <c r="AM698" s="125">
        <f>SQRT(((VLOOKUP($AT$4,$A$4:$J$1021,10,FALSE))-J698)^2)</f>
        <v/>
      </c>
      <c r="AN698" s="125" t="n"/>
      <c r="AO698" s="125" t="n"/>
      <c r="AP698" s="125">
        <f>SQRT(((VLOOKUP($AT$4,$A$4:$R$1021,18,FALSE))-R698)^2)</f>
        <v/>
      </c>
      <c r="AQ698" s="125" t="inlineStr">
        <is>
          <t>HY800X249</t>
        </is>
      </c>
      <c r="BB698" s="125">
        <f>SQRT(($J$1022-J698)^2)</f>
        <v/>
      </c>
      <c r="BC698" s="125">
        <f>SQRT(($R$1022-R698)^2)</f>
        <v/>
      </c>
      <c r="BD698" s="125" t="inlineStr">
        <is>
          <t>HY800X249</t>
        </is>
      </c>
      <c r="BI698">
        <f>SQRT(($J$1023-J698)^2)</f>
        <v/>
      </c>
      <c r="BJ698">
        <f>SQRT(($R$1023-R698)^2)</f>
        <v/>
      </c>
      <c r="BK698" s="125" t="inlineStr">
        <is>
          <t>HY800X249</t>
        </is>
      </c>
      <c r="BP698">
        <f>SQRT(($J$1024-J698)^2)</f>
        <v/>
      </c>
      <c r="BQ698">
        <f>SQRT(($R$1024-R698)^2)</f>
        <v/>
      </c>
      <c r="BR698" s="125" t="inlineStr">
        <is>
          <t>HY800X249</t>
        </is>
      </c>
      <c r="BW698">
        <f>SQRT(($J$1025-J698)^2)</f>
        <v/>
      </c>
      <c r="BX698">
        <f>SQRT(($R$1025-R698)^2)</f>
        <v/>
      </c>
      <c r="BY698" s="125" t="inlineStr">
        <is>
          <t>HY800X249</t>
        </is>
      </c>
      <c r="CD698">
        <f>SQRT(($J$1026-J698)^2)</f>
        <v/>
      </c>
      <c r="CE698">
        <f>SQRT(($R$1026-R698)^2)</f>
        <v/>
      </c>
      <c r="CF698" s="125" t="inlineStr">
        <is>
          <t>HY800X249</t>
        </is>
      </c>
    </row>
    <row r="699">
      <c r="A699" s="125" t="inlineStr">
        <is>
          <t>HY800X298</t>
        </is>
      </c>
      <c r="B699" s="129" t="inlineStr">
        <is>
          <t>HY</t>
        </is>
      </c>
      <c r="C699" s="125" t="n">
        <v>298</v>
      </c>
      <c r="D699" s="125" t="n">
        <v>800</v>
      </c>
      <c r="E699" s="125" t="n">
        <v>300</v>
      </c>
      <c r="F699" s="125" t="n">
        <v>40</v>
      </c>
      <c r="G699" s="125" t="n">
        <v>19</v>
      </c>
      <c r="H699" s="125" t="n">
        <v>18</v>
      </c>
      <c r="I699" s="125">
        <f>D699-(2*(H699+F699))</f>
        <v/>
      </c>
      <c r="J699" s="125">
        <f>(2*E699/10*F699/10)+((D699-F699-F699)/10*G699/10)+((H699/10+H699/10)^2)-(PI()*H699/10*H699/10)</f>
        <v/>
      </c>
      <c r="K699" s="125">
        <f>((E699-G699)/2)/F699</f>
        <v/>
      </c>
      <c r="L699" s="125">
        <f>I699/G699</f>
        <v/>
      </c>
      <c r="M699" s="125">
        <f>(E699*2+F699*4+((E699-G699)/2-H699)*4+2*PI()*H699+(D699-2*F699-2*H699)*2)/1000</f>
        <v/>
      </c>
      <c r="N699" s="5" t="n">
        <v>410000</v>
      </c>
      <c r="O699" s="5" t="n">
        <v>18000</v>
      </c>
      <c r="P699" s="125" t="n">
        <v>32.8</v>
      </c>
      <c r="Q699" s="125" t="n">
        <v>6.9</v>
      </c>
      <c r="R699" s="5" t="n">
        <v>10200</v>
      </c>
      <c r="S699" s="5" t="n">
        <v>1200</v>
      </c>
      <c r="T699" s="5" t="n">
        <v>11700</v>
      </c>
      <c r="U699" s="5" t="n">
        <v>1870</v>
      </c>
      <c r="X699" s="129">
        <f t="array" ref="X699">_xlfn.IFS((D699/F699) &lt;= (640/SQRT($AT$32)), "Compact", L699 &lt;= ($AT$32*(0.79-(0.002*((E699-G699/2)/(2*F699))*SQRT($AT$32)))), "Non-Compact", L699 &gt; ($AT$32*(0.79-(0.002*((E699-G699/2)/(2*F699))*SQRT($AT$32)))), "Slender")</f>
        <v/>
      </c>
      <c r="Y699" s="129">
        <f t="array" ref="Y699">_xlfn.IFS(K699 &lt;= (65/SQRT($AT$32)), "Compact", K699 &lt;= (95/SQRT($AT$32)), "Non-Compact", K699 &gt; (95/SQRT($AT$32)), "Slender")</f>
        <v/>
      </c>
      <c r="Z699" s="125">
        <f>E699/F699</f>
        <v/>
      </c>
      <c r="AA699" s="125">
        <f>D699/G699</f>
        <v/>
      </c>
      <c r="AB699" s="125">
        <f t="array" ref="AB699">_xlfn.IFS(Z699 &lt;= 9, "1", Z699 &lt;= 12, "2", Z699 &lt;= 15, "3", Z699 &gt; 15, "4")</f>
        <v/>
      </c>
      <c r="AC699" s="125">
        <f t="array" ref="AC699">_xlfn.IFS(AA699 &lt;= 200, "1", L699 &lt;= 300, "2", L699 &lt;= 400, "3", L699 &gt; 400, "4")</f>
        <v/>
      </c>
      <c r="AF699" s="129">
        <f>SQRT((((VLOOKUP($AT$4,$A$4:$D$1021,4,FALSE))-D699)^2)+(((VLOOKUP($AT$4,$A$4:$E$1021,5,FALSE))-E699)^2)+(((VLOOKUP($AT$4,$A$4:$N$1021,14,FALSE))-N699)^2)+(((VLOOKUP($AT$4,$A$4:$O$1021,15,FALSE))-O699)^2))</f>
        <v/>
      </c>
      <c r="AG699" s="129" t="n"/>
      <c r="AI699" s="129">
        <f>SQRT((((VLOOKUP($AT$4,$A$4:$D$1021,4,FALSE))-D699)^2)+(((VLOOKUP($AT$4,$A$4:$E$1021,5,FALSE))-E699)^2)+(((VLOOKUP($AT$4,$A$4:$R$1021,18,FALSE))-R699)^2)+(((VLOOKUP($AT$4,$A$4:$S$1021,19,FALSE))-S699)^2))</f>
        <v/>
      </c>
      <c r="AJ699" s="125" t="inlineStr">
        <is>
          <t>HY800X298</t>
        </is>
      </c>
      <c r="AK699" s="125" t="n"/>
      <c r="AL699" s="125" t="n"/>
      <c r="AM699" s="125">
        <f>SQRT(((VLOOKUP($AT$4,$A$4:$J$1021,10,FALSE))-J699)^2)</f>
        <v/>
      </c>
      <c r="AN699" s="125" t="n"/>
      <c r="AO699" s="125" t="n"/>
      <c r="AP699" s="125">
        <f>SQRT(((VLOOKUP($AT$4,$A$4:$R$1021,18,FALSE))-R699)^2)</f>
        <v/>
      </c>
      <c r="AQ699" s="125" t="inlineStr">
        <is>
          <t>HY800X298</t>
        </is>
      </c>
      <c r="BB699" s="125">
        <f>SQRT(($J$1022-J699)^2)</f>
        <v/>
      </c>
      <c r="BC699" s="125">
        <f>SQRT(($R$1022-R699)^2)</f>
        <v/>
      </c>
      <c r="BD699" s="125" t="inlineStr">
        <is>
          <t>HY800X298</t>
        </is>
      </c>
      <c r="BI699">
        <f>SQRT(($J$1023-J699)^2)</f>
        <v/>
      </c>
      <c r="BJ699">
        <f>SQRT(($R$1023-R699)^2)</f>
        <v/>
      </c>
      <c r="BK699" s="125" t="inlineStr">
        <is>
          <t>HY800X298</t>
        </is>
      </c>
      <c r="BP699">
        <f>SQRT(($J$1024-J699)^2)</f>
        <v/>
      </c>
      <c r="BQ699">
        <f>SQRT(($R$1024-R699)^2)</f>
        <v/>
      </c>
      <c r="BR699" s="125" t="inlineStr">
        <is>
          <t>HY800X298</t>
        </is>
      </c>
      <c r="BW699">
        <f>SQRT(($J$1025-J699)^2)</f>
        <v/>
      </c>
      <c r="BX699">
        <f>SQRT(($R$1025-R699)^2)</f>
        <v/>
      </c>
      <c r="BY699" s="125" t="inlineStr">
        <is>
          <t>HY800X298</t>
        </is>
      </c>
      <c r="CD699">
        <f>SQRT(($J$1026-J699)^2)</f>
        <v/>
      </c>
      <c r="CE699">
        <f>SQRT(($R$1026-R699)^2)</f>
        <v/>
      </c>
      <c r="CF699" s="125" t="inlineStr">
        <is>
          <t>HY800X298</t>
        </is>
      </c>
    </row>
    <row r="700">
      <c r="A700" s="125" t="inlineStr">
        <is>
          <t>HY800X280</t>
        </is>
      </c>
      <c r="B700" s="129" t="inlineStr">
        <is>
          <t>HY</t>
        </is>
      </c>
      <c r="C700" s="125" t="n">
        <v>280</v>
      </c>
      <c r="D700" s="125" t="n">
        <v>800</v>
      </c>
      <c r="E700" s="125" t="n">
        <v>300</v>
      </c>
      <c r="F700" s="125" t="n">
        <v>36</v>
      </c>
      <c r="G700" s="125" t="n">
        <v>19</v>
      </c>
      <c r="H700" s="125" t="n">
        <v>18</v>
      </c>
      <c r="I700" s="125">
        <f>D700-(2*(H700+F700))</f>
        <v/>
      </c>
      <c r="J700" s="125">
        <f>(2*E700/10*F700/10)+((D700-F700-F700)/10*G700/10)+((H700/10+H700/10)^2)-(PI()*H700/10*H700/10)</f>
        <v/>
      </c>
      <c r="K700" s="125">
        <f>((E700-G700)/2)/F700</f>
        <v/>
      </c>
      <c r="L700" s="125">
        <f>I700/G700</f>
        <v/>
      </c>
      <c r="M700" s="125">
        <f>(E700*2+F700*4+((E700-G700)/2-H700)*4+2*PI()*H700+(D700-2*F700-2*H700)*2)/1000</f>
        <v/>
      </c>
      <c r="N700" s="5" t="n">
        <v>380000</v>
      </c>
      <c r="O700" s="5" t="n">
        <v>16200</v>
      </c>
      <c r="P700" s="125" t="n">
        <v>32.6</v>
      </c>
      <c r="Q700" s="125" t="n">
        <v>6.8</v>
      </c>
      <c r="R700" s="5" t="n">
        <v>9500</v>
      </c>
      <c r="S700" s="5" t="n">
        <v>1080</v>
      </c>
      <c r="T700" s="5" t="n">
        <v>10900</v>
      </c>
      <c r="U700" s="5" t="n">
        <v>1690</v>
      </c>
      <c r="X700" s="129">
        <f t="array" ref="X700">_xlfn.IFS((D700/F700) &lt;= (640/SQRT($AT$32)), "Compact", L700 &lt;= ($AT$32*(0.79-(0.002*((E700-G700/2)/(2*F700))*SQRT($AT$32)))), "Non-Compact", L700 &gt; ($AT$32*(0.79-(0.002*((E700-G700/2)/(2*F700))*SQRT($AT$32)))), "Slender")</f>
        <v/>
      </c>
      <c r="Y700" s="129">
        <f t="array" ref="Y700">_xlfn.IFS(K700 &lt;= (65/SQRT($AT$32)), "Compact", K700 &lt;= (95/SQRT($AT$32)), "Non-Compact", K700 &gt; (95/SQRT($AT$32)), "Slender")</f>
        <v/>
      </c>
      <c r="Z700" s="125">
        <f>E700/F700</f>
        <v/>
      </c>
      <c r="AA700" s="125">
        <f>D700/G700</f>
        <v/>
      </c>
      <c r="AB700" s="125">
        <f t="array" ref="AB700">_xlfn.IFS(Z700 &lt;= 9, "1", Z700 &lt;= 12, "2", Z700 &lt;= 15, "3", Z700 &gt; 15, "4")</f>
        <v/>
      </c>
      <c r="AC700" s="125">
        <f t="array" ref="AC700">_xlfn.IFS(AA700 &lt;= 200, "1", L700 &lt;= 300, "2", L700 &lt;= 400, "3", L700 &gt; 400, "4")</f>
        <v/>
      </c>
      <c r="AF700" s="129">
        <f>SQRT((((VLOOKUP($AT$4,$A$4:$D$1021,4,FALSE))-D700)^2)+(((VLOOKUP($AT$4,$A$4:$E$1021,5,FALSE))-E700)^2)+(((VLOOKUP($AT$4,$A$4:$N$1021,14,FALSE))-N700)^2)+(((VLOOKUP($AT$4,$A$4:$O$1021,15,FALSE))-O700)^2))</f>
        <v/>
      </c>
      <c r="AG700" s="129" t="n"/>
      <c r="AI700" s="129">
        <f>SQRT((((VLOOKUP($AT$4,$A$4:$D$1021,4,FALSE))-D700)^2)+(((VLOOKUP($AT$4,$A$4:$E$1021,5,FALSE))-E700)^2)+(((VLOOKUP($AT$4,$A$4:$R$1021,18,FALSE))-R700)^2)+(((VLOOKUP($AT$4,$A$4:$S$1021,19,FALSE))-S700)^2))</f>
        <v/>
      </c>
      <c r="AJ700" s="125" t="inlineStr">
        <is>
          <t>HY800X280</t>
        </is>
      </c>
      <c r="AK700" s="125" t="n"/>
      <c r="AL700" s="125" t="n"/>
      <c r="AM700" s="125">
        <f>SQRT(((VLOOKUP($AT$4,$A$4:$J$1021,10,FALSE))-J700)^2)</f>
        <v/>
      </c>
      <c r="AN700" s="125" t="n"/>
      <c r="AO700" s="125" t="n"/>
      <c r="AP700" s="125">
        <f>SQRT(((VLOOKUP($AT$4,$A$4:$R$1021,18,FALSE))-R700)^2)</f>
        <v/>
      </c>
      <c r="AQ700" s="125" t="inlineStr">
        <is>
          <t>HY800X280</t>
        </is>
      </c>
      <c r="BB700" s="125">
        <f>SQRT(($J$1022-J700)^2)</f>
        <v/>
      </c>
      <c r="BC700" s="125">
        <f>SQRT(($R$1022-R700)^2)</f>
        <v/>
      </c>
      <c r="BD700" s="125" t="inlineStr">
        <is>
          <t>HY800X280</t>
        </is>
      </c>
      <c r="BI700">
        <f>SQRT(($J$1023-J700)^2)</f>
        <v/>
      </c>
      <c r="BJ700">
        <f>SQRT(($R$1023-R700)^2)</f>
        <v/>
      </c>
      <c r="BK700" s="125" t="inlineStr">
        <is>
          <t>HY800X280</t>
        </is>
      </c>
      <c r="BP700">
        <f>SQRT(($J$1024-J700)^2)</f>
        <v/>
      </c>
      <c r="BQ700">
        <f>SQRT(($R$1024-R700)^2)</f>
        <v/>
      </c>
      <c r="BR700" s="125" t="inlineStr">
        <is>
          <t>HY800X280</t>
        </is>
      </c>
      <c r="BW700">
        <f>SQRT(($J$1025-J700)^2)</f>
        <v/>
      </c>
      <c r="BX700">
        <f>SQRT(($R$1025-R700)^2)</f>
        <v/>
      </c>
      <c r="BY700" s="125" t="inlineStr">
        <is>
          <t>HY800X280</t>
        </is>
      </c>
      <c r="CD700">
        <f>SQRT(($J$1026-J700)^2)</f>
        <v/>
      </c>
      <c r="CE700">
        <f>SQRT(($R$1026-R700)^2)</f>
        <v/>
      </c>
      <c r="CF700" s="125" t="inlineStr">
        <is>
          <t>HY800X280</t>
        </is>
      </c>
    </row>
    <row r="701">
      <c r="A701" s="125" t="inlineStr">
        <is>
          <t>HY800X263</t>
        </is>
      </c>
      <c r="B701" s="129" t="inlineStr">
        <is>
          <t>HY</t>
        </is>
      </c>
      <c r="C701" s="125" t="n">
        <v>263</v>
      </c>
      <c r="D701" s="125" t="n">
        <v>800</v>
      </c>
      <c r="E701" s="125" t="n">
        <v>300</v>
      </c>
      <c r="F701" s="125" t="n">
        <v>32</v>
      </c>
      <c r="G701" s="125" t="n">
        <v>19</v>
      </c>
      <c r="H701" s="125" t="n">
        <v>18</v>
      </c>
      <c r="I701" s="125">
        <f>D701-(2*(H701+F701))</f>
        <v/>
      </c>
      <c r="J701" s="125">
        <f>(2*E701/10*F701/10)+((D701-F701-F701)/10*G701/10)+((H701/10+H701/10)^2)-(PI()*H701/10*H701/10)</f>
        <v/>
      </c>
      <c r="K701" s="125">
        <f>((E701-G701)/2)/F701</f>
        <v/>
      </c>
      <c r="L701" s="125">
        <f>I701/G701</f>
        <v/>
      </c>
      <c r="M701" s="125">
        <f>(E701*2+F701*4+((E701-G701)/2-H701)*4+2*PI()*H701+(D701-2*F701-2*H701)*2)/1000</f>
        <v/>
      </c>
      <c r="N701" s="5" t="n">
        <v>350000</v>
      </c>
      <c r="O701" s="5" t="n">
        <v>14400</v>
      </c>
      <c r="P701" s="125" t="n">
        <v>32.3</v>
      </c>
      <c r="Q701" s="125" t="n">
        <v>6.6</v>
      </c>
      <c r="R701" s="5" t="n">
        <v>8750</v>
      </c>
      <c r="S701" s="125" t="n">
        <v>963</v>
      </c>
      <c r="T701" s="5" t="n">
        <v>10000</v>
      </c>
      <c r="U701" s="5" t="n">
        <v>1510</v>
      </c>
      <c r="X701" s="129">
        <f t="array" ref="X701">_xlfn.IFS((D701/F701) &lt;= (640/SQRT($AT$32)), "Compact", L701 &lt;= ($AT$32*(0.79-(0.002*((E701-G701/2)/(2*F701))*SQRT($AT$32)))), "Non-Compact", L701 &gt; ($AT$32*(0.79-(0.002*((E701-G701/2)/(2*F701))*SQRT($AT$32)))), "Slender")</f>
        <v/>
      </c>
      <c r="Y701" s="129">
        <f t="array" ref="Y701">_xlfn.IFS(K701 &lt;= (65/SQRT($AT$32)), "Compact", K701 &lt;= (95/SQRT($AT$32)), "Non-Compact", K701 &gt; (95/SQRT($AT$32)), "Slender")</f>
        <v/>
      </c>
      <c r="Z701" s="125">
        <f>E701/F701</f>
        <v/>
      </c>
      <c r="AA701" s="125">
        <f>D701/G701</f>
        <v/>
      </c>
      <c r="AB701" s="125">
        <f t="array" ref="AB701">_xlfn.IFS(Z701 &lt;= 9, "1", Z701 &lt;= 12, "2", Z701 &lt;= 15, "3", Z701 &gt; 15, "4")</f>
        <v/>
      </c>
      <c r="AC701" s="125">
        <f t="array" ref="AC701">_xlfn.IFS(AA701 &lt;= 200, "1", L701 &lt;= 300, "2", L701 &lt;= 400, "3", L701 &gt; 400, "4")</f>
        <v/>
      </c>
      <c r="AF701" s="129">
        <f>SQRT((((VLOOKUP($AT$4,$A$4:$D$1021,4,FALSE))-D701)^2)+(((VLOOKUP($AT$4,$A$4:$E$1021,5,FALSE))-E701)^2)+(((VLOOKUP($AT$4,$A$4:$N$1021,14,FALSE))-N701)^2)+(((VLOOKUP($AT$4,$A$4:$O$1021,15,FALSE))-O701)^2))</f>
        <v/>
      </c>
      <c r="AG701" s="129" t="n"/>
      <c r="AI701" s="129">
        <f>SQRT((((VLOOKUP($AT$4,$A$4:$D$1021,4,FALSE))-D701)^2)+(((VLOOKUP($AT$4,$A$4:$E$1021,5,FALSE))-E701)^2)+(((VLOOKUP($AT$4,$A$4:$R$1021,18,FALSE))-R701)^2)+(((VLOOKUP($AT$4,$A$4:$S$1021,19,FALSE))-S701)^2))</f>
        <v/>
      </c>
      <c r="AJ701" s="125" t="inlineStr">
        <is>
          <t>HY800X263</t>
        </is>
      </c>
      <c r="AK701" s="125" t="n"/>
      <c r="AL701" s="125" t="n"/>
      <c r="AM701" s="125">
        <f>SQRT(((VLOOKUP($AT$4,$A$4:$J$1021,10,FALSE))-J701)^2)</f>
        <v/>
      </c>
      <c r="AN701" s="125" t="n"/>
      <c r="AO701" s="125" t="n"/>
      <c r="AP701" s="125">
        <f>SQRT(((VLOOKUP($AT$4,$A$4:$R$1021,18,FALSE))-R701)^2)</f>
        <v/>
      </c>
      <c r="AQ701" s="125" t="inlineStr">
        <is>
          <t>HY800X263</t>
        </is>
      </c>
      <c r="BB701" s="125">
        <f>SQRT(($J$1022-J701)^2)</f>
        <v/>
      </c>
      <c r="BC701" s="125">
        <f>SQRT(($R$1022-R701)^2)</f>
        <v/>
      </c>
      <c r="BD701" s="125" t="inlineStr">
        <is>
          <t>HY800X263</t>
        </is>
      </c>
      <c r="BI701">
        <f>SQRT(($J$1023-J701)^2)</f>
        <v/>
      </c>
      <c r="BJ701">
        <f>SQRT(($R$1023-R701)^2)</f>
        <v/>
      </c>
      <c r="BK701" s="125" t="inlineStr">
        <is>
          <t>HY800X263</t>
        </is>
      </c>
      <c r="BP701">
        <f>SQRT(($J$1024-J701)^2)</f>
        <v/>
      </c>
      <c r="BQ701">
        <f>SQRT(($R$1024-R701)^2)</f>
        <v/>
      </c>
      <c r="BR701" s="125" t="inlineStr">
        <is>
          <t>HY800X263</t>
        </is>
      </c>
      <c r="BW701">
        <f>SQRT(($J$1025-J701)^2)</f>
        <v/>
      </c>
      <c r="BX701">
        <f>SQRT(($R$1025-R701)^2)</f>
        <v/>
      </c>
      <c r="BY701" s="125" t="inlineStr">
        <is>
          <t>HY800X263</t>
        </is>
      </c>
      <c r="CD701">
        <f>SQRT(($J$1026-J701)^2)</f>
        <v/>
      </c>
      <c r="CE701">
        <f>SQRT(($R$1026-R701)^2)</f>
        <v/>
      </c>
      <c r="CF701" s="125" t="inlineStr">
        <is>
          <t>HY800X263</t>
        </is>
      </c>
    </row>
    <row r="702">
      <c r="A702" s="125" t="inlineStr">
        <is>
          <t>HY800X245</t>
        </is>
      </c>
      <c r="B702" s="129" t="inlineStr">
        <is>
          <t>HY</t>
        </is>
      </c>
      <c r="C702" s="125" t="n">
        <v>245</v>
      </c>
      <c r="D702" s="125" t="n">
        <v>800</v>
      </c>
      <c r="E702" s="125" t="n">
        <v>300</v>
      </c>
      <c r="F702" s="125" t="n">
        <v>28</v>
      </c>
      <c r="G702" s="125" t="n">
        <v>19</v>
      </c>
      <c r="H702" s="125" t="n">
        <v>18</v>
      </c>
      <c r="I702" s="125">
        <f>D702-(2*(H702+F702))</f>
        <v/>
      </c>
      <c r="J702" s="125">
        <f>(2*E702/10*F702/10)+((D702-F702-F702)/10*G702/10)+((H702/10+H702/10)^2)-(PI()*H702/10*H702/10)</f>
        <v/>
      </c>
      <c r="K702" s="125">
        <f>((E702-G702)/2)/F702</f>
        <v/>
      </c>
      <c r="L702" s="125">
        <f>I702/G702</f>
        <v/>
      </c>
      <c r="M702" s="125">
        <f>(E702*2+F702*4+((E702-G702)/2-H702)*4+2*PI()*H702+(D702-2*F702-2*H702)*2)/1000</f>
        <v/>
      </c>
      <c r="N702" s="5" t="n">
        <v>319000</v>
      </c>
      <c r="O702" s="5" t="n">
        <v>12600</v>
      </c>
      <c r="P702" s="125" t="n">
        <v>32</v>
      </c>
      <c r="Q702" s="125" t="n">
        <v>6.4</v>
      </c>
      <c r="R702" s="5" t="n">
        <v>7980</v>
      </c>
      <c r="S702" s="125" t="n">
        <v>843</v>
      </c>
      <c r="T702" s="5" t="n">
        <v>9220</v>
      </c>
      <c r="U702" s="5" t="n">
        <v>1330</v>
      </c>
      <c r="X702" s="129">
        <f t="array" ref="X702">_xlfn.IFS((D702/F702) &lt;= (640/SQRT($AT$32)), "Compact", L702 &lt;= ($AT$32*(0.79-(0.002*((E702-G702/2)/(2*F702))*SQRT($AT$32)))), "Non-Compact", L702 &gt; ($AT$32*(0.79-(0.002*((E702-G702/2)/(2*F702))*SQRT($AT$32)))), "Slender")</f>
        <v/>
      </c>
      <c r="Y702" s="129">
        <f t="array" ref="Y702">_xlfn.IFS(K702 &lt;= (65/SQRT($AT$32)), "Compact", K702 &lt;= (95/SQRT($AT$32)), "Non-Compact", K702 &gt; (95/SQRT($AT$32)), "Slender")</f>
        <v/>
      </c>
      <c r="Z702" s="125">
        <f>E702/F702</f>
        <v/>
      </c>
      <c r="AA702" s="125">
        <f>D702/G702</f>
        <v/>
      </c>
      <c r="AB702" s="125">
        <f t="array" ref="AB702">_xlfn.IFS(Z702 &lt;= 9, "1", Z702 &lt;= 12, "2", Z702 &lt;= 15, "3", Z702 &gt; 15, "4")</f>
        <v/>
      </c>
      <c r="AC702" s="125">
        <f t="array" ref="AC702">_xlfn.IFS(AA702 &lt;= 200, "1", L702 &lt;= 300, "2", L702 &lt;= 400, "3", L702 &gt; 400, "4")</f>
        <v/>
      </c>
      <c r="AF702" s="129">
        <f>SQRT((((VLOOKUP($AT$4,$A$4:$D$1021,4,FALSE))-D702)^2)+(((VLOOKUP($AT$4,$A$4:$E$1021,5,FALSE))-E702)^2)+(((VLOOKUP($AT$4,$A$4:$N$1021,14,FALSE))-N702)^2)+(((VLOOKUP($AT$4,$A$4:$O$1021,15,FALSE))-O702)^2))</f>
        <v/>
      </c>
      <c r="AG702" s="129" t="n"/>
      <c r="AI702" s="129">
        <f>SQRT((((VLOOKUP($AT$4,$A$4:$D$1021,4,FALSE))-D702)^2)+(((VLOOKUP($AT$4,$A$4:$E$1021,5,FALSE))-E702)^2)+(((VLOOKUP($AT$4,$A$4:$R$1021,18,FALSE))-R702)^2)+(((VLOOKUP($AT$4,$A$4:$S$1021,19,FALSE))-S702)^2))</f>
        <v/>
      </c>
      <c r="AJ702" s="125" t="inlineStr">
        <is>
          <t>HY800X245</t>
        </is>
      </c>
      <c r="AK702" s="125" t="n"/>
      <c r="AL702" s="125" t="n"/>
      <c r="AM702" s="125">
        <f>SQRT(((VLOOKUP($AT$4,$A$4:$J$1021,10,FALSE))-J702)^2)</f>
        <v/>
      </c>
      <c r="AN702" s="125" t="n"/>
      <c r="AO702" s="125" t="n"/>
      <c r="AP702" s="125">
        <f>SQRT(((VLOOKUP($AT$4,$A$4:$R$1021,18,FALSE))-R702)^2)</f>
        <v/>
      </c>
      <c r="AQ702" s="125" t="inlineStr">
        <is>
          <t>HY800X245</t>
        </is>
      </c>
      <c r="BB702" s="125">
        <f>SQRT(($J$1022-J702)^2)</f>
        <v/>
      </c>
      <c r="BC702" s="125">
        <f>SQRT(($R$1022-R702)^2)</f>
        <v/>
      </c>
      <c r="BD702" s="125" t="inlineStr">
        <is>
          <t>HY800X245</t>
        </is>
      </c>
      <c r="BI702">
        <f>SQRT(($J$1023-J702)^2)</f>
        <v/>
      </c>
      <c r="BJ702">
        <f>SQRT(($R$1023-R702)^2)</f>
        <v/>
      </c>
      <c r="BK702" s="125" t="inlineStr">
        <is>
          <t>HY800X245</t>
        </is>
      </c>
      <c r="BP702">
        <f>SQRT(($J$1024-J702)^2)</f>
        <v/>
      </c>
      <c r="BQ702">
        <f>SQRT(($R$1024-R702)^2)</f>
        <v/>
      </c>
      <c r="BR702" s="125" t="inlineStr">
        <is>
          <t>HY800X245</t>
        </is>
      </c>
      <c r="BW702">
        <f>SQRT(($J$1025-J702)^2)</f>
        <v/>
      </c>
      <c r="BX702">
        <f>SQRT(($R$1025-R702)^2)</f>
        <v/>
      </c>
      <c r="BY702" s="125" t="inlineStr">
        <is>
          <t>HY800X245</t>
        </is>
      </c>
      <c r="CD702">
        <f>SQRT(($J$1026-J702)^2)</f>
        <v/>
      </c>
      <c r="CE702">
        <f>SQRT(($R$1026-R702)^2)</f>
        <v/>
      </c>
      <c r="CF702" s="125" t="inlineStr">
        <is>
          <t>HY800X245</t>
        </is>
      </c>
    </row>
    <row r="703">
      <c r="A703" s="125" t="inlineStr">
        <is>
          <t>HY800X232</t>
        </is>
      </c>
      <c r="B703" s="129" t="inlineStr">
        <is>
          <t>HY</t>
        </is>
      </c>
      <c r="C703" s="125" t="n">
        <v>232</v>
      </c>
      <c r="D703" s="125" t="n">
        <v>800</v>
      </c>
      <c r="E703" s="125" t="n">
        <v>300</v>
      </c>
      <c r="F703" s="125" t="n">
        <v>25</v>
      </c>
      <c r="G703" s="125" t="n">
        <v>19</v>
      </c>
      <c r="H703" s="125" t="n">
        <v>18</v>
      </c>
      <c r="I703" s="125">
        <f>D703-(2*(H703+F703))</f>
        <v/>
      </c>
      <c r="J703" s="125">
        <f>(2*E703/10*F703/10)+((D703-F703-F703)/10*G703/10)+((H703/10+H703/10)^2)-(PI()*H703/10*H703/10)</f>
        <v/>
      </c>
      <c r="K703" s="125">
        <f>((E703-G703)/2)/F703</f>
        <v/>
      </c>
      <c r="L703" s="125">
        <f>I703/G703</f>
        <v/>
      </c>
      <c r="M703" s="125">
        <f>(E703*2+F703*4+((E703-G703)/2-H703)*4+2*PI()*H703+(D703-2*F703-2*H703)*2)/1000</f>
        <v/>
      </c>
      <c r="N703" s="5" t="n">
        <v>296000</v>
      </c>
      <c r="O703" s="5" t="n">
        <v>11300</v>
      </c>
      <c r="P703" s="125" t="n">
        <v>31.7</v>
      </c>
      <c r="Q703" s="125" t="n">
        <v>6.2</v>
      </c>
      <c r="R703" s="5" t="n">
        <v>7400</v>
      </c>
      <c r="S703" s="125" t="n">
        <v>753</v>
      </c>
      <c r="T703" s="5" t="n">
        <v>8590</v>
      </c>
      <c r="U703" s="5" t="n">
        <v>1200</v>
      </c>
      <c r="X703" s="129">
        <f t="array" ref="X703">_xlfn.IFS((D703/F703) &lt;= (640/SQRT($AT$32)), "Compact", L703 &lt;= ($AT$32*(0.79-(0.002*((E703-G703/2)/(2*F703))*SQRT($AT$32)))), "Non-Compact", L703 &gt; ($AT$32*(0.79-(0.002*((E703-G703/2)/(2*F703))*SQRT($AT$32)))), "Slender")</f>
        <v/>
      </c>
      <c r="Y703" s="129">
        <f t="array" ref="Y703">_xlfn.IFS(K703 &lt;= (65/SQRT($AT$32)), "Compact", K703 &lt;= (95/SQRT($AT$32)), "Non-Compact", K703 &gt; (95/SQRT($AT$32)), "Slender")</f>
        <v/>
      </c>
      <c r="Z703" s="125">
        <f>E703/F703</f>
        <v/>
      </c>
      <c r="AA703" s="125">
        <f>D703/G703</f>
        <v/>
      </c>
      <c r="AB703" s="125">
        <f t="array" ref="AB703">_xlfn.IFS(Z703 &lt;= 9, "1", Z703 &lt;= 12, "2", Z703 &lt;= 15, "3", Z703 &gt; 15, "4")</f>
        <v/>
      </c>
      <c r="AC703" s="125">
        <f t="array" ref="AC703">_xlfn.IFS(AA703 &lt;= 200, "1", L703 &lt;= 300, "2", L703 &lt;= 400, "3", L703 &gt; 400, "4")</f>
        <v/>
      </c>
      <c r="AF703" s="129">
        <f>SQRT((((VLOOKUP($AT$4,$A$4:$D$1021,4,FALSE))-D703)^2)+(((VLOOKUP($AT$4,$A$4:$E$1021,5,FALSE))-E703)^2)+(((VLOOKUP($AT$4,$A$4:$N$1021,14,FALSE))-N703)^2)+(((VLOOKUP($AT$4,$A$4:$O$1021,15,FALSE))-O703)^2))</f>
        <v/>
      </c>
      <c r="AG703" s="129" t="n"/>
      <c r="AI703" s="129">
        <f>SQRT((((VLOOKUP($AT$4,$A$4:$D$1021,4,FALSE))-D703)^2)+(((VLOOKUP($AT$4,$A$4:$E$1021,5,FALSE))-E703)^2)+(((VLOOKUP($AT$4,$A$4:$R$1021,18,FALSE))-R703)^2)+(((VLOOKUP($AT$4,$A$4:$S$1021,19,FALSE))-S703)^2))</f>
        <v/>
      </c>
      <c r="AJ703" s="125" t="inlineStr">
        <is>
          <t>HY800X232</t>
        </is>
      </c>
      <c r="AK703" s="125" t="n"/>
      <c r="AL703" s="125" t="n"/>
      <c r="AM703" s="125">
        <f>SQRT(((VLOOKUP($AT$4,$A$4:$J$1021,10,FALSE))-J703)^2)</f>
        <v/>
      </c>
      <c r="AN703" s="125" t="n"/>
      <c r="AO703" s="125" t="n"/>
      <c r="AP703" s="125">
        <f>SQRT(((VLOOKUP($AT$4,$A$4:$R$1021,18,FALSE))-R703)^2)</f>
        <v/>
      </c>
      <c r="AQ703" s="125" t="inlineStr">
        <is>
          <t>HY800X232</t>
        </is>
      </c>
      <c r="BB703" s="125">
        <f>SQRT(($J$1022-J703)^2)</f>
        <v/>
      </c>
      <c r="BC703" s="125">
        <f>SQRT(($R$1022-R703)^2)</f>
        <v/>
      </c>
      <c r="BD703" s="125" t="inlineStr">
        <is>
          <t>HY800X232</t>
        </is>
      </c>
      <c r="BI703">
        <f>SQRT(($J$1023-J703)^2)</f>
        <v/>
      </c>
      <c r="BJ703">
        <f>SQRT(($R$1023-R703)^2)</f>
        <v/>
      </c>
      <c r="BK703" s="125" t="inlineStr">
        <is>
          <t>HY800X232</t>
        </is>
      </c>
      <c r="BP703">
        <f>SQRT(($J$1024-J703)^2)</f>
        <v/>
      </c>
      <c r="BQ703">
        <f>SQRT(($R$1024-R703)^2)</f>
        <v/>
      </c>
      <c r="BR703" s="125" t="inlineStr">
        <is>
          <t>HY800X232</t>
        </is>
      </c>
      <c r="BW703">
        <f>SQRT(($J$1025-J703)^2)</f>
        <v/>
      </c>
      <c r="BX703">
        <f>SQRT(($R$1025-R703)^2)</f>
        <v/>
      </c>
      <c r="BY703" s="125" t="inlineStr">
        <is>
          <t>HY800X232</t>
        </is>
      </c>
      <c r="CD703">
        <f>SQRT(($J$1026-J703)^2)</f>
        <v/>
      </c>
      <c r="CE703">
        <f>SQRT(($R$1026-R703)^2)</f>
        <v/>
      </c>
      <c r="CF703" s="125" t="inlineStr">
        <is>
          <t>HY800X232</t>
        </is>
      </c>
    </row>
    <row r="704">
      <c r="A704" s="125" t="inlineStr">
        <is>
          <t>HY800X219</t>
        </is>
      </c>
      <c r="B704" s="129" t="inlineStr">
        <is>
          <t>HY</t>
        </is>
      </c>
      <c r="C704" s="125" t="n">
        <v>219</v>
      </c>
      <c r="D704" s="125" t="n">
        <v>800</v>
      </c>
      <c r="E704" s="125" t="n">
        <v>300</v>
      </c>
      <c r="F704" s="125" t="n">
        <v>22</v>
      </c>
      <c r="G704" s="125" t="n">
        <v>19</v>
      </c>
      <c r="H704" s="125" t="n">
        <v>18</v>
      </c>
      <c r="I704" s="125">
        <f>D704-(2*(H704+F704))</f>
        <v/>
      </c>
      <c r="J704" s="125">
        <f>(2*E704/10*F704/10)+((D704-F704-F704)/10*G704/10)+((H704/10+H704/10)^2)-(PI()*H704/10*H704/10)</f>
        <v/>
      </c>
      <c r="K704" s="125">
        <f>((E704-G704)/2)/F704</f>
        <v/>
      </c>
      <c r="L704" s="125">
        <f>I704/G704</f>
        <v/>
      </c>
      <c r="M704" s="125">
        <f>(E704*2+F704*4+((E704-G704)/2-H704)*4+2*PI()*H704+(D704-2*F704-2*H704)*2)/1000</f>
        <v/>
      </c>
      <c r="N704" s="5" t="n">
        <v>272000</v>
      </c>
      <c r="O704" s="5" t="n">
        <v>9950</v>
      </c>
      <c r="P704" s="125" t="n">
        <v>31.3</v>
      </c>
      <c r="Q704" s="125" t="n">
        <v>6</v>
      </c>
      <c r="R704" s="5" t="n">
        <v>6800</v>
      </c>
      <c r="S704" s="125" t="n">
        <v>663</v>
      </c>
      <c r="T704" s="5" t="n">
        <v>7950</v>
      </c>
      <c r="U704" s="5" t="n">
        <v>1060</v>
      </c>
      <c r="X704" s="129">
        <f t="array" ref="X704">_xlfn.IFS((D704/F704) &lt;= (640/SQRT($AT$32)), "Compact", L704 &lt;= ($AT$32*(0.79-(0.002*((E704-G704/2)/(2*F704))*SQRT($AT$32)))), "Non-Compact", L704 &gt; ($AT$32*(0.79-(0.002*((E704-G704/2)/(2*F704))*SQRT($AT$32)))), "Slender")</f>
        <v/>
      </c>
      <c r="Y704" s="129">
        <f t="array" ref="Y704">_xlfn.IFS(K704 &lt;= (65/SQRT($AT$32)), "Compact", K704 &lt;= (95/SQRT($AT$32)), "Non-Compact", K704 &gt; (95/SQRT($AT$32)), "Slender")</f>
        <v/>
      </c>
      <c r="Z704" s="125">
        <f>E704/F704</f>
        <v/>
      </c>
      <c r="AA704" s="125">
        <f>D704/G704</f>
        <v/>
      </c>
      <c r="AB704" s="125">
        <f t="array" ref="AB704">_xlfn.IFS(Z704 &lt;= 9, "1", Z704 &lt;= 12, "2", Z704 &lt;= 15, "3", Z704 &gt; 15, "4")</f>
        <v/>
      </c>
      <c r="AC704" s="125">
        <f t="array" ref="AC704">_xlfn.IFS(AA704 &lt;= 200, "1", L704 &lt;= 300, "2", L704 &lt;= 400, "3", L704 &gt; 400, "4")</f>
        <v/>
      </c>
      <c r="AF704" s="129">
        <f>SQRT((((VLOOKUP($AT$4,$A$4:$D$1021,4,FALSE))-D704)^2)+(((VLOOKUP($AT$4,$A$4:$E$1021,5,FALSE))-E704)^2)+(((VLOOKUP($AT$4,$A$4:$N$1021,14,FALSE))-N704)^2)+(((VLOOKUP($AT$4,$A$4:$O$1021,15,FALSE))-O704)^2))</f>
        <v/>
      </c>
      <c r="AG704" s="129" t="n"/>
      <c r="AI704" s="129">
        <f>SQRT((((VLOOKUP($AT$4,$A$4:$D$1021,4,FALSE))-D704)^2)+(((VLOOKUP($AT$4,$A$4:$E$1021,5,FALSE))-E704)^2)+(((VLOOKUP($AT$4,$A$4:$R$1021,18,FALSE))-R704)^2)+(((VLOOKUP($AT$4,$A$4:$S$1021,19,FALSE))-S704)^2))</f>
        <v/>
      </c>
      <c r="AJ704" s="125" t="inlineStr">
        <is>
          <t>HY800X219</t>
        </is>
      </c>
      <c r="AK704" s="125" t="n"/>
      <c r="AL704" s="125" t="n"/>
      <c r="AM704" s="125">
        <f>SQRT(((VLOOKUP($AT$4,$A$4:$J$1021,10,FALSE))-J704)^2)</f>
        <v/>
      </c>
      <c r="AN704" s="125" t="n"/>
      <c r="AO704" s="125" t="n"/>
      <c r="AP704" s="125">
        <f>SQRT(((VLOOKUP($AT$4,$A$4:$R$1021,18,FALSE))-R704)^2)</f>
        <v/>
      </c>
      <c r="AQ704" s="125" t="inlineStr">
        <is>
          <t>HY800X219</t>
        </is>
      </c>
      <c r="BB704" s="125">
        <f>SQRT(($J$1022-J704)^2)</f>
        <v/>
      </c>
      <c r="BC704" s="125">
        <f>SQRT(($R$1022-R704)^2)</f>
        <v/>
      </c>
      <c r="BD704" s="125" t="inlineStr">
        <is>
          <t>HY800X219</t>
        </is>
      </c>
      <c r="BI704">
        <f>SQRT(($J$1023-J704)^2)</f>
        <v/>
      </c>
      <c r="BJ704">
        <f>SQRT(($R$1023-R704)^2)</f>
        <v/>
      </c>
      <c r="BK704" s="125" t="inlineStr">
        <is>
          <t>HY800X219</t>
        </is>
      </c>
      <c r="BP704">
        <f>SQRT(($J$1024-J704)^2)</f>
        <v/>
      </c>
      <c r="BQ704">
        <f>SQRT(($R$1024-R704)^2)</f>
        <v/>
      </c>
      <c r="BR704" s="125" t="inlineStr">
        <is>
          <t>HY800X219</t>
        </is>
      </c>
      <c r="BW704">
        <f>SQRT(($J$1025-J704)^2)</f>
        <v/>
      </c>
      <c r="BX704">
        <f>SQRT(($R$1025-R704)^2)</f>
        <v/>
      </c>
      <c r="BY704" s="125" t="inlineStr">
        <is>
          <t>HY800X219</t>
        </is>
      </c>
      <c r="CD704">
        <f>SQRT(($J$1026-J704)^2)</f>
        <v/>
      </c>
      <c r="CE704">
        <f>SQRT(($R$1026-R704)^2)</f>
        <v/>
      </c>
      <c r="CF704" s="125" t="inlineStr">
        <is>
          <t>HY800X219</t>
        </is>
      </c>
    </row>
    <row r="705">
      <c r="A705" s="125" t="inlineStr">
        <is>
          <t>HY800X263</t>
        </is>
      </c>
      <c r="B705" s="129" t="inlineStr">
        <is>
          <t>HY</t>
        </is>
      </c>
      <c r="C705" s="125" t="n">
        <v>263</v>
      </c>
      <c r="D705" s="125" t="n">
        <v>800</v>
      </c>
      <c r="E705" s="125" t="n">
        <v>300</v>
      </c>
      <c r="F705" s="125" t="n">
        <v>36</v>
      </c>
      <c r="G705" s="125" t="n">
        <v>16</v>
      </c>
      <c r="H705" s="125" t="n">
        <v>18</v>
      </c>
      <c r="I705" s="125">
        <f>D705-(2*(H705+F705))</f>
        <v/>
      </c>
      <c r="J705" s="125">
        <f>(2*E705/10*F705/10)+((D705-F705-F705)/10*G705/10)+((H705/10+H705/10)^2)-(PI()*H705/10*H705/10)</f>
        <v/>
      </c>
      <c r="K705" s="125">
        <f>((E705-G705)/2)/F705</f>
        <v/>
      </c>
      <c r="L705" s="125">
        <f>I705/G705</f>
        <v/>
      </c>
      <c r="M705" s="125">
        <f>(E705*2+F705*4+((E705-G705)/2-H705)*4+2*PI()*H705+(D705-2*F705-2*H705)*2)/1000</f>
        <v/>
      </c>
      <c r="N705" s="5" t="n">
        <v>370000</v>
      </c>
      <c r="O705" s="5" t="n">
        <v>16200</v>
      </c>
      <c r="P705" s="125" t="n">
        <v>33.2</v>
      </c>
      <c r="Q705" s="125" t="n">
        <v>7</v>
      </c>
      <c r="R705" s="5" t="n">
        <v>9260</v>
      </c>
      <c r="S705" s="5" t="n">
        <v>1080</v>
      </c>
      <c r="T705" s="5" t="n">
        <v>10500</v>
      </c>
      <c r="U705" s="5" t="n">
        <v>1670</v>
      </c>
      <c r="X705" s="129">
        <f t="array" ref="X705">_xlfn.IFS((D705/F705) &lt;= (640/SQRT($AT$32)), "Compact", L705 &lt;= ($AT$32*(0.79-(0.002*((E705-G705/2)/(2*F705))*SQRT($AT$32)))), "Non-Compact", L705 &gt; ($AT$32*(0.79-(0.002*((E705-G705/2)/(2*F705))*SQRT($AT$32)))), "Slender")</f>
        <v/>
      </c>
      <c r="Y705" s="129">
        <f t="array" ref="Y705">_xlfn.IFS(K705 &lt;= (65/SQRT($AT$32)), "Compact", K705 &lt;= (95/SQRT($AT$32)), "Non-Compact", K705 &gt; (95/SQRT($AT$32)), "Slender")</f>
        <v/>
      </c>
      <c r="Z705" s="125">
        <f>E705/F705</f>
        <v/>
      </c>
      <c r="AA705" s="125">
        <f>D705/G705</f>
        <v/>
      </c>
      <c r="AB705" s="125">
        <f t="array" ref="AB705">_xlfn.IFS(Z705 &lt;= 9, "1", Z705 &lt;= 12, "2", Z705 &lt;= 15, "3", Z705 &gt; 15, "4")</f>
        <v/>
      </c>
      <c r="AC705" s="125">
        <f t="array" ref="AC705">_xlfn.IFS(AA705 &lt;= 200, "1", L705 &lt;= 300, "2", L705 &lt;= 400, "3", L705 &gt; 400, "4")</f>
        <v/>
      </c>
      <c r="AF705" s="129">
        <f>SQRT((((VLOOKUP($AT$4,$A$4:$D$1021,4,FALSE))-D705)^2)+(((VLOOKUP($AT$4,$A$4:$E$1021,5,FALSE))-E705)^2)+(((VLOOKUP($AT$4,$A$4:$N$1021,14,FALSE))-N705)^2)+(((VLOOKUP($AT$4,$A$4:$O$1021,15,FALSE))-O705)^2))</f>
        <v/>
      </c>
      <c r="AG705" s="129" t="n"/>
      <c r="AI705" s="129">
        <f>SQRT((((VLOOKUP($AT$4,$A$4:$D$1021,4,FALSE))-D705)^2)+(((VLOOKUP($AT$4,$A$4:$E$1021,5,FALSE))-E705)^2)+(((VLOOKUP($AT$4,$A$4:$R$1021,18,FALSE))-R705)^2)+(((VLOOKUP($AT$4,$A$4:$S$1021,19,FALSE))-S705)^2))</f>
        <v/>
      </c>
      <c r="AJ705" s="125" t="inlineStr">
        <is>
          <t>HY800X263</t>
        </is>
      </c>
      <c r="AK705" s="125" t="n"/>
      <c r="AL705" s="125" t="n"/>
      <c r="AM705" s="125">
        <f>SQRT(((VLOOKUP($AT$4,$A$4:$J$1021,10,FALSE))-J705)^2)</f>
        <v/>
      </c>
      <c r="AN705" s="125" t="n"/>
      <c r="AO705" s="125" t="n"/>
      <c r="AP705" s="125">
        <f>SQRT(((VLOOKUP($AT$4,$A$4:$R$1021,18,FALSE))-R705)^2)</f>
        <v/>
      </c>
      <c r="AQ705" s="125" t="inlineStr">
        <is>
          <t>HY800X263</t>
        </is>
      </c>
      <c r="BB705" s="125">
        <f>SQRT(($J$1022-J705)^2)</f>
        <v/>
      </c>
      <c r="BC705" s="125">
        <f>SQRT(($R$1022-R705)^2)</f>
        <v/>
      </c>
      <c r="BD705" s="125" t="inlineStr">
        <is>
          <t>HY800X263</t>
        </is>
      </c>
      <c r="BI705">
        <f>SQRT(($J$1023-J705)^2)</f>
        <v/>
      </c>
      <c r="BJ705">
        <f>SQRT(($R$1023-R705)^2)</f>
        <v/>
      </c>
      <c r="BK705" s="125" t="inlineStr">
        <is>
          <t>HY800X263</t>
        </is>
      </c>
      <c r="BP705">
        <f>SQRT(($J$1024-J705)^2)</f>
        <v/>
      </c>
      <c r="BQ705">
        <f>SQRT(($R$1024-R705)^2)</f>
        <v/>
      </c>
      <c r="BR705" s="125" t="inlineStr">
        <is>
          <t>HY800X263</t>
        </is>
      </c>
      <c r="BW705">
        <f>SQRT(($J$1025-J705)^2)</f>
        <v/>
      </c>
      <c r="BX705">
        <f>SQRT(($R$1025-R705)^2)</f>
        <v/>
      </c>
      <c r="BY705" s="125" t="inlineStr">
        <is>
          <t>HY800X263</t>
        </is>
      </c>
      <c r="CD705">
        <f>SQRT(($J$1026-J705)^2)</f>
        <v/>
      </c>
      <c r="CE705">
        <f>SQRT(($R$1026-R705)^2)</f>
        <v/>
      </c>
      <c r="CF705" s="125" t="inlineStr">
        <is>
          <t>HY800X263</t>
        </is>
      </c>
    </row>
    <row r="706">
      <c r="A706" s="125" t="inlineStr">
        <is>
          <t>HY800X245</t>
        </is>
      </c>
      <c r="B706" s="129" t="inlineStr">
        <is>
          <t>HY</t>
        </is>
      </c>
      <c r="C706" s="125" t="n">
        <v>245</v>
      </c>
      <c r="D706" s="125" t="n">
        <v>800</v>
      </c>
      <c r="E706" s="125" t="n">
        <v>300</v>
      </c>
      <c r="F706" s="125" t="n">
        <v>32</v>
      </c>
      <c r="G706" s="125" t="n">
        <v>16</v>
      </c>
      <c r="H706" s="125" t="n">
        <v>18</v>
      </c>
      <c r="I706" s="125">
        <f>D706-(2*(H706+F706))</f>
        <v/>
      </c>
      <c r="J706" s="125">
        <f>(2*E706/10*F706/10)+((D706-F706-F706)/10*G706/10)+((H706/10+H706/10)^2)-(PI()*H706/10*H706/10)</f>
        <v/>
      </c>
      <c r="K706" s="125">
        <f>((E706-G706)/2)/F706</f>
        <v/>
      </c>
      <c r="L706" s="125">
        <f>I706/G706</f>
        <v/>
      </c>
      <c r="M706" s="125">
        <f>(E706*2+F706*4+((E706-G706)/2-H706)*4+2*PI()*H706+(D706-2*F706-2*H706)*2)/1000</f>
        <v/>
      </c>
      <c r="N706" s="5" t="n">
        <v>340000</v>
      </c>
      <c r="O706" s="5" t="n">
        <v>14400</v>
      </c>
      <c r="P706" s="125" t="n">
        <v>33</v>
      </c>
      <c r="Q706" s="125" t="n">
        <v>6.8</v>
      </c>
      <c r="R706" s="5" t="n">
        <v>8500</v>
      </c>
      <c r="S706" s="125" t="n">
        <v>962</v>
      </c>
      <c r="T706" s="5" t="n">
        <v>9640</v>
      </c>
      <c r="U706" s="5" t="n">
        <v>1490</v>
      </c>
      <c r="X706" s="129">
        <f t="array" ref="X706">_xlfn.IFS((D706/F706) &lt;= (640/SQRT($AT$32)), "Compact", L706 &lt;= ($AT$32*(0.79-(0.002*((E706-G706/2)/(2*F706))*SQRT($AT$32)))), "Non-Compact", L706 &gt; ($AT$32*(0.79-(0.002*((E706-G706/2)/(2*F706))*SQRT($AT$32)))), "Slender")</f>
        <v/>
      </c>
      <c r="Y706" s="129">
        <f t="array" ref="Y706">_xlfn.IFS(K706 &lt;= (65/SQRT($AT$32)), "Compact", K706 &lt;= (95/SQRT($AT$32)), "Non-Compact", K706 &gt; (95/SQRT($AT$32)), "Slender")</f>
        <v/>
      </c>
      <c r="Z706" s="125">
        <f>E706/F706</f>
        <v/>
      </c>
      <c r="AA706" s="125">
        <f>D706/G706</f>
        <v/>
      </c>
      <c r="AB706" s="125">
        <f t="array" ref="AB706">_xlfn.IFS(Z706 &lt;= 9, "1", Z706 &lt;= 12, "2", Z706 &lt;= 15, "3", Z706 &gt; 15, "4")</f>
        <v/>
      </c>
      <c r="AC706" s="125">
        <f t="array" ref="AC706">_xlfn.IFS(AA706 &lt;= 200, "1", L706 &lt;= 300, "2", L706 &lt;= 400, "3", L706 &gt; 400, "4")</f>
        <v/>
      </c>
      <c r="AF706" s="129">
        <f>SQRT((((VLOOKUP($AT$4,$A$4:$D$1021,4,FALSE))-D706)^2)+(((VLOOKUP($AT$4,$A$4:$E$1021,5,FALSE))-E706)^2)+(((VLOOKUP($AT$4,$A$4:$N$1021,14,FALSE))-N706)^2)+(((VLOOKUP($AT$4,$A$4:$O$1021,15,FALSE))-O706)^2))</f>
        <v/>
      </c>
      <c r="AG706" s="129" t="n"/>
      <c r="AI706" s="129">
        <f>SQRT((((VLOOKUP($AT$4,$A$4:$D$1021,4,FALSE))-D706)^2)+(((VLOOKUP($AT$4,$A$4:$E$1021,5,FALSE))-E706)^2)+(((VLOOKUP($AT$4,$A$4:$R$1021,18,FALSE))-R706)^2)+(((VLOOKUP($AT$4,$A$4:$S$1021,19,FALSE))-S706)^2))</f>
        <v/>
      </c>
      <c r="AJ706" s="125" t="inlineStr">
        <is>
          <t>HY800X245</t>
        </is>
      </c>
      <c r="AK706" s="125" t="n"/>
      <c r="AL706" s="125" t="n"/>
      <c r="AM706" s="125">
        <f>SQRT(((VLOOKUP($AT$4,$A$4:$J$1021,10,FALSE))-J706)^2)</f>
        <v/>
      </c>
      <c r="AN706" s="125" t="n"/>
      <c r="AO706" s="125" t="n"/>
      <c r="AP706" s="125">
        <f>SQRT(((VLOOKUP($AT$4,$A$4:$R$1021,18,FALSE))-R706)^2)</f>
        <v/>
      </c>
      <c r="AQ706" s="125" t="inlineStr">
        <is>
          <t>HY800X245</t>
        </is>
      </c>
      <c r="BB706" s="125">
        <f>SQRT(($J$1022-J706)^2)</f>
        <v/>
      </c>
      <c r="BC706" s="125">
        <f>SQRT(($R$1022-R706)^2)</f>
        <v/>
      </c>
      <c r="BD706" s="125" t="inlineStr">
        <is>
          <t>HY800X245</t>
        </is>
      </c>
      <c r="BI706">
        <f>SQRT(($J$1023-J706)^2)</f>
        <v/>
      </c>
      <c r="BJ706">
        <f>SQRT(($R$1023-R706)^2)</f>
        <v/>
      </c>
      <c r="BK706" s="125" t="inlineStr">
        <is>
          <t>HY800X245</t>
        </is>
      </c>
      <c r="BP706">
        <f>SQRT(($J$1024-J706)^2)</f>
        <v/>
      </c>
      <c r="BQ706">
        <f>SQRT(($R$1024-R706)^2)</f>
        <v/>
      </c>
      <c r="BR706" s="125" t="inlineStr">
        <is>
          <t>HY800X245</t>
        </is>
      </c>
      <c r="BW706">
        <f>SQRT(($J$1025-J706)^2)</f>
        <v/>
      </c>
      <c r="BX706">
        <f>SQRT(($R$1025-R706)^2)</f>
        <v/>
      </c>
      <c r="BY706" s="125" t="inlineStr">
        <is>
          <t>HY800X245</t>
        </is>
      </c>
      <c r="CD706">
        <f>SQRT(($J$1026-J706)^2)</f>
        <v/>
      </c>
      <c r="CE706">
        <f>SQRT(($R$1026-R706)^2)</f>
        <v/>
      </c>
      <c r="CF706" s="125" t="inlineStr">
        <is>
          <t>HY800X245</t>
        </is>
      </c>
    </row>
    <row r="707">
      <c r="A707" s="125" t="inlineStr">
        <is>
          <t>HY800X228</t>
        </is>
      </c>
      <c r="B707" s="129" t="inlineStr">
        <is>
          <t>HY</t>
        </is>
      </c>
      <c r="C707" s="125" t="n">
        <v>228</v>
      </c>
      <c r="D707" s="125" t="n">
        <v>800</v>
      </c>
      <c r="E707" s="125" t="n">
        <v>300</v>
      </c>
      <c r="F707" s="125" t="n">
        <v>28</v>
      </c>
      <c r="G707" s="125" t="n">
        <v>16</v>
      </c>
      <c r="H707" s="125" t="n">
        <v>18</v>
      </c>
      <c r="I707" s="125">
        <f>D707-(2*(H707+F707))</f>
        <v/>
      </c>
      <c r="J707" s="125">
        <f>(2*E707/10*F707/10)+((D707-F707-F707)/10*G707/10)+((H707/10+H707/10)^2)-(PI()*H707/10*H707/10)</f>
        <v/>
      </c>
      <c r="K707" s="125">
        <f>((E707-G707)/2)/F707</f>
        <v/>
      </c>
      <c r="L707" s="125">
        <f>I707/G707</f>
        <v/>
      </c>
      <c r="M707" s="125">
        <f>(E707*2+F707*4+((E707-G707)/2-H707)*4+2*PI()*H707+(D707-2*F707-2*H707)*2)/1000</f>
        <v/>
      </c>
      <c r="N707" s="5" t="n">
        <v>309000</v>
      </c>
      <c r="O707" s="5" t="n">
        <v>12600</v>
      </c>
      <c r="P707" s="125" t="n">
        <v>32.7</v>
      </c>
      <c r="Q707" s="125" t="n">
        <v>6.6</v>
      </c>
      <c r="R707" s="5" t="n">
        <v>7730</v>
      </c>
      <c r="S707" s="125" t="n">
        <v>842</v>
      </c>
      <c r="T707" s="5" t="n">
        <v>8800</v>
      </c>
      <c r="U707" s="5" t="n">
        <v>1310</v>
      </c>
      <c r="X707" s="129">
        <f t="array" ref="X707">_xlfn.IFS((D707/F707) &lt;= (640/SQRT($AT$32)), "Compact", L707 &lt;= ($AT$32*(0.79-(0.002*((E707-G707/2)/(2*F707))*SQRT($AT$32)))), "Non-Compact", L707 &gt; ($AT$32*(0.79-(0.002*((E707-G707/2)/(2*F707))*SQRT($AT$32)))), "Slender")</f>
        <v/>
      </c>
      <c r="Y707" s="129">
        <f t="array" ref="Y707">_xlfn.IFS(K707 &lt;= (65/SQRT($AT$32)), "Compact", K707 &lt;= (95/SQRT($AT$32)), "Non-Compact", K707 &gt; (95/SQRT($AT$32)), "Slender")</f>
        <v/>
      </c>
      <c r="Z707" s="125">
        <f>E707/F707</f>
        <v/>
      </c>
      <c r="AA707" s="125">
        <f>D707/G707</f>
        <v/>
      </c>
      <c r="AB707" s="125">
        <f t="array" ref="AB707">_xlfn.IFS(Z707 &lt;= 9, "1", Z707 &lt;= 12, "2", Z707 &lt;= 15, "3", Z707 &gt; 15, "4")</f>
        <v/>
      </c>
      <c r="AC707" s="125">
        <f t="array" ref="AC707">_xlfn.IFS(AA707 &lt;= 200, "1", L707 &lt;= 300, "2", L707 &lt;= 400, "3", L707 &gt; 400, "4")</f>
        <v/>
      </c>
      <c r="AF707" s="129">
        <f>SQRT((((VLOOKUP($AT$4,$A$4:$D$1021,4,FALSE))-D707)^2)+(((VLOOKUP($AT$4,$A$4:$E$1021,5,FALSE))-E707)^2)+(((VLOOKUP($AT$4,$A$4:$N$1021,14,FALSE))-N707)^2)+(((VLOOKUP($AT$4,$A$4:$O$1021,15,FALSE))-O707)^2))</f>
        <v/>
      </c>
      <c r="AG707" s="129" t="n"/>
      <c r="AI707" s="129">
        <f>SQRT((((VLOOKUP($AT$4,$A$4:$D$1021,4,FALSE))-D707)^2)+(((VLOOKUP($AT$4,$A$4:$E$1021,5,FALSE))-E707)^2)+(((VLOOKUP($AT$4,$A$4:$R$1021,18,FALSE))-R707)^2)+(((VLOOKUP($AT$4,$A$4:$S$1021,19,FALSE))-S707)^2))</f>
        <v/>
      </c>
      <c r="AJ707" s="125" t="inlineStr">
        <is>
          <t>HY800X228</t>
        </is>
      </c>
      <c r="AK707" s="125" t="n"/>
      <c r="AL707" s="125" t="n"/>
      <c r="AM707" s="125">
        <f>SQRT(((VLOOKUP($AT$4,$A$4:$J$1021,10,FALSE))-J707)^2)</f>
        <v/>
      </c>
      <c r="AN707" s="125" t="n"/>
      <c r="AO707" s="125" t="n"/>
      <c r="AP707" s="125">
        <f>SQRT(((VLOOKUP($AT$4,$A$4:$R$1021,18,FALSE))-R707)^2)</f>
        <v/>
      </c>
      <c r="AQ707" s="125" t="inlineStr">
        <is>
          <t>HY800X228</t>
        </is>
      </c>
      <c r="BB707" s="125">
        <f>SQRT(($J$1022-J707)^2)</f>
        <v/>
      </c>
      <c r="BC707" s="125">
        <f>SQRT(($R$1022-R707)^2)</f>
        <v/>
      </c>
      <c r="BD707" s="125" t="inlineStr">
        <is>
          <t>HY800X228</t>
        </is>
      </c>
      <c r="BI707">
        <f>SQRT(($J$1023-J707)^2)</f>
        <v/>
      </c>
      <c r="BJ707">
        <f>SQRT(($R$1023-R707)^2)</f>
        <v/>
      </c>
      <c r="BK707" s="125" t="inlineStr">
        <is>
          <t>HY800X228</t>
        </is>
      </c>
      <c r="BP707">
        <f>SQRT(($J$1024-J707)^2)</f>
        <v/>
      </c>
      <c r="BQ707">
        <f>SQRT(($R$1024-R707)^2)</f>
        <v/>
      </c>
      <c r="BR707" s="125" t="inlineStr">
        <is>
          <t>HY800X228</t>
        </is>
      </c>
      <c r="BW707">
        <f>SQRT(($J$1025-J707)^2)</f>
        <v/>
      </c>
      <c r="BX707">
        <f>SQRT(($R$1025-R707)^2)</f>
        <v/>
      </c>
      <c r="BY707" s="125" t="inlineStr">
        <is>
          <t>HY800X228</t>
        </is>
      </c>
      <c r="CD707">
        <f>SQRT(($J$1026-J707)^2)</f>
        <v/>
      </c>
      <c r="CE707">
        <f>SQRT(($R$1026-R707)^2)</f>
        <v/>
      </c>
      <c r="CF707" s="125" t="inlineStr">
        <is>
          <t>HY800X228</t>
        </is>
      </c>
    </row>
    <row r="708">
      <c r="A708" s="125" t="inlineStr">
        <is>
          <t>HY800X214</t>
        </is>
      </c>
      <c r="B708" s="129" t="inlineStr">
        <is>
          <t>HY</t>
        </is>
      </c>
      <c r="C708" s="125" t="n">
        <v>214</v>
      </c>
      <c r="D708" s="125" t="n">
        <v>800</v>
      </c>
      <c r="E708" s="125" t="n">
        <v>300</v>
      </c>
      <c r="F708" s="125" t="n">
        <v>25</v>
      </c>
      <c r="G708" s="125" t="n">
        <v>16</v>
      </c>
      <c r="H708" s="125" t="n">
        <v>18</v>
      </c>
      <c r="I708" s="125">
        <f>D708-(2*(H708+F708))</f>
        <v/>
      </c>
      <c r="J708" s="125">
        <f>(2*E708/10*F708/10)+((D708-F708-F708)/10*G708/10)+((H708/10+H708/10)^2)-(PI()*H708/10*H708/10)</f>
        <v/>
      </c>
      <c r="K708" s="125">
        <f>((E708-G708)/2)/F708</f>
        <v/>
      </c>
      <c r="L708" s="125">
        <f>I708/G708</f>
        <v/>
      </c>
      <c r="M708" s="125">
        <f>(E708*2+F708*4+((E708-G708)/2-H708)*4+2*PI()*H708+(D708-2*F708-2*H708)*2)/1000</f>
        <v/>
      </c>
      <c r="N708" s="5" t="n">
        <v>285000</v>
      </c>
      <c r="O708" s="5" t="n">
        <v>11300</v>
      </c>
      <c r="P708" s="125" t="n">
        <v>32.3</v>
      </c>
      <c r="Q708" s="125" t="n">
        <v>6.4</v>
      </c>
      <c r="R708" s="5" t="n">
        <v>7130</v>
      </c>
      <c r="S708" s="125" t="n">
        <v>752</v>
      </c>
      <c r="T708" s="5" t="n">
        <v>8170</v>
      </c>
      <c r="U708" s="5" t="n">
        <v>1180</v>
      </c>
      <c r="X708" s="129">
        <f t="array" ref="X708">_xlfn.IFS((D708/F708) &lt;= (640/SQRT($AT$32)), "Compact", L708 &lt;= ($AT$32*(0.79-(0.002*((E708-G708/2)/(2*F708))*SQRT($AT$32)))), "Non-Compact", L708 &gt; ($AT$32*(0.79-(0.002*((E708-G708/2)/(2*F708))*SQRT($AT$32)))), "Slender")</f>
        <v/>
      </c>
      <c r="Y708" s="129">
        <f t="array" ref="Y708">_xlfn.IFS(K708 &lt;= (65/SQRT($AT$32)), "Compact", K708 &lt;= (95/SQRT($AT$32)), "Non-Compact", K708 &gt; (95/SQRT($AT$32)), "Slender")</f>
        <v/>
      </c>
      <c r="Z708" s="125">
        <f>E708/F708</f>
        <v/>
      </c>
      <c r="AA708" s="125">
        <f>D708/G708</f>
        <v/>
      </c>
      <c r="AB708" s="125">
        <f t="array" ref="AB708">_xlfn.IFS(Z708 &lt;= 9, "1", Z708 &lt;= 12, "2", Z708 &lt;= 15, "3", Z708 &gt; 15, "4")</f>
        <v/>
      </c>
      <c r="AC708" s="125">
        <f t="array" ref="AC708">_xlfn.IFS(AA708 &lt;= 200, "1", L708 &lt;= 300, "2", L708 &lt;= 400, "3", L708 &gt; 400, "4")</f>
        <v/>
      </c>
      <c r="AF708" s="129">
        <f>SQRT((((VLOOKUP($AT$4,$A$4:$D$1021,4,FALSE))-D708)^2)+(((VLOOKUP($AT$4,$A$4:$E$1021,5,FALSE))-E708)^2)+(((VLOOKUP($AT$4,$A$4:$N$1021,14,FALSE))-N708)^2)+(((VLOOKUP($AT$4,$A$4:$O$1021,15,FALSE))-O708)^2))</f>
        <v/>
      </c>
      <c r="AG708" s="129" t="n"/>
      <c r="AI708" s="129">
        <f>SQRT((((VLOOKUP($AT$4,$A$4:$D$1021,4,FALSE))-D708)^2)+(((VLOOKUP($AT$4,$A$4:$E$1021,5,FALSE))-E708)^2)+(((VLOOKUP($AT$4,$A$4:$R$1021,18,FALSE))-R708)^2)+(((VLOOKUP($AT$4,$A$4:$S$1021,19,FALSE))-S708)^2))</f>
        <v/>
      </c>
      <c r="AJ708" s="125" t="inlineStr">
        <is>
          <t>HY800X214</t>
        </is>
      </c>
      <c r="AK708" s="125" t="n"/>
      <c r="AL708" s="125" t="n"/>
      <c r="AM708" s="125">
        <f>SQRT(((VLOOKUP($AT$4,$A$4:$J$1021,10,FALSE))-J708)^2)</f>
        <v/>
      </c>
      <c r="AN708" s="125" t="n"/>
      <c r="AO708" s="125" t="n"/>
      <c r="AP708" s="125">
        <f>SQRT(((VLOOKUP($AT$4,$A$4:$R$1021,18,FALSE))-R708)^2)</f>
        <v/>
      </c>
      <c r="AQ708" s="125" t="inlineStr">
        <is>
          <t>HY800X214</t>
        </is>
      </c>
      <c r="BB708" s="125">
        <f>SQRT(($J$1022-J708)^2)</f>
        <v/>
      </c>
      <c r="BC708" s="125">
        <f>SQRT(($R$1022-R708)^2)</f>
        <v/>
      </c>
      <c r="BD708" s="125" t="inlineStr">
        <is>
          <t>HY800X214</t>
        </is>
      </c>
      <c r="BI708">
        <f>SQRT(($J$1023-J708)^2)</f>
        <v/>
      </c>
      <c r="BJ708">
        <f>SQRT(($R$1023-R708)^2)</f>
        <v/>
      </c>
      <c r="BK708" s="125" t="inlineStr">
        <is>
          <t>HY800X214</t>
        </is>
      </c>
      <c r="BP708">
        <f>SQRT(($J$1024-J708)^2)</f>
        <v/>
      </c>
      <c r="BQ708">
        <f>SQRT(($R$1024-R708)^2)</f>
        <v/>
      </c>
      <c r="BR708" s="125" t="inlineStr">
        <is>
          <t>HY800X214</t>
        </is>
      </c>
      <c r="BW708">
        <f>SQRT(($J$1025-J708)^2)</f>
        <v/>
      </c>
      <c r="BX708">
        <f>SQRT(($R$1025-R708)^2)</f>
        <v/>
      </c>
      <c r="BY708" s="125" t="inlineStr">
        <is>
          <t>HY800X214</t>
        </is>
      </c>
      <c r="CD708">
        <f>SQRT(($J$1026-J708)^2)</f>
        <v/>
      </c>
      <c r="CE708">
        <f>SQRT(($R$1026-R708)^2)</f>
        <v/>
      </c>
      <c r="CF708" s="125" t="inlineStr">
        <is>
          <t>HY800X214</t>
        </is>
      </c>
    </row>
    <row r="709">
      <c r="A709" s="125" t="inlineStr">
        <is>
          <t>HY800X201</t>
        </is>
      </c>
      <c r="B709" s="129" t="inlineStr">
        <is>
          <t>HY</t>
        </is>
      </c>
      <c r="C709" s="125" t="n">
        <v>201</v>
      </c>
      <c r="D709" s="125" t="n">
        <v>800</v>
      </c>
      <c r="E709" s="125" t="n">
        <v>300</v>
      </c>
      <c r="F709" s="125" t="n">
        <v>22</v>
      </c>
      <c r="G709" s="125" t="n">
        <v>16</v>
      </c>
      <c r="H709" s="125" t="n">
        <v>18</v>
      </c>
      <c r="I709" s="125">
        <f>D709-(2*(H709+F709))</f>
        <v/>
      </c>
      <c r="J709" s="125">
        <f>(2*E709/10*F709/10)+((D709-F709-F709)/10*G709/10)+((H709/10+H709/10)^2)-(PI()*H709/10*H709/10)</f>
        <v/>
      </c>
      <c r="K709" s="125">
        <f>((E709-G709)/2)/F709</f>
        <v/>
      </c>
      <c r="L709" s="125">
        <f>I709/G709</f>
        <v/>
      </c>
      <c r="M709" s="125">
        <f>(E709*2+F709*4+((E709-G709)/2-H709)*4+2*PI()*H709+(D709-2*F709-2*H709)*2)/1000</f>
        <v/>
      </c>
      <c r="N709" s="5" t="n">
        <v>261000</v>
      </c>
      <c r="O709" s="5" t="n">
        <v>9930</v>
      </c>
      <c r="P709" s="125" t="n">
        <v>32</v>
      </c>
      <c r="Q709" s="125" t="n">
        <v>6.2</v>
      </c>
      <c r="R709" s="5" t="n">
        <v>6530</v>
      </c>
      <c r="S709" s="125" t="n">
        <v>662</v>
      </c>
      <c r="T709" s="5" t="n">
        <v>7520</v>
      </c>
      <c r="U709" s="5" t="n">
        <v>1040</v>
      </c>
      <c r="X709" s="129">
        <f t="array" ref="X709">_xlfn.IFS((D709/F709) &lt;= (640/SQRT($AT$32)), "Compact", L709 &lt;= ($AT$32*(0.79-(0.002*((E709-G709/2)/(2*F709))*SQRT($AT$32)))), "Non-Compact", L709 &gt; ($AT$32*(0.79-(0.002*((E709-G709/2)/(2*F709))*SQRT($AT$32)))), "Slender")</f>
        <v/>
      </c>
      <c r="Y709" s="129">
        <f t="array" ref="Y709">_xlfn.IFS(K709 &lt;= (65/SQRT($AT$32)), "Compact", K709 &lt;= (95/SQRT($AT$32)), "Non-Compact", K709 &gt; (95/SQRT($AT$32)), "Slender")</f>
        <v/>
      </c>
      <c r="Z709" s="125">
        <f>E709/F709</f>
        <v/>
      </c>
      <c r="AA709" s="125">
        <f>D709/G709</f>
        <v/>
      </c>
      <c r="AB709" s="125">
        <f t="array" ref="AB709">_xlfn.IFS(Z709 &lt;= 9, "1", Z709 &lt;= 12, "2", Z709 &lt;= 15, "3", Z709 &gt; 15, "4")</f>
        <v/>
      </c>
      <c r="AC709" s="125">
        <f t="array" ref="AC709">_xlfn.IFS(AA709 &lt;= 200, "1", L709 &lt;= 300, "2", L709 &lt;= 400, "3", L709 &gt; 400, "4")</f>
        <v/>
      </c>
      <c r="AF709" s="129">
        <f>SQRT((((VLOOKUP($AT$4,$A$4:$D$1021,4,FALSE))-D709)^2)+(((VLOOKUP($AT$4,$A$4:$E$1021,5,FALSE))-E709)^2)+(((VLOOKUP($AT$4,$A$4:$N$1021,14,FALSE))-N709)^2)+(((VLOOKUP($AT$4,$A$4:$O$1021,15,FALSE))-O709)^2))</f>
        <v/>
      </c>
      <c r="AG709" s="129" t="n"/>
      <c r="AI709" s="129">
        <f>SQRT((((VLOOKUP($AT$4,$A$4:$D$1021,4,FALSE))-D709)^2)+(((VLOOKUP($AT$4,$A$4:$E$1021,5,FALSE))-E709)^2)+(((VLOOKUP($AT$4,$A$4:$R$1021,18,FALSE))-R709)^2)+(((VLOOKUP($AT$4,$A$4:$S$1021,19,FALSE))-S709)^2))</f>
        <v/>
      </c>
      <c r="AJ709" s="125" t="inlineStr">
        <is>
          <t>HY800X201</t>
        </is>
      </c>
      <c r="AK709" s="125" t="n"/>
      <c r="AL709" s="125" t="n"/>
      <c r="AM709" s="125">
        <f>SQRT(((VLOOKUP($AT$4,$A$4:$J$1021,10,FALSE))-J709)^2)</f>
        <v/>
      </c>
      <c r="AN709" s="125" t="n"/>
      <c r="AO709" s="125" t="n"/>
      <c r="AP709" s="125">
        <f>SQRT(((VLOOKUP($AT$4,$A$4:$R$1021,18,FALSE))-R709)^2)</f>
        <v/>
      </c>
      <c r="AQ709" s="125" t="inlineStr">
        <is>
          <t>HY800X201</t>
        </is>
      </c>
      <c r="BB709" s="125">
        <f>SQRT(($J$1022-J709)^2)</f>
        <v/>
      </c>
      <c r="BC709" s="125">
        <f>SQRT(($R$1022-R709)^2)</f>
        <v/>
      </c>
      <c r="BD709" s="125" t="inlineStr">
        <is>
          <t>HY800X201</t>
        </is>
      </c>
      <c r="BI709">
        <f>SQRT(($J$1023-J709)^2)</f>
        <v/>
      </c>
      <c r="BJ709">
        <f>SQRT(($R$1023-R709)^2)</f>
        <v/>
      </c>
      <c r="BK709" s="125" t="inlineStr">
        <is>
          <t>HY800X201</t>
        </is>
      </c>
      <c r="BP709">
        <f>SQRT(($J$1024-J709)^2)</f>
        <v/>
      </c>
      <c r="BQ709">
        <f>SQRT(($R$1024-R709)^2)</f>
        <v/>
      </c>
      <c r="BR709" s="125" t="inlineStr">
        <is>
          <t>HY800X201</t>
        </is>
      </c>
      <c r="BW709">
        <f>SQRT(($J$1025-J709)^2)</f>
        <v/>
      </c>
      <c r="BX709">
        <f>SQRT(($R$1025-R709)^2)</f>
        <v/>
      </c>
      <c r="BY709" s="125" t="inlineStr">
        <is>
          <t>HY800X201</t>
        </is>
      </c>
      <c r="CD709">
        <f>SQRT(($J$1026-J709)^2)</f>
        <v/>
      </c>
      <c r="CE709">
        <f>SQRT(($R$1026-R709)^2)</f>
        <v/>
      </c>
      <c r="CF709" s="125" t="inlineStr">
        <is>
          <t>HY800X201</t>
        </is>
      </c>
    </row>
    <row r="710">
      <c r="A710" s="125" t="inlineStr">
        <is>
          <t>HY800X234</t>
        </is>
      </c>
      <c r="B710" s="129" t="inlineStr">
        <is>
          <t>HY</t>
        </is>
      </c>
      <c r="C710" s="125" t="n">
        <v>234</v>
      </c>
      <c r="D710" s="125" t="n">
        <v>800</v>
      </c>
      <c r="E710" s="125" t="n">
        <v>300</v>
      </c>
      <c r="F710" s="125" t="n">
        <v>32</v>
      </c>
      <c r="G710" s="125" t="n">
        <v>14</v>
      </c>
      <c r="H710" s="125" t="n">
        <v>18</v>
      </c>
      <c r="I710" s="125">
        <f>D710-(2*(H710+F710))</f>
        <v/>
      </c>
      <c r="J710" s="125">
        <f>(2*E710/10*F710/10)+((D710-F710-F710)/10*G710/10)+((H710/10+H710/10)^2)-(PI()*H710/10*H710/10)</f>
        <v/>
      </c>
      <c r="K710" s="125">
        <f>((E710-G710)/2)/F710</f>
        <v/>
      </c>
      <c r="L710" s="125">
        <f>I710/G710</f>
        <v/>
      </c>
      <c r="M710" s="125">
        <f>(E710*2+F710*4+((E710-G710)/2-H710)*4+2*PI()*H710+(D710-2*F710-2*H710)*2)/1000</f>
        <v/>
      </c>
      <c r="N710" s="5" t="n">
        <v>333000</v>
      </c>
      <c r="O710" s="5" t="n">
        <v>14400</v>
      </c>
      <c r="P710" s="125" t="n">
        <v>33.5</v>
      </c>
      <c r="Q710" s="125" t="n">
        <v>7</v>
      </c>
      <c r="R710" s="5" t="n">
        <v>8340</v>
      </c>
      <c r="S710" s="125" t="n">
        <v>961</v>
      </c>
      <c r="T710" s="5" t="n">
        <v>9370</v>
      </c>
      <c r="U710" s="5" t="n">
        <v>1480</v>
      </c>
      <c r="X710" s="129">
        <f t="array" ref="X710">_xlfn.IFS((D710/F710) &lt;= (640/SQRT($AT$32)), "Compact", L710 &lt;= ($AT$32*(0.79-(0.002*((E710-G710/2)/(2*F710))*SQRT($AT$32)))), "Non-Compact", L710 &gt; ($AT$32*(0.79-(0.002*((E710-G710/2)/(2*F710))*SQRT($AT$32)))), "Slender")</f>
        <v/>
      </c>
      <c r="Y710" s="129">
        <f t="array" ref="Y710">_xlfn.IFS(K710 &lt;= (65/SQRT($AT$32)), "Compact", K710 &lt;= (95/SQRT($AT$32)), "Non-Compact", K710 &gt; (95/SQRT($AT$32)), "Slender")</f>
        <v/>
      </c>
      <c r="Z710" s="125">
        <f>E710/F710</f>
        <v/>
      </c>
      <c r="AA710" s="125">
        <f>D710/G710</f>
        <v/>
      </c>
      <c r="AB710" s="125">
        <f t="array" ref="AB710">_xlfn.IFS(Z710 &lt;= 9, "1", Z710 &lt;= 12, "2", Z710 &lt;= 15, "3", Z710 &gt; 15, "4")</f>
        <v/>
      </c>
      <c r="AC710" s="125">
        <f t="array" ref="AC710">_xlfn.IFS(AA710 &lt;= 200, "1", L710 &lt;= 300, "2", L710 &lt;= 400, "3", L710 &gt; 400, "4")</f>
        <v/>
      </c>
      <c r="AF710" s="129">
        <f>SQRT((((VLOOKUP($AT$4,$A$4:$D$1021,4,FALSE))-D710)^2)+(((VLOOKUP($AT$4,$A$4:$E$1021,5,FALSE))-E710)^2)+(((VLOOKUP($AT$4,$A$4:$N$1021,14,FALSE))-N710)^2)+(((VLOOKUP($AT$4,$A$4:$O$1021,15,FALSE))-O710)^2))</f>
        <v/>
      </c>
      <c r="AG710" s="129" t="n"/>
      <c r="AI710" s="129">
        <f>SQRT((((VLOOKUP($AT$4,$A$4:$D$1021,4,FALSE))-D710)^2)+(((VLOOKUP($AT$4,$A$4:$E$1021,5,FALSE))-E710)^2)+(((VLOOKUP($AT$4,$A$4:$R$1021,18,FALSE))-R710)^2)+(((VLOOKUP($AT$4,$A$4:$S$1021,19,FALSE))-S710)^2))</f>
        <v/>
      </c>
      <c r="AJ710" s="125" t="inlineStr">
        <is>
          <t>HY800X234</t>
        </is>
      </c>
      <c r="AK710" s="125" t="n"/>
      <c r="AL710" s="125" t="n"/>
      <c r="AM710" s="125">
        <f>SQRT(((VLOOKUP($AT$4,$A$4:$J$1021,10,FALSE))-J710)^2)</f>
        <v/>
      </c>
      <c r="AN710" s="125" t="n"/>
      <c r="AO710" s="125" t="n"/>
      <c r="AP710" s="125">
        <f>SQRT(((VLOOKUP($AT$4,$A$4:$R$1021,18,FALSE))-R710)^2)</f>
        <v/>
      </c>
      <c r="AQ710" s="125" t="inlineStr">
        <is>
          <t>HY800X234</t>
        </is>
      </c>
      <c r="BB710" s="125">
        <f>SQRT(($J$1022-J710)^2)</f>
        <v/>
      </c>
      <c r="BC710" s="125">
        <f>SQRT(($R$1022-R710)^2)</f>
        <v/>
      </c>
      <c r="BD710" s="125" t="inlineStr">
        <is>
          <t>HY800X234</t>
        </is>
      </c>
      <c r="BI710">
        <f>SQRT(($J$1023-J710)^2)</f>
        <v/>
      </c>
      <c r="BJ710">
        <f>SQRT(($R$1023-R710)^2)</f>
        <v/>
      </c>
      <c r="BK710" s="125" t="inlineStr">
        <is>
          <t>HY800X234</t>
        </is>
      </c>
      <c r="BP710">
        <f>SQRT(($J$1024-J710)^2)</f>
        <v/>
      </c>
      <c r="BQ710">
        <f>SQRT(($R$1024-R710)^2)</f>
        <v/>
      </c>
      <c r="BR710" s="125" t="inlineStr">
        <is>
          <t>HY800X234</t>
        </is>
      </c>
      <c r="BW710">
        <f>SQRT(($J$1025-J710)^2)</f>
        <v/>
      </c>
      <c r="BX710">
        <f>SQRT(($R$1025-R710)^2)</f>
        <v/>
      </c>
      <c r="BY710" s="125" t="inlineStr">
        <is>
          <t>HY800X234</t>
        </is>
      </c>
      <c r="CD710">
        <f>SQRT(($J$1026-J710)^2)</f>
        <v/>
      </c>
      <c r="CE710">
        <f>SQRT(($R$1026-R710)^2)</f>
        <v/>
      </c>
      <c r="CF710" s="125" t="inlineStr">
        <is>
          <t>HY800X234</t>
        </is>
      </c>
    </row>
    <row r="711">
      <c r="A711" s="125" t="inlineStr">
        <is>
          <t>HY800X216</t>
        </is>
      </c>
      <c r="B711" s="129" t="inlineStr">
        <is>
          <t>HY</t>
        </is>
      </c>
      <c r="C711" s="125" t="n">
        <v>216</v>
      </c>
      <c r="D711" s="125" t="n">
        <v>800</v>
      </c>
      <c r="E711" s="125" t="n">
        <v>300</v>
      </c>
      <c r="F711" s="125" t="n">
        <v>28</v>
      </c>
      <c r="G711" s="125" t="n">
        <v>14</v>
      </c>
      <c r="H711" s="125" t="n">
        <v>18</v>
      </c>
      <c r="I711" s="125">
        <f>D711-(2*(H711+F711))</f>
        <v/>
      </c>
      <c r="J711" s="125">
        <f>(2*E711/10*F711/10)+((D711-F711-F711)/10*G711/10)+((H711/10+H711/10)^2)-(PI()*H711/10*H711/10)</f>
        <v/>
      </c>
      <c r="K711" s="125">
        <f>((E711-G711)/2)/F711</f>
        <v/>
      </c>
      <c r="L711" s="125">
        <f>I711/G711</f>
        <v/>
      </c>
      <c r="M711" s="125">
        <f>(E711*2+F711*4+((E711-G711)/2-H711)*4+2*PI()*H711+(D711-2*F711-2*H711)*2)/1000</f>
        <v/>
      </c>
      <c r="N711" s="5" t="n">
        <v>302000</v>
      </c>
      <c r="O711" s="5" t="n">
        <v>12600</v>
      </c>
      <c r="P711" s="125" t="n">
        <v>33.2</v>
      </c>
      <c r="Q711" s="125" t="n">
        <v>6.8</v>
      </c>
      <c r="R711" s="5" t="n">
        <v>7560</v>
      </c>
      <c r="S711" s="125" t="n">
        <v>841</v>
      </c>
      <c r="T711" s="5" t="n">
        <v>8520</v>
      </c>
      <c r="U711" s="5" t="n">
        <v>1300</v>
      </c>
      <c r="X711" s="129">
        <f t="array" ref="X711">_xlfn.IFS((D711/F711) &lt;= (640/SQRT($AT$32)), "Compact", L711 &lt;= ($AT$32*(0.79-(0.002*((E711-G711/2)/(2*F711))*SQRT($AT$32)))), "Non-Compact", L711 &gt; ($AT$32*(0.79-(0.002*((E711-G711/2)/(2*F711))*SQRT($AT$32)))), "Slender")</f>
        <v/>
      </c>
      <c r="Y711" s="129">
        <f t="array" ref="Y711">_xlfn.IFS(K711 &lt;= (65/SQRT($AT$32)), "Compact", K711 &lt;= (95/SQRT($AT$32)), "Non-Compact", K711 &gt; (95/SQRT($AT$32)), "Slender")</f>
        <v/>
      </c>
      <c r="Z711" s="125">
        <f>E711/F711</f>
        <v/>
      </c>
      <c r="AA711" s="125">
        <f>D711/G711</f>
        <v/>
      </c>
      <c r="AB711" s="125">
        <f t="array" ref="AB711">_xlfn.IFS(Z711 &lt;= 9, "1", Z711 &lt;= 12, "2", Z711 &lt;= 15, "3", Z711 &gt; 15, "4")</f>
        <v/>
      </c>
      <c r="AC711" s="125">
        <f t="array" ref="AC711">_xlfn.IFS(AA711 &lt;= 200, "1", L711 &lt;= 300, "2", L711 &lt;= 400, "3", L711 &gt; 400, "4")</f>
        <v/>
      </c>
      <c r="AF711" s="129">
        <f>SQRT((((VLOOKUP($AT$4,$A$4:$D$1021,4,FALSE))-D711)^2)+(((VLOOKUP($AT$4,$A$4:$E$1021,5,FALSE))-E711)^2)+(((VLOOKUP($AT$4,$A$4:$N$1021,14,FALSE))-N711)^2)+(((VLOOKUP($AT$4,$A$4:$O$1021,15,FALSE))-O711)^2))</f>
        <v/>
      </c>
      <c r="AG711" s="129" t="n"/>
      <c r="AI711" s="129">
        <f>SQRT((((VLOOKUP($AT$4,$A$4:$D$1021,4,FALSE))-D711)^2)+(((VLOOKUP($AT$4,$A$4:$E$1021,5,FALSE))-E711)^2)+(((VLOOKUP($AT$4,$A$4:$R$1021,18,FALSE))-R711)^2)+(((VLOOKUP($AT$4,$A$4:$S$1021,19,FALSE))-S711)^2))</f>
        <v/>
      </c>
      <c r="AJ711" s="125" t="inlineStr">
        <is>
          <t>HY800X216</t>
        </is>
      </c>
      <c r="AK711" s="125" t="n"/>
      <c r="AL711" s="125" t="n"/>
      <c r="AM711" s="125">
        <f>SQRT(((VLOOKUP($AT$4,$A$4:$J$1021,10,FALSE))-J711)^2)</f>
        <v/>
      </c>
      <c r="AN711" s="125" t="n"/>
      <c r="AO711" s="125" t="n"/>
      <c r="AP711" s="125">
        <f>SQRT(((VLOOKUP($AT$4,$A$4:$R$1021,18,FALSE))-R711)^2)</f>
        <v/>
      </c>
      <c r="AQ711" s="125" t="inlineStr">
        <is>
          <t>HY800X216</t>
        </is>
      </c>
      <c r="BB711" s="125">
        <f>SQRT(($J$1022-J711)^2)</f>
        <v/>
      </c>
      <c r="BC711" s="125">
        <f>SQRT(($R$1022-R711)^2)</f>
        <v/>
      </c>
      <c r="BD711" s="125" t="inlineStr">
        <is>
          <t>HY800X216</t>
        </is>
      </c>
      <c r="BI711">
        <f>SQRT(($J$1023-J711)^2)</f>
        <v/>
      </c>
      <c r="BJ711">
        <f>SQRT(($R$1023-R711)^2)</f>
        <v/>
      </c>
      <c r="BK711" s="125" t="inlineStr">
        <is>
          <t>HY800X216</t>
        </is>
      </c>
      <c r="BP711">
        <f>SQRT(($J$1024-J711)^2)</f>
        <v/>
      </c>
      <c r="BQ711">
        <f>SQRT(($R$1024-R711)^2)</f>
        <v/>
      </c>
      <c r="BR711" s="125" t="inlineStr">
        <is>
          <t>HY800X216</t>
        </is>
      </c>
      <c r="BW711">
        <f>SQRT(($J$1025-J711)^2)</f>
        <v/>
      </c>
      <c r="BX711">
        <f>SQRT(($R$1025-R711)^2)</f>
        <v/>
      </c>
      <c r="BY711" s="125" t="inlineStr">
        <is>
          <t>HY800X216</t>
        </is>
      </c>
      <c r="CD711">
        <f>SQRT(($J$1026-J711)^2)</f>
        <v/>
      </c>
      <c r="CE711">
        <f>SQRT(($R$1026-R711)^2)</f>
        <v/>
      </c>
      <c r="CF711" s="125" t="inlineStr">
        <is>
          <t>HY800X216</t>
        </is>
      </c>
    </row>
    <row r="712">
      <c r="A712" s="125" t="inlineStr">
        <is>
          <t>HY800X202</t>
        </is>
      </c>
      <c r="B712" s="129" t="inlineStr">
        <is>
          <t>HY</t>
        </is>
      </c>
      <c r="C712" s="125" t="n">
        <v>202</v>
      </c>
      <c r="D712" s="125" t="n">
        <v>800</v>
      </c>
      <c r="E712" s="125" t="n">
        <v>300</v>
      </c>
      <c r="F712" s="125" t="n">
        <v>25</v>
      </c>
      <c r="G712" s="125" t="n">
        <v>14</v>
      </c>
      <c r="H712" s="125" t="n">
        <v>18</v>
      </c>
      <c r="I712" s="125">
        <f>D712-(2*(H712+F712))</f>
        <v/>
      </c>
      <c r="J712" s="125">
        <f>(2*E712/10*F712/10)+((D712-F712-F712)/10*G712/10)+((H712/10+H712/10)^2)-(PI()*H712/10*H712/10)</f>
        <v/>
      </c>
      <c r="K712" s="125">
        <f>((E712-G712)/2)/F712</f>
        <v/>
      </c>
      <c r="L712" s="125">
        <f>I712/G712</f>
        <v/>
      </c>
      <c r="M712" s="125">
        <f>(E712*2+F712*4+((E712-G712)/2-H712)*4+2*PI()*H712+(D712-2*F712-2*H712)*2)/1000</f>
        <v/>
      </c>
      <c r="N712" s="5" t="n">
        <v>278000</v>
      </c>
      <c r="O712" s="5" t="n">
        <v>11300</v>
      </c>
      <c r="P712" s="125" t="n">
        <v>32.9</v>
      </c>
      <c r="Q712" s="125" t="n">
        <v>6.6</v>
      </c>
      <c r="R712" s="5" t="n">
        <v>6960</v>
      </c>
      <c r="S712" s="125" t="n">
        <v>751</v>
      </c>
      <c r="T712" s="5" t="n">
        <v>7880</v>
      </c>
      <c r="U712" s="5" t="n">
        <v>1160</v>
      </c>
      <c r="X712" s="129">
        <f t="array" ref="X712">_xlfn.IFS((D712/F712) &lt;= (640/SQRT($AT$32)), "Compact", L712 &lt;= ($AT$32*(0.79-(0.002*((E712-G712/2)/(2*F712))*SQRT($AT$32)))), "Non-Compact", L712 &gt; ($AT$32*(0.79-(0.002*((E712-G712/2)/(2*F712))*SQRT($AT$32)))), "Slender")</f>
        <v/>
      </c>
      <c r="Y712" s="129">
        <f t="array" ref="Y712">_xlfn.IFS(K712 &lt;= (65/SQRT($AT$32)), "Compact", K712 &lt;= (95/SQRT($AT$32)), "Non-Compact", K712 &gt; (95/SQRT($AT$32)), "Slender")</f>
        <v/>
      </c>
      <c r="Z712" s="125">
        <f>E712/F712</f>
        <v/>
      </c>
      <c r="AA712" s="125">
        <f>D712/G712</f>
        <v/>
      </c>
      <c r="AB712" s="125">
        <f t="array" ref="AB712">_xlfn.IFS(Z712 &lt;= 9, "1", Z712 &lt;= 12, "2", Z712 &lt;= 15, "3", Z712 &gt; 15, "4")</f>
        <v/>
      </c>
      <c r="AC712" s="125">
        <f t="array" ref="AC712">_xlfn.IFS(AA712 &lt;= 200, "1", L712 &lt;= 300, "2", L712 &lt;= 400, "3", L712 &gt; 400, "4")</f>
        <v/>
      </c>
      <c r="AF712" s="129">
        <f>SQRT((((VLOOKUP($AT$4,$A$4:$D$1021,4,FALSE))-D712)^2)+(((VLOOKUP($AT$4,$A$4:$E$1021,5,FALSE))-E712)^2)+(((VLOOKUP($AT$4,$A$4:$N$1021,14,FALSE))-N712)^2)+(((VLOOKUP($AT$4,$A$4:$O$1021,15,FALSE))-O712)^2))</f>
        <v/>
      </c>
      <c r="AG712" s="129" t="n"/>
      <c r="AI712" s="129">
        <f>SQRT((((VLOOKUP($AT$4,$A$4:$D$1021,4,FALSE))-D712)^2)+(((VLOOKUP($AT$4,$A$4:$E$1021,5,FALSE))-E712)^2)+(((VLOOKUP($AT$4,$A$4:$R$1021,18,FALSE))-R712)^2)+(((VLOOKUP($AT$4,$A$4:$S$1021,19,FALSE))-S712)^2))</f>
        <v/>
      </c>
      <c r="AJ712" s="125" t="inlineStr">
        <is>
          <t>HY800X202</t>
        </is>
      </c>
      <c r="AK712" s="125" t="n"/>
      <c r="AL712" s="125" t="n"/>
      <c r="AM712" s="125">
        <f>SQRT(((VLOOKUP($AT$4,$A$4:$J$1021,10,FALSE))-J712)^2)</f>
        <v/>
      </c>
      <c r="AN712" s="125" t="n"/>
      <c r="AO712" s="125" t="n"/>
      <c r="AP712" s="125">
        <f>SQRT(((VLOOKUP($AT$4,$A$4:$R$1021,18,FALSE))-R712)^2)</f>
        <v/>
      </c>
      <c r="AQ712" s="125" t="inlineStr">
        <is>
          <t>HY800X202</t>
        </is>
      </c>
      <c r="BB712" s="125">
        <f>SQRT(($J$1022-J712)^2)</f>
        <v/>
      </c>
      <c r="BC712" s="125">
        <f>SQRT(($R$1022-R712)^2)</f>
        <v/>
      </c>
      <c r="BD712" s="125" t="inlineStr">
        <is>
          <t>HY800X202</t>
        </is>
      </c>
      <c r="BI712">
        <f>SQRT(($J$1023-J712)^2)</f>
        <v/>
      </c>
      <c r="BJ712">
        <f>SQRT(($R$1023-R712)^2)</f>
        <v/>
      </c>
      <c r="BK712" s="125" t="inlineStr">
        <is>
          <t>HY800X202</t>
        </is>
      </c>
      <c r="BP712">
        <f>SQRT(($J$1024-J712)^2)</f>
        <v/>
      </c>
      <c r="BQ712">
        <f>SQRT(($R$1024-R712)^2)</f>
        <v/>
      </c>
      <c r="BR712" s="125" t="inlineStr">
        <is>
          <t>HY800X202</t>
        </is>
      </c>
      <c r="BW712">
        <f>SQRT(($J$1025-J712)^2)</f>
        <v/>
      </c>
      <c r="BX712">
        <f>SQRT(($R$1025-R712)^2)</f>
        <v/>
      </c>
      <c r="BY712" s="125" t="inlineStr">
        <is>
          <t>HY800X202</t>
        </is>
      </c>
      <c r="CD712">
        <f>SQRT(($J$1026-J712)^2)</f>
        <v/>
      </c>
      <c r="CE712">
        <f>SQRT(($R$1026-R712)^2)</f>
        <v/>
      </c>
      <c r="CF712" s="125" t="inlineStr">
        <is>
          <t>HY800X202</t>
        </is>
      </c>
    </row>
    <row r="713">
      <c r="A713" s="125" t="inlineStr">
        <is>
          <t>HY800X189</t>
        </is>
      </c>
      <c r="B713" s="129" t="inlineStr">
        <is>
          <t>HY</t>
        </is>
      </c>
      <c r="C713" s="125" t="n">
        <v>189</v>
      </c>
      <c r="D713" s="125" t="n">
        <v>800</v>
      </c>
      <c r="E713" s="125" t="n">
        <v>300</v>
      </c>
      <c r="F713" s="125" t="n">
        <v>22</v>
      </c>
      <c r="G713" s="125" t="n">
        <v>14</v>
      </c>
      <c r="H713" s="125" t="n">
        <v>18</v>
      </c>
      <c r="I713" s="125">
        <f>D713-(2*(H713+F713))</f>
        <v/>
      </c>
      <c r="J713" s="125">
        <f>(2*E713/10*F713/10)+((D713-F713-F713)/10*G713/10)+((H713/10+H713/10)^2)-(PI()*H713/10*H713/10)</f>
        <v/>
      </c>
      <c r="K713" s="125">
        <f>((E713-G713)/2)/F713</f>
        <v/>
      </c>
      <c r="L713" s="125">
        <f>I713/G713</f>
        <v/>
      </c>
      <c r="M713" s="125">
        <f>(E713*2+F713*4+((E713-G713)/2-H713)*4+2*PI()*H713+(D713-2*F713-2*H713)*2)/1000</f>
        <v/>
      </c>
      <c r="N713" s="5" t="n">
        <v>254000</v>
      </c>
      <c r="O713" s="5" t="n">
        <v>9920</v>
      </c>
      <c r="P713" s="125" t="n">
        <v>32.5</v>
      </c>
      <c r="Q713" s="125" t="n">
        <v>6.4</v>
      </c>
      <c r="R713" s="5" t="n">
        <v>6350</v>
      </c>
      <c r="S713" s="125" t="n">
        <v>661</v>
      </c>
      <c r="T713" s="5" t="n">
        <v>7240</v>
      </c>
      <c r="U713" s="5" t="n">
        <v>1030</v>
      </c>
      <c r="X713" s="129">
        <f t="array" ref="X713">_xlfn.IFS((D713/F713) &lt;= (640/SQRT($AT$32)), "Compact", L713 &lt;= ($AT$32*(0.79-(0.002*((E713-G713/2)/(2*F713))*SQRT($AT$32)))), "Non-Compact", L713 &gt; ($AT$32*(0.79-(0.002*((E713-G713/2)/(2*F713))*SQRT($AT$32)))), "Slender")</f>
        <v/>
      </c>
      <c r="Y713" s="129">
        <f t="array" ref="Y713">_xlfn.IFS(K713 &lt;= (65/SQRT($AT$32)), "Compact", K713 &lt;= (95/SQRT($AT$32)), "Non-Compact", K713 &gt; (95/SQRT($AT$32)), "Slender")</f>
        <v/>
      </c>
      <c r="Z713" s="125">
        <f>E713/F713</f>
        <v/>
      </c>
      <c r="AA713" s="125">
        <f>D713/G713</f>
        <v/>
      </c>
      <c r="AB713" s="125">
        <f t="array" ref="AB713">_xlfn.IFS(Z713 &lt;= 9, "1", Z713 &lt;= 12, "2", Z713 &lt;= 15, "3", Z713 &gt; 15, "4")</f>
        <v/>
      </c>
      <c r="AC713" s="125">
        <f t="array" ref="AC713">_xlfn.IFS(AA713 &lt;= 200, "1", L713 &lt;= 300, "2", L713 &lt;= 400, "3", L713 &gt; 400, "4")</f>
        <v/>
      </c>
      <c r="AF713" s="129">
        <f>SQRT((((VLOOKUP($AT$4,$A$4:$D$1021,4,FALSE))-D713)^2)+(((VLOOKUP($AT$4,$A$4:$E$1021,5,FALSE))-E713)^2)+(((VLOOKUP($AT$4,$A$4:$N$1021,14,FALSE))-N713)^2)+(((VLOOKUP($AT$4,$A$4:$O$1021,15,FALSE))-O713)^2))</f>
        <v/>
      </c>
      <c r="AG713" s="129" t="n"/>
      <c r="AI713" s="129">
        <f>SQRT((((VLOOKUP($AT$4,$A$4:$D$1021,4,FALSE))-D713)^2)+(((VLOOKUP($AT$4,$A$4:$E$1021,5,FALSE))-E713)^2)+(((VLOOKUP($AT$4,$A$4:$R$1021,18,FALSE))-R713)^2)+(((VLOOKUP($AT$4,$A$4:$S$1021,19,FALSE))-S713)^2))</f>
        <v/>
      </c>
      <c r="AJ713" s="125" t="inlineStr">
        <is>
          <t>HY800X189</t>
        </is>
      </c>
      <c r="AK713" s="125" t="n"/>
      <c r="AL713" s="125" t="n"/>
      <c r="AM713" s="125">
        <f>SQRT(((VLOOKUP($AT$4,$A$4:$J$1021,10,FALSE))-J713)^2)</f>
        <v/>
      </c>
      <c r="AN713" s="125" t="n"/>
      <c r="AO713" s="125" t="n"/>
      <c r="AP713" s="125">
        <f>SQRT(((VLOOKUP($AT$4,$A$4:$R$1021,18,FALSE))-R713)^2)</f>
        <v/>
      </c>
      <c r="AQ713" s="125" t="inlineStr">
        <is>
          <t>HY800X189</t>
        </is>
      </c>
      <c r="BB713" s="125">
        <f>SQRT(($J$1022-J713)^2)</f>
        <v/>
      </c>
      <c r="BC713" s="125">
        <f>SQRT(($R$1022-R713)^2)</f>
        <v/>
      </c>
      <c r="BD713" s="125" t="inlineStr">
        <is>
          <t>HY800X189</t>
        </is>
      </c>
      <c r="BI713">
        <f>SQRT(($J$1023-J713)^2)</f>
        <v/>
      </c>
      <c r="BJ713">
        <f>SQRT(($R$1023-R713)^2)</f>
        <v/>
      </c>
      <c r="BK713" s="125" t="inlineStr">
        <is>
          <t>HY800X189</t>
        </is>
      </c>
      <c r="BP713">
        <f>SQRT(($J$1024-J713)^2)</f>
        <v/>
      </c>
      <c r="BQ713">
        <f>SQRT(($R$1024-R713)^2)</f>
        <v/>
      </c>
      <c r="BR713" s="125" t="inlineStr">
        <is>
          <t>HY800X189</t>
        </is>
      </c>
      <c r="BW713">
        <f>SQRT(($J$1025-J713)^2)</f>
        <v/>
      </c>
      <c r="BX713">
        <f>SQRT(($R$1025-R713)^2)</f>
        <v/>
      </c>
      <c r="BY713" s="125" t="inlineStr">
        <is>
          <t>HY800X189</t>
        </is>
      </c>
      <c r="CD713">
        <f>SQRT(($J$1026-J713)^2)</f>
        <v/>
      </c>
      <c r="CE713">
        <f>SQRT(($R$1026-R713)^2)</f>
        <v/>
      </c>
      <c r="CF713" s="125" t="inlineStr">
        <is>
          <t>HY800X189</t>
        </is>
      </c>
    </row>
    <row r="714">
      <c r="A714" s="125" t="inlineStr">
        <is>
          <t>HY800X191</t>
        </is>
      </c>
      <c r="B714" s="129" t="inlineStr">
        <is>
          <t>HY</t>
        </is>
      </c>
      <c r="C714" s="125" t="n">
        <v>191</v>
      </c>
      <c r="D714" s="125" t="n">
        <v>800</v>
      </c>
      <c r="E714" s="125" t="n">
        <v>300</v>
      </c>
      <c r="F714" s="125" t="n">
        <v>25</v>
      </c>
      <c r="G714" s="125" t="n">
        <v>12</v>
      </c>
      <c r="H714" s="125" t="n">
        <v>18</v>
      </c>
      <c r="I714" s="125">
        <f>D714-(2*(H714+F714))</f>
        <v/>
      </c>
      <c r="J714" s="125">
        <f>(2*E714/10*F714/10)+((D714-F714-F714)/10*G714/10)+((H714/10+H714/10)^2)-(PI()*H714/10*H714/10)</f>
        <v/>
      </c>
      <c r="K714" s="125">
        <f>((E714-G714)/2)/F714</f>
        <v/>
      </c>
      <c r="L714" s="125">
        <f>I714/G714</f>
        <v/>
      </c>
      <c r="M714" s="125">
        <f>(E714*2+F714*4+((E714-G714)/2-H714)*4+2*PI()*H714+(D714-2*F714-2*H714)*2)/1000</f>
        <v/>
      </c>
      <c r="N714" s="5" t="n">
        <v>271000</v>
      </c>
      <c r="O714" s="5" t="n">
        <v>11300</v>
      </c>
      <c r="P714" s="125" t="n">
        <v>33.4</v>
      </c>
      <c r="Q714" s="125" t="n">
        <v>6.8</v>
      </c>
      <c r="R714" s="5" t="n">
        <v>6780</v>
      </c>
      <c r="S714" s="125" t="n">
        <v>751</v>
      </c>
      <c r="T714" s="5" t="n">
        <v>7600</v>
      </c>
      <c r="U714" s="5" t="n">
        <v>1150</v>
      </c>
      <c r="X714" s="129">
        <f t="array" ref="X714">_xlfn.IFS((D714/F714) &lt;= (640/SQRT($AT$32)), "Compact", L714 &lt;= ($AT$32*(0.79-(0.002*((E714-G714/2)/(2*F714))*SQRT($AT$32)))), "Non-Compact", L714 &gt; ($AT$32*(0.79-(0.002*((E714-G714/2)/(2*F714))*SQRT($AT$32)))), "Slender")</f>
        <v/>
      </c>
      <c r="Y714" s="129">
        <f t="array" ref="Y714">_xlfn.IFS(K714 &lt;= (65/SQRT($AT$32)), "Compact", K714 &lt;= (95/SQRT($AT$32)), "Non-Compact", K714 &gt; (95/SQRT($AT$32)), "Slender")</f>
        <v/>
      </c>
      <c r="Z714" s="125">
        <f>E714/F714</f>
        <v/>
      </c>
      <c r="AA714" s="125">
        <f>D714/G714</f>
        <v/>
      </c>
      <c r="AB714" s="125">
        <f t="array" ref="AB714">_xlfn.IFS(Z714 &lt;= 9, "1", Z714 &lt;= 12, "2", Z714 &lt;= 15, "3", Z714 &gt; 15, "4")</f>
        <v/>
      </c>
      <c r="AC714" s="125">
        <f t="array" ref="AC714">_xlfn.IFS(AA714 &lt;= 200, "1", L714 &lt;= 300, "2", L714 &lt;= 400, "3", L714 &gt; 400, "4")</f>
        <v/>
      </c>
      <c r="AF714" s="129">
        <f>SQRT((((VLOOKUP($AT$4,$A$4:$D$1021,4,FALSE))-D714)^2)+(((VLOOKUP($AT$4,$A$4:$E$1021,5,FALSE))-E714)^2)+(((VLOOKUP($AT$4,$A$4:$N$1021,14,FALSE))-N714)^2)+(((VLOOKUP($AT$4,$A$4:$O$1021,15,FALSE))-O714)^2))</f>
        <v/>
      </c>
      <c r="AG714" s="129" t="n"/>
      <c r="AI714" s="129">
        <f>SQRT((((VLOOKUP($AT$4,$A$4:$D$1021,4,FALSE))-D714)^2)+(((VLOOKUP($AT$4,$A$4:$E$1021,5,FALSE))-E714)^2)+(((VLOOKUP($AT$4,$A$4:$R$1021,18,FALSE))-R714)^2)+(((VLOOKUP($AT$4,$A$4:$S$1021,19,FALSE))-S714)^2))</f>
        <v/>
      </c>
      <c r="AJ714" s="125" t="inlineStr">
        <is>
          <t>HY800X191</t>
        </is>
      </c>
      <c r="AK714" s="125" t="n"/>
      <c r="AL714" s="125" t="n"/>
      <c r="AM714" s="125">
        <f>SQRT(((VLOOKUP($AT$4,$A$4:$J$1021,10,FALSE))-J714)^2)</f>
        <v/>
      </c>
      <c r="AN714" s="125" t="n"/>
      <c r="AO714" s="125" t="n"/>
      <c r="AP714" s="125">
        <f>SQRT(((VLOOKUP($AT$4,$A$4:$R$1021,18,FALSE))-R714)^2)</f>
        <v/>
      </c>
      <c r="AQ714" s="125" t="inlineStr">
        <is>
          <t>HY800X191</t>
        </is>
      </c>
      <c r="BB714" s="125">
        <f>SQRT(($J$1022-J714)^2)</f>
        <v/>
      </c>
      <c r="BC714" s="125">
        <f>SQRT(($R$1022-R714)^2)</f>
        <v/>
      </c>
      <c r="BD714" s="125" t="inlineStr">
        <is>
          <t>HY800X191</t>
        </is>
      </c>
      <c r="BI714">
        <f>SQRT(($J$1023-J714)^2)</f>
        <v/>
      </c>
      <c r="BJ714">
        <f>SQRT(($R$1023-R714)^2)</f>
        <v/>
      </c>
      <c r="BK714" s="125" t="inlineStr">
        <is>
          <t>HY800X191</t>
        </is>
      </c>
      <c r="BP714">
        <f>SQRT(($J$1024-J714)^2)</f>
        <v/>
      </c>
      <c r="BQ714">
        <f>SQRT(($R$1024-R714)^2)</f>
        <v/>
      </c>
      <c r="BR714" s="125" t="inlineStr">
        <is>
          <t>HY800X191</t>
        </is>
      </c>
      <c r="BW714">
        <f>SQRT(($J$1025-J714)^2)</f>
        <v/>
      </c>
      <c r="BX714">
        <f>SQRT(($R$1025-R714)^2)</f>
        <v/>
      </c>
      <c r="BY714" s="125" t="inlineStr">
        <is>
          <t>HY800X191</t>
        </is>
      </c>
      <c r="CD714">
        <f>SQRT(($J$1026-J714)^2)</f>
        <v/>
      </c>
      <c r="CE714">
        <f>SQRT(($R$1026-R714)^2)</f>
        <v/>
      </c>
      <c r="CF714" s="125" t="inlineStr">
        <is>
          <t>HY800X191</t>
        </is>
      </c>
    </row>
    <row r="715">
      <c r="A715" s="125" t="inlineStr">
        <is>
          <t>HY800X177</t>
        </is>
      </c>
      <c r="B715" s="129" t="inlineStr">
        <is>
          <t>HY</t>
        </is>
      </c>
      <c r="C715" s="125" t="n">
        <v>177</v>
      </c>
      <c r="D715" s="125" t="n">
        <v>800</v>
      </c>
      <c r="E715" s="125" t="n">
        <v>300</v>
      </c>
      <c r="F715" s="125" t="n">
        <v>22</v>
      </c>
      <c r="G715" s="125" t="n">
        <v>12</v>
      </c>
      <c r="H715" s="125" t="n">
        <v>18</v>
      </c>
      <c r="I715" s="125">
        <f>D715-(2*(H715+F715))</f>
        <v/>
      </c>
      <c r="J715" s="125">
        <f>(2*E715/10*F715/10)+((D715-F715-F715)/10*G715/10)+((H715/10+H715/10)^2)-(PI()*H715/10*H715/10)</f>
        <v/>
      </c>
      <c r="K715" s="125">
        <f>((E715-G715)/2)/F715</f>
        <v/>
      </c>
      <c r="L715" s="125">
        <f>I715/G715</f>
        <v/>
      </c>
      <c r="M715" s="125">
        <f>(E715*2+F715*4+((E715-G715)/2-H715)*4+2*PI()*H715+(D715-2*F715-2*H715)*2)/1000</f>
        <v/>
      </c>
      <c r="N715" s="5" t="n">
        <v>247000</v>
      </c>
      <c r="O715" s="5" t="n">
        <v>9910</v>
      </c>
      <c r="P715" s="125" t="n">
        <v>33.1</v>
      </c>
      <c r="Q715" s="125" t="n">
        <v>6.6</v>
      </c>
      <c r="R715" s="5" t="n">
        <v>6170</v>
      </c>
      <c r="S715" s="125" t="n">
        <v>661</v>
      </c>
      <c r="T715" s="5" t="n">
        <v>6950</v>
      </c>
      <c r="U715" s="5" t="n">
        <v>1020</v>
      </c>
      <c r="X715" s="129">
        <f t="array" ref="X715">_xlfn.IFS((D715/F715) &lt;= (640/SQRT($AT$32)), "Compact", L715 &lt;= ($AT$32*(0.79-(0.002*((E715-G715/2)/(2*F715))*SQRT($AT$32)))), "Non-Compact", L715 &gt; ($AT$32*(0.79-(0.002*((E715-G715/2)/(2*F715))*SQRT($AT$32)))), "Slender")</f>
        <v/>
      </c>
      <c r="Y715" s="129">
        <f t="array" ref="Y715">_xlfn.IFS(K715 &lt;= (65/SQRT($AT$32)), "Compact", K715 &lt;= (95/SQRT($AT$32)), "Non-Compact", K715 &gt; (95/SQRT($AT$32)), "Slender")</f>
        <v/>
      </c>
      <c r="Z715" s="125">
        <f>E715/F715</f>
        <v/>
      </c>
      <c r="AA715" s="125">
        <f>D715/G715</f>
        <v/>
      </c>
      <c r="AB715" s="125">
        <f t="array" ref="AB715">_xlfn.IFS(Z715 &lt;= 9, "1", Z715 &lt;= 12, "2", Z715 &lt;= 15, "3", Z715 &gt; 15, "4")</f>
        <v/>
      </c>
      <c r="AC715" s="125">
        <f t="array" ref="AC715">_xlfn.IFS(AA715 &lt;= 200, "1", L715 &lt;= 300, "2", L715 &lt;= 400, "3", L715 &gt; 400, "4")</f>
        <v/>
      </c>
      <c r="AF715" s="129">
        <f>SQRT((((VLOOKUP($AT$4,$A$4:$D$1021,4,FALSE))-D715)^2)+(((VLOOKUP($AT$4,$A$4:$E$1021,5,FALSE))-E715)^2)+(((VLOOKUP($AT$4,$A$4:$N$1021,14,FALSE))-N715)^2)+(((VLOOKUP($AT$4,$A$4:$O$1021,15,FALSE))-O715)^2))</f>
        <v/>
      </c>
      <c r="AG715" s="129" t="n"/>
      <c r="AI715" s="129">
        <f>SQRT((((VLOOKUP($AT$4,$A$4:$D$1021,4,FALSE))-D715)^2)+(((VLOOKUP($AT$4,$A$4:$E$1021,5,FALSE))-E715)^2)+(((VLOOKUP($AT$4,$A$4:$R$1021,18,FALSE))-R715)^2)+(((VLOOKUP($AT$4,$A$4:$S$1021,19,FALSE))-S715)^2))</f>
        <v/>
      </c>
      <c r="AJ715" s="125" t="inlineStr">
        <is>
          <t>HY800X177</t>
        </is>
      </c>
      <c r="AK715" s="125" t="n"/>
      <c r="AL715" s="125" t="n"/>
      <c r="AM715" s="125">
        <f>SQRT(((VLOOKUP($AT$4,$A$4:$J$1021,10,FALSE))-J715)^2)</f>
        <v/>
      </c>
      <c r="AN715" s="125" t="n"/>
      <c r="AO715" s="125" t="n"/>
      <c r="AP715" s="125">
        <f>SQRT(((VLOOKUP($AT$4,$A$4:$R$1021,18,FALSE))-R715)^2)</f>
        <v/>
      </c>
      <c r="AQ715" s="125" t="inlineStr">
        <is>
          <t>HY800X177</t>
        </is>
      </c>
      <c r="BB715" s="125">
        <f>SQRT(($J$1022-J715)^2)</f>
        <v/>
      </c>
      <c r="BC715" s="125">
        <f>SQRT(($R$1022-R715)^2)</f>
        <v/>
      </c>
      <c r="BD715" s="125" t="inlineStr">
        <is>
          <t>HY800X177</t>
        </is>
      </c>
      <c r="BI715">
        <f>SQRT(($J$1023-J715)^2)</f>
        <v/>
      </c>
      <c r="BJ715">
        <f>SQRT(($R$1023-R715)^2)</f>
        <v/>
      </c>
      <c r="BK715" s="125" t="inlineStr">
        <is>
          <t>HY800X177</t>
        </is>
      </c>
      <c r="BP715">
        <f>SQRT(($J$1024-J715)^2)</f>
        <v/>
      </c>
      <c r="BQ715">
        <f>SQRT(($R$1024-R715)^2)</f>
        <v/>
      </c>
      <c r="BR715" s="125" t="inlineStr">
        <is>
          <t>HY800X177</t>
        </is>
      </c>
      <c r="BW715">
        <f>SQRT(($J$1025-J715)^2)</f>
        <v/>
      </c>
      <c r="BX715">
        <f>SQRT(($R$1025-R715)^2)</f>
        <v/>
      </c>
      <c r="BY715" s="125" t="inlineStr">
        <is>
          <t>HY800X177</t>
        </is>
      </c>
      <c r="CD715">
        <f>SQRT(($J$1026-J715)^2)</f>
        <v/>
      </c>
      <c r="CE715">
        <f>SQRT(($R$1026-R715)^2)</f>
        <v/>
      </c>
      <c r="CF715" s="125" t="inlineStr">
        <is>
          <t>HY800X177</t>
        </is>
      </c>
    </row>
    <row r="716">
      <c r="A716" s="125" t="inlineStr">
        <is>
          <t>HY800X267</t>
        </is>
      </c>
      <c r="B716" s="129" t="inlineStr">
        <is>
          <t>HY</t>
        </is>
      </c>
      <c r="C716" s="125" t="n">
        <v>267</v>
      </c>
      <c r="D716" s="125" t="n">
        <v>800</v>
      </c>
      <c r="E716" s="125" t="n">
        <v>250</v>
      </c>
      <c r="F716" s="125" t="n">
        <v>40</v>
      </c>
      <c r="G716" s="125" t="n">
        <v>19</v>
      </c>
      <c r="H716" s="125" t="n">
        <v>18</v>
      </c>
      <c r="I716" s="125">
        <f>D716-(2*(H716+F716))</f>
        <v/>
      </c>
      <c r="J716" s="125">
        <f>(2*E716/10*F716/10)+((D716-F716-F716)/10*G716/10)+((H716/10+H716/10)^2)-(PI()*H716/10*H716/10)</f>
        <v/>
      </c>
      <c r="K716" s="125">
        <f>((E716-G716)/2)/F716</f>
        <v/>
      </c>
      <c r="L716" s="125">
        <f>I716/G716</f>
        <v/>
      </c>
      <c r="M716" s="125">
        <f>(E716*2+F716*4+((E716-G716)/2-H716)*4+2*PI()*H716+(D716-2*F716-2*H716)*2)/1000</f>
        <v/>
      </c>
      <c r="N716" s="5" t="n">
        <v>352000</v>
      </c>
      <c r="O716" s="5" t="n">
        <v>10500</v>
      </c>
      <c r="P716" s="125" t="n">
        <v>32.2</v>
      </c>
      <c r="Q716" s="125" t="n">
        <v>5.6</v>
      </c>
      <c r="R716" s="5" t="n">
        <v>8790</v>
      </c>
      <c r="S716" s="125" t="n">
        <v>837</v>
      </c>
      <c r="T716" s="5" t="n">
        <v>10200</v>
      </c>
      <c r="U716" s="5" t="n">
        <v>1320</v>
      </c>
      <c r="X716" s="129">
        <f t="array" ref="X716">_xlfn.IFS((D716/F716) &lt;= (640/SQRT($AT$32)), "Compact", L716 &lt;= ($AT$32*(0.79-(0.002*((E716-G716/2)/(2*F716))*SQRT($AT$32)))), "Non-Compact", L716 &gt; ($AT$32*(0.79-(0.002*((E716-G716/2)/(2*F716))*SQRT($AT$32)))), "Slender")</f>
        <v/>
      </c>
      <c r="Y716" s="129">
        <f t="array" ref="Y716">_xlfn.IFS(K716 &lt;= (65/SQRT($AT$32)), "Compact", K716 &lt;= (95/SQRT($AT$32)), "Non-Compact", K716 &gt; (95/SQRT($AT$32)), "Slender")</f>
        <v/>
      </c>
      <c r="Z716" s="125">
        <f>E716/F716</f>
        <v/>
      </c>
      <c r="AA716" s="125">
        <f>D716/G716</f>
        <v/>
      </c>
      <c r="AB716" s="125">
        <f t="array" ref="AB716">_xlfn.IFS(Z716 &lt;= 9, "1", Z716 &lt;= 12, "2", Z716 &lt;= 15, "3", Z716 &gt; 15, "4")</f>
        <v/>
      </c>
      <c r="AC716" s="125">
        <f t="array" ref="AC716">_xlfn.IFS(AA716 &lt;= 200, "1", L716 &lt;= 300, "2", L716 &lt;= 400, "3", L716 &gt; 400, "4")</f>
        <v/>
      </c>
      <c r="AF716" s="129">
        <f>SQRT((((VLOOKUP($AT$4,$A$4:$D$1021,4,FALSE))-D716)^2)+(((VLOOKUP($AT$4,$A$4:$E$1021,5,FALSE))-E716)^2)+(((VLOOKUP($AT$4,$A$4:$N$1021,14,FALSE))-N716)^2)+(((VLOOKUP($AT$4,$A$4:$O$1021,15,FALSE))-O716)^2))</f>
        <v/>
      </c>
      <c r="AG716" s="129" t="n"/>
      <c r="AI716" s="129">
        <f>SQRT((((VLOOKUP($AT$4,$A$4:$D$1021,4,FALSE))-D716)^2)+(((VLOOKUP($AT$4,$A$4:$E$1021,5,FALSE))-E716)^2)+(((VLOOKUP($AT$4,$A$4:$R$1021,18,FALSE))-R716)^2)+(((VLOOKUP($AT$4,$A$4:$S$1021,19,FALSE))-S716)^2))</f>
        <v/>
      </c>
      <c r="AJ716" s="125" t="inlineStr">
        <is>
          <t>HY800X267</t>
        </is>
      </c>
      <c r="AK716" s="125" t="n"/>
      <c r="AL716" s="125" t="n"/>
      <c r="AM716" s="125">
        <f>SQRT(((VLOOKUP($AT$4,$A$4:$J$1021,10,FALSE))-J716)^2)</f>
        <v/>
      </c>
      <c r="AN716" s="125" t="n"/>
      <c r="AO716" s="125" t="n"/>
      <c r="AP716" s="125">
        <f>SQRT(((VLOOKUP($AT$4,$A$4:$R$1021,18,FALSE))-R716)^2)</f>
        <v/>
      </c>
      <c r="AQ716" s="125" t="inlineStr">
        <is>
          <t>HY800X267</t>
        </is>
      </c>
      <c r="BB716" s="125">
        <f>SQRT(($J$1022-J716)^2)</f>
        <v/>
      </c>
      <c r="BC716" s="125">
        <f>SQRT(($R$1022-R716)^2)</f>
        <v/>
      </c>
      <c r="BD716" s="125" t="inlineStr">
        <is>
          <t>HY800X267</t>
        </is>
      </c>
      <c r="BI716">
        <f>SQRT(($J$1023-J716)^2)</f>
        <v/>
      </c>
      <c r="BJ716">
        <f>SQRT(($R$1023-R716)^2)</f>
        <v/>
      </c>
      <c r="BK716" s="125" t="inlineStr">
        <is>
          <t>HY800X267</t>
        </is>
      </c>
      <c r="BP716">
        <f>SQRT(($J$1024-J716)^2)</f>
        <v/>
      </c>
      <c r="BQ716">
        <f>SQRT(($R$1024-R716)^2)</f>
        <v/>
      </c>
      <c r="BR716" s="125" t="inlineStr">
        <is>
          <t>HY800X267</t>
        </is>
      </c>
      <c r="BW716">
        <f>SQRT(($J$1025-J716)^2)</f>
        <v/>
      </c>
      <c r="BX716">
        <f>SQRT(($R$1025-R716)^2)</f>
        <v/>
      </c>
      <c r="BY716" s="125" t="inlineStr">
        <is>
          <t>HY800X267</t>
        </is>
      </c>
      <c r="CD716">
        <f>SQRT(($J$1026-J716)^2)</f>
        <v/>
      </c>
      <c r="CE716">
        <f>SQRT(($R$1026-R716)^2)</f>
        <v/>
      </c>
      <c r="CF716" s="125" t="inlineStr">
        <is>
          <t>HY800X267</t>
        </is>
      </c>
    </row>
    <row r="717">
      <c r="A717" s="125" t="inlineStr">
        <is>
          <t>HY800X252</t>
        </is>
      </c>
      <c r="B717" s="129" t="inlineStr">
        <is>
          <t>HY</t>
        </is>
      </c>
      <c r="C717" s="125" t="n">
        <v>252</v>
      </c>
      <c r="D717" s="125" t="n">
        <v>800</v>
      </c>
      <c r="E717" s="125" t="n">
        <v>250</v>
      </c>
      <c r="F717" s="125" t="n">
        <v>36</v>
      </c>
      <c r="G717" s="125" t="n">
        <v>19</v>
      </c>
      <c r="H717" s="125" t="n">
        <v>18</v>
      </c>
      <c r="I717" s="125">
        <f>D717-(2*(H717+F717))</f>
        <v/>
      </c>
      <c r="J717" s="125">
        <f>(2*E717/10*F717/10)+((D717-F717-F717)/10*G717/10)+((H717/10+H717/10)^2)-(PI()*H717/10*H717/10)</f>
        <v/>
      </c>
      <c r="K717" s="125">
        <f>((E717-G717)/2)/F717</f>
        <v/>
      </c>
      <c r="L717" s="125">
        <f>I717/G717</f>
        <v/>
      </c>
      <c r="M717" s="125">
        <f>(E717*2+F717*4+((E717-G717)/2-H717)*4+2*PI()*H717+(D717-2*F717-2*H717)*2)/1000</f>
        <v/>
      </c>
      <c r="N717" s="5" t="n">
        <v>328000</v>
      </c>
      <c r="O717" s="5" t="n">
        <v>9420</v>
      </c>
      <c r="P717" s="125" t="n">
        <v>31.9</v>
      </c>
      <c r="Q717" s="125" t="n">
        <v>5.4</v>
      </c>
      <c r="R717" s="5" t="n">
        <v>8190</v>
      </c>
      <c r="S717" s="125" t="n">
        <v>754</v>
      </c>
      <c r="T717" s="5" t="n">
        <v>9490</v>
      </c>
      <c r="U717" s="5" t="n">
        <v>1190</v>
      </c>
      <c r="X717" s="129">
        <f t="array" ref="X717">_xlfn.IFS((D717/F717) &lt;= (640/SQRT($AT$32)), "Compact", L717 &lt;= ($AT$32*(0.79-(0.002*((E717-G717/2)/(2*F717))*SQRT($AT$32)))), "Non-Compact", L717 &gt; ($AT$32*(0.79-(0.002*((E717-G717/2)/(2*F717))*SQRT($AT$32)))), "Slender")</f>
        <v/>
      </c>
      <c r="Y717" s="129">
        <f t="array" ref="Y717">_xlfn.IFS(K717 &lt;= (65/SQRT($AT$32)), "Compact", K717 &lt;= (95/SQRT($AT$32)), "Non-Compact", K717 &gt; (95/SQRT($AT$32)), "Slender")</f>
        <v/>
      </c>
      <c r="Z717" s="125">
        <f>E717/F717</f>
        <v/>
      </c>
      <c r="AA717" s="125">
        <f>D717/G717</f>
        <v/>
      </c>
      <c r="AB717" s="125">
        <f t="array" ref="AB717">_xlfn.IFS(Z717 &lt;= 9, "1", Z717 &lt;= 12, "2", Z717 &lt;= 15, "3", Z717 &gt; 15, "4")</f>
        <v/>
      </c>
      <c r="AC717" s="125">
        <f t="array" ref="AC717">_xlfn.IFS(AA717 &lt;= 200, "1", L717 &lt;= 300, "2", L717 &lt;= 400, "3", L717 &gt; 400, "4")</f>
        <v/>
      </c>
      <c r="AF717" s="129">
        <f>SQRT((((VLOOKUP($AT$4,$A$4:$D$1021,4,FALSE))-D717)^2)+(((VLOOKUP($AT$4,$A$4:$E$1021,5,FALSE))-E717)^2)+(((VLOOKUP($AT$4,$A$4:$N$1021,14,FALSE))-N717)^2)+(((VLOOKUP($AT$4,$A$4:$O$1021,15,FALSE))-O717)^2))</f>
        <v/>
      </c>
      <c r="AG717" s="129" t="n"/>
      <c r="AI717" s="129">
        <f>SQRT((((VLOOKUP($AT$4,$A$4:$D$1021,4,FALSE))-D717)^2)+(((VLOOKUP($AT$4,$A$4:$E$1021,5,FALSE))-E717)^2)+(((VLOOKUP($AT$4,$A$4:$R$1021,18,FALSE))-R717)^2)+(((VLOOKUP($AT$4,$A$4:$S$1021,19,FALSE))-S717)^2))</f>
        <v/>
      </c>
      <c r="AJ717" s="125" t="inlineStr">
        <is>
          <t>HY800X252</t>
        </is>
      </c>
      <c r="AK717" s="125" t="n"/>
      <c r="AL717" s="125" t="n"/>
      <c r="AM717" s="125">
        <f>SQRT(((VLOOKUP($AT$4,$A$4:$J$1021,10,FALSE))-J717)^2)</f>
        <v/>
      </c>
      <c r="AN717" s="125" t="n"/>
      <c r="AO717" s="125" t="n"/>
      <c r="AP717" s="125">
        <f>SQRT(((VLOOKUP($AT$4,$A$4:$R$1021,18,FALSE))-R717)^2)</f>
        <v/>
      </c>
      <c r="AQ717" s="125" t="inlineStr">
        <is>
          <t>HY800X252</t>
        </is>
      </c>
      <c r="BB717" s="125">
        <f>SQRT(($J$1022-J717)^2)</f>
        <v/>
      </c>
      <c r="BC717" s="125">
        <f>SQRT(($R$1022-R717)^2)</f>
        <v/>
      </c>
      <c r="BD717" s="125" t="inlineStr">
        <is>
          <t>HY800X252</t>
        </is>
      </c>
      <c r="BI717">
        <f>SQRT(($J$1023-J717)^2)</f>
        <v/>
      </c>
      <c r="BJ717">
        <f>SQRT(($R$1023-R717)^2)</f>
        <v/>
      </c>
      <c r="BK717" s="125" t="inlineStr">
        <is>
          <t>HY800X252</t>
        </is>
      </c>
      <c r="BP717">
        <f>SQRT(($J$1024-J717)^2)</f>
        <v/>
      </c>
      <c r="BQ717">
        <f>SQRT(($R$1024-R717)^2)</f>
        <v/>
      </c>
      <c r="BR717" s="125" t="inlineStr">
        <is>
          <t>HY800X252</t>
        </is>
      </c>
      <c r="BW717">
        <f>SQRT(($J$1025-J717)^2)</f>
        <v/>
      </c>
      <c r="BX717">
        <f>SQRT(($R$1025-R717)^2)</f>
        <v/>
      </c>
      <c r="BY717" s="125" t="inlineStr">
        <is>
          <t>HY800X252</t>
        </is>
      </c>
      <c r="CD717">
        <f>SQRT(($J$1026-J717)^2)</f>
        <v/>
      </c>
      <c r="CE717">
        <f>SQRT(($R$1026-R717)^2)</f>
        <v/>
      </c>
      <c r="CF717" s="125" t="inlineStr">
        <is>
          <t>HY800X252</t>
        </is>
      </c>
    </row>
    <row r="718">
      <c r="A718" s="125" t="inlineStr">
        <is>
          <t>HY800X238</t>
        </is>
      </c>
      <c r="B718" s="129" t="inlineStr">
        <is>
          <t>HY</t>
        </is>
      </c>
      <c r="C718" s="125" t="n">
        <v>238</v>
      </c>
      <c r="D718" s="125" t="n">
        <v>800</v>
      </c>
      <c r="E718" s="125" t="n">
        <v>250</v>
      </c>
      <c r="F718" s="125" t="n">
        <v>32</v>
      </c>
      <c r="G718" s="125" t="n">
        <v>19</v>
      </c>
      <c r="H718" s="125" t="n">
        <v>18</v>
      </c>
      <c r="I718" s="125">
        <f>D718-(2*(H718+F718))</f>
        <v/>
      </c>
      <c r="J718" s="125">
        <f>(2*E718/10*F718/10)+((D718-F718-F718)/10*G718/10)+((H718/10+H718/10)^2)-(PI()*H718/10*H718/10)</f>
        <v/>
      </c>
      <c r="K718" s="125">
        <f>((E718-G718)/2)/F718</f>
        <v/>
      </c>
      <c r="L718" s="125">
        <f>I718/G718</f>
        <v/>
      </c>
      <c r="M718" s="125">
        <f>(E718*2+F718*4+((E718-G718)/2-H718)*4+2*PI()*H718+(D718-2*F718-2*H718)*2)/1000</f>
        <v/>
      </c>
      <c r="N718" s="5" t="n">
        <v>303000</v>
      </c>
      <c r="O718" s="5" t="n">
        <v>8380</v>
      </c>
      <c r="P718" s="125" t="n">
        <v>31.6</v>
      </c>
      <c r="Q718" s="125" t="n">
        <v>5.3</v>
      </c>
      <c r="R718" s="5" t="n">
        <v>7570</v>
      </c>
      <c r="S718" s="125" t="n">
        <v>670</v>
      </c>
      <c r="T718" s="5" t="n">
        <v>8820</v>
      </c>
      <c r="U718" s="5" t="n">
        <v>1070</v>
      </c>
      <c r="X718" s="129">
        <f t="array" ref="X718">_xlfn.IFS((D718/F718) &lt;= (640/SQRT($AT$32)), "Compact", L718 &lt;= ($AT$32*(0.79-(0.002*((E718-G718/2)/(2*F718))*SQRT($AT$32)))), "Non-Compact", L718 &gt; ($AT$32*(0.79-(0.002*((E718-G718/2)/(2*F718))*SQRT($AT$32)))), "Slender")</f>
        <v/>
      </c>
      <c r="Y718" s="129">
        <f t="array" ref="Y718">_xlfn.IFS(K718 &lt;= (65/SQRT($AT$32)), "Compact", K718 &lt;= (95/SQRT($AT$32)), "Non-Compact", K718 &gt; (95/SQRT($AT$32)), "Slender")</f>
        <v/>
      </c>
      <c r="Z718" s="125">
        <f>E718/F718</f>
        <v/>
      </c>
      <c r="AA718" s="125">
        <f>D718/G718</f>
        <v/>
      </c>
      <c r="AB718" s="125">
        <f t="array" ref="AB718">_xlfn.IFS(Z718 &lt;= 9, "1", Z718 &lt;= 12, "2", Z718 &lt;= 15, "3", Z718 &gt; 15, "4")</f>
        <v/>
      </c>
      <c r="AC718" s="125">
        <f t="array" ref="AC718">_xlfn.IFS(AA718 &lt;= 200, "1", L718 &lt;= 300, "2", L718 &lt;= 400, "3", L718 &gt; 400, "4")</f>
        <v/>
      </c>
      <c r="AF718" s="129">
        <f>SQRT((((VLOOKUP($AT$4,$A$4:$D$1021,4,FALSE))-D718)^2)+(((VLOOKUP($AT$4,$A$4:$E$1021,5,FALSE))-E718)^2)+(((VLOOKUP($AT$4,$A$4:$N$1021,14,FALSE))-N718)^2)+(((VLOOKUP($AT$4,$A$4:$O$1021,15,FALSE))-O718)^2))</f>
        <v/>
      </c>
      <c r="AG718" s="129" t="n"/>
      <c r="AI718" s="129">
        <f>SQRT((((VLOOKUP($AT$4,$A$4:$D$1021,4,FALSE))-D718)^2)+(((VLOOKUP($AT$4,$A$4:$E$1021,5,FALSE))-E718)^2)+(((VLOOKUP($AT$4,$A$4:$R$1021,18,FALSE))-R718)^2)+(((VLOOKUP($AT$4,$A$4:$S$1021,19,FALSE))-S718)^2))</f>
        <v/>
      </c>
      <c r="AJ718" s="125" t="inlineStr">
        <is>
          <t>HY800X238</t>
        </is>
      </c>
      <c r="AK718" s="125" t="n"/>
      <c r="AL718" s="125" t="n"/>
      <c r="AM718" s="125">
        <f>SQRT(((VLOOKUP($AT$4,$A$4:$J$1021,10,FALSE))-J718)^2)</f>
        <v/>
      </c>
      <c r="AN718" s="125" t="n"/>
      <c r="AO718" s="125" t="n"/>
      <c r="AP718" s="125">
        <f>SQRT(((VLOOKUP($AT$4,$A$4:$R$1021,18,FALSE))-R718)^2)</f>
        <v/>
      </c>
      <c r="AQ718" s="125" t="inlineStr">
        <is>
          <t>HY800X238</t>
        </is>
      </c>
      <c r="BB718" s="125">
        <f>SQRT(($J$1022-J718)^2)</f>
        <v/>
      </c>
      <c r="BC718" s="125">
        <f>SQRT(($R$1022-R718)^2)</f>
        <v/>
      </c>
      <c r="BD718" s="125" t="inlineStr">
        <is>
          <t>HY800X238</t>
        </is>
      </c>
      <c r="BI718">
        <f>SQRT(($J$1023-J718)^2)</f>
        <v/>
      </c>
      <c r="BJ718">
        <f>SQRT(($R$1023-R718)^2)</f>
        <v/>
      </c>
      <c r="BK718" s="125" t="inlineStr">
        <is>
          <t>HY800X238</t>
        </is>
      </c>
      <c r="BP718">
        <f>SQRT(($J$1024-J718)^2)</f>
        <v/>
      </c>
      <c r="BQ718">
        <f>SQRT(($R$1024-R718)^2)</f>
        <v/>
      </c>
      <c r="BR718" s="125" t="inlineStr">
        <is>
          <t>HY800X238</t>
        </is>
      </c>
      <c r="BW718">
        <f>SQRT(($J$1025-J718)^2)</f>
        <v/>
      </c>
      <c r="BX718">
        <f>SQRT(($R$1025-R718)^2)</f>
        <v/>
      </c>
      <c r="BY718" s="125" t="inlineStr">
        <is>
          <t>HY800X238</t>
        </is>
      </c>
      <c r="CD718">
        <f>SQRT(($J$1026-J718)^2)</f>
        <v/>
      </c>
      <c r="CE718">
        <f>SQRT(($R$1026-R718)^2)</f>
        <v/>
      </c>
      <c r="CF718" s="125" t="inlineStr">
        <is>
          <t>HY800X238</t>
        </is>
      </c>
    </row>
    <row r="719">
      <c r="A719" s="125" t="inlineStr">
        <is>
          <t>HY800X223</t>
        </is>
      </c>
      <c r="B719" s="129" t="inlineStr">
        <is>
          <t>HY</t>
        </is>
      </c>
      <c r="C719" s="125" t="n">
        <v>223</v>
      </c>
      <c r="D719" s="125" t="n">
        <v>800</v>
      </c>
      <c r="E719" s="125" t="n">
        <v>250</v>
      </c>
      <c r="F719" s="125" t="n">
        <v>28</v>
      </c>
      <c r="G719" s="125" t="n">
        <v>19</v>
      </c>
      <c r="H719" s="125" t="n">
        <v>18</v>
      </c>
      <c r="I719" s="125">
        <f>D719-(2*(H719+F719))</f>
        <v/>
      </c>
      <c r="J719" s="125">
        <f>(2*E719/10*F719/10)+((D719-F719-F719)/10*G719/10)+((H719/10+H719/10)^2)-(PI()*H719/10*H719/10)</f>
        <v/>
      </c>
      <c r="K719" s="125">
        <f>((E719-G719)/2)/F719</f>
        <v/>
      </c>
      <c r="L719" s="125">
        <f>I719/G719</f>
        <v/>
      </c>
      <c r="M719" s="125">
        <f>(E719*2+F719*4+((E719-G719)/2-H719)*4+2*PI()*H719+(D719-2*F719-2*H719)*2)/1000</f>
        <v/>
      </c>
      <c r="N719" s="5" t="n">
        <v>278000</v>
      </c>
      <c r="O719" s="5" t="n">
        <v>7340</v>
      </c>
      <c r="P719" s="125" t="n">
        <v>31.3</v>
      </c>
      <c r="Q719" s="125" t="n">
        <v>5.1</v>
      </c>
      <c r="R719" s="5" t="n">
        <v>6940</v>
      </c>
      <c r="S719" s="125" t="n">
        <v>587</v>
      </c>
      <c r="T719" s="5" t="n">
        <v>8140</v>
      </c>
      <c r="U719" s="125" t="n">
        <v>946</v>
      </c>
      <c r="X719" s="129">
        <f t="array" ref="X719">_xlfn.IFS((D719/F719) &lt;= (640/SQRT($AT$32)), "Compact", L719 &lt;= ($AT$32*(0.79-(0.002*((E719-G719/2)/(2*F719))*SQRT($AT$32)))), "Non-Compact", L719 &gt; ($AT$32*(0.79-(0.002*((E719-G719/2)/(2*F719))*SQRT($AT$32)))), "Slender")</f>
        <v/>
      </c>
      <c r="Y719" s="129">
        <f t="array" ref="Y719">_xlfn.IFS(K719 &lt;= (65/SQRT($AT$32)), "Compact", K719 &lt;= (95/SQRT($AT$32)), "Non-Compact", K719 &gt; (95/SQRT($AT$32)), "Slender")</f>
        <v/>
      </c>
      <c r="Z719" s="125">
        <f>E719/F719</f>
        <v/>
      </c>
      <c r="AA719" s="125">
        <f>D719/G719</f>
        <v/>
      </c>
      <c r="AB719" s="125">
        <f t="array" ref="AB719">_xlfn.IFS(Z719 &lt;= 9, "1", Z719 &lt;= 12, "2", Z719 &lt;= 15, "3", Z719 &gt; 15, "4")</f>
        <v/>
      </c>
      <c r="AC719" s="125">
        <f t="array" ref="AC719">_xlfn.IFS(AA719 &lt;= 200, "1", L719 &lt;= 300, "2", L719 &lt;= 400, "3", L719 &gt; 400, "4")</f>
        <v/>
      </c>
      <c r="AF719" s="129">
        <f>SQRT((((VLOOKUP($AT$4,$A$4:$D$1021,4,FALSE))-D719)^2)+(((VLOOKUP($AT$4,$A$4:$E$1021,5,FALSE))-E719)^2)+(((VLOOKUP($AT$4,$A$4:$N$1021,14,FALSE))-N719)^2)+(((VLOOKUP($AT$4,$A$4:$O$1021,15,FALSE))-O719)^2))</f>
        <v/>
      </c>
      <c r="AG719" s="129" t="n"/>
      <c r="AI719" s="129">
        <f>SQRT((((VLOOKUP($AT$4,$A$4:$D$1021,4,FALSE))-D719)^2)+(((VLOOKUP($AT$4,$A$4:$E$1021,5,FALSE))-E719)^2)+(((VLOOKUP($AT$4,$A$4:$R$1021,18,FALSE))-R719)^2)+(((VLOOKUP($AT$4,$A$4:$S$1021,19,FALSE))-S719)^2))</f>
        <v/>
      </c>
      <c r="AJ719" s="125" t="inlineStr">
        <is>
          <t>HY800X223</t>
        </is>
      </c>
      <c r="AK719" s="125" t="n"/>
      <c r="AL719" s="125" t="n"/>
      <c r="AM719" s="125">
        <f>SQRT(((VLOOKUP($AT$4,$A$4:$J$1021,10,FALSE))-J719)^2)</f>
        <v/>
      </c>
      <c r="AN719" s="125" t="n"/>
      <c r="AO719" s="125" t="n"/>
      <c r="AP719" s="125">
        <f>SQRT(((VLOOKUP($AT$4,$A$4:$R$1021,18,FALSE))-R719)^2)</f>
        <v/>
      </c>
      <c r="AQ719" s="125" t="inlineStr">
        <is>
          <t>HY800X223</t>
        </is>
      </c>
      <c r="BB719" s="125">
        <f>SQRT(($J$1022-J719)^2)</f>
        <v/>
      </c>
      <c r="BC719" s="125">
        <f>SQRT(($R$1022-R719)^2)</f>
        <v/>
      </c>
      <c r="BD719" s="125" t="inlineStr">
        <is>
          <t>HY800X223</t>
        </is>
      </c>
      <c r="BI719">
        <f>SQRT(($J$1023-J719)^2)</f>
        <v/>
      </c>
      <c r="BJ719">
        <f>SQRT(($R$1023-R719)^2)</f>
        <v/>
      </c>
      <c r="BK719" s="125" t="inlineStr">
        <is>
          <t>HY800X223</t>
        </is>
      </c>
      <c r="BP719">
        <f>SQRT(($J$1024-J719)^2)</f>
        <v/>
      </c>
      <c r="BQ719">
        <f>SQRT(($R$1024-R719)^2)</f>
        <v/>
      </c>
      <c r="BR719" s="125" t="inlineStr">
        <is>
          <t>HY800X223</t>
        </is>
      </c>
      <c r="BW719">
        <f>SQRT(($J$1025-J719)^2)</f>
        <v/>
      </c>
      <c r="BX719">
        <f>SQRT(($R$1025-R719)^2)</f>
        <v/>
      </c>
      <c r="BY719" s="125" t="inlineStr">
        <is>
          <t>HY800X223</t>
        </is>
      </c>
      <c r="CD719">
        <f>SQRT(($J$1026-J719)^2)</f>
        <v/>
      </c>
      <c r="CE719">
        <f>SQRT(($R$1026-R719)^2)</f>
        <v/>
      </c>
      <c r="CF719" s="125" t="inlineStr">
        <is>
          <t>HY800X223</t>
        </is>
      </c>
    </row>
    <row r="720">
      <c r="A720" s="125" t="inlineStr">
        <is>
          <t>HY800X212</t>
        </is>
      </c>
      <c r="B720" s="129" t="inlineStr">
        <is>
          <t>HY</t>
        </is>
      </c>
      <c r="C720" s="125" t="n">
        <v>212</v>
      </c>
      <c r="D720" s="125" t="n">
        <v>800</v>
      </c>
      <c r="E720" s="125" t="n">
        <v>250</v>
      </c>
      <c r="F720" s="125" t="n">
        <v>25</v>
      </c>
      <c r="G720" s="125" t="n">
        <v>19</v>
      </c>
      <c r="H720" s="125" t="n">
        <v>18</v>
      </c>
      <c r="I720" s="125">
        <f>D720-(2*(H720+F720))</f>
        <v/>
      </c>
      <c r="J720" s="125">
        <f>(2*E720/10*F720/10)+((D720-F720-F720)/10*G720/10)+((H720/10+H720/10)^2)-(PI()*H720/10*H720/10)</f>
        <v/>
      </c>
      <c r="K720" s="125">
        <f>((E720-G720)/2)/F720</f>
        <v/>
      </c>
      <c r="L720" s="125">
        <f>I720/G720</f>
        <v/>
      </c>
      <c r="M720" s="125">
        <f>(E720*2+F720*4+((E720-G720)/2-H720)*4+2*PI()*H720+(D720-2*F720-2*H720)*2)/1000</f>
        <v/>
      </c>
      <c r="N720" s="5" t="n">
        <v>258000</v>
      </c>
      <c r="O720" s="5" t="n">
        <v>6560</v>
      </c>
      <c r="P720" s="125" t="n">
        <v>30.9</v>
      </c>
      <c r="Q720" s="125" t="n">
        <v>4.9</v>
      </c>
      <c r="R720" s="5" t="n">
        <v>6460</v>
      </c>
      <c r="S720" s="125" t="n">
        <v>525</v>
      </c>
      <c r="T720" s="5" t="n">
        <v>7620</v>
      </c>
      <c r="U720" s="125" t="n">
        <v>853</v>
      </c>
      <c r="X720" s="129">
        <f t="array" ref="X720">_xlfn.IFS((D720/F720) &lt;= (640/SQRT($AT$32)), "Compact", L720 &lt;= ($AT$32*(0.79-(0.002*((E720-G720/2)/(2*F720))*SQRT($AT$32)))), "Non-Compact", L720 &gt; ($AT$32*(0.79-(0.002*((E720-G720/2)/(2*F720))*SQRT($AT$32)))), "Slender")</f>
        <v/>
      </c>
      <c r="Y720" s="129">
        <f t="array" ref="Y720">_xlfn.IFS(K720 &lt;= (65/SQRT($AT$32)), "Compact", K720 &lt;= (95/SQRT($AT$32)), "Non-Compact", K720 &gt; (95/SQRT($AT$32)), "Slender")</f>
        <v/>
      </c>
      <c r="Z720" s="125">
        <f>E720/F720</f>
        <v/>
      </c>
      <c r="AA720" s="125">
        <f>D720/G720</f>
        <v/>
      </c>
      <c r="AB720" s="125">
        <f t="array" ref="AB720">_xlfn.IFS(Z720 &lt;= 9, "1", Z720 &lt;= 12, "2", Z720 &lt;= 15, "3", Z720 &gt; 15, "4")</f>
        <v/>
      </c>
      <c r="AC720" s="125">
        <f t="array" ref="AC720">_xlfn.IFS(AA720 &lt;= 200, "1", L720 &lt;= 300, "2", L720 &lt;= 400, "3", L720 &gt; 400, "4")</f>
        <v/>
      </c>
      <c r="AF720" s="129">
        <f>SQRT((((VLOOKUP($AT$4,$A$4:$D$1021,4,FALSE))-D720)^2)+(((VLOOKUP($AT$4,$A$4:$E$1021,5,FALSE))-E720)^2)+(((VLOOKUP($AT$4,$A$4:$N$1021,14,FALSE))-N720)^2)+(((VLOOKUP($AT$4,$A$4:$O$1021,15,FALSE))-O720)^2))</f>
        <v/>
      </c>
      <c r="AG720" s="129" t="n"/>
      <c r="AI720" s="129">
        <f>SQRT((((VLOOKUP($AT$4,$A$4:$D$1021,4,FALSE))-D720)^2)+(((VLOOKUP($AT$4,$A$4:$E$1021,5,FALSE))-E720)^2)+(((VLOOKUP($AT$4,$A$4:$R$1021,18,FALSE))-R720)^2)+(((VLOOKUP($AT$4,$A$4:$S$1021,19,FALSE))-S720)^2))</f>
        <v/>
      </c>
      <c r="AJ720" s="125" t="inlineStr">
        <is>
          <t>HY800X212</t>
        </is>
      </c>
      <c r="AK720" s="125" t="n"/>
      <c r="AL720" s="125" t="n"/>
      <c r="AM720" s="125">
        <f>SQRT(((VLOOKUP($AT$4,$A$4:$J$1021,10,FALSE))-J720)^2)</f>
        <v/>
      </c>
      <c r="AN720" s="125" t="n"/>
      <c r="AO720" s="125" t="n"/>
      <c r="AP720" s="125">
        <f>SQRT(((VLOOKUP($AT$4,$A$4:$R$1021,18,FALSE))-R720)^2)</f>
        <v/>
      </c>
      <c r="AQ720" s="125" t="inlineStr">
        <is>
          <t>HY800X212</t>
        </is>
      </c>
      <c r="BB720" s="125">
        <f>SQRT(($J$1022-J720)^2)</f>
        <v/>
      </c>
      <c r="BC720" s="125">
        <f>SQRT(($R$1022-R720)^2)</f>
        <v/>
      </c>
      <c r="BD720" s="125" t="inlineStr">
        <is>
          <t>HY800X212</t>
        </is>
      </c>
      <c r="BI720">
        <f>SQRT(($J$1023-J720)^2)</f>
        <v/>
      </c>
      <c r="BJ720">
        <f>SQRT(($R$1023-R720)^2)</f>
        <v/>
      </c>
      <c r="BK720" s="125" t="inlineStr">
        <is>
          <t>HY800X212</t>
        </is>
      </c>
      <c r="BP720">
        <f>SQRT(($J$1024-J720)^2)</f>
        <v/>
      </c>
      <c r="BQ720">
        <f>SQRT(($R$1024-R720)^2)</f>
        <v/>
      </c>
      <c r="BR720" s="125" t="inlineStr">
        <is>
          <t>HY800X212</t>
        </is>
      </c>
      <c r="BW720">
        <f>SQRT(($J$1025-J720)^2)</f>
        <v/>
      </c>
      <c r="BX720">
        <f>SQRT(($R$1025-R720)^2)</f>
        <v/>
      </c>
      <c r="BY720" s="125" t="inlineStr">
        <is>
          <t>HY800X212</t>
        </is>
      </c>
      <c r="CD720">
        <f>SQRT(($J$1026-J720)^2)</f>
        <v/>
      </c>
      <c r="CE720">
        <f>SQRT(($R$1026-R720)^2)</f>
        <v/>
      </c>
      <c r="CF720" s="125" t="inlineStr">
        <is>
          <t>HY800X212</t>
        </is>
      </c>
    </row>
    <row r="721">
      <c r="A721" s="125" t="inlineStr">
        <is>
          <t>HY800X201</t>
        </is>
      </c>
      <c r="B721" s="129" t="inlineStr">
        <is>
          <t>HY</t>
        </is>
      </c>
      <c r="C721" s="125" t="n">
        <v>201</v>
      </c>
      <c r="D721" s="125" t="n">
        <v>800</v>
      </c>
      <c r="E721" s="125" t="n">
        <v>250</v>
      </c>
      <c r="F721" s="125" t="n">
        <v>22</v>
      </c>
      <c r="G721" s="125" t="n">
        <v>19</v>
      </c>
      <c r="H721" s="125" t="n">
        <v>18</v>
      </c>
      <c r="I721" s="125">
        <f>D721-(2*(H721+F721))</f>
        <v/>
      </c>
      <c r="J721" s="125">
        <f>(2*E721/10*F721/10)+((D721-F721-F721)/10*G721/10)+((H721/10+H721/10)^2)-(PI()*H721/10*H721/10)</f>
        <v/>
      </c>
      <c r="K721" s="125">
        <f>((E721-G721)/2)/F721</f>
        <v/>
      </c>
      <c r="L721" s="125">
        <f>I721/G721</f>
        <v/>
      </c>
      <c r="M721" s="125">
        <f>(E721*2+F721*4+((E721-G721)/2-H721)*4+2*PI()*H721+(D721-2*F721-2*H721)*2)/1000</f>
        <v/>
      </c>
      <c r="N721" s="5" t="n">
        <v>239000</v>
      </c>
      <c r="O721" s="5" t="n">
        <v>5780</v>
      </c>
      <c r="P721" s="125" t="n">
        <v>30.5</v>
      </c>
      <c r="Q721" s="125" t="n">
        <v>4.8</v>
      </c>
      <c r="R721" s="5" t="n">
        <v>5970</v>
      </c>
      <c r="S721" s="125" t="n">
        <v>462</v>
      </c>
      <c r="T721" s="5" t="n">
        <v>7100</v>
      </c>
      <c r="U721" s="125" t="n">
        <v>759</v>
      </c>
      <c r="X721" s="129">
        <f t="array" ref="X721">_xlfn.IFS((D721/F721) &lt;= (640/SQRT($AT$32)), "Compact", L721 &lt;= ($AT$32*(0.79-(0.002*((E721-G721/2)/(2*F721))*SQRT($AT$32)))), "Non-Compact", L721 &gt; ($AT$32*(0.79-(0.002*((E721-G721/2)/(2*F721))*SQRT($AT$32)))), "Slender")</f>
        <v/>
      </c>
      <c r="Y721" s="129">
        <f t="array" ref="Y721">_xlfn.IFS(K721 &lt;= (65/SQRT($AT$32)), "Compact", K721 &lt;= (95/SQRT($AT$32)), "Non-Compact", K721 &gt; (95/SQRT($AT$32)), "Slender")</f>
        <v/>
      </c>
      <c r="Z721" s="125">
        <f>E721/F721</f>
        <v/>
      </c>
      <c r="AA721" s="125">
        <f>D721/G721</f>
        <v/>
      </c>
      <c r="AB721" s="125">
        <f t="array" ref="AB721">_xlfn.IFS(Z721 &lt;= 9, "1", Z721 &lt;= 12, "2", Z721 &lt;= 15, "3", Z721 &gt; 15, "4")</f>
        <v/>
      </c>
      <c r="AC721" s="125">
        <f t="array" ref="AC721">_xlfn.IFS(AA721 &lt;= 200, "1", L721 &lt;= 300, "2", L721 &lt;= 400, "3", L721 &gt; 400, "4")</f>
        <v/>
      </c>
      <c r="AF721" s="129">
        <f>SQRT((((VLOOKUP($AT$4,$A$4:$D$1021,4,FALSE))-D721)^2)+(((VLOOKUP($AT$4,$A$4:$E$1021,5,FALSE))-E721)^2)+(((VLOOKUP($AT$4,$A$4:$N$1021,14,FALSE))-N721)^2)+(((VLOOKUP($AT$4,$A$4:$O$1021,15,FALSE))-O721)^2))</f>
        <v/>
      </c>
      <c r="AG721" s="129" t="n"/>
      <c r="AI721" s="129">
        <f>SQRT((((VLOOKUP($AT$4,$A$4:$D$1021,4,FALSE))-D721)^2)+(((VLOOKUP($AT$4,$A$4:$E$1021,5,FALSE))-E721)^2)+(((VLOOKUP($AT$4,$A$4:$R$1021,18,FALSE))-R721)^2)+(((VLOOKUP($AT$4,$A$4:$S$1021,19,FALSE))-S721)^2))</f>
        <v/>
      </c>
      <c r="AJ721" s="125" t="inlineStr">
        <is>
          <t>HY800X201</t>
        </is>
      </c>
      <c r="AK721" s="125" t="n"/>
      <c r="AL721" s="125" t="n"/>
      <c r="AM721" s="125">
        <f>SQRT(((VLOOKUP($AT$4,$A$4:$J$1021,10,FALSE))-J721)^2)</f>
        <v/>
      </c>
      <c r="AN721" s="125" t="n"/>
      <c r="AO721" s="125" t="n"/>
      <c r="AP721" s="125">
        <f>SQRT(((VLOOKUP($AT$4,$A$4:$R$1021,18,FALSE))-R721)^2)</f>
        <v/>
      </c>
      <c r="AQ721" s="125" t="inlineStr">
        <is>
          <t>HY800X201</t>
        </is>
      </c>
      <c r="BB721" s="125">
        <f>SQRT(($J$1022-J721)^2)</f>
        <v/>
      </c>
      <c r="BC721" s="125">
        <f>SQRT(($R$1022-R721)^2)</f>
        <v/>
      </c>
      <c r="BD721" s="125" t="inlineStr">
        <is>
          <t>HY800X201</t>
        </is>
      </c>
      <c r="BI721">
        <f>SQRT(($J$1023-J721)^2)</f>
        <v/>
      </c>
      <c r="BJ721">
        <f>SQRT(($R$1023-R721)^2)</f>
        <v/>
      </c>
      <c r="BK721" s="125" t="inlineStr">
        <is>
          <t>HY800X201</t>
        </is>
      </c>
      <c r="BP721">
        <f>SQRT(($J$1024-J721)^2)</f>
        <v/>
      </c>
      <c r="BQ721">
        <f>SQRT(($R$1024-R721)^2)</f>
        <v/>
      </c>
      <c r="BR721" s="125" t="inlineStr">
        <is>
          <t>HY800X201</t>
        </is>
      </c>
      <c r="BW721">
        <f>SQRT(($J$1025-J721)^2)</f>
        <v/>
      </c>
      <c r="BX721">
        <f>SQRT(($R$1025-R721)^2)</f>
        <v/>
      </c>
      <c r="BY721" s="125" t="inlineStr">
        <is>
          <t>HY800X201</t>
        </is>
      </c>
      <c r="CD721">
        <f>SQRT(($J$1026-J721)^2)</f>
        <v/>
      </c>
      <c r="CE721">
        <f>SQRT(($R$1026-R721)^2)</f>
        <v/>
      </c>
      <c r="CF721" s="125" t="inlineStr">
        <is>
          <t>HY800X201</t>
        </is>
      </c>
    </row>
    <row r="722">
      <c r="A722" s="125" t="inlineStr">
        <is>
          <t>HY800X220</t>
        </is>
      </c>
      <c r="B722" s="129" t="inlineStr">
        <is>
          <t>HY</t>
        </is>
      </c>
      <c r="C722" s="125" t="n">
        <v>220</v>
      </c>
      <c r="D722" s="125" t="n">
        <v>800</v>
      </c>
      <c r="E722" s="125" t="n">
        <v>250</v>
      </c>
      <c r="F722" s="125" t="n">
        <v>32</v>
      </c>
      <c r="G722" s="125" t="n">
        <v>16</v>
      </c>
      <c r="H722" s="125" t="n">
        <v>18</v>
      </c>
      <c r="I722" s="125">
        <f>D722-(2*(H722+F722))</f>
        <v/>
      </c>
      <c r="J722" s="125">
        <f>(2*E722/10*F722/10)+((D722-F722-F722)/10*G722/10)+((H722/10+H722/10)^2)-(PI()*H722/10*H722/10)</f>
        <v/>
      </c>
      <c r="K722" s="125">
        <f>((E722-G722)/2)/F722</f>
        <v/>
      </c>
      <c r="L722" s="125">
        <f>I722/G722</f>
        <v/>
      </c>
      <c r="M722" s="125">
        <f>(E722*2+F722*4+((E722-G722)/2-H722)*4+2*PI()*H722+(D722-2*F722-2*H722)*2)/1000</f>
        <v/>
      </c>
      <c r="N722" s="5" t="n">
        <v>293000</v>
      </c>
      <c r="O722" s="5" t="n">
        <v>8360</v>
      </c>
      <c r="P722" s="125" t="n">
        <v>32.3</v>
      </c>
      <c r="Q722" s="125" t="n">
        <v>5.5</v>
      </c>
      <c r="R722" s="5" t="n">
        <v>7320</v>
      </c>
      <c r="S722" s="125" t="n">
        <v>669</v>
      </c>
      <c r="T722" s="5" t="n">
        <v>8410</v>
      </c>
      <c r="U722" s="5" t="n">
        <v>1050</v>
      </c>
      <c r="X722" s="129">
        <f t="array" ref="X722">_xlfn.IFS((D722/F722) &lt;= (640/SQRT($AT$32)), "Compact", L722 &lt;= ($AT$32*(0.79-(0.002*((E722-G722/2)/(2*F722))*SQRT($AT$32)))), "Non-Compact", L722 &gt; ($AT$32*(0.79-(0.002*((E722-G722/2)/(2*F722))*SQRT($AT$32)))), "Slender")</f>
        <v/>
      </c>
      <c r="Y722" s="129">
        <f t="array" ref="Y722">_xlfn.IFS(K722 &lt;= (65/SQRT($AT$32)), "Compact", K722 &lt;= (95/SQRT($AT$32)), "Non-Compact", K722 &gt; (95/SQRT($AT$32)), "Slender")</f>
        <v/>
      </c>
      <c r="Z722" s="125">
        <f>E722/F722</f>
        <v/>
      </c>
      <c r="AA722" s="125">
        <f>D722/G722</f>
        <v/>
      </c>
      <c r="AB722" s="125">
        <f t="array" ref="AB722">_xlfn.IFS(Z722 &lt;= 9, "1", Z722 &lt;= 12, "2", Z722 &lt;= 15, "3", Z722 &gt; 15, "4")</f>
        <v/>
      </c>
      <c r="AC722" s="125">
        <f t="array" ref="AC722">_xlfn.IFS(AA722 &lt;= 200, "1", L722 &lt;= 300, "2", L722 &lt;= 400, "3", L722 &gt; 400, "4")</f>
        <v/>
      </c>
      <c r="AF722" s="129">
        <f>SQRT((((VLOOKUP($AT$4,$A$4:$D$1021,4,FALSE))-D722)^2)+(((VLOOKUP($AT$4,$A$4:$E$1021,5,FALSE))-E722)^2)+(((VLOOKUP($AT$4,$A$4:$N$1021,14,FALSE))-N722)^2)+(((VLOOKUP($AT$4,$A$4:$O$1021,15,FALSE))-O722)^2))</f>
        <v/>
      </c>
      <c r="AG722" s="129" t="n"/>
      <c r="AI722" s="129">
        <f>SQRT((((VLOOKUP($AT$4,$A$4:$D$1021,4,FALSE))-D722)^2)+(((VLOOKUP($AT$4,$A$4:$E$1021,5,FALSE))-E722)^2)+(((VLOOKUP($AT$4,$A$4:$R$1021,18,FALSE))-R722)^2)+(((VLOOKUP($AT$4,$A$4:$S$1021,19,FALSE))-S722)^2))</f>
        <v/>
      </c>
      <c r="AJ722" s="125" t="inlineStr">
        <is>
          <t>HY800X220</t>
        </is>
      </c>
      <c r="AK722" s="125" t="n"/>
      <c r="AL722" s="125" t="n"/>
      <c r="AM722" s="125">
        <f>SQRT(((VLOOKUP($AT$4,$A$4:$J$1021,10,FALSE))-J722)^2)</f>
        <v/>
      </c>
      <c r="AN722" s="125" t="n"/>
      <c r="AO722" s="125" t="n"/>
      <c r="AP722" s="125">
        <f>SQRT(((VLOOKUP($AT$4,$A$4:$R$1021,18,FALSE))-R722)^2)</f>
        <v/>
      </c>
      <c r="AQ722" s="125" t="inlineStr">
        <is>
          <t>HY800X220</t>
        </is>
      </c>
      <c r="BB722" s="125">
        <f>SQRT(($J$1022-J722)^2)</f>
        <v/>
      </c>
      <c r="BC722" s="125">
        <f>SQRT(($R$1022-R722)^2)</f>
        <v/>
      </c>
      <c r="BD722" s="125" t="inlineStr">
        <is>
          <t>HY800X220</t>
        </is>
      </c>
      <c r="BI722">
        <f>SQRT(($J$1023-J722)^2)</f>
        <v/>
      </c>
      <c r="BJ722">
        <f>SQRT(($R$1023-R722)^2)</f>
        <v/>
      </c>
      <c r="BK722" s="125" t="inlineStr">
        <is>
          <t>HY800X220</t>
        </is>
      </c>
      <c r="BP722">
        <f>SQRT(($J$1024-J722)^2)</f>
        <v/>
      </c>
      <c r="BQ722">
        <f>SQRT(($R$1024-R722)^2)</f>
        <v/>
      </c>
      <c r="BR722" s="125" t="inlineStr">
        <is>
          <t>HY800X220</t>
        </is>
      </c>
      <c r="BW722">
        <f>SQRT(($J$1025-J722)^2)</f>
        <v/>
      </c>
      <c r="BX722">
        <f>SQRT(($R$1025-R722)^2)</f>
        <v/>
      </c>
      <c r="BY722" s="125" t="inlineStr">
        <is>
          <t>HY800X220</t>
        </is>
      </c>
      <c r="CD722">
        <f>SQRT(($J$1026-J722)^2)</f>
        <v/>
      </c>
      <c r="CE722">
        <f>SQRT(($R$1026-R722)^2)</f>
        <v/>
      </c>
      <c r="CF722" s="125" t="inlineStr">
        <is>
          <t>HY800X220</t>
        </is>
      </c>
    </row>
    <row r="723">
      <c r="A723" s="125" t="inlineStr">
        <is>
          <t>HY800X206</t>
        </is>
      </c>
      <c r="B723" s="129" t="inlineStr">
        <is>
          <t>HY</t>
        </is>
      </c>
      <c r="C723" s="125" t="n">
        <v>206</v>
      </c>
      <c r="D723" s="125" t="n">
        <v>800</v>
      </c>
      <c r="E723" s="125" t="n">
        <v>250</v>
      </c>
      <c r="F723" s="125" t="n">
        <v>28</v>
      </c>
      <c r="G723" s="125" t="n">
        <v>16</v>
      </c>
      <c r="H723" s="125" t="n">
        <v>18</v>
      </c>
      <c r="I723" s="125">
        <f>D723-(2*(H723+F723))</f>
        <v/>
      </c>
      <c r="J723" s="125">
        <f>(2*E723/10*F723/10)+((D723-F723-F723)/10*G723/10)+((H723/10+H723/10)^2)-(PI()*H723/10*H723/10)</f>
        <v/>
      </c>
      <c r="K723" s="125">
        <f>((E723-G723)/2)/F723</f>
        <v/>
      </c>
      <c r="L723" s="125">
        <f>I723/G723</f>
        <v/>
      </c>
      <c r="M723" s="125">
        <f>(E723*2+F723*4+((E723-G723)/2-H723)*4+2*PI()*H723+(D723-2*F723-2*H723)*2)/1000</f>
        <v/>
      </c>
      <c r="N723" s="5" t="n">
        <v>267000</v>
      </c>
      <c r="O723" s="5" t="n">
        <v>7320</v>
      </c>
      <c r="P723" s="125" t="n">
        <v>32</v>
      </c>
      <c r="Q723" s="125" t="n">
        <v>5.3</v>
      </c>
      <c r="R723" s="5" t="n">
        <v>6680</v>
      </c>
      <c r="S723" s="125" t="n">
        <v>586</v>
      </c>
      <c r="T723" s="5" t="n">
        <v>7720</v>
      </c>
      <c r="U723" s="125" t="n">
        <v>926</v>
      </c>
      <c r="X723" s="129">
        <f t="array" ref="X723">_xlfn.IFS((D723/F723) &lt;= (640/SQRT($AT$32)), "Compact", L723 &lt;= ($AT$32*(0.79-(0.002*((E723-G723/2)/(2*F723))*SQRT($AT$32)))), "Non-Compact", L723 &gt; ($AT$32*(0.79-(0.002*((E723-G723/2)/(2*F723))*SQRT($AT$32)))), "Slender")</f>
        <v/>
      </c>
      <c r="Y723" s="129">
        <f t="array" ref="Y723">_xlfn.IFS(K723 &lt;= (65/SQRT($AT$32)), "Compact", K723 &lt;= (95/SQRT($AT$32)), "Non-Compact", K723 &gt; (95/SQRT($AT$32)), "Slender")</f>
        <v/>
      </c>
      <c r="Z723" s="125">
        <f>E723/F723</f>
        <v/>
      </c>
      <c r="AA723" s="125">
        <f>D723/G723</f>
        <v/>
      </c>
      <c r="AB723" s="125">
        <f t="array" ref="AB723">_xlfn.IFS(Z723 &lt;= 9, "1", Z723 &lt;= 12, "2", Z723 &lt;= 15, "3", Z723 &gt; 15, "4")</f>
        <v/>
      </c>
      <c r="AC723" s="125">
        <f t="array" ref="AC723">_xlfn.IFS(AA723 &lt;= 200, "1", L723 &lt;= 300, "2", L723 &lt;= 400, "3", L723 &gt; 400, "4")</f>
        <v/>
      </c>
      <c r="AF723" s="129">
        <f>SQRT((((VLOOKUP($AT$4,$A$4:$D$1021,4,FALSE))-D723)^2)+(((VLOOKUP($AT$4,$A$4:$E$1021,5,FALSE))-E723)^2)+(((VLOOKUP($AT$4,$A$4:$N$1021,14,FALSE))-N723)^2)+(((VLOOKUP($AT$4,$A$4:$O$1021,15,FALSE))-O723)^2))</f>
        <v/>
      </c>
      <c r="AG723" s="129" t="n"/>
      <c r="AI723" s="129">
        <f>SQRT((((VLOOKUP($AT$4,$A$4:$D$1021,4,FALSE))-D723)^2)+(((VLOOKUP($AT$4,$A$4:$E$1021,5,FALSE))-E723)^2)+(((VLOOKUP($AT$4,$A$4:$R$1021,18,FALSE))-R723)^2)+(((VLOOKUP($AT$4,$A$4:$S$1021,19,FALSE))-S723)^2))</f>
        <v/>
      </c>
      <c r="AJ723" s="125" t="inlineStr">
        <is>
          <t>HY800X206</t>
        </is>
      </c>
      <c r="AK723" s="125" t="n"/>
      <c r="AL723" s="125" t="n"/>
      <c r="AM723" s="125">
        <f>SQRT(((VLOOKUP($AT$4,$A$4:$J$1021,10,FALSE))-J723)^2)</f>
        <v/>
      </c>
      <c r="AN723" s="125" t="n"/>
      <c r="AO723" s="125" t="n"/>
      <c r="AP723" s="125">
        <f>SQRT(((VLOOKUP($AT$4,$A$4:$R$1021,18,FALSE))-R723)^2)</f>
        <v/>
      </c>
      <c r="AQ723" s="125" t="inlineStr">
        <is>
          <t>HY800X206</t>
        </is>
      </c>
      <c r="BB723" s="125">
        <f>SQRT(($J$1022-J723)^2)</f>
        <v/>
      </c>
      <c r="BC723" s="125">
        <f>SQRT(($R$1022-R723)^2)</f>
        <v/>
      </c>
      <c r="BD723" s="125" t="inlineStr">
        <is>
          <t>HY800X206</t>
        </is>
      </c>
      <c r="BI723">
        <f>SQRT(($J$1023-J723)^2)</f>
        <v/>
      </c>
      <c r="BJ723">
        <f>SQRT(($R$1023-R723)^2)</f>
        <v/>
      </c>
      <c r="BK723" s="125" t="inlineStr">
        <is>
          <t>HY800X206</t>
        </is>
      </c>
      <c r="BP723">
        <f>SQRT(($J$1024-J723)^2)</f>
        <v/>
      </c>
      <c r="BQ723">
        <f>SQRT(($R$1024-R723)^2)</f>
        <v/>
      </c>
      <c r="BR723" s="125" t="inlineStr">
        <is>
          <t>HY800X206</t>
        </is>
      </c>
      <c r="BW723">
        <f>SQRT(($J$1025-J723)^2)</f>
        <v/>
      </c>
      <c r="BX723">
        <f>SQRT(($R$1025-R723)^2)</f>
        <v/>
      </c>
      <c r="BY723" s="125" t="inlineStr">
        <is>
          <t>HY800X206</t>
        </is>
      </c>
      <c r="CD723">
        <f>SQRT(($J$1026-J723)^2)</f>
        <v/>
      </c>
      <c r="CE723">
        <f>SQRT(($R$1026-R723)^2)</f>
        <v/>
      </c>
      <c r="CF723" s="125" t="inlineStr">
        <is>
          <t>HY800X206</t>
        </is>
      </c>
    </row>
    <row r="724">
      <c r="A724" s="125" t="inlineStr">
        <is>
          <t>HY800X195</t>
        </is>
      </c>
      <c r="B724" s="129" t="inlineStr">
        <is>
          <t>HY</t>
        </is>
      </c>
      <c r="C724" s="125" t="n">
        <v>195</v>
      </c>
      <c r="D724" s="125" t="n">
        <v>800</v>
      </c>
      <c r="E724" s="125" t="n">
        <v>250</v>
      </c>
      <c r="F724" s="125" t="n">
        <v>25</v>
      </c>
      <c r="G724" s="125" t="n">
        <v>16</v>
      </c>
      <c r="H724" s="125" t="n">
        <v>18</v>
      </c>
      <c r="I724" s="125">
        <f>D724-(2*(H724+F724))</f>
        <v/>
      </c>
      <c r="J724" s="125">
        <f>(2*E724/10*F724/10)+((D724-F724-F724)/10*G724/10)+((H724/10+H724/10)^2)-(PI()*H724/10*H724/10)</f>
        <v/>
      </c>
      <c r="K724" s="125">
        <f>((E724-G724)/2)/F724</f>
        <v/>
      </c>
      <c r="L724" s="125">
        <f>I724/G724</f>
        <v/>
      </c>
      <c r="M724" s="125">
        <f>(E724*2+F724*4+((E724-G724)/2-H724)*4+2*PI()*H724+(D724-2*F724-2*H724)*2)/1000</f>
        <v/>
      </c>
      <c r="N724" s="5" t="n">
        <v>248000</v>
      </c>
      <c r="O724" s="5" t="n">
        <v>6540</v>
      </c>
      <c r="P724" s="125" t="n">
        <v>31.6</v>
      </c>
      <c r="Q724" s="125" t="n">
        <v>5.1</v>
      </c>
      <c r="R724" s="5" t="n">
        <v>6200</v>
      </c>
      <c r="S724" s="125" t="n">
        <v>523</v>
      </c>
      <c r="T724" s="5" t="n">
        <v>7200</v>
      </c>
      <c r="U724" s="125" t="n">
        <v>833</v>
      </c>
      <c r="X724" s="129">
        <f t="array" ref="X724">_xlfn.IFS((D724/F724) &lt;= (640/SQRT($AT$32)), "Compact", L724 &lt;= ($AT$32*(0.79-(0.002*((E724-G724/2)/(2*F724))*SQRT($AT$32)))), "Non-Compact", L724 &gt; ($AT$32*(0.79-(0.002*((E724-G724/2)/(2*F724))*SQRT($AT$32)))), "Slender")</f>
        <v/>
      </c>
      <c r="Y724" s="129">
        <f t="array" ref="Y724">_xlfn.IFS(K724 &lt;= (65/SQRT($AT$32)), "Compact", K724 &lt;= (95/SQRT($AT$32)), "Non-Compact", K724 &gt; (95/SQRT($AT$32)), "Slender")</f>
        <v/>
      </c>
      <c r="Z724" s="125">
        <f>E724/F724</f>
        <v/>
      </c>
      <c r="AA724" s="125">
        <f>D724/G724</f>
        <v/>
      </c>
      <c r="AB724" s="125">
        <f t="array" ref="AB724">_xlfn.IFS(Z724 &lt;= 9, "1", Z724 &lt;= 12, "2", Z724 &lt;= 15, "3", Z724 &gt; 15, "4")</f>
        <v/>
      </c>
      <c r="AC724" s="125">
        <f t="array" ref="AC724">_xlfn.IFS(AA724 &lt;= 200, "1", L724 &lt;= 300, "2", L724 &lt;= 400, "3", L724 &gt; 400, "4")</f>
        <v/>
      </c>
      <c r="AF724" s="129">
        <f>SQRT((((VLOOKUP($AT$4,$A$4:$D$1021,4,FALSE))-D724)^2)+(((VLOOKUP($AT$4,$A$4:$E$1021,5,FALSE))-E724)^2)+(((VLOOKUP($AT$4,$A$4:$N$1021,14,FALSE))-N724)^2)+(((VLOOKUP($AT$4,$A$4:$O$1021,15,FALSE))-O724)^2))</f>
        <v/>
      </c>
      <c r="AG724" s="129" t="n"/>
      <c r="AI724" s="129">
        <f>SQRT((((VLOOKUP($AT$4,$A$4:$D$1021,4,FALSE))-D724)^2)+(((VLOOKUP($AT$4,$A$4:$E$1021,5,FALSE))-E724)^2)+(((VLOOKUP($AT$4,$A$4:$R$1021,18,FALSE))-R724)^2)+(((VLOOKUP($AT$4,$A$4:$S$1021,19,FALSE))-S724)^2))</f>
        <v/>
      </c>
      <c r="AJ724" s="125" t="inlineStr">
        <is>
          <t>HY800X195</t>
        </is>
      </c>
      <c r="AK724" s="125" t="n"/>
      <c r="AL724" s="125" t="n"/>
      <c r="AM724" s="125">
        <f>SQRT(((VLOOKUP($AT$4,$A$4:$J$1021,10,FALSE))-J724)^2)</f>
        <v/>
      </c>
      <c r="AN724" s="125" t="n"/>
      <c r="AO724" s="125" t="n"/>
      <c r="AP724" s="125">
        <f>SQRT(((VLOOKUP($AT$4,$A$4:$R$1021,18,FALSE))-R724)^2)</f>
        <v/>
      </c>
      <c r="AQ724" s="125" t="inlineStr">
        <is>
          <t>HY800X195</t>
        </is>
      </c>
      <c r="BB724" s="125">
        <f>SQRT(($J$1022-J724)^2)</f>
        <v/>
      </c>
      <c r="BC724" s="125">
        <f>SQRT(($R$1022-R724)^2)</f>
        <v/>
      </c>
      <c r="BD724" s="125" t="inlineStr">
        <is>
          <t>HY800X195</t>
        </is>
      </c>
      <c r="BI724">
        <f>SQRT(($J$1023-J724)^2)</f>
        <v/>
      </c>
      <c r="BJ724">
        <f>SQRT(($R$1023-R724)^2)</f>
        <v/>
      </c>
      <c r="BK724" s="125" t="inlineStr">
        <is>
          <t>HY800X195</t>
        </is>
      </c>
      <c r="BP724">
        <f>SQRT(($J$1024-J724)^2)</f>
        <v/>
      </c>
      <c r="BQ724">
        <f>SQRT(($R$1024-R724)^2)</f>
        <v/>
      </c>
      <c r="BR724" s="125" t="inlineStr">
        <is>
          <t>HY800X195</t>
        </is>
      </c>
      <c r="BW724">
        <f>SQRT(($J$1025-J724)^2)</f>
        <v/>
      </c>
      <c r="BX724">
        <f>SQRT(($R$1025-R724)^2)</f>
        <v/>
      </c>
      <c r="BY724" s="125" t="inlineStr">
        <is>
          <t>HY800X195</t>
        </is>
      </c>
      <c r="CD724">
        <f>SQRT(($J$1026-J724)^2)</f>
        <v/>
      </c>
      <c r="CE724">
        <f>SQRT(($R$1026-R724)^2)</f>
        <v/>
      </c>
      <c r="CF724" s="125" t="inlineStr">
        <is>
          <t>HY800X195</t>
        </is>
      </c>
    </row>
    <row r="725">
      <c r="A725" s="125" t="inlineStr">
        <is>
          <t>HY800X183</t>
        </is>
      </c>
      <c r="B725" s="129" t="inlineStr">
        <is>
          <t>HY</t>
        </is>
      </c>
      <c r="C725" s="125" t="n">
        <v>183</v>
      </c>
      <c r="D725" s="125" t="n">
        <v>800</v>
      </c>
      <c r="E725" s="125" t="n">
        <v>250</v>
      </c>
      <c r="F725" s="125" t="n">
        <v>22</v>
      </c>
      <c r="G725" s="125" t="n">
        <v>16</v>
      </c>
      <c r="H725" s="125" t="n">
        <v>18</v>
      </c>
      <c r="I725" s="125">
        <f>D725-(2*(H725+F725))</f>
        <v/>
      </c>
      <c r="J725" s="125">
        <f>(2*E725/10*F725/10)+((D725-F725-F725)/10*G725/10)+((H725/10+H725/10)^2)-(PI()*H725/10*H725/10)</f>
        <v/>
      </c>
      <c r="K725" s="125">
        <f>((E725-G725)/2)/F725</f>
        <v/>
      </c>
      <c r="L725" s="125">
        <f>I725/G725</f>
        <v/>
      </c>
      <c r="M725" s="125">
        <f>(E725*2+F725*4+((E725-G725)/2-H725)*4+2*PI()*H725+(D725-2*F725-2*H725)*2)/1000</f>
        <v/>
      </c>
      <c r="N725" s="5" t="n">
        <v>228000</v>
      </c>
      <c r="O725" s="5" t="n">
        <v>5760</v>
      </c>
      <c r="P725" s="125" t="n">
        <v>31.2</v>
      </c>
      <c r="Q725" s="125" t="n">
        <v>5</v>
      </c>
      <c r="R725" s="5" t="n">
        <v>5700</v>
      </c>
      <c r="S725" s="125" t="n">
        <v>461</v>
      </c>
      <c r="T725" s="5" t="n">
        <v>6670</v>
      </c>
      <c r="U725" s="125" t="n">
        <v>739</v>
      </c>
      <c r="X725" s="129">
        <f t="array" ref="X725">_xlfn.IFS((D725/F725) &lt;= (640/SQRT($AT$32)), "Compact", L725 &lt;= ($AT$32*(0.79-(0.002*((E725-G725/2)/(2*F725))*SQRT($AT$32)))), "Non-Compact", L725 &gt; ($AT$32*(0.79-(0.002*((E725-G725/2)/(2*F725))*SQRT($AT$32)))), "Slender")</f>
        <v/>
      </c>
      <c r="Y725" s="129">
        <f t="array" ref="Y725">_xlfn.IFS(K725 &lt;= (65/SQRT($AT$32)), "Compact", K725 &lt;= (95/SQRT($AT$32)), "Non-Compact", K725 &gt; (95/SQRT($AT$32)), "Slender")</f>
        <v/>
      </c>
      <c r="Z725" s="125">
        <f>E725/F725</f>
        <v/>
      </c>
      <c r="AA725" s="125">
        <f>D725/G725</f>
        <v/>
      </c>
      <c r="AB725" s="125">
        <f t="array" ref="AB725">_xlfn.IFS(Z725 &lt;= 9, "1", Z725 &lt;= 12, "2", Z725 &lt;= 15, "3", Z725 &gt; 15, "4")</f>
        <v/>
      </c>
      <c r="AC725" s="125">
        <f t="array" ref="AC725">_xlfn.IFS(AA725 &lt;= 200, "1", L725 &lt;= 300, "2", L725 &lt;= 400, "3", L725 &gt; 400, "4")</f>
        <v/>
      </c>
      <c r="AF725" s="129">
        <f>SQRT((((VLOOKUP($AT$4,$A$4:$D$1021,4,FALSE))-D725)^2)+(((VLOOKUP($AT$4,$A$4:$E$1021,5,FALSE))-E725)^2)+(((VLOOKUP($AT$4,$A$4:$N$1021,14,FALSE))-N725)^2)+(((VLOOKUP($AT$4,$A$4:$O$1021,15,FALSE))-O725)^2))</f>
        <v/>
      </c>
      <c r="AG725" s="129" t="n"/>
      <c r="AI725" s="129">
        <f>SQRT((((VLOOKUP($AT$4,$A$4:$D$1021,4,FALSE))-D725)^2)+(((VLOOKUP($AT$4,$A$4:$E$1021,5,FALSE))-E725)^2)+(((VLOOKUP($AT$4,$A$4:$R$1021,18,FALSE))-R725)^2)+(((VLOOKUP($AT$4,$A$4:$S$1021,19,FALSE))-S725)^2))</f>
        <v/>
      </c>
      <c r="AJ725" s="125" t="inlineStr">
        <is>
          <t>HY800X183</t>
        </is>
      </c>
      <c r="AK725" s="125" t="n"/>
      <c r="AL725" s="125" t="n"/>
      <c r="AM725" s="125">
        <f>SQRT(((VLOOKUP($AT$4,$A$4:$J$1021,10,FALSE))-J725)^2)</f>
        <v/>
      </c>
      <c r="AN725" s="125" t="n"/>
      <c r="AO725" s="125" t="n"/>
      <c r="AP725" s="125">
        <f>SQRT(((VLOOKUP($AT$4,$A$4:$R$1021,18,FALSE))-R725)^2)</f>
        <v/>
      </c>
      <c r="AQ725" s="125" t="inlineStr">
        <is>
          <t>HY800X183</t>
        </is>
      </c>
      <c r="BB725" s="125">
        <f>SQRT(($J$1022-J725)^2)</f>
        <v/>
      </c>
      <c r="BC725" s="125">
        <f>SQRT(($R$1022-R725)^2)</f>
        <v/>
      </c>
      <c r="BD725" s="125" t="inlineStr">
        <is>
          <t>HY800X183</t>
        </is>
      </c>
      <c r="BI725">
        <f>SQRT(($J$1023-J725)^2)</f>
        <v/>
      </c>
      <c r="BJ725">
        <f>SQRT(($R$1023-R725)^2)</f>
        <v/>
      </c>
      <c r="BK725" s="125" t="inlineStr">
        <is>
          <t>HY800X183</t>
        </is>
      </c>
      <c r="BP725">
        <f>SQRT(($J$1024-J725)^2)</f>
        <v/>
      </c>
      <c r="BQ725">
        <f>SQRT(($R$1024-R725)^2)</f>
        <v/>
      </c>
      <c r="BR725" s="125" t="inlineStr">
        <is>
          <t>HY800X183</t>
        </is>
      </c>
      <c r="BW725">
        <f>SQRT(($J$1025-J725)^2)</f>
        <v/>
      </c>
      <c r="BX725">
        <f>SQRT(($R$1025-R725)^2)</f>
        <v/>
      </c>
      <c r="BY725" s="125" t="inlineStr">
        <is>
          <t>HY800X183</t>
        </is>
      </c>
      <c r="CD725">
        <f>SQRT(($J$1026-J725)^2)</f>
        <v/>
      </c>
      <c r="CE725">
        <f>SQRT(($R$1026-R725)^2)</f>
        <v/>
      </c>
      <c r="CF725" s="125" t="inlineStr">
        <is>
          <t>HY800X183</t>
        </is>
      </c>
    </row>
    <row r="726">
      <c r="A726" s="125" t="inlineStr">
        <is>
          <t>HY800X194</t>
        </is>
      </c>
      <c r="B726" s="129" t="inlineStr">
        <is>
          <t>HY</t>
        </is>
      </c>
      <c r="C726" s="125" t="n">
        <v>194</v>
      </c>
      <c r="D726" s="125" t="n">
        <v>800</v>
      </c>
      <c r="E726" s="125" t="n">
        <v>250</v>
      </c>
      <c r="F726" s="125" t="n">
        <v>28</v>
      </c>
      <c r="G726" s="125" t="n">
        <v>14</v>
      </c>
      <c r="H726" s="125" t="n">
        <v>18</v>
      </c>
      <c r="I726" s="125">
        <f>D726-(2*(H726+F726))</f>
        <v/>
      </c>
      <c r="J726" s="125">
        <f>(2*E726/10*F726/10)+((D726-F726-F726)/10*G726/10)+((H726/10+H726/10)^2)-(PI()*H726/10*H726/10)</f>
        <v/>
      </c>
      <c r="K726" s="125">
        <f>((E726-G726)/2)/F726</f>
        <v/>
      </c>
      <c r="L726" s="125">
        <f>I726/G726</f>
        <v/>
      </c>
      <c r="M726" s="125">
        <f>(E726*2+F726*4+((E726-G726)/2-H726)*4+2*PI()*H726+(D726-2*F726-2*H726)*2)/1000</f>
        <v/>
      </c>
      <c r="N726" s="5" t="n">
        <v>260000</v>
      </c>
      <c r="O726" s="5" t="n">
        <v>7310</v>
      </c>
      <c r="P726" s="125" t="n">
        <v>32.5</v>
      </c>
      <c r="Q726" s="125" t="n">
        <v>5.4</v>
      </c>
      <c r="R726" s="5" t="n">
        <v>6510</v>
      </c>
      <c r="S726" s="125" t="n">
        <v>585</v>
      </c>
      <c r="T726" s="5" t="n">
        <v>7440</v>
      </c>
      <c r="U726" s="125" t="n">
        <v>915</v>
      </c>
      <c r="X726" s="129">
        <f t="array" ref="X726">_xlfn.IFS((D726/F726) &lt;= (640/SQRT($AT$32)), "Compact", L726 &lt;= ($AT$32*(0.79-(0.002*((E726-G726/2)/(2*F726))*SQRT($AT$32)))), "Non-Compact", L726 &gt; ($AT$32*(0.79-(0.002*((E726-G726/2)/(2*F726))*SQRT($AT$32)))), "Slender")</f>
        <v/>
      </c>
      <c r="Y726" s="129">
        <f t="array" ref="Y726">_xlfn.IFS(K726 &lt;= (65/SQRT($AT$32)), "Compact", K726 &lt;= (95/SQRT($AT$32)), "Non-Compact", K726 &gt; (95/SQRT($AT$32)), "Slender")</f>
        <v/>
      </c>
      <c r="Z726" s="125">
        <f>E726/F726</f>
        <v/>
      </c>
      <c r="AA726" s="125">
        <f>D726/G726</f>
        <v/>
      </c>
      <c r="AB726" s="125">
        <f t="array" ref="AB726">_xlfn.IFS(Z726 &lt;= 9, "1", Z726 &lt;= 12, "2", Z726 &lt;= 15, "3", Z726 &gt; 15, "4")</f>
        <v/>
      </c>
      <c r="AC726" s="125">
        <f t="array" ref="AC726">_xlfn.IFS(AA726 &lt;= 200, "1", L726 &lt;= 300, "2", L726 &lt;= 400, "3", L726 &gt; 400, "4")</f>
        <v/>
      </c>
      <c r="AF726" s="129">
        <f>SQRT((((VLOOKUP($AT$4,$A$4:$D$1021,4,FALSE))-D726)^2)+(((VLOOKUP($AT$4,$A$4:$E$1021,5,FALSE))-E726)^2)+(((VLOOKUP($AT$4,$A$4:$N$1021,14,FALSE))-N726)^2)+(((VLOOKUP($AT$4,$A$4:$O$1021,15,FALSE))-O726)^2))</f>
        <v/>
      </c>
      <c r="AG726" s="129" t="n"/>
      <c r="AI726" s="129">
        <f>SQRT((((VLOOKUP($AT$4,$A$4:$D$1021,4,FALSE))-D726)^2)+(((VLOOKUP($AT$4,$A$4:$E$1021,5,FALSE))-E726)^2)+(((VLOOKUP($AT$4,$A$4:$R$1021,18,FALSE))-R726)^2)+(((VLOOKUP($AT$4,$A$4:$S$1021,19,FALSE))-S726)^2))</f>
        <v/>
      </c>
      <c r="AJ726" s="125" t="inlineStr">
        <is>
          <t>HY800X194</t>
        </is>
      </c>
      <c r="AK726" s="125" t="n"/>
      <c r="AL726" s="125" t="n"/>
      <c r="AM726" s="125">
        <f>SQRT(((VLOOKUP($AT$4,$A$4:$J$1021,10,FALSE))-J726)^2)</f>
        <v/>
      </c>
      <c r="AN726" s="125" t="n"/>
      <c r="AO726" s="125" t="n"/>
      <c r="AP726" s="125">
        <f>SQRT(((VLOOKUP($AT$4,$A$4:$R$1021,18,FALSE))-R726)^2)</f>
        <v/>
      </c>
      <c r="AQ726" s="125" t="inlineStr">
        <is>
          <t>HY800X194</t>
        </is>
      </c>
      <c r="BB726" s="125">
        <f>SQRT(($J$1022-J726)^2)</f>
        <v/>
      </c>
      <c r="BC726" s="125">
        <f>SQRT(($R$1022-R726)^2)</f>
        <v/>
      </c>
      <c r="BD726" s="125" t="inlineStr">
        <is>
          <t>HY800X194</t>
        </is>
      </c>
      <c r="BI726">
        <f>SQRT(($J$1023-J726)^2)</f>
        <v/>
      </c>
      <c r="BJ726">
        <f>SQRT(($R$1023-R726)^2)</f>
        <v/>
      </c>
      <c r="BK726" s="125" t="inlineStr">
        <is>
          <t>HY800X194</t>
        </is>
      </c>
      <c r="BP726">
        <f>SQRT(($J$1024-J726)^2)</f>
        <v/>
      </c>
      <c r="BQ726">
        <f>SQRT(($R$1024-R726)^2)</f>
        <v/>
      </c>
      <c r="BR726" s="125" t="inlineStr">
        <is>
          <t>HY800X194</t>
        </is>
      </c>
      <c r="BW726">
        <f>SQRT(($J$1025-J726)^2)</f>
        <v/>
      </c>
      <c r="BX726">
        <f>SQRT(($R$1025-R726)^2)</f>
        <v/>
      </c>
      <c r="BY726" s="125" t="inlineStr">
        <is>
          <t>HY800X194</t>
        </is>
      </c>
      <c r="CD726">
        <f>SQRT(($J$1026-J726)^2)</f>
        <v/>
      </c>
      <c r="CE726">
        <f>SQRT(($R$1026-R726)^2)</f>
        <v/>
      </c>
      <c r="CF726" s="125" t="inlineStr">
        <is>
          <t>HY800X194</t>
        </is>
      </c>
    </row>
    <row r="727">
      <c r="A727" s="125" t="inlineStr">
        <is>
          <t>HY800X183</t>
        </is>
      </c>
      <c r="B727" s="129" t="inlineStr">
        <is>
          <t>HY</t>
        </is>
      </c>
      <c r="C727" s="125" t="n">
        <v>183</v>
      </c>
      <c r="D727" s="125" t="n">
        <v>800</v>
      </c>
      <c r="E727" s="125" t="n">
        <v>250</v>
      </c>
      <c r="F727" s="125" t="n">
        <v>25</v>
      </c>
      <c r="G727" s="125" t="n">
        <v>14</v>
      </c>
      <c r="H727" s="125" t="n">
        <v>18</v>
      </c>
      <c r="I727" s="125">
        <f>D727-(2*(H727+F727))</f>
        <v/>
      </c>
      <c r="J727" s="125">
        <f>(2*E727/10*F727/10)+((D727-F727-F727)/10*G727/10)+((H727/10+H727/10)^2)-(PI()*H727/10*H727/10)</f>
        <v/>
      </c>
      <c r="K727" s="125">
        <f>((E727-G727)/2)/F727</f>
        <v/>
      </c>
      <c r="L727" s="125">
        <f>I727/G727</f>
        <v/>
      </c>
      <c r="M727" s="125">
        <f>(E727*2+F727*4+((E727-G727)/2-H727)*4+2*PI()*H727+(D727-2*F727-2*H727)*2)/1000</f>
        <v/>
      </c>
      <c r="N727" s="5" t="n">
        <v>241000</v>
      </c>
      <c r="O727" s="5" t="n">
        <v>6530</v>
      </c>
      <c r="P727" s="125" t="n">
        <v>32.2</v>
      </c>
      <c r="Q727" s="125" t="n">
        <v>5.3</v>
      </c>
      <c r="R727" s="5" t="n">
        <v>6020</v>
      </c>
      <c r="S727" s="125" t="n">
        <v>523</v>
      </c>
      <c r="T727" s="5" t="n">
        <v>6920</v>
      </c>
      <c r="U727" s="125" t="n">
        <v>821</v>
      </c>
      <c r="X727" s="129">
        <f t="array" ref="X727">_xlfn.IFS((D727/F727) &lt;= (640/SQRT($AT$32)), "Compact", L727 &lt;= ($AT$32*(0.79-(0.002*((E727-G727/2)/(2*F727))*SQRT($AT$32)))), "Non-Compact", L727 &gt; ($AT$32*(0.79-(0.002*((E727-G727/2)/(2*F727))*SQRT($AT$32)))), "Slender")</f>
        <v/>
      </c>
      <c r="Y727" s="129">
        <f t="array" ref="Y727">_xlfn.IFS(K727 &lt;= (65/SQRT($AT$32)), "Compact", K727 &lt;= (95/SQRT($AT$32)), "Non-Compact", K727 &gt; (95/SQRT($AT$32)), "Slender")</f>
        <v/>
      </c>
      <c r="Z727" s="125">
        <f>E727/F727</f>
        <v/>
      </c>
      <c r="AA727" s="125">
        <f>D727/G727</f>
        <v/>
      </c>
      <c r="AB727" s="125">
        <f t="array" ref="AB727">_xlfn.IFS(Z727 &lt;= 9, "1", Z727 &lt;= 12, "2", Z727 &lt;= 15, "3", Z727 &gt; 15, "4")</f>
        <v/>
      </c>
      <c r="AC727" s="125">
        <f t="array" ref="AC727">_xlfn.IFS(AA727 &lt;= 200, "1", L727 &lt;= 300, "2", L727 &lt;= 400, "3", L727 &gt; 400, "4")</f>
        <v/>
      </c>
      <c r="AF727" s="129">
        <f>SQRT((((VLOOKUP($AT$4,$A$4:$D$1021,4,FALSE))-D727)^2)+(((VLOOKUP($AT$4,$A$4:$E$1021,5,FALSE))-E727)^2)+(((VLOOKUP($AT$4,$A$4:$N$1021,14,FALSE))-N727)^2)+(((VLOOKUP($AT$4,$A$4:$O$1021,15,FALSE))-O727)^2))</f>
        <v/>
      </c>
      <c r="AG727" s="129" t="n"/>
      <c r="AI727" s="129">
        <f>SQRT((((VLOOKUP($AT$4,$A$4:$D$1021,4,FALSE))-D727)^2)+(((VLOOKUP($AT$4,$A$4:$E$1021,5,FALSE))-E727)^2)+(((VLOOKUP($AT$4,$A$4:$R$1021,18,FALSE))-R727)^2)+(((VLOOKUP($AT$4,$A$4:$S$1021,19,FALSE))-S727)^2))</f>
        <v/>
      </c>
      <c r="AJ727" s="125" t="inlineStr">
        <is>
          <t>HY800X183</t>
        </is>
      </c>
      <c r="AK727" s="125" t="n"/>
      <c r="AL727" s="125" t="n"/>
      <c r="AM727" s="125">
        <f>SQRT(((VLOOKUP($AT$4,$A$4:$J$1021,10,FALSE))-J727)^2)</f>
        <v/>
      </c>
      <c r="AN727" s="125" t="n"/>
      <c r="AO727" s="125" t="n"/>
      <c r="AP727" s="125">
        <f>SQRT(((VLOOKUP($AT$4,$A$4:$R$1021,18,FALSE))-R727)^2)</f>
        <v/>
      </c>
      <c r="AQ727" s="125" t="inlineStr">
        <is>
          <t>HY800X183</t>
        </is>
      </c>
      <c r="BB727" s="125">
        <f>SQRT(($J$1022-J727)^2)</f>
        <v/>
      </c>
      <c r="BC727" s="125">
        <f>SQRT(($R$1022-R727)^2)</f>
        <v/>
      </c>
      <c r="BD727" s="125" t="inlineStr">
        <is>
          <t>HY800X183</t>
        </is>
      </c>
      <c r="BI727">
        <f>SQRT(($J$1023-J727)^2)</f>
        <v/>
      </c>
      <c r="BJ727">
        <f>SQRT(($R$1023-R727)^2)</f>
        <v/>
      </c>
      <c r="BK727" s="125" t="inlineStr">
        <is>
          <t>HY800X183</t>
        </is>
      </c>
      <c r="BP727">
        <f>SQRT(($J$1024-J727)^2)</f>
        <v/>
      </c>
      <c r="BQ727">
        <f>SQRT(($R$1024-R727)^2)</f>
        <v/>
      </c>
      <c r="BR727" s="125" t="inlineStr">
        <is>
          <t>HY800X183</t>
        </is>
      </c>
      <c r="BW727">
        <f>SQRT(($J$1025-J727)^2)</f>
        <v/>
      </c>
      <c r="BX727">
        <f>SQRT(($R$1025-R727)^2)</f>
        <v/>
      </c>
      <c r="BY727" s="125" t="inlineStr">
        <is>
          <t>HY800X183</t>
        </is>
      </c>
      <c r="CD727">
        <f>SQRT(($J$1026-J727)^2)</f>
        <v/>
      </c>
      <c r="CE727">
        <f>SQRT(($R$1026-R727)^2)</f>
        <v/>
      </c>
      <c r="CF727" s="125" t="inlineStr">
        <is>
          <t>HY800X183</t>
        </is>
      </c>
    </row>
    <row r="728">
      <c r="A728" s="125" t="inlineStr">
        <is>
          <t>HY800X172</t>
        </is>
      </c>
      <c r="B728" s="129" t="inlineStr">
        <is>
          <t>HY</t>
        </is>
      </c>
      <c r="C728" s="125" t="n">
        <v>172</v>
      </c>
      <c r="D728" s="125" t="n">
        <v>800</v>
      </c>
      <c r="E728" s="125" t="n">
        <v>250</v>
      </c>
      <c r="F728" s="125" t="n">
        <v>22</v>
      </c>
      <c r="G728" s="125" t="n">
        <v>14</v>
      </c>
      <c r="H728" s="125" t="n">
        <v>18</v>
      </c>
      <c r="I728" s="125">
        <f>D728-(2*(H728+F728))</f>
        <v/>
      </c>
      <c r="J728" s="125">
        <f>(2*E728/10*F728/10)+((D728-F728-F728)/10*G728/10)+((H728/10+H728/10)^2)-(PI()*H728/10*H728/10)</f>
        <v/>
      </c>
      <c r="K728" s="125">
        <f>((E728-G728)/2)/F728</f>
        <v/>
      </c>
      <c r="L728" s="125">
        <f>I728/G728</f>
        <v/>
      </c>
      <c r="M728" s="125">
        <f>(E728*2+F728*4+((E728-G728)/2-H728)*4+2*PI()*H728+(D728-2*F728-2*H728)*2)/1000</f>
        <v/>
      </c>
      <c r="N728" s="5" t="n">
        <v>221000</v>
      </c>
      <c r="O728" s="5" t="n">
        <v>5750</v>
      </c>
      <c r="P728" s="125" t="n">
        <v>31.8</v>
      </c>
      <c r="Q728" s="125" t="n">
        <v>5.1</v>
      </c>
      <c r="R728" s="5" t="n">
        <v>5520</v>
      </c>
      <c r="S728" s="125" t="n">
        <v>460</v>
      </c>
      <c r="T728" s="5" t="n">
        <v>6380</v>
      </c>
      <c r="U728" s="125" t="n">
        <v>728</v>
      </c>
      <c r="X728" s="129">
        <f t="array" ref="X728">_xlfn.IFS((D728/F728) &lt;= (640/SQRT($AT$32)), "Compact", L728 &lt;= ($AT$32*(0.79-(0.002*((E728-G728/2)/(2*F728))*SQRT($AT$32)))), "Non-Compact", L728 &gt; ($AT$32*(0.79-(0.002*((E728-G728/2)/(2*F728))*SQRT($AT$32)))), "Slender")</f>
        <v/>
      </c>
      <c r="Y728" s="129">
        <f t="array" ref="Y728">_xlfn.IFS(K728 &lt;= (65/SQRT($AT$32)), "Compact", K728 &lt;= (95/SQRT($AT$32)), "Non-Compact", K728 &gt; (95/SQRT($AT$32)), "Slender")</f>
        <v/>
      </c>
      <c r="Z728" s="125">
        <f>E728/F728</f>
        <v/>
      </c>
      <c r="AA728" s="125">
        <f>D728/G728</f>
        <v/>
      </c>
      <c r="AB728" s="125">
        <f t="array" ref="AB728">_xlfn.IFS(Z728 &lt;= 9, "1", Z728 &lt;= 12, "2", Z728 &lt;= 15, "3", Z728 &gt; 15, "4")</f>
        <v/>
      </c>
      <c r="AC728" s="125">
        <f t="array" ref="AC728">_xlfn.IFS(AA728 &lt;= 200, "1", L728 &lt;= 300, "2", L728 &lt;= 400, "3", L728 &gt; 400, "4")</f>
        <v/>
      </c>
      <c r="AF728" s="129">
        <f>SQRT((((VLOOKUP($AT$4,$A$4:$D$1021,4,FALSE))-D728)^2)+(((VLOOKUP($AT$4,$A$4:$E$1021,5,FALSE))-E728)^2)+(((VLOOKUP($AT$4,$A$4:$N$1021,14,FALSE))-N728)^2)+(((VLOOKUP($AT$4,$A$4:$O$1021,15,FALSE))-O728)^2))</f>
        <v/>
      </c>
      <c r="AG728" s="129" t="n"/>
      <c r="AI728" s="129">
        <f>SQRT((((VLOOKUP($AT$4,$A$4:$D$1021,4,FALSE))-D728)^2)+(((VLOOKUP($AT$4,$A$4:$E$1021,5,FALSE))-E728)^2)+(((VLOOKUP($AT$4,$A$4:$R$1021,18,FALSE))-R728)^2)+(((VLOOKUP($AT$4,$A$4:$S$1021,19,FALSE))-S728)^2))</f>
        <v/>
      </c>
      <c r="AJ728" s="125" t="inlineStr">
        <is>
          <t>HY800X172</t>
        </is>
      </c>
      <c r="AK728" s="125" t="n"/>
      <c r="AL728" s="125" t="n"/>
      <c r="AM728" s="125">
        <f>SQRT(((VLOOKUP($AT$4,$A$4:$J$1021,10,FALSE))-J728)^2)</f>
        <v/>
      </c>
      <c r="AN728" s="125" t="n"/>
      <c r="AO728" s="125" t="n"/>
      <c r="AP728" s="125">
        <f>SQRT(((VLOOKUP($AT$4,$A$4:$R$1021,18,FALSE))-R728)^2)</f>
        <v/>
      </c>
      <c r="AQ728" s="125" t="inlineStr">
        <is>
          <t>HY800X172</t>
        </is>
      </c>
      <c r="BB728" s="125">
        <f>SQRT(($J$1022-J728)^2)</f>
        <v/>
      </c>
      <c r="BC728" s="125">
        <f>SQRT(($R$1022-R728)^2)</f>
        <v/>
      </c>
      <c r="BD728" s="125" t="inlineStr">
        <is>
          <t>HY800X172</t>
        </is>
      </c>
      <c r="BI728">
        <f>SQRT(($J$1023-J728)^2)</f>
        <v/>
      </c>
      <c r="BJ728">
        <f>SQRT(($R$1023-R728)^2)</f>
        <v/>
      </c>
      <c r="BK728" s="125" t="inlineStr">
        <is>
          <t>HY800X172</t>
        </is>
      </c>
      <c r="BP728">
        <f>SQRT(($J$1024-J728)^2)</f>
        <v/>
      </c>
      <c r="BQ728">
        <f>SQRT(($R$1024-R728)^2)</f>
        <v/>
      </c>
      <c r="BR728" s="125" t="inlineStr">
        <is>
          <t>HY800X172</t>
        </is>
      </c>
      <c r="BW728">
        <f>SQRT(($J$1025-J728)^2)</f>
        <v/>
      </c>
      <c r="BX728">
        <f>SQRT(($R$1025-R728)^2)</f>
        <v/>
      </c>
      <c r="BY728" s="125" t="inlineStr">
        <is>
          <t>HY800X172</t>
        </is>
      </c>
      <c r="CD728">
        <f>SQRT(($J$1026-J728)^2)</f>
        <v/>
      </c>
      <c r="CE728">
        <f>SQRT(($R$1026-R728)^2)</f>
        <v/>
      </c>
      <c r="CF728" s="125" t="inlineStr">
        <is>
          <t>HY800X172</t>
        </is>
      </c>
    </row>
    <row r="729">
      <c r="A729" s="125" t="inlineStr">
        <is>
          <t>HY800X171</t>
        </is>
      </c>
      <c r="B729" s="129" t="inlineStr">
        <is>
          <t>HY</t>
        </is>
      </c>
      <c r="C729" s="125" t="n">
        <v>171</v>
      </c>
      <c r="D729" s="125" t="n">
        <v>800</v>
      </c>
      <c r="E729" s="125" t="n">
        <v>250</v>
      </c>
      <c r="F729" s="125" t="n">
        <v>25</v>
      </c>
      <c r="G729" s="125" t="n">
        <v>12</v>
      </c>
      <c r="H729" s="125" t="n">
        <v>18</v>
      </c>
      <c r="I729" s="125">
        <f>D729-(2*(H729+F729))</f>
        <v/>
      </c>
      <c r="J729" s="125">
        <f>(2*E729/10*F729/10)+((D729-F729-F729)/10*G729/10)+((H729/10+H729/10)^2)-(PI()*H729/10*H729/10)</f>
        <v/>
      </c>
      <c r="K729" s="125">
        <f>((E729-G729)/2)/F729</f>
        <v/>
      </c>
      <c r="L729" s="125">
        <f>I729/G729</f>
        <v/>
      </c>
      <c r="M729" s="125">
        <f>(E729*2+F729*4+((E729-G729)/2-H729)*4+2*PI()*H729+(D729-2*F729-2*H729)*2)/1000</f>
        <v/>
      </c>
      <c r="N729" s="5" t="n">
        <v>234000</v>
      </c>
      <c r="O729" s="5" t="n">
        <v>6520</v>
      </c>
      <c r="P729" s="125" t="n">
        <v>32.8</v>
      </c>
      <c r="Q729" s="125" t="n">
        <v>5.5</v>
      </c>
      <c r="R729" s="5" t="n">
        <v>5840</v>
      </c>
      <c r="S729" s="125" t="n">
        <v>522</v>
      </c>
      <c r="T729" s="5" t="n">
        <v>6630</v>
      </c>
      <c r="U729" s="125" t="n">
        <v>811</v>
      </c>
      <c r="X729" s="129">
        <f t="array" ref="X729">_xlfn.IFS((D729/F729) &lt;= (640/SQRT($AT$32)), "Compact", L729 &lt;= ($AT$32*(0.79-(0.002*((E729-G729/2)/(2*F729))*SQRT($AT$32)))), "Non-Compact", L729 &gt; ($AT$32*(0.79-(0.002*((E729-G729/2)/(2*F729))*SQRT($AT$32)))), "Slender")</f>
        <v/>
      </c>
      <c r="Y729" s="129">
        <f t="array" ref="Y729">_xlfn.IFS(K729 &lt;= (65/SQRT($AT$32)), "Compact", K729 &lt;= (95/SQRT($AT$32)), "Non-Compact", K729 &gt; (95/SQRT($AT$32)), "Slender")</f>
        <v/>
      </c>
      <c r="Z729" s="125">
        <f>E729/F729</f>
        <v/>
      </c>
      <c r="AA729" s="125">
        <f>D729/G729</f>
        <v/>
      </c>
      <c r="AB729" s="125">
        <f t="array" ref="AB729">_xlfn.IFS(Z729 &lt;= 9, "1", Z729 &lt;= 12, "2", Z729 &lt;= 15, "3", Z729 &gt; 15, "4")</f>
        <v/>
      </c>
      <c r="AC729" s="125">
        <f t="array" ref="AC729">_xlfn.IFS(AA729 &lt;= 200, "1", L729 &lt;= 300, "2", L729 &lt;= 400, "3", L729 &gt; 400, "4")</f>
        <v/>
      </c>
      <c r="AF729" s="129">
        <f>SQRT((((VLOOKUP($AT$4,$A$4:$D$1021,4,FALSE))-D729)^2)+(((VLOOKUP($AT$4,$A$4:$E$1021,5,FALSE))-E729)^2)+(((VLOOKUP($AT$4,$A$4:$N$1021,14,FALSE))-N729)^2)+(((VLOOKUP($AT$4,$A$4:$O$1021,15,FALSE))-O729)^2))</f>
        <v/>
      </c>
      <c r="AG729" s="129" t="n"/>
      <c r="AI729" s="129">
        <f>SQRT((((VLOOKUP($AT$4,$A$4:$D$1021,4,FALSE))-D729)^2)+(((VLOOKUP($AT$4,$A$4:$E$1021,5,FALSE))-E729)^2)+(((VLOOKUP($AT$4,$A$4:$R$1021,18,FALSE))-R729)^2)+(((VLOOKUP($AT$4,$A$4:$S$1021,19,FALSE))-S729)^2))</f>
        <v/>
      </c>
      <c r="AJ729" s="125" t="inlineStr">
        <is>
          <t>HY800X171</t>
        </is>
      </c>
      <c r="AK729" s="125" t="n"/>
      <c r="AL729" s="125" t="n"/>
      <c r="AM729" s="125">
        <f>SQRT(((VLOOKUP($AT$4,$A$4:$J$1021,10,FALSE))-J729)^2)</f>
        <v/>
      </c>
      <c r="AN729" s="125" t="n"/>
      <c r="AO729" s="125" t="n"/>
      <c r="AP729" s="125">
        <f>SQRT(((VLOOKUP($AT$4,$A$4:$R$1021,18,FALSE))-R729)^2)</f>
        <v/>
      </c>
      <c r="AQ729" s="125" t="inlineStr">
        <is>
          <t>HY800X171</t>
        </is>
      </c>
      <c r="BB729" s="125">
        <f>SQRT(($J$1022-J729)^2)</f>
        <v/>
      </c>
      <c r="BC729" s="125">
        <f>SQRT(($R$1022-R729)^2)</f>
        <v/>
      </c>
      <c r="BD729" s="125" t="inlineStr">
        <is>
          <t>HY800X171</t>
        </is>
      </c>
      <c r="BI729">
        <f>SQRT(($J$1023-J729)^2)</f>
        <v/>
      </c>
      <c r="BJ729">
        <f>SQRT(($R$1023-R729)^2)</f>
        <v/>
      </c>
      <c r="BK729" s="125" t="inlineStr">
        <is>
          <t>HY800X171</t>
        </is>
      </c>
      <c r="BP729">
        <f>SQRT(($J$1024-J729)^2)</f>
        <v/>
      </c>
      <c r="BQ729">
        <f>SQRT(($R$1024-R729)^2)</f>
        <v/>
      </c>
      <c r="BR729" s="125" t="inlineStr">
        <is>
          <t>HY800X171</t>
        </is>
      </c>
      <c r="BW729">
        <f>SQRT(($J$1025-J729)^2)</f>
        <v/>
      </c>
      <c r="BX729">
        <f>SQRT(($R$1025-R729)^2)</f>
        <v/>
      </c>
      <c r="BY729" s="125" t="inlineStr">
        <is>
          <t>HY800X171</t>
        </is>
      </c>
      <c r="CD729">
        <f>SQRT(($J$1026-J729)^2)</f>
        <v/>
      </c>
      <c r="CE729">
        <f>SQRT(($R$1026-R729)^2)</f>
        <v/>
      </c>
      <c r="CF729" s="125" t="inlineStr">
        <is>
          <t>HY800X171</t>
        </is>
      </c>
    </row>
    <row r="730">
      <c r="A730" s="125" t="inlineStr">
        <is>
          <t>HY800X160</t>
        </is>
      </c>
      <c r="B730" s="129" t="inlineStr">
        <is>
          <t>HY</t>
        </is>
      </c>
      <c r="C730" s="125" t="n">
        <v>160</v>
      </c>
      <c r="D730" s="125" t="n">
        <v>800</v>
      </c>
      <c r="E730" s="125" t="n">
        <v>250</v>
      </c>
      <c r="F730" s="125" t="n">
        <v>22</v>
      </c>
      <c r="G730" s="125" t="n">
        <v>12</v>
      </c>
      <c r="H730" s="125" t="n">
        <v>18</v>
      </c>
      <c r="I730" s="125">
        <f>D730-(2*(H730+F730))</f>
        <v/>
      </c>
      <c r="J730" s="125">
        <f>(2*E730/10*F730/10)+((D730-F730-F730)/10*G730/10)+((H730/10+H730/10)^2)-(PI()*H730/10*H730/10)</f>
        <v/>
      </c>
      <c r="K730" s="125">
        <f>((E730-G730)/2)/F730</f>
        <v/>
      </c>
      <c r="L730" s="125">
        <f>I730/G730</f>
        <v/>
      </c>
      <c r="M730" s="125">
        <f>(E730*2+F730*4+((E730-G730)/2-H730)*4+2*PI()*H730+(D730-2*F730-2*H730)*2)/1000</f>
        <v/>
      </c>
      <c r="N730" s="5" t="n">
        <v>214000</v>
      </c>
      <c r="O730" s="5" t="n">
        <v>5740</v>
      </c>
      <c r="P730" s="125" t="n">
        <v>32.4</v>
      </c>
      <c r="Q730" s="125" t="n">
        <v>5.3</v>
      </c>
      <c r="R730" s="5" t="n">
        <v>5340</v>
      </c>
      <c r="S730" s="125" t="n">
        <v>459</v>
      </c>
      <c r="T730" s="5" t="n">
        <v>6100</v>
      </c>
      <c r="U730" s="125" t="n">
        <v>718</v>
      </c>
      <c r="X730" s="129">
        <f t="array" ref="X730">_xlfn.IFS((D730/F730) &lt;= (640/SQRT($AT$32)), "Compact", L730 &lt;= ($AT$32*(0.79-(0.002*((E730-G730/2)/(2*F730))*SQRT($AT$32)))), "Non-Compact", L730 &gt; ($AT$32*(0.79-(0.002*((E730-G730/2)/(2*F730))*SQRT($AT$32)))), "Slender")</f>
        <v/>
      </c>
      <c r="Y730" s="129">
        <f t="array" ref="Y730">_xlfn.IFS(K730 &lt;= (65/SQRT($AT$32)), "Compact", K730 &lt;= (95/SQRT($AT$32)), "Non-Compact", K730 &gt; (95/SQRT($AT$32)), "Slender")</f>
        <v/>
      </c>
      <c r="Z730" s="125">
        <f>E730/F730</f>
        <v/>
      </c>
      <c r="AA730" s="125">
        <f>D730/G730</f>
        <v/>
      </c>
      <c r="AB730" s="125">
        <f t="array" ref="AB730">_xlfn.IFS(Z730 &lt;= 9, "1", Z730 &lt;= 12, "2", Z730 &lt;= 15, "3", Z730 &gt; 15, "4")</f>
        <v/>
      </c>
      <c r="AC730" s="125">
        <f t="array" ref="AC730">_xlfn.IFS(AA730 &lt;= 200, "1", L730 &lt;= 300, "2", L730 &lt;= 400, "3", L730 &gt; 400, "4")</f>
        <v/>
      </c>
      <c r="AF730" s="129">
        <f>SQRT((((VLOOKUP($AT$4,$A$4:$D$1021,4,FALSE))-D730)^2)+(((VLOOKUP($AT$4,$A$4:$E$1021,5,FALSE))-E730)^2)+(((VLOOKUP($AT$4,$A$4:$N$1021,14,FALSE))-N730)^2)+(((VLOOKUP($AT$4,$A$4:$O$1021,15,FALSE))-O730)^2))</f>
        <v/>
      </c>
      <c r="AG730" s="129" t="n"/>
      <c r="AI730" s="129">
        <f>SQRT((((VLOOKUP($AT$4,$A$4:$D$1021,4,FALSE))-D730)^2)+(((VLOOKUP($AT$4,$A$4:$E$1021,5,FALSE))-E730)^2)+(((VLOOKUP($AT$4,$A$4:$R$1021,18,FALSE))-R730)^2)+(((VLOOKUP($AT$4,$A$4:$S$1021,19,FALSE))-S730)^2))</f>
        <v/>
      </c>
      <c r="AJ730" s="125" t="inlineStr">
        <is>
          <t>HY800X160</t>
        </is>
      </c>
      <c r="AK730" s="125" t="n"/>
      <c r="AL730" s="125" t="n"/>
      <c r="AM730" s="125">
        <f>SQRT(((VLOOKUP($AT$4,$A$4:$J$1021,10,FALSE))-J730)^2)</f>
        <v/>
      </c>
      <c r="AN730" s="125" t="n"/>
      <c r="AO730" s="125" t="n"/>
      <c r="AP730" s="125">
        <f>SQRT(((VLOOKUP($AT$4,$A$4:$R$1021,18,FALSE))-R730)^2)</f>
        <v/>
      </c>
      <c r="AQ730" s="125" t="inlineStr">
        <is>
          <t>HY800X160</t>
        </is>
      </c>
      <c r="BB730" s="125">
        <f>SQRT(($J$1022-J730)^2)</f>
        <v/>
      </c>
      <c r="BC730" s="125">
        <f>SQRT(($R$1022-R730)^2)</f>
        <v/>
      </c>
      <c r="BD730" s="125" t="inlineStr">
        <is>
          <t>HY800X160</t>
        </is>
      </c>
      <c r="BI730">
        <f>SQRT(($J$1023-J730)^2)</f>
        <v/>
      </c>
      <c r="BJ730">
        <f>SQRT(($R$1023-R730)^2)</f>
        <v/>
      </c>
      <c r="BK730" s="125" t="inlineStr">
        <is>
          <t>HY800X160</t>
        </is>
      </c>
      <c r="BP730">
        <f>SQRT(($J$1024-J730)^2)</f>
        <v/>
      </c>
      <c r="BQ730">
        <f>SQRT(($R$1024-R730)^2)</f>
        <v/>
      </c>
      <c r="BR730" s="125" t="inlineStr">
        <is>
          <t>HY800X160</t>
        </is>
      </c>
      <c r="BW730">
        <f>SQRT(($J$1025-J730)^2)</f>
        <v/>
      </c>
      <c r="BX730">
        <f>SQRT(($R$1025-R730)^2)</f>
        <v/>
      </c>
      <c r="BY730" s="125" t="inlineStr">
        <is>
          <t>HY800X160</t>
        </is>
      </c>
      <c r="CD730">
        <f>SQRT(($J$1026-J730)^2)</f>
        <v/>
      </c>
      <c r="CE730">
        <f>SQRT(($R$1026-R730)^2)</f>
        <v/>
      </c>
      <c r="CF730" s="125" t="inlineStr">
        <is>
          <t>HY800X160</t>
        </is>
      </c>
    </row>
    <row r="731">
      <c r="A731" s="125" t="inlineStr">
        <is>
          <t>HY750X313</t>
        </is>
      </c>
      <c r="B731" s="129" t="inlineStr">
        <is>
          <t>HY</t>
        </is>
      </c>
      <c r="C731" s="125" t="n">
        <v>313</v>
      </c>
      <c r="D731" s="125" t="n">
        <v>750</v>
      </c>
      <c r="E731" s="125" t="n">
        <v>400</v>
      </c>
      <c r="F731" s="125" t="n">
        <v>36</v>
      </c>
      <c r="G731" s="125" t="n">
        <v>16</v>
      </c>
      <c r="H731" s="125" t="n">
        <v>18</v>
      </c>
      <c r="I731" s="125">
        <f>D731-(2*(H731+F731))</f>
        <v/>
      </c>
      <c r="J731" s="125">
        <f>(2*E731/10*F731/10)+((D731-F731-F731)/10*G731/10)+((H731/10+H731/10)^2)-(PI()*H731/10*H731/10)</f>
        <v/>
      </c>
      <c r="K731" s="125">
        <f>((E731-G731)/2)/F731</f>
        <v/>
      </c>
      <c r="L731" s="125">
        <f>I731/G731</f>
        <v/>
      </c>
      <c r="M731" s="125">
        <f>(E731*2+F731*4+((E731-G731)/2-H731)*4+2*PI()*H731+(D731-2*F731-2*H731)*2)/1000</f>
        <v/>
      </c>
      <c r="N731" s="5" t="n">
        <v>412000</v>
      </c>
      <c r="O731" s="5" t="n">
        <v>38400</v>
      </c>
      <c r="P731" s="125" t="n">
        <v>32.1</v>
      </c>
      <c r="Q731" s="125" t="n">
        <v>9.800000000000001</v>
      </c>
      <c r="R731" s="5" t="n">
        <v>11000</v>
      </c>
      <c r="S731" s="5" t="n">
        <v>1920</v>
      </c>
      <c r="T731" s="5" t="n">
        <v>12200</v>
      </c>
      <c r="U731" s="5" t="n">
        <v>2930</v>
      </c>
      <c r="X731" s="129">
        <f t="array" ref="X731">_xlfn.IFS((D731/F731) &lt;= (640/SQRT($AT$32)), "Compact", L731 &lt;= ($AT$32*(0.79-(0.002*((E731-G731/2)/(2*F731))*SQRT($AT$32)))), "Non-Compact", L731 &gt; ($AT$32*(0.79-(0.002*((E731-G731/2)/(2*F731))*SQRT($AT$32)))), "Slender")</f>
        <v/>
      </c>
      <c r="Y731" s="129">
        <f t="array" ref="Y731">_xlfn.IFS(K731 &lt;= (65/SQRT($AT$32)), "Compact", K731 &lt;= (95/SQRT($AT$32)), "Non-Compact", K731 &gt; (95/SQRT($AT$32)), "Slender")</f>
        <v/>
      </c>
      <c r="Z731" s="125">
        <f>E731/F731</f>
        <v/>
      </c>
      <c r="AA731" s="125">
        <f>D731/G731</f>
        <v/>
      </c>
      <c r="AB731" s="125">
        <f t="array" ref="AB731">_xlfn.IFS(Z731 &lt;= 9, "1", Z731 &lt;= 12, "2", Z731 &lt;= 15, "3", Z731 &gt; 15, "4")</f>
        <v/>
      </c>
      <c r="AC731" s="125">
        <f t="array" ref="AC731">_xlfn.IFS(AA731 &lt;= 200, "1", L731 &lt;= 300, "2", L731 &lt;= 400, "3", L731 &gt; 400, "4")</f>
        <v/>
      </c>
      <c r="AF731" s="129">
        <f>SQRT((((VLOOKUP($AT$4,$A$4:$D$1021,4,FALSE))-D731)^2)+(((VLOOKUP($AT$4,$A$4:$E$1021,5,FALSE))-E731)^2)+(((VLOOKUP($AT$4,$A$4:$N$1021,14,FALSE))-N731)^2)+(((VLOOKUP($AT$4,$A$4:$O$1021,15,FALSE))-O731)^2))</f>
        <v/>
      </c>
      <c r="AG731" s="129" t="n"/>
      <c r="AI731" s="129">
        <f>SQRT((((VLOOKUP($AT$4,$A$4:$D$1021,4,FALSE))-D731)^2)+(((VLOOKUP($AT$4,$A$4:$E$1021,5,FALSE))-E731)^2)+(((VLOOKUP($AT$4,$A$4:$R$1021,18,FALSE))-R731)^2)+(((VLOOKUP($AT$4,$A$4:$S$1021,19,FALSE))-S731)^2))</f>
        <v/>
      </c>
      <c r="AJ731" s="125" t="inlineStr">
        <is>
          <t>HY750X313</t>
        </is>
      </c>
      <c r="AK731" s="125" t="n"/>
      <c r="AL731" s="125" t="n"/>
      <c r="AM731" s="125">
        <f>SQRT(((VLOOKUP($AT$4,$A$4:$J$1021,10,FALSE))-J731)^2)</f>
        <v/>
      </c>
      <c r="AN731" s="125" t="n"/>
      <c r="AO731" s="125" t="n"/>
      <c r="AP731" s="125">
        <f>SQRT(((VLOOKUP($AT$4,$A$4:$R$1021,18,FALSE))-R731)^2)</f>
        <v/>
      </c>
      <c r="AQ731" s="125" t="inlineStr">
        <is>
          <t>HY750X313</t>
        </is>
      </c>
      <c r="BB731" s="125">
        <f>SQRT(($J$1022-J731)^2)</f>
        <v/>
      </c>
      <c r="BC731" s="125">
        <f>SQRT(($R$1022-R731)^2)</f>
        <v/>
      </c>
      <c r="BD731" s="125" t="inlineStr">
        <is>
          <t>HY750X313</t>
        </is>
      </c>
      <c r="BI731">
        <f>SQRT(($J$1023-J731)^2)</f>
        <v/>
      </c>
      <c r="BJ731">
        <f>SQRT(($R$1023-R731)^2)</f>
        <v/>
      </c>
      <c r="BK731" s="125" t="inlineStr">
        <is>
          <t>HY750X313</t>
        </is>
      </c>
      <c r="BP731">
        <f>SQRT(($J$1024-J731)^2)</f>
        <v/>
      </c>
      <c r="BQ731">
        <f>SQRT(($R$1024-R731)^2)</f>
        <v/>
      </c>
      <c r="BR731" s="125" t="inlineStr">
        <is>
          <t>HY750X313</t>
        </is>
      </c>
      <c r="BW731">
        <f>SQRT(($J$1025-J731)^2)</f>
        <v/>
      </c>
      <c r="BX731">
        <f>SQRT(($R$1025-R731)^2)</f>
        <v/>
      </c>
      <c r="BY731" s="125" t="inlineStr">
        <is>
          <t>HY750X313</t>
        </is>
      </c>
      <c r="CD731">
        <f>SQRT(($J$1026-J731)^2)</f>
        <v/>
      </c>
      <c r="CE731">
        <f>SQRT(($R$1026-R731)^2)</f>
        <v/>
      </c>
      <c r="CF731" s="125" t="inlineStr">
        <is>
          <t>HY750X313</t>
        </is>
      </c>
    </row>
    <row r="732">
      <c r="A732" s="125" t="inlineStr">
        <is>
          <t>HY750X289</t>
        </is>
      </c>
      <c r="B732" s="129" t="inlineStr">
        <is>
          <t>HY</t>
        </is>
      </c>
      <c r="C732" s="125" t="n">
        <v>289</v>
      </c>
      <c r="D732" s="125" t="n">
        <v>750</v>
      </c>
      <c r="E732" s="125" t="n">
        <v>400</v>
      </c>
      <c r="F732" s="125" t="n">
        <v>32</v>
      </c>
      <c r="G732" s="125" t="n">
        <v>16</v>
      </c>
      <c r="H732" s="125" t="n">
        <v>18</v>
      </c>
      <c r="I732" s="125">
        <f>D732-(2*(H732+F732))</f>
        <v/>
      </c>
      <c r="J732" s="125">
        <f>(2*E732/10*F732/10)+((D732-F732-F732)/10*G732/10)+((H732/10+H732/10)^2)-(PI()*H732/10*H732/10)</f>
        <v/>
      </c>
      <c r="K732" s="125">
        <f>((E732-G732)/2)/F732</f>
        <v/>
      </c>
      <c r="L732" s="125">
        <f>I732/G732</f>
        <v/>
      </c>
      <c r="M732" s="125">
        <f>(E732*2+F732*4+((E732-G732)/2-H732)*4+2*PI()*H732+(D732-2*F732-2*H732)*2)/1000</f>
        <v/>
      </c>
      <c r="N732" s="5" t="n">
        <v>376000</v>
      </c>
      <c r="O732" s="5" t="n">
        <v>34200</v>
      </c>
      <c r="P732" s="125" t="n">
        <v>32</v>
      </c>
      <c r="Q732" s="125" t="n">
        <v>9.6</v>
      </c>
      <c r="R732" s="5" t="n">
        <v>10000</v>
      </c>
      <c r="S732" s="5" t="n">
        <v>1710</v>
      </c>
      <c r="T732" s="5" t="n">
        <v>11200</v>
      </c>
      <c r="U732" s="5" t="n">
        <v>2610</v>
      </c>
      <c r="X732" s="129">
        <f t="array" ref="X732">_xlfn.IFS((D732/F732) &lt;= (640/SQRT($AT$32)), "Compact", L732 &lt;= ($AT$32*(0.79-(0.002*((E732-G732/2)/(2*F732))*SQRT($AT$32)))), "Non-Compact", L732 &gt; ($AT$32*(0.79-(0.002*((E732-G732/2)/(2*F732))*SQRT($AT$32)))), "Slender")</f>
        <v/>
      </c>
      <c r="Y732" s="129">
        <f t="array" ref="Y732">_xlfn.IFS(K732 &lt;= (65/SQRT($AT$32)), "Compact", K732 &lt;= (95/SQRT($AT$32)), "Non-Compact", K732 &gt; (95/SQRT($AT$32)), "Slender")</f>
        <v/>
      </c>
      <c r="Z732" s="125">
        <f>E732/F732</f>
        <v/>
      </c>
      <c r="AA732" s="125">
        <f>D732/G732</f>
        <v/>
      </c>
      <c r="AB732" s="125">
        <f t="array" ref="AB732">_xlfn.IFS(Z732 &lt;= 9, "1", Z732 &lt;= 12, "2", Z732 &lt;= 15, "3", Z732 &gt; 15, "4")</f>
        <v/>
      </c>
      <c r="AC732" s="125">
        <f t="array" ref="AC732">_xlfn.IFS(AA732 &lt;= 200, "1", L732 &lt;= 300, "2", L732 &lt;= 400, "3", L732 &gt; 400, "4")</f>
        <v/>
      </c>
      <c r="AF732" s="129">
        <f>SQRT((((VLOOKUP($AT$4,$A$4:$D$1021,4,FALSE))-D732)^2)+(((VLOOKUP($AT$4,$A$4:$E$1021,5,FALSE))-E732)^2)+(((VLOOKUP($AT$4,$A$4:$N$1021,14,FALSE))-N732)^2)+(((VLOOKUP($AT$4,$A$4:$O$1021,15,FALSE))-O732)^2))</f>
        <v/>
      </c>
      <c r="AG732" s="129" t="n"/>
      <c r="AI732" s="129">
        <f>SQRT((((VLOOKUP($AT$4,$A$4:$D$1021,4,FALSE))-D732)^2)+(((VLOOKUP($AT$4,$A$4:$E$1021,5,FALSE))-E732)^2)+(((VLOOKUP($AT$4,$A$4:$R$1021,18,FALSE))-R732)^2)+(((VLOOKUP($AT$4,$A$4:$S$1021,19,FALSE))-S732)^2))</f>
        <v/>
      </c>
      <c r="AJ732" s="125" t="inlineStr">
        <is>
          <t>HY750X289</t>
        </is>
      </c>
      <c r="AK732" s="125" t="n"/>
      <c r="AL732" s="125" t="n"/>
      <c r="AM732" s="125">
        <f>SQRT(((VLOOKUP($AT$4,$A$4:$J$1021,10,FALSE))-J732)^2)</f>
        <v/>
      </c>
      <c r="AN732" s="125" t="n"/>
      <c r="AO732" s="125" t="n"/>
      <c r="AP732" s="125">
        <f>SQRT(((VLOOKUP($AT$4,$A$4:$R$1021,18,FALSE))-R732)^2)</f>
        <v/>
      </c>
      <c r="AQ732" s="125" t="inlineStr">
        <is>
          <t>HY750X289</t>
        </is>
      </c>
      <c r="BB732" s="125">
        <f>SQRT(($J$1022-J732)^2)</f>
        <v/>
      </c>
      <c r="BC732" s="125">
        <f>SQRT(($R$1022-R732)^2)</f>
        <v/>
      </c>
      <c r="BD732" s="125" t="inlineStr">
        <is>
          <t>HY750X289</t>
        </is>
      </c>
      <c r="BI732">
        <f>SQRT(($J$1023-J732)^2)</f>
        <v/>
      </c>
      <c r="BJ732">
        <f>SQRT(($R$1023-R732)^2)</f>
        <v/>
      </c>
      <c r="BK732" s="125" t="inlineStr">
        <is>
          <t>HY750X289</t>
        </is>
      </c>
      <c r="BP732">
        <f>SQRT(($J$1024-J732)^2)</f>
        <v/>
      </c>
      <c r="BQ732">
        <f>SQRT(($R$1024-R732)^2)</f>
        <v/>
      </c>
      <c r="BR732" s="125" t="inlineStr">
        <is>
          <t>HY750X289</t>
        </is>
      </c>
      <c r="BW732">
        <f>SQRT(($J$1025-J732)^2)</f>
        <v/>
      </c>
      <c r="BX732">
        <f>SQRT(($R$1025-R732)^2)</f>
        <v/>
      </c>
      <c r="BY732" s="125" t="inlineStr">
        <is>
          <t>HY750X289</t>
        </is>
      </c>
      <c r="CD732">
        <f>SQRT(($J$1026-J732)^2)</f>
        <v/>
      </c>
      <c r="CE732">
        <f>SQRT(($R$1026-R732)^2)</f>
        <v/>
      </c>
      <c r="CF732" s="125" t="inlineStr">
        <is>
          <t>HY750X289</t>
        </is>
      </c>
    </row>
    <row r="733">
      <c r="A733" s="125" t="inlineStr">
        <is>
          <t>HY750X265</t>
        </is>
      </c>
      <c r="B733" s="129" t="inlineStr">
        <is>
          <t>HY</t>
        </is>
      </c>
      <c r="C733" s="125" t="n">
        <v>265</v>
      </c>
      <c r="D733" s="125" t="n">
        <v>750</v>
      </c>
      <c r="E733" s="125" t="n">
        <v>400</v>
      </c>
      <c r="F733" s="125" t="n">
        <v>28</v>
      </c>
      <c r="G733" s="125" t="n">
        <v>16</v>
      </c>
      <c r="H733" s="125" t="n">
        <v>18</v>
      </c>
      <c r="I733" s="125">
        <f>D733-(2*(H733+F733))</f>
        <v/>
      </c>
      <c r="J733" s="125">
        <f>(2*E733/10*F733/10)+((D733-F733-F733)/10*G733/10)+((H733/10+H733/10)^2)-(PI()*H733/10*H733/10)</f>
        <v/>
      </c>
      <c r="K733" s="125">
        <f>((E733-G733)/2)/F733</f>
        <v/>
      </c>
      <c r="L733" s="125">
        <f>I733/G733</f>
        <v/>
      </c>
      <c r="M733" s="125">
        <f>(E733*2+F733*4+((E733-G733)/2-H733)*4+2*PI()*H733+(D733-2*F733-2*H733)*2)/1000</f>
        <v/>
      </c>
      <c r="N733" s="5" t="n">
        <v>340000</v>
      </c>
      <c r="O733" s="5" t="n">
        <v>29900</v>
      </c>
      <c r="P733" s="125" t="n">
        <v>31.7</v>
      </c>
      <c r="Q733" s="125" t="n">
        <v>9.4</v>
      </c>
      <c r="R733" s="5" t="n">
        <v>9060</v>
      </c>
      <c r="S733" s="5" t="n">
        <v>1490</v>
      </c>
      <c r="T733" s="5" t="n">
        <v>10100</v>
      </c>
      <c r="U733" s="5" t="n">
        <v>2290</v>
      </c>
      <c r="X733" s="129">
        <f t="array" ref="X733">_xlfn.IFS((D733/F733) &lt;= (640/SQRT($AT$32)), "Compact", L733 &lt;= ($AT$32*(0.79-(0.002*((E733-G733/2)/(2*F733))*SQRT($AT$32)))), "Non-Compact", L733 &gt; ($AT$32*(0.79-(0.002*((E733-G733/2)/(2*F733))*SQRT($AT$32)))), "Slender")</f>
        <v/>
      </c>
      <c r="Y733" s="129">
        <f t="array" ref="Y733">_xlfn.IFS(K733 &lt;= (65/SQRT($AT$32)), "Compact", K733 &lt;= (95/SQRT($AT$32)), "Non-Compact", K733 &gt; (95/SQRT($AT$32)), "Slender")</f>
        <v/>
      </c>
      <c r="Z733" s="125">
        <f>E733/F733</f>
        <v/>
      </c>
      <c r="AA733" s="125">
        <f>D733/G733</f>
        <v/>
      </c>
      <c r="AB733" s="125">
        <f t="array" ref="AB733">_xlfn.IFS(Z733 &lt;= 9, "1", Z733 &lt;= 12, "2", Z733 &lt;= 15, "3", Z733 &gt; 15, "4")</f>
        <v/>
      </c>
      <c r="AC733" s="125">
        <f t="array" ref="AC733">_xlfn.IFS(AA733 &lt;= 200, "1", L733 &lt;= 300, "2", L733 &lt;= 400, "3", L733 &gt; 400, "4")</f>
        <v/>
      </c>
      <c r="AF733" s="129">
        <f>SQRT((((VLOOKUP($AT$4,$A$4:$D$1021,4,FALSE))-D733)^2)+(((VLOOKUP($AT$4,$A$4:$E$1021,5,FALSE))-E733)^2)+(((VLOOKUP($AT$4,$A$4:$N$1021,14,FALSE))-N733)^2)+(((VLOOKUP($AT$4,$A$4:$O$1021,15,FALSE))-O733)^2))</f>
        <v/>
      </c>
      <c r="AG733" s="129" t="n"/>
      <c r="AI733" s="129">
        <f>SQRT((((VLOOKUP($AT$4,$A$4:$D$1021,4,FALSE))-D733)^2)+(((VLOOKUP($AT$4,$A$4:$E$1021,5,FALSE))-E733)^2)+(((VLOOKUP($AT$4,$A$4:$R$1021,18,FALSE))-R733)^2)+(((VLOOKUP($AT$4,$A$4:$S$1021,19,FALSE))-S733)^2))</f>
        <v/>
      </c>
      <c r="AJ733" s="125" t="inlineStr">
        <is>
          <t>HY750X265</t>
        </is>
      </c>
      <c r="AK733" s="125" t="n"/>
      <c r="AL733" s="125" t="n"/>
      <c r="AM733" s="125">
        <f>SQRT(((VLOOKUP($AT$4,$A$4:$J$1021,10,FALSE))-J733)^2)</f>
        <v/>
      </c>
      <c r="AN733" s="125" t="n"/>
      <c r="AO733" s="125" t="n"/>
      <c r="AP733" s="125">
        <f>SQRT(((VLOOKUP($AT$4,$A$4:$R$1021,18,FALSE))-R733)^2)</f>
        <v/>
      </c>
      <c r="AQ733" s="125" t="inlineStr">
        <is>
          <t>HY750X265</t>
        </is>
      </c>
      <c r="BB733" s="125">
        <f>SQRT(($J$1022-J733)^2)</f>
        <v/>
      </c>
      <c r="BC733" s="125">
        <f>SQRT(($R$1022-R733)^2)</f>
        <v/>
      </c>
      <c r="BD733" s="125" t="inlineStr">
        <is>
          <t>HY750X265</t>
        </is>
      </c>
      <c r="BI733">
        <f>SQRT(($J$1023-J733)^2)</f>
        <v/>
      </c>
      <c r="BJ733">
        <f>SQRT(($R$1023-R733)^2)</f>
        <v/>
      </c>
      <c r="BK733" s="125" t="inlineStr">
        <is>
          <t>HY750X265</t>
        </is>
      </c>
      <c r="BP733">
        <f>SQRT(($J$1024-J733)^2)</f>
        <v/>
      </c>
      <c r="BQ733">
        <f>SQRT(($R$1024-R733)^2)</f>
        <v/>
      </c>
      <c r="BR733" s="125" t="inlineStr">
        <is>
          <t>HY750X265</t>
        </is>
      </c>
      <c r="BW733">
        <f>SQRT(($J$1025-J733)^2)</f>
        <v/>
      </c>
      <c r="BX733">
        <f>SQRT(($R$1025-R733)^2)</f>
        <v/>
      </c>
      <c r="BY733" s="125" t="inlineStr">
        <is>
          <t>HY750X265</t>
        </is>
      </c>
      <c r="CD733">
        <f>SQRT(($J$1026-J733)^2)</f>
        <v/>
      </c>
      <c r="CE733">
        <f>SQRT(($R$1026-R733)^2)</f>
        <v/>
      </c>
      <c r="CF733" s="125" t="inlineStr">
        <is>
          <t>HY750X265</t>
        </is>
      </c>
    </row>
    <row r="734">
      <c r="A734" s="125" t="inlineStr">
        <is>
          <t>HY750X247</t>
        </is>
      </c>
      <c r="B734" s="129" t="inlineStr">
        <is>
          <t>HY</t>
        </is>
      </c>
      <c r="C734" s="125" t="n">
        <v>247</v>
      </c>
      <c r="D734" s="125" t="n">
        <v>750</v>
      </c>
      <c r="E734" s="125" t="n">
        <v>400</v>
      </c>
      <c r="F734" s="125" t="n">
        <v>25</v>
      </c>
      <c r="G734" s="125" t="n">
        <v>16</v>
      </c>
      <c r="H734" s="125" t="n">
        <v>18</v>
      </c>
      <c r="I734" s="125">
        <f>D734-(2*(H734+F734))</f>
        <v/>
      </c>
      <c r="J734" s="125">
        <f>(2*E734/10*F734/10)+((D734-F734-F734)/10*G734/10)+((H734/10+H734/10)^2)-(PI()*H734/10*H734/10)</f>
        <v/>
      </c>
      <c r="K734" s="125">
        <f>((E734-G734)/2)/F734</f>
        <v/>
      </c>
      <c r="L734" s="125">
        <f>I734/G734</f>
        <v/>
      </c>
      <c r="M734" s="125">
        <f>(E734*2+F734*4+((E734-G734)/2-H734)*4+2*PI()*H734+(D734-2*F734-2*H734)*2)/1000</f>
        <v/>
      </c>
      <c r="N734" s="5" t="n">
        <v>312000</v>
      </c>
      <c r="O734" s="5" t="n">
        <v>26700</v>
      </c>
      <c r="P734" s="125" t="n">
        <v>31.5</v>
      </c>
      <c r="Q734" s="125" t="n">
        <v>9.199999999999999</v>
      </c>
      <c r="R734" s="5" t="n">
        <v>8320</v>
      </c>
      <c r="S734" s="5" t="n">
        <v>1330</v>
      </c>
      <c r="T734" s="5" t="n">
        <v>9310</v>
      </c>
      <c r="U734" s="5" t="n">
        <v>2050</v>
      </c>
      <c r="X734" s="129">
        <f t="array" ref="X734">_xlfn.IFS((D734/F734) &lt;= (640/SQRT($AT$32)), "Compact", L734 &lt;= ($AT$32*(0.79-(0.002*((E734-G734/2)/(2*F734))*SQRT($AT$32)))), "Non-Compact", L734 &gt; ($AT$32*(0.79-(0.002*((E734-G734/2)/(2*F734))*SQRT($AT$32)))), "Slender")</f>
        <v/>
      </c>
      <c r="Y734" s="129">
        <f t="array" ref="Y734">_xlfn.IFS(K734 &lt;= (65/SQRT($AT$32)), "Compact", K734 &lt;= (95/SQRT($AT$32)), "Non-Compact", K734 &gt; (95/SQRT($AT$32)), "Slender")</f>
        <v/>
      </c>
      <c r="Z734" s="125">
        <f>E734/F734</f>
        <v/>
      </c>
      <c r="AA734" s="125">
        <f>D734/G734</f>
        <v/>
      </c>
      <c r="AB734" s="125">
        <f t="array" ref="AB734">_xlfn.IFS(Z734 &lt;= 9, "1", Z734 &lt;= 12, "2", Z734 &lt;= 15, "3", Z734 &gt; 15, "4")</f>
        <v/>
      </c>
      <c r="AC734" s="125">
        <f t="array" ref="AC734">_xlfn.IFS(AA734 &lt;= 200, "1", L734 &lt;= 300, "2", L734 &lt;= 400, "3", L734 &gt; 400, "4")</f>
        <v/>
      </c>
      <c r="AF734" s="129">
        <f>SQRT((((VLOOKUP($AT$4,$A$4:$D$1021,4,FALSE))-D734)^2)+(((VLOOKUP($AT$4,$A$4:$E$1021,5,FALSE))-E734)^2)+(((VLOOKUP($AT$4,$A$4:$N$1021,14,FALSE))-N734)^2)+(((VLOOKUP($AT$4,$A$4:$O$1021,15,FALSE))-O734)^2))</f>
        <v/>
      </c>
      <c r="AG734" s="129" t="n"/>
      <c r="AI734" s="129">
        <f>SQRT((((VLOOKUP($AT$4,$A$4:$D$1021,4,FALSE))-D734)^2)+(((VLOOKUP($AT$4,$A$4:$E$1021,5,FALSE))-E734)^2)+(((VLOOKUP($AT$4,$A$4:$R$1021,18,FALSE))-R734)^2)+(((VLOOKUP($AT$4,$A$4:$S$1021,19,FALSE))-S734)^2))</f>
        <v/>
      </c>
      <c r="AJ734" s="125" t="inlineStr">
        <is>
          <t>HY750X247</t>
        </is>
      </c>
      <c r="AK734" s="125" t="n"/>
      <c r="AL734" s="125" t="n"/>
      <c r="AM734" s="125">
        <f>SQRT(((VLOOKUP($AT$4,$A$4:$J$1021,10,FALSE))-J734)^2)</f>
        <v/>
      </c>
      <c r="AN734" s="125" t="n"/>
      <c r="AO734" s="125" t="n"/>
      <c r="AP734" s="125">
        <f>SQRT(((VLOOKUP($AT$4,$A$4:$R$1021,18,FALSE))-R734)^2)</f>
        <v/>
      </c>
      <c r="AQ734" s="125" t="inlineStr">
        <is>
          <t>HY750X247</t>
        </is>
      </c>
      <c r="BB734" s="125">
        <f>SQRT(($J$1022-J734)^2)</f>
        <v/>
      </c>
      <c r="BC734" s="125">
        <f>SQRT(($R$1022-R734)^2)</f>
        <v/>
      </c>
      <c r="BD734" s="125" t="inlineStr">
        <is>
          <t>HY750X247</t>
        </is>
      </c>
      <c r="BI734">
        <f>SQRT(($J$1023-J734)^2)</f>
        <v/>
      </c>
      <c r="BJ734">
        <f>SQRT(($R$1023-R734)^2)</f>
        <v/>
      </c>
      <c r="BK734" s="125" t="inlineStr">
        <is>
          <t>HY750X247</t>
        </is>
      </c>
      <c r="BP734">
        <f>SQRT(($J$1024-J734)^2)</f>
        <v/>
      </c>
      <c r="BQ734">
        <f>SQRT(($R$1024-R734)^2)</f>
        <v/>
      </c>
      <c r="BR734" s="125" t="inlineStr">
        <is>
          <t>HY750X247</t>
        </is>
      </c>
      <c r="BW734">
        <f>SQRT(($J$1025-J734)^2)</f>
        <v/>
      </c>
      <c r="BX734">
        <f>SQRT(($R$1025-R734)^2)</f>
        <v/>
      </c>
      <c r="BY734" s="125" t="inlineStr">
        <is>
          <t>HY750X247</t>
        </is>
      </c>
      <c r="CD734">
        <f>SQRT(($J$1026-J734)^2)</f>
        <v/>
      </c>
      <c r="CE734">
        <f>SQRT(($R$1026-R734)^2)</f>
        <v/>
      </c>
      <c r="CF734" s="125" t="inlineStr">
        <is>
          <t>HY750X247</t>
        </is>
      </c>
    </row>
    <row r="735">
      <c r="A735" s="125" t="inlineStr">
        <is>
          <t>HY750X279</t>
        </is>
      </c>
      <c r="B735" s="129" t="inlineStr">
        <is>
          <t>HY</t>
        </is>
      </c>
      <c r="C735" s="125" t="n">
        <v>279</v>
      </c>
      <c r="D735" s="125" t="n">
        <v>750</v>
      </c>
      <c r="E735" s="125" t="n">
        <v>400</v>
      </c>
      <c r="F735" s="125" t="n">
        <v>32</v>
      </c>
      <c r="G735" s="125" t="n">
        <v>14</v>
      </c>
      <c r="H735" s="125" t="n">
        <v>18</v>
      </c>
      <c r="I735" s="125">
        <f>D735-(2*(H735+F735))</f>
        <v/>
      </c>
      <c r="J735" s="125">
        <f>(2*E735/10*F735/10)+((D735-F735-F735)/10*G735/10)+((H735/10+H735/10)^2)-(PI()*H735/10*H735/10)</f>
        <v/>
      </c>
      <c r="K735" s="125">
        <f>((E735-G735)/2)/F735</f>
        <v/>
      </c>
      <c r="L735" s="125">
        <f>I735/G735</f>
        <v/>
      </c>
      <c r="M735" s="125">
        <f>(E735*2+F735*4+((E735-G735)/2-H735)*4+2*PI()*H735+(D735-2*F735-2*H735)*2)/1000</f>
        <v/>
      </c>
      <c r="N735" s="5" t="n">
        <v>371000</v>
      </c>
      <c r="O735" s="5" t="n">
        <v>34200</v>
      </c>
      <c r="P735" s="125" t="n">
        <v>32.3</v>
      </c>
      <c r="Q735" s="125" t="n">
        <v>9.800000000000001</v>
      </c>
      <c r="R735" s="5" t="n">
        <v>9890</v>
      </c>
      <c r="S735" s="5" t="n">
        <v>1710</v>
      </c>
      <c r="T735" s="5" t="n">
        <v>10900</v>
      </c>
      <c r="U735" s="5" t="n">
        <v>2600</v>
      </c>
      <c r="X735" s="129">
        <f t="array" ref="X735">_xlfn.IFS((D735/F735) &lt;= (640/SQRT($AT$32)), "Compact", L735 &lt;= ($AT$32*(0.79-(0.002*((E735-G735/2)/(2*F735))*SQRT($AT$32)))), "Non-Compact", L735 &gt; ($AT$32*(0.79-(0.002*((E735-G735/2)/(2*F735))*SQRT($AT$32)))), "Slender")</f>
        <v/>
      </c>
      <c r="Y735" s="129">
        <f t="array" ref="Y735">_xlfn.IFS(K735 &lt;= (65/SQRT($AT$32)), "Compact", K735 &lt;= (95/SQRT($AT$32)), "Non-Compact", K735 &gt; (95/SQRT($AT$32)), "Slender")</f>
        <v/>
      </c>
      <c r="Z735" s="125">
        <f>E735/F735</f>
        <v/>
      </c>
      <c r="AA735" s="125">
        <f>D735/G735</f>
        <v/>
      </c>
      <c r="AB735" s="125">
        <f t="array" ref="AB735">_xlfn.IFS(Z735 &lt;= 9, "1", Z735 &lt;= 12, "2", Z735 &lt;= 15, "3", Z735 &gt; 15, "4")</f>
        <v/>
      </c>
      <c r="AC735" s="125">
        <f t="array" ref="AC735">_xlfn.IFS(AA735 &lt;= 200, "1", L735 &lt;= 300, "2", L735 &lt;= 400, "3", L735 &gt; 400, "4")</f>
        <v/>
      </c>
      <c r="AF735" s="129">
        <f>SQRT((((VLOOKUP($AT$4,$A$4:$D$1021,4,FALSE))-D735)^2)+(((VLOOKUP($AT$4,$A$4:$E$1021,5,FALSE))-E735)^2)+(((VLOOKUP($AT$4,$A$4:$N$1021,14,FALSE))-N735)^2)+(((VLOOKUP($AT$4,$A$4:$O$1021,15,FALSE))-O735)^2))</f>
        <v/>
      </c>
      <c r="AG735" s="129" t="n"/>
      <c r="AI735" s="129">
        <f>SQRT((((VLOOKUP($AT$4,$A$4:$D$1021,4,FALSE))-D735)^2)+(((VLOOKUP($AT$4,$A$4:$E$1021,5,FALSE))-E735)^2)+(((VLOOKUP($AT$4,$A$4:$R$1021,18,FALSE))-R735)^2)+(((VLOOKUP($AT$4,$A$4:$S$1021,19,FALSE))-S735)^2))</f>
        <v/>
      </c>
      <c r="AJ735" s="125" t="inlineStr">
        <is>
          <t>HY750X279</t>
        </is>
      </c>
      <c r="AK735" s="125" t="n"/>
      <c r="AL735" s="125" t="n"/>
      <c r="AM735" s="125">
        <f>SQRT(((VLOOKUP($AT$4,$A$4:$J$1021,10,FALSE))-J735)^2)</f>
        <v/>
      </c>
      <c r="AN735" s="125" t="n"/>
      <c r="AO735" s="125" t="n"/>
      <c r="AP735" s="125">
        <f>SQRT(((VLOOKUP($AT$4,$A$4:$R$1021,18,FALSE))-R735)^2)</f>
        <v/>
      </c>
      <c r="AQ735" s="125" t="inlineStr">
        <is>
          <t>HY750X279</t>
        </is>
      </c>
      <c r="BB735" s="125">
        <f>SQRT(($J$1022-J735)^2)</f>
        <v/>
      </c>
      <c r="BC735" s="125">
        <f>SQRT(($R$1022-R735)^2)</f>
        <v/>
      </c>
      <c r="BD735" s="125" t="inlineStr">
        <is>
          <t>HY750X279</t>
        </is>
      </c>
      <c r="BI735">
        <f>SQRT(($J$1023-J735)^2)</f>
        <v/>
      </c>
      <c r="BJ735">
        <f>SQRT(($R$1023-R735)^2)</f>
        <v/>
      </c>
      <c r="BK735" s="125" t="inlineStr">
        <is>
          <t>HY750X279</t>
        </is>
      </c>
      <c r="BP735">
        <f>SQRT(($J$1024-J735)^2)</f>
        <v/>
      </c>
      <c r="BQ735">
        <f>SQRT(($R$1024-R735)^2)</f>
        <v/>
      </c>
      <c r="BR735" s="125" t="inlineStr">
        <is>
          <t>HY750X279</t>
        </is>
      </c>
      <c r="BW735">
        <f>SQRT(($J$1025-J735)^2)</f>
        <v/>
      </c>
      <c r="BX735">
        <f>SQRT(($R$1025-R735)^2)</f>
        <v/>
      </c>
      <c r="BY735" s="125" t="inlineStr">
        <is>
          <t>HY750X279</t>
        </is>
      </c>
      <c r="CD735">
        <f>SQRT(($J$1026-J735)^2)</f>
        <v/>
      </c>
      <c r="CE735">
        <f>SQRT(($R$1026-R735)^2)</f>
        <v/>
      </c>
      <c r="CF735" s="125" t="inlineStr">
        <is>
          <t>HY750X279</t>
        </is>
      </c>
    </row>
    <row r="736">
      <c r="A736" s="125" t="inlineStr">
        <is>
          <t>HY750X254</t>
        </is>
      </c>
      <c r="B736" s="129" t="inlineStr">
        <is>
          <t>HY</t>
        </is>
      </c>
      <c r="C736" s="125" t="n">
        <v>254</v>
      </c>
      <c r="D736" s="125" t="n">
        <v>750</v>
      </c>
      <c r="E736" s="125" t="n">
        <v>400</v>
      </c>
      <c r="F736" s="125" t="n">
        <v>28</v>
      </c>
      <c r="G736" s="125" t="n">
        <v>14</v>
      </c>
      <c r="H736" s="125" t="n">
        <v>18</v>
      </c>
      <c r="I736" s="125">
        <f>D736-(2*(H736+F736))</f>
        <v/>
      </c>
      <c r="J736" s="125">
        <f>(2*E736/10*F736/10)+((D736-F736-F736)/10*G736/10)+((H736/10+H736/10)^2)-(PI()*H736/10*H736/10)</f>
        <v/>
      </c>
      <c r="K736" s="125">
        <f>((E736-G736)/2)/F736</f>
        <v/>
      </c>
      <c r="L736" s="125">
        <f>I736/G736</f>
        <v/>
      </c>
      <c r="M736" s="125">
        <f>(E736*2+F736*4+((E736-G736)/2-H736)*4+2*PI()*H736+(D736-2*F736-2*H736)*2)/1000</f>
        <v/>
      </c>
      <c r="N736" s="5" t="n">
        <v>334000</v>
      </c>
      <c r="O736" s="5" t="n">
        <v>29900</v>
      </c>
      <c r="P736" s="125" t="n">
        <v>32.1</v>
      </c>
      <c r="Q736" s="125" t="n">
        <v>9.6</v>
      </c>
      <c r="R736" s="5" t="n">
        <v>8920</v>
      </c>
      <c r="S736" s="5" t="n">
        <v>1490</v>
      </c>
      <c r="T736" s="5" t="n">
        <v>9870</v>
      </c>
      <c r="U736" s="5" t="n">
        <v>2280</v>
      </c>
      <c r="X736" s="129">
        <f t="array" ref="X736">_xlfn.IFS((D736/F736) &lt;= (640/SQRT($AT$32)), "Compact", L736 &lt;= ($AT$32*(0.79-(0.002*((E736-G736/2)/(2*F736))*SQRT($AT$32)))), "Non-Compact", L736 &gt; ($AT$32*(0.79-(0.002*((E736-G736/2)/(2*F736))*SQRT($AT$32)))), "Slender")</f>
        <v/>
      </c>
      <c r="Y736" s="129">
        <f t="array" ref="Y736">_xlfn.IFS(K736 &lt;= (65/SQRT($AT$32)), "Compact", K736 &lt;= (95/SQRT($AT$32)), "Non-Compact", K736 &gt; (95/SQRT($AT$32)), "Slender")</f>
        <v/>
      </c>
      <c r="Z736" s="125">
        <f>E736/F736</f>
        <v/>
      </c>
      <c r="AA736" s="125">
        <f>D736/G736</f>
        <v/>
      </c>
      <c r="AB736" s="125">
        <f t="array" ref="AB736">_xlfn.IFS(Z736 &lt;= 9, "1", Z736 &lt;= 12, "2", Z736 &lt;= 15, "3", Z736 &gt; 15, "4")</f>
        <v/>
      </c>
      <c r="AC736" s="125">
        <f t="array" ref="AC736">_xlfn.IFS(AA736 &lt;= 200, "1", L736 &lt;= 300, "2", L736 &lt;= 400, "3", L736 &gt; 400, "4")</f>
        <v/>
      </c>
      <c r="AF736" s="129">
        <f>SQRT((((VLOOKUP($AT$4,$A$4:$D$1021,4,FALSE))-D736)^2)+(((VLOOKUP($AT$4,$A$4:$E$1021,5,FALSE))-E736)^2)+(((VLOOKUP($AT$4,$A$4:$N$1021,14,FALSE))-N736)^2)+(((VLOOKUP($AT$4,$A$4:$O$1021,15,FALSE))-O736)^2))</f>
        <v/>
      </c>
      <c r="AG736" s="129" t="n"/>
      <c r="AI736" s="129">
        <f>SQRT((((VLOOKUP($AT$4,$A$4:$D$1021,4,FALSE))-D736)^2)+(((VLOOKUP($AT$4,$A$4:$E$1021,5,FALSE))-E736)^2)+(((VLOOKUP($AT$4,$A$4:$R$1021,18,FALSE))-R736)^2)+(((VLOOKUP($AT$4,$A$4:$S$1021,19,FALSE))-S736)^2))</f>
        <v/>
      </c>
      <c r="AJ736" s="125" t="inlineStr">
        <is>
          <t>HY750X254</t>
        </is>
      </c>
      <c r="AK736" s="125" t="n"/>
      <c r="AL736" s="125" t="n"/>
      <c r="AM736" s="125">
        <f>SQRT(((VLOOKUP($AT$4,$A$4:$J$1021,10,FALSE))-J736)^2)</f>
        <v/>
      </c>
      <c r="AN736" s="125" t="n"/>
      <c r="AO736" s="125" t="n"/>
      <c r="AP736" s="125">
        <f>SQRT(((VLOOKUP($AT$4,$A$4:$R$1021,18,FALSE))-R736)^2)</f>
        <v/>
      </c>
      <c r="AQ736" s="125" t="inlineStr">
        <is>
          <t>HY750X254</t>
        </is>
      </c>
      <c r="BB736" s="125">
        <f>SQRT(($J$1022-J736)^2)</f>
        <v/>
      </c>
      <c r="BC736" s="125">
        <f>SQRT(($R$1022-R736)^2)</f>
        <v/>
      </c>
      <c r="BD736" s="125" t="inlineStr">
        <is>
          <t>HY750X254</t>
        </is>
      </c>
      <c r="BI736">
        <f>SQRT(($J$1023-J736)^2)</f>
        <v/>
      </c>
      <c r="BJ736">
        <f>SQRT(($R$1023-R736)^2)</f>
        <v/>
      </c>
      <c r="BK736" s="125" t="inlineStr">
        <is>
          <t>HY750X254</t>
        </is>
      </c>
      <c r="BP736">
        <f>SQRT(($J$1024-J736)^2)</f>
        <v/>
      </c>
      <c r="BQ736">
        <f>SQRT(($R$1024-R736)^2)</f>
        <v/>
      </c>
      <c r="BR736" s="125" t="inlineStr">
        <is>
          <t>HY750X254</t>
        </is>
      </c>
      <c r="BW736">
        <f>SQRT(($J$1025-J736)^2)</f>
        <v/>
      </c>
      <c r="BX736">
        <f>SQRT(($R$1025-R736)^2)</f>
        <v/>
      </c>
      <c r="BY736" s="125" t="inlineStr">
        <is>
          <t>HY750X254</t>
        </is>
      </c>
      <c r="CD736">
        <f>SQRT(($J$1026-J736)^2)</f>
        <v/>
      </c>
      <c r="CE736">
        <f>SQRT(($R$1026-R736)^2)</f>
        <v/>
      </c>
      <c r="CF736" s="125" t="inlineStr">
        <is>
          <t>HY750X254</t>
        </is>
      </c>
    </row>
    <row r="737">
      <c r="A737" s="125" t="inlineStr">
        <is>
          <t>HY750X236</t>
        </is>
      </c>
      <c r="B737" s="129" t="inlineStr">
        <is>
          <t>HY</t>
        </is>
      </c>
      <c r="C737" s="125" t="n">
        <v>236</v>
      </c>
      <c r="D737" s="125" t="n">
        <v>750</v>
      </c>
      <c r="E737" s="125" t="n">
        <v>400</v>
      </c>
      <c r="F737" s="125" t="n">
        <v>25</v>
      </c>
      <c r="G737" s="125" t="n">
        <v>14</v>
      </c>
      <c r="H737" s="125" t="n">
        <v>18</v>
      </c>
      <c r="I737" s="125">
        <f>D737-(2*(H737+F737))</f>
        <v/>
      </c>
      <c r="J737" s="125">
        <f>(2*E737/10*F737/10)+((D737-F737-F737)/10*G737/10)+((H737/10+H737/10)^2)-(PI()*H737/10*H737/10)</f>
        <v/>
      </c>
      <c r="K737" s="125">
        <f>((E737-G737)/2)/F737</f>
        <v/>
      </c>
      <c r="L737" s="125">
        <f>I737/G737</f>
        <v/>
      </c>
      <c r="M737" s="125">
        <f>(E737*2+F737*4+((E737-G737)/2-H737)*4+2*PI()*H737+(D737-2*F737-2*H737)*2)/1000</f>
        <v/>
      </c>
      <c r="N737" s="5" t="n">
        <v>306000</v>
      </c>
      <c r="O737" s="5" t="n">
        <v>26700</v>
      </c>
      <c r="P737" s="125" t="n">
        <v>31.9</v>
      </c>
      <c r="Q737" s="125" t="n">
        <v>9.4</v>
      </c>
      <c r="R737" s="5" t="n">
        <v>8170</v>
      </c>
      <c r="S737" s="5" t="n">
        <v>1330</v>
      </c>
      <c r="T737" s="5" t="n">
        <v>9060</v>
      </c>
      <c r="U737" s="5" t="n">
        <v>2040</v>
      </c>
      <c r="X737" s="129">
        <f t="array" ref="X737">_xlfn.IFS((D737/F737) &lt;= (640/SQRT($AT$32)), "Compact", L737 &lt;= ($AT$32*(0.79-(0.002*((E737-G737/2)/(2*F737))*SQRT($AT$32)))), "Non-Compact", L737 &gt; ($AT$32*(0.79-(0.002*((E737-G737/2)/(2*F737))*SQRT($AT$32)))), "Slender")</f>
        <v/>
      </c>
      <c r="Y737" s="129">
        <f t="array" ref="Y737">_xlfn.IFS(K737 &lt;= (65/SQRT($AT$32)), "Compact", K737 &lt;= (95/SQRT($AT$32)), "Non-Compact", K737 &gt; (95/SQRT($AT$32)), "Slender")</f>
        <v/>
      </c>
      <c r="Z737" s="125">
        <f>E737/F737</f>
        <v/>
      </c>
      <c r="AA737" s="125">
        <f>D737/G737</f>
        <v/>
      </c>
      <c r="AB737" s="125">
        <f t="array" ref="AB737">_xlfn.IFS(Z737 &lt;= 9, "1", Z737 &lt;= 12, "2", Z737 &lt;= 15, "3", Z737 &gt; 15, "4")</f>
        <v/>
      </c>
      <c r="AC737" s="125">
        <f t="array" ref="AC737">_xlfn.IFS(AA737 &lt;= 200, "1", L737 &lt;= 300, "2", L737 &lt;= 400, "3", L737 &gt; 400, "4")</f>
        <v/>
      </c>
      <c r="AF737" s="129">
        <f>SQRT((((VLOOKUP($AT$4,$A$4:$D$1021,4,FALSE))-D737)^2)+(((VLOOKUP($AT$4,$A$4:$E$1021,5,FALSE))-E737)^2)+(((VLOOKUP($AT$4,$A$4:$N$1021,14,FALSE))-N737)^2)+(((VLOOKUP($AT$4,$A$4:$O$1021,15,FALSE))-O737)^2))</f>
        <v/>
      </c>
      <c r="AG737" s="129" t="n"/>
      <c r="AI737" s="129">
        <f>SQRT((((VLOOKUP($AT$4,$A$4:$D$1021,4,FALSE))-D737)^2)+(((VLOOKUP($AT$4,$A$4:$E$1021,5,FALSE))-E737)^2)+(((VLOOKUP($AT$4,$A$4:$R$1021,18,FALSE))-R737)^2)+(((VLOOKUP($AT$4,$A$4:$S$1021,19,FALSE))-S737)^2))</f>
        <v/>
      </c>
      <c r="AJ737" s="125" t="inlineStr">
        <is>
          <t>HY750X236</t>
        </is>
      </c>
      <c r="AK737" s="125" t="n"/>
      <c r="AL737" s="125" t="n"/>
      <c r="AM737" s="125">
        <f>SQRT(((VLOOKUP($AT$4,$A$4:$J$1021,10,FALSE))-J737)^2)</f>
        <v/>
      </c>
      <c r="AN737" s="125" t="n"/>
      <c r="AO737" s="125" t="n"/>
      <c r="AP737" s="125">
        <f>SQRT(((VLOOKUP($AT$4,$A$4:$R$1021,18,FALSE))-R737)^2)</f>
        <v/>
      </c>
      <c r="AQ737" s="125" t="inlineStr">
        <is>
          <t>HY750X236</t>
        </is>
      </c>
      <c r="BB737" s="125">
        <f>SQRT(($J$1022-J737)^2)</f>
        <v/>
      </c>
      <c r="BC737" s="125">
        <f>SQRT(($R$1022-R737)^2)</f>
        <v/>
      </c>
      <c r="BD737" s="125" t="inlineStr">
        <is>
          <t>HY750X236</t>
        </is>
      </c>
      <c r="BI737">
        <f>SQRT(($J$1023-J737)^2)</f>
        <v/>
      </c>
      <c r="BJ737">
        <f>SQRT(($R$1023-R737)^2)</f>
        <v/>
      </c>
      <c r="BK737" s="125" t="inlineStr">
        <is>
          <t>HY750X236</t>
        </is>
      </c>
      <c r="BP737">
        <f>SQRT(($J$1024-J737)^2)</f>
        <v/>
      </c>
      <c r="BQ737">
        <f>SQRT(($R$1024-R737)^2)</f>
        <v/>
      </c>
      <c r="BR737" s="125" t="inlineStr">
        <is>
          <t>HY750X236</t>
        </is>
      </c>
      <c r="BW737">
        <f>SQRT(($J$1025-J737)^2)</f>
        <v/>
      </c>
      <c r="BX737">
        <f>SQRT(($R$1025-R737)^2)</f>
        <v/>
      </c>
      <c r="BY737" s="125" t="inlineStr">
        <is>
          <t>HY750X236</t>
        </is>
      </c>
      <c r="CD737">
        <f>SQRT(($J$1026-J737)^2)</f>
        <v/>
      </c>
      <c r="CE737">
        <f>SQRT(($R$1026-R737)^2)</f>
        <v/>
      </c>
      <c r="CF737" s="125" t="inlineStr">
        <is>
          <t>HY750X236</t>
        </is>
      </c>
    </row>
    <row r="738">
      <c r="A738" s="125" t="inlineStr">
        <is>
          <t>HY750X285</t>
        </is>
      </c>
      <c r="B738" s="129" t="inlineStr">
        <is>
          <t>HY</t>
        </is>
      </c>
      <c r="C738" s="125" t="n">
        <v>285</v>
      </c>
      <c r="D738" s="125" t="n">
        <v>750</v>
      </c>
      <c r="E738" s="125" t="n">
        <v>350</v>
      </c>
      <c r="F738" s="125" t="n">
        <v>36</v>
      </c>
      <c r="G738" s="125" t="n">
        <v>16</v>
      </c>
      <c r="H738" s="125" t="n">
        <v>18</v>
      </c>
      <c r="I738" s="125">
        <f>D738-(2*(H738+F738))</f>
        <v/>
      </c>
      <c r="J738" s="125">
        <f>(2*E738/10*F738/10)+((D738-F738-F738)/10*G738/10)+((H738/10+H738/10)^2)-(PI()*H738/10*H738/10)</f>
        <v/>
      </c>
      <c r="K738" s="125">
        <f>((E738-G738)/2)/F738</f>
        <v/>
      </c>
      <c r="L738" s="125">
        <f>I738/G738</f>
        <v/>
      </c>
      <c r="M738" s="125">
        <f>(E738*2+F738*4+((E738-G738)/2-H738)*4+2*PI()*H738+(D738-2*F738-2*H738)*2)/1000</f>
        <v/>
      </c>
      <c r="N738" s="5" t="n">
        <v>366000</v>
      </c>
      <c r="O738" s="5" t="n">
        <v>25800</v>
      </c>
      <c r="P738" s="125" t="n">
        <v>31.7</v>
      </c>
      <c r="Q738" s="125" t="n">
        <v>8.4</v>
      </c>
      <c r="R738" s="5" t="n">
        <v>9760</v>
      </c>
      <c r="S738" s="5" t="n">
        <v>1470</v>
      </c>
      <c r="T738" s="5" t="n">
        <v>10900</v>
      </c>
      <c r="U738" s="5" t="n">
        <v>2250</v>
      </c>
      <c r="X738" s="129">
        <f t="array" ref="X738">_xlfn.IFS((D738/F738) &lt;= (640/SQRT($AT$32)), "Compact", L738 &lt;= ($AT$32*(0.79-(0.002*((E738-G738/2)/(2*F738))*SQRT($AT$32)))), "Non-Compact", L738 &gt; ($AT$32*(0.79-(0.002*((E738-G738/2)/(2*F738))*SQRT($AT$32)))), "Slender")</f>
        <v/>
      </c>
      <c r="Y738" s="129">
        <f t="array" ref="Y738">_xlfn.IFS(K738 &lt;= (65/SQRT($AT$32)), "Compact", K738 &lt;= (95/SQRT($AT$32)), "Non-Compact", K738 &gt; (95/SQRT($AT$32)), "Slender")</f>
        <v/>
      </c>
      <c r="Z738" s="125">
        <f>E738/F738</f>
        <v/>
      </c>
      <c r="AA738" s="125">
        <f>D738/G738</f>
        <v/>
      </c>
      <c r="AB738" s="125">
        <f t="array" ref="AB738">_xlfn.IFS(Z738 &lt;= 9, "1", Z738 &lt;= 12, "2", Z738 &lt;= 15, "3", Z738 &gt; 15, "4")</f>
        <v/>
      </c>
      <c r="AC738" s="125">
        <f t="array" ref="AC738">_xlfn.IFS(AA738 &lt;= 200, "1", L738 &lt;= 300, "2", L738 &lt;= 400, "3", L738 &gt; 400, "4")</f>
        <v/>
      </c>
      <c r="AF738" s="129">
        <f>SQRT((((VLOOKUP($AT$4,$A$4:$D$1021,4,FALSE))-D738)^2)+(((VLOOKUP($AT$4,$A$4:$E$1021,5,FALSE))-E738)^2)+(((VLOOKUP($AT$4,$A$4:$N$1021,14,FALSE))-N738)^2)+(((VLOOKUP($AT$4,$A$4:$O$1021,15,FALSE))-O738)^2))</f>
        <v/>
      </c>
      <c r="AG738" s="129" t="n"/>
      <c r="AI738" s="129">
        <f>SQRT((((VLOOKUP($AT$4,$A$4:$D$1021,4,FALSE))-D738)^2)+(((VLOOKUP($AT$4,$A$4:$E$1021,5,FALSE))-E738)^2)+(((VLOOKUP($AT$4,$A$4:$R$1021,18,FALSE))-R738)^2)+(((VLOOKUP($AT$4,$A$4:$S$1021,19,FALSE))-S738)^2))</f>
        <v/>
      </c>
      <c r="AJ738" s="125" t="inlineStr">
        <is>
          <t>HY750X285</t>
        </is>
      </c>
      <c r="AK738" s="125" t="n"/>
      <c r="AL738" s="125" t="n"/>
      <c r="AM738" s="125">
        <f>SQRT(((VLOOKUP($AT$4,$A$4:$J$1021,10,FALSE))-J738)^2)</f>
        <v/>
      </c>
      <c r="AN738" s="125" t="n"/>
      <c r="AO738" s="125" t="n"/>
      <c r="AP738" s="125">
        <f>SQRT(((VLOOKUP($AT$4,$A$4:$R$1021,18,FALSE))-R738)^2)</f>
        <v/>
      </c>
      <c r="AQ738" s="125" t="inlineStr">
        <is>
          <t>HY750X285</t>
        </is>
      </c>
      <c r="BB738" s="125">
        <f>SQRT(($J$1022-J738)^2)</f>
        <v/>
      </c>
      <c r="BC738" s="125">
        <f>SQRT(($R$1022-R738)^2)</f>
        <v/>
      </c>
      <c r="BD738" s="125" t="inlineStr">
        <is>
          <t>HY750X285</t>
        </is>
      </c>
      <c r="BI738">
        <f>SQRT(($J$1023-J738)^2)</f>
        <v/>
      </c>
      <c r="BJ738">
        <f>SQRT(($R$1023-R738)^2)</f>
        <v/>
      </c>
      <c r="BK738" s="125" t="inlineStr">
        <is>
          <t>HY750X285</t>
        </is>
      </c>
      <c r="BP738">
        <f>SQRT(($J$1024-J738)^2)</f>
        <v/>
      </c>
      <c r="BQ738">
        <f>SQRT(($R$1024-R738)^2)</f>
        <v/>
      </c>
      <c r="BR738" s="125" t="inlineStr">
        <is>
          <t>HY750X285</t>
        </is>
      </c>
      <c r="BW738">
        <f>SQRT(($J$1025-J738)^2)</f>
        <v/>
      </c>
      <c r="BX738">
        <f>SQRT(($R$1025-R738)^2)</f>
        <v/>
      </c>
      <c r="BY738" s="125" t="inlineStr">
        <is>
          <t>HY750X285</t>
        </is>
      </c>
      <c r="CD738">
        <f>SQRT(($J$1026-J738)^2)</f>
        <v/>
      </c>
      <c r="CE738">
        <f>SQRT(($R$1026-R738)^2)</f>
        <v/>
      </c>
      <c r="CF738" s="125" t="inlineStr">
        <is>
          <t>HY750X285</t>
        </is>
      </c>
    </row>
    <row r="739">
      <c r="A739" s="125" t="inlineStr">
        <is>
          <t>HY750X264</t>
        </is>
      </c>
      <c r="B739" s="129" t="inlineStr">
        <is>
          <t>HY</t>
        </is>
      </c>
      <c r="C739" s="125" t="n">
        <v>264</v>
      </c>
      <c r="D739" s="125" t="n">
        <v>750</v>
      </c>
      <c r="E739" s="125" t="n">
        <v>350</v>
      </c>
      <c r="F739" s="125" t="n">
        <v>32</v>
      </c>
      <c r="G739" s="125" t="n">
        <v>16</v>
      </c>
      <c r="H739" s="125" t="n">
        <v>18</v>
      </c>
      <c r="I739" s="125">
        <f>D739-(2*(H739+F739))</f>
        <v/>
      </c>
      <c r="J739" s="125">
        <f>(2*E739/10*F739/10)+((D739-F739-F739)/10*G739/10)+((H739/10+H739/10)^2)-(PI()*H739/10*H739/10)</f>
        <v/>
      </c>
      <c r="K739" s="125">
        <f>((E739-G739)/2)/F739</f>
        <v/>
      </c>
      <c r="L739" s="125">
        <f>I739/G739</f>
        <v/>
      </c>
      <c r="M739" s="125">
        <f>(E739*2+F739*4+((E739-G739)/2-H739)*4+2*PI()*H739+(D739-2*F739-2*H739)*2)/1000</f>
        <v/>
      </c>
      <c r="N739" s="5" t="n">
        <v>335000</v>
      </c>
      <c r="O739" s="5" t="n">
        <v>22900</v>
      </c>
      <c r="P739" s="125" t="n">
        <v>31.6</v>
      </c>
      <c r="Q739" s="125" t="n">
        <v>8.300000000000001</v>
      </c>
      <c r="R739" s="5" t="n">
        <v>8940</v>
      </c>
      <c r="S739" s="5" t="n">
        <v>1310</v>
      </c>
      <c r="T739" s="5" t="n">
        <v>10000</v>
      </c>
      <c r="U739" s="5" t="n">
        <v>2010</v>
      </c>
      <c r="X739" s="129">
        <f t="array" ref="X739">_xlfn.IFS((D739/F739) &lt;= (640/SQRT($AT$32)), "Compact", L739 &lt;= ($AT$32*(0.79-(0.002*((E739-G739/2)/(2*F739))*SQRT($AT$32)))), "Non-Compact", L739 &gt; ($AT$32*(0.79-(0.002*((E739-G739/2)/(2*F739))*SQRT($AT$32)))), "Slender")</f>
        <v/>
      </c>
      <c r="Y739" s="129">
        <f t="array" ref="Y739">_xlfn.IFS(K739 &lt;= (65/SQRT($AT$32)), "Compact", K739 &lt;= (95/SQRT($AT$32)), "Non-Compact", K739 &gt; (95/SQRT($AT$32)), "Slender")</f>
        <v/>
      </c>
      <c r="Z739" s="125">
        <f>E739/F739</f>
        <v/>
      </c>
      <c r="AA739" s="125">
        <f>D739/G739</f>
        <v/>
      </c>
      <c r="AB739" s="125">
        <f t="array" ref="AB739">_xlfn.IFS(Z739 &lt;= 9, "1", Z739 &lt;= 12, "2", Z739 &lt;= 15, "3", Z739 &gt; 15, "4")</f>
        <v/>
      </c>
      <c r="AC739" s="125">
        <f t="array" ref="AC739">_xlfn.IFS(AA739 &lt;= 200, "1", L739 &lt;= 300, "2", L739 &lt;= 400, "3", L739 &gt; 400, "4")</f>
        <v/>
      </c>
      <c r="AF739" s="129">
        <f>SQRT((((VLOOKUP($AT$4,$A$4:$D$1021,4,FALSE))-D739)^2)+(((VLOOKUP($AT$4,$A$4:$E$1021,5,FALSE))-E739)^2)+(((VLOOKUP($AT$4,$A$4:$N$1021,14,FALSE))-N739)^2)+(((VLOOKUP($AT$4,$A$4:$O$1021,15,FALSE))-O739)^2))</f>
        <v/>
      </c>
      <c r="AG739" s="129" t="n"/>
      <c r="AI739" s="129">
        <f>SQRT((((VLOOKUP($AT$4,$A$4:$D$1021,4,FALSE))-D739)^2)+(((VLOOKUP($AT$4,$A$4:$E$1021,5,FALSE))-E739)^2)+(((VLOOKUP($AT$4,$A$4:$R$1021,18,FALSE))-R739)^2)+(((VLOOKUP($AT$4,$A$4:$S$1021,19,FALSE))-S739)^2))</f>
        <v/>
      </c>
      <c r="AJ739" s="125" t="inlineStr">
        <is>
          <t>HY750X264</t>
        </is>
      </c>
      <c r="AK739" s="125" t="n"/>
      <c r="AL739" s="125" t="n"/>
      <c r="AM739" s="125">
        <f>SQRT(((VLOOKUP($AT$4,$A$4:$J$1021,10,FALSE))-J739)^2)</f>
        <v/>
      </c>
      <c r="AN739" s="125" t="n"/>
      <c r="AO739" s="125" t="n"/>
      <c r="AP739" s="125">
        <f>SQRT(((VLOOKUP($AT$4,$A$4:$R$1021,18,FALSE))-R739)^2)</f>
        <v/>
      </c>
      <c r="AQ739" s="125" t="inlineStr">
        <is>
          <t>HY750X264</t>
        </is>
      </c>
      <c r="BB739" s="125">
        <f>SQRT(($J$1022-J739)^2)</f>
        <v/>
      </c>
      <c r="BC739" s="125">
        <f>SQRT(($R$1022-R739)^2)</f>
        <v/>
      </c>
      <c r="BD739" s="125" t="inlineStr">
        <is>
          <t>HY750X264</t>
        </is>
      </c>
      <c r="BI739">
        <f>SQRT(($J$1023-J739)^2)</f>
        <v/>
      </c>
      <c r="BJ739">
        <f>SQRT(($R$1023-R739)^2)</f>
        <v/>
      </c>
      <c r="BK739" s="125" t="inlineStr">
        <is>
          <t>HY750X264</t>
        </is>
      </c>
      <c r="BP739">
        <f>SQRT(($J$1024-J739)^2)</f>
        <v/>
      </c>
      <c r="BQ739">
        <f>SQRT(($R$1024-R739)^2)</f>
        <v/>
      </c>
      <c r="BR739" s="125" t="inlineStr">
        <is>
          <t>HY750X264</t>
        </is>
      </c>
      <c r="BW739">
        <f>SQRT(($J$1025-J739)^2)</f>
        <v/>
      </c>
      <c r="BX739">
        <f>SQRT(($R$1025-R739)^2)</f>
        <v/>
      </c>
      <c r="BY739" s="125" t="inlineStr">
        <is>
          <t>HY750X264</t>
        </is>
      </c>
      <c r="CD739">
        <f>SQRT(($J$1026-J739)^2)</f>
        <v/>
      </c>
      <c r="CE739">
        <f>SQRT(($R$1026-R739)^2)</f>
        <v/>
      </c>
      <c r="CF739" s="125" t="inlineStr">
        <is>
          <t>HY750X264</t>
        </is>
      </c>
    </row>
    <row r="740">
      <c r="A740" s="125" t="inlineStr">
        <is>
          <t>HY750X243</t>
        </is>
      </c>
      <c r="B740" s="129" t="inlineStr">
        <is>
          <t>HY</t>
        </is>
      </c>
      <c r="C740" s="125" t="n">
        <v>243</v>
      </c>
      <c r="D740" s="125" t="n">
        <v>750</v>
      </c>
      <c r="E740" s="125" t="n">
        <v>350</v>
      </c>
      <c r="F740" s="125" t="n">
        <v>28</v>
      </c>
      <c r="G740" s="125" t="n">
        <v>16</v>
      </c>
      <c r="H740" s="125" t="n">
        <v>18</v>
      </c>
      <c r="I740" s="125">
        <f>D740-(2*(H740+F740))</f>
        <v/>
      </c>
      <c r="J740" s="125">
        <f>(2*E740/10*F740/10)+((D740-F740-F740)/10*G740/10)+((H740/10+H740/10)^2)-(PI()*H740/10*H740/10)</f>
        <v/>
      </c>
      <c r="K740" s="125">
        <f>((E740-G740)/2)/F740</f>
        <v/>
      </c>
      <c r="L740" s="125">
        <f>I740/G740</f>
        <v/>
      </c>
      <c r="M740" s="125">
        <f>(E740*2+F740*4+((E740-G740)/2-H740)*4+2*PI()*H740+(D740-2*F740-2*H740)*2)/1000</f>
        <v/>
      </c>
      <c r="N740" s="5" t="n">
        <v>303000</v>
      </c>
      <c r="O740" s="5" t="n">
        <v>20000</v>
      </c>
      <c r="P740" s="125" t="n">
        <v>31.3</v>
      </c>
      <c r="Q740" s="125" t="n">
        <v>8</v>
      </c>
      <c r="R740" s="5" t="n">
        <v>8090</v>
      </c>
      <c r="S740" s="5" t="n">
        <v>1140</v>
      </c>
      <c r="T740" s="5" t="n">
        <v>9100</v>
      </c>
      <c r="U740" s="5" t="n">
        <v>1760</v>
      </c>
      <c r="X740" s="129">
        <f t="array" ref="X740">_xlfn.IFS((D740/F740) &lt;= (640/SQRT($AT$32)), "Compact", L740 &lt;= ($AT$32*(0.79-(0.002*((E740-G740/2)/(2*F740))*SQRT($AT$32)))), "Non-Compact", L740 &gt; ($AT$32*(0.79-(0.002*((E740-G740/2)/(2*F740))*SQRT($AT$32)))), "Slender")</f>
        <v/>
      </c>
      <c r="Y740" s="129">
        <f t="array" ref="Y740">_xlfn.IFS(K740 &lt;= (65/SQRT($AT$32)), "Compact", K740 &lt;= (95/SQRT($AT$32)), "Non-Compact", K740 &gt; (95/SQRT($AT$32)), "Slender")</f>
        <v/>
      </c>
      <c r="Z740" s="125">
        <f>E740/F740</f>
        <v/>
      </c>
      <c r="AA740" s="125">
        <f>D740/G740</f>
        <v/>
      </c>
      <c r="AB740" s="125">
        <f t="array" ref="AB740">_xlfn.IFS(Z740 &lt;= 9, "1", Z740 &lt;= 12, "2", Z740 &lt;= 15, "3", Z740 &gt; 15, "4")</f>
        <v/>
      </c>
      <c r="AC740" s="125">
        <f t="array" ref="AC740">_xlfn.IFS(AA740 &lt;= 200, "1", L740 &lt;= 300, "2", L740 &lt;= 400, "3", L740 &gt; 400, "4")</f>
        <v/>
      </c>
      <c r="AF740" s="129">
        <f>SQRT((((VLOOKUP($AT$4,$A$4:$D$1021,4,FALSE))-D740)^2)+(((VLOOKUP($AT$4,$A$4:$E$1021,5,FALSE))-E740)^2)+(((VLOOKUP($AT$4,$A$4:$N$1021,14,FALSE))-N740)^2)+(((VLOOKUP($AT$4,$A$4:$O$1021,15,FALSE))-O740)^2))</f>
        <v/>
      </c>
      <c r="AG740" s="129" t="n"/>
      <c r="AI740" s="129">
        <f>SQRT((((VLOOKUP($AT$4,$A$4:$D$1021,4,FALSE))-D740)^2)+(((VLOOKUP($AT$4,$A$4:$E$1021,5,FALSE))-E740)^2)+(((VLOOKUP($AT$4,$A$4:$R$1021,18,FALSE))-R740)^2)+(((VLOOKUP($AT$4,$A$4:$S$1021,19,FALSE))-S740)^2))</f>
        <v/>
      </c>
      <c r="AJ740" s="125" t="inlineStr">
        <is>
          <t>HY750X243</t>
        </is>
      </c>
      <c r="AK740" s="125" t="n"/>
      <c r="AL740" s="125" t="n"/>
      <c r="AM740" s="125">
        <f>SQRT(((VLOOKUP($AT$4,$A$4:$J$1021,10,FALSE))-J740)^2)</f>
        <v/>
      </c>
      <c r="AN740" s="125" t="n"/>
      <c r="AO740" s="125" t="n"/>
      <c r="AP740" s="125">
        <f>SQRT(((VLOOKUP($AT$4,$A$4:$R$1021,18,FALSE))-R740)^2)</f>
        <v/>
      </c>
      <c r="AQ740" s="125" t="inlineStr">
        <is>
          <t>HY750X243</t>
        </is>
      </c>
      <c r="BB740" s="125">
        <f>SQRT(($J$1022-J740)^2)</f>
        <v/>
      </c>
      <c r="BC740" s="125">
        <f>SQRT(($R$1022-R740)^2)</f>
        <v/>
      </c>
      <c r="BD740" s="125" t="inlineStr">
        <is>
          <t>HY750X243</t>
        </is>
      </c>
      <c r="BI740">
        <f>SQRT(($J$1023-J740)^2)</f>
        <v/>
      </c>
      <c r="BJ740">
        <f>SQRT(($R$1023-R740)^2)</f>
        <v/>
      </c>
      <c r="BK740" s="125" t="inlineStr">
        <is>
          <t>HY750X243</t>
        </is>
      </c>
      <c r="BP740">
        <f>SQRT(($J$1024-J740)^2)</f>
        <v/>
      </c>
      <c r="BQ740">
        <f>SQRT(($R$1024-R740)^2)</f>
        <v/>
      </c>
      <c r="BR740" s="125" t="inlineStr">
        <is>
          <t>HY750X243</t>
        </is>
      </c>
      <c r="BW740">
        <f>SQRT(($J$1025-J740)^2)</f>
        <v/>
      </c>
      <c r="BX740">
        <f>SQRT(($R$1025-R740)^2)</f>
        <v/>
      </c>
      <c r="BY740" s="125" t="inlineStr">
        <is>
          <t>HY750X243</t>
        </is>
      </c>
      <c r="CD740">
        <f>SQRT(($J$1026-J740)^2)</f>
        <v/>
      </c>
      <c r="CE740">
        <f>SQRT(($R$1026-R740)^2)</f>
        <v/>
      </c>
      <c r="CF740" s="125" t="inlineStr">
        <is>
          <t>HY750X243</t>
        </is>
      </c>
    </row>
    <row r="741">
      <c r="A741" s="125" t="inlineStr">
        <is>
          <t>HY750X227</t>
        </is>
      </c>
      <c r="B741" s="129" t="inlineStr">
        <is>
          <t>HY</t>
        </is>
      </c>
      <c r="C741" s="125" t="n">
        <v>227</v>
      </c>
      <c r="D741" s="125" t="n">
        <v>750</v>
      </c>
      <c r="E741" s="125" t="n">
        <v>350</v>
      </c>
      <c r="F741" s="125" t="n">
        <v>25</v>
      </c>
      <c r="G741" s="125" t="n">
        <v>16</v>
      </c>
      <c r="H741" s="125" t="n">
        <v>18</v>
      </c>
      <c r="I741" s="125">
        <f>D741-(2*(H741+F741))</f>
        <v/>
      </c>
      <c r="J741" s="125">
        <f>(2*E741/10*F741/10)+((D741-F741-F741)/10*G741/10)+((H741/10+H741/10)^2)-(PI()*H741/10*H741/10)</f>
        <v/>
      </c>
      <c r="K741" s="125">
        <f>((E741-G741)/2)/F741</f>
        <v/>
      </c>
      <c r="L741" s="125">
        <f>I741/G741</f>
        <v/>
      </c>
      <c r="M741" s="125">
        <f>(E741*2+F741*4+((E741-G741)/2-H741)*4+2*PI()*H741+(D741-2*F741-2*H741)*2)/1000</f>
        <v/>
      </c>
      <c r="N741" s="5" t="n">
        <v>279000</v>
      </c>
      <c r="O741" s="5" t="n">
        <v>17900</v>
      </c>
      <c r="P741" s="125" t="n">
        <v>31</v>
      </c>
      <c r="Q741" s="125" t="n">
        <v>7.9</v>
      </c>
      <c r="R741" s="5" t="n">
        <v>7440</v>
      </c>
      <c r="S741" s="5" t="n">
        <v>1020</v>
      </c>
      <c r="T741" s="5" t="n">
        <v>8400</v>
      </c>
      <c r="U741" s="5" t="n">
        <v>1580</v>
      </c>
      <c r="X741" s="129">
        <f t="array" ref="X741">_xlfn.IFS((D741/F741) &lt;= (640/SQRT($AT$32)), "Compact", L741 &lt;= ($AT$32*(0.79-(0.002*((E741-G741/2)/(2*F741))*SQRT($AT$32)))), "Non-Compact", L741 &gt; ($AT$32*(0.79-(0.002*((E741-G741/2)/(2*F741))*SQRT($AT$32)))), "Slender")</f>
        <v/>
      </c>
      <c r="Y741" s="129">
        <f t="array" ref="Y741">_xlfn.IFS(K741 &lt;= (65/SQRT($AT$32)), "Compact", K741 &lt;= (95/SQRT($AT$32)), "Non-Compact", K741 &gt; (95/SQRT($AT$32)), "Slender")</f>
        <v/>
      </c>
      <c r="Z741" s="125">
        <f>E741/F741</f>
        <v/>
      </c>
      <c r="AA741" s="125">
        <f>D741/G741</f>
        <v/>
      </c>
      <c r="AB741" s="125">
        <f t="array" ref="AB741">_xlfn.IFS(Z741 &lt;= 9, "1", Z741 &lt;= 12, "2", Z741 &lt;= 15, "3", Z741 &gt; 15, "4")</f>
        <v/>
      </c>
      <c r="AC741" s="125">
        <f t="array" ref="AC741">_xlfn.IFS(AA741 &lt;= 200, "1", L741 &lt;= 300, "2", L741 &lt;= 400, "3", L741 &gt; 400, "4")</f>
        <v/>
      </c>
      <c r="AF741" s="129">
        <f>SQRT((((VLOOKUP($AT$4,$A$4:$D$1021,4,FALSE))-D741)^2)+(((VLOOKUP($AT$4,$A$4:$E$1021,5,FALSE))-E741)^2)+(((VLOOKUP($AT$4,$A$4:$N$1021,14,FALSE))-N741)^2)+(((VLOOKUP($AT$4,$A$4:$O$1021,15,FALSE))-O741)^2))</f>
        <v/>
      </c>
      <c r="AG741" s="129" t="n"/>
      <c r="AI741" s="129">
        <f>SQRT((((VLOOKUP($AT$4,$A$4:$D$1021,4,FALSE))-D741)^2)+(((VLOOKUP($AT$4,$A$4:$E$1021,5,FALSE))-E741)^2)+(((VLOOKUP($AT$4,$A$4:$R$1021,18,FALSE))-R741)^2)+(((VLOOKUP($AT$4,$A$4:$S$1021,19,FALSE))-S741)^2))</f>
        <v/>
      </c>
      <c r="AJ741" s="125" t="inlineStr">
        <is>
          <t>HY750X227</t>
        </is>
      </c>
      <c r="AK741" s="125" t="n"/>
      <c r="AL741" s="125" t="n"/>
      <c r="AM741" s="125">
        <f>SQRT(((VLOOKUP($AT$4,$A$4:$J$1021,10,FALSE))-J741)^2)</f>
        <v/>
      </c>
      <c r="AN741" s="125" t="n"/>
      <c r="AO741" s="125" t="n"/>
      <c r="AP741" s="125">
        <f>SQRT(((VLOOKUP($AT$4,$A$4:$R$1021,18,FALSE))-R741)^2)</f>
        <v/>
      </c>
      <c r="AQ741" s="125" t="inlineStr">
        <is>
          <t>HY750X227</t>
        </is>
      </c>
      <c r="BB741" s="125">
        <f>SQRT(($J$1022-J741)^2)</f>
        <v/>
      </c>
      <c r="BC741" s="125">
        <f>SQRT(($R$1022-R741)^2)</f>
        <v/>
      </c>
      <c r="BD741" s="125" t="inlineStr">
        <is>
          <t>HY750X227</t>
        </is>
      </c>
      <c r="BI741">
        <f>SQRT(($J$1023-J741)^2)</f>
        <v/>
      </c>
      <c r="BJ741">
        <f>SQRT(($R$1023-R741)^2)</f>
        <v/>
      </c>
      <c r="BK741" s="125" t="inlineStr">
        <is>
          <t>HY750X227</t>
        </is>
      </c>
      <c r="BP741">
        <f>SQRT(($J$1024-J741)^2)</f>
        <v/>
      </c>
      <c r="BQ741">
        <f>SQRT(($R$1024-R741)^2)</f>
        <v/>
      </c>
      <c r="BR741" s="125" t="inlineStr">
        <is>
          <t>HY750X227</t>
        </is>
      </c>
      <c r="BW741">
        <f>SQRT(($J$1025-J741)^2)</f>
        <v/>
      </c>
      <c r="BX741">
        <f>SQRT(($R$1025-R741)^2)</f>
        <v/>
      </c>
      <c r="BY741" s="125" t="inlineStr">
        <is>
          <t>HY750X227</t>
        </is>
      </c>
      <c r="CD741">
        <f>SQRT(($J$1026-J741)^2)</f>
        <v/>
      </c>
      <c r="CE741">
        <f>SQRT(($R$1026-R741)^2)</f>
        <v/>
      </c>
      <c r="CF741" s="125" t="inlineStr">
        <is>
          <t>HY750X227</t>
        </is>
      </c>
    </row>
    <row r="742">
      <c r="A742" s="125" t="inlineStr">
        <is>
          <t>HY750X253</t>
        </is>
      </c>
      <c r="B742" s="129" t="inlineStr">
        <is>
          <t>HY</t>
        </is>
      </c>
      <c r="C742" s="125" t="n">
        <v>253</v>
      </c>
      <c r="D742" s="125" t="n">
        <v>750</v>
      </c>
      <c r="E742" s="125" t="n">
        <v>350</v>
      </c>
      <c r="F742" s="125" t="n">
        <v>32</v>
      </c>
      <c r="G742" s="125" t="n">
        <v>14</v>
      </c>
      <c r="H742" s="125" t="n">
        <v>18</v>
      </c>
      <c r="I742" s="125">
        <f>D742-(2*(H742+F742))</f>
        <v/>
      </c>
      <c r="J742" s="125">
        <f>(2*E742/10*F742/10)+((D742-F742-F742)/10*G742/10)+((H742/10+H742/10)^2)-(PI()*H742/10*H742/10)</f>
        <v/>
      </c>
      <c r="K742" s="125">
        <f>((E742-G742)/2)/F742</f>
        <v/>
      </c>
      <c r="L742" s="125">
        <f>I742/G742</f>
        <v/>
      </c>
      <c r="M742" s="125">
        <f>(E742*2+F742*4+((E742-G742)/2-H742)*4+2*PI()*H742+(D742-2*F742-2*H742)*2)/1000</f>
        <v/>
      </c>
      <c r="N742" s="5" t="n">
        <v>330000</v>
      </c>
      <c r="O742" s="5" t="n">
        <v>22900</v>
      </c>
      <c r="P742" s="125" t="n">
        <v>32</v>
      </c>
      <c r="Q742" s="125" t="n">
        <v>8.4</v>
      </c>
      <c r="R742" s="5" t="n">
        <v>8790</v>
      </c>
      <c r="S742" s="5" t="n">
        <v>1310</v>
      </c>
      <c r="T742" s="5" t="n">
        <v>9780</v>
      </c>
      <c r="U742" s="5" t="n">
        <v>2000</v>
      </c>
      <c r="X742" s="129">
        <f t="array" ref="X742">_xlfn.IFS((D742/F742) &lt;= (640/SQRT($AT$32)), "Compact", L742 &lt;= ($AT$32*(0.79-(0.002*((E742-G742/2)/(2*F742))*SQRT($AT$32)))), "Non-Compact", L742 &gt; ($AT$32*(0.79-(0.002*((E742-G742/2)/(2*F742))*SQRT($AT$32)))), "Slender")</f>
        <v/>
      </c>
      <c r="Y742" s="129">
        <f t="array" ref="Y742">_xlfn.IFS(K742 &lt;= (65/SQRT($AT$32)), "Compact", K742 &lt;= (95/SQRT($AT$32)), "Non-Compact", K742 &gt; (95/SQRT($AT$32)), "Slender")</f>
        <v/>
      </c>
      <c r="Z742" s="125">
        <f>E742/F742</f>
        <v/>
      </c>
      <c r="AA742" s="125">
        <f>D742/G742</f>
        <v/>
      </c>
      <c r="AB742" s="125">
        <f t="array" ref="AB742">_xlfn.IFS(Z742 &lt;= 9, "1", Z742 &lt;= 12, "2", Z742 &lt;= 15, "3", Z742 &gt; 15, "4")</f>
        <v/>
      </c>
      <c r="AC742" s="125">
        <f t="array" ref="AC742">_xlfn.IFS(AA742 &lt;= 200, "1", L742 &lt;= 300, "2", L742 &lt;= 400, "3", L742 &gt; 400, "4")</f>
        <v/>
      </c>
      <c r="AF742" s="129">
        <f>SQRT((((VLOOKUP($AT$4,$A$4:$D$1021,4,FALSE))-D742)^2)+(((VLOOKUP($AT$4,$A$4:$E$1021,5,FALSE))-E742)^2)+(((VLOOKUP($AT$4,$A$4:$N$1021,14,FALSE))-N742)^2)+(((VLOOKUP($AT$4,$A$4:$O$1021,15,FALSE))-O742)^2))</f>
        <v/>
      </c>
      <c r="AG742" s="129" t="n"/>
      <c r="AI742" s="129">
        <f>SQRT((((VLOOKUP($AT$4,$A$4:$D$1021,4,FALSE))-D742)^2)+(((VLOOKUP($AT$4,$A$4:$E$1021,5,FALSE))-E742)^2)+(((VLOOKUP($AT$4,$A$4:$R$1021,18,FALSE))-R742)^2)+(((VLOOKUP($AT$4,$A$4:$S$1021,19,FALSE))-S742)^2))</f>
        <v/>
      </c>
      <c r="AJ742" s="125" t="inlineStr">
        <is>
          <t>HY750X253</t>
        </is>
      </c>
      <c r="AK742" s="125" t="n"/>
      <c r="AL742" s="125" t="n"/>
      <c r="AM742" s="125">
        <f>SQRT(((VLOOKUP($AT$4,$A$4:$J$1021,10,FALSE))-J742)^2)</f>
        <v/>
      </c>
      <c r="AN742" s="125" t="n"/>
      <c r="AO742" s="125" t="n"/>
      <c r="AP742" s="125">
        <f>SQRT(((VLOOKUP($AT$4,$A$4:$R$1021,18,FALSE))-R742)^2)</f>
        <v/>
      </c>
      <c r="AQ742" s="125" t="inlineStr">
        <is>
          <t>HY750X253</t>
        </is>
      </c>
      <c r="BB742" s="125">
        <f>SQRT(($J$1022-J742)^2)</f>
        <v/>
      </c>
      <c r="BC742" s="125">
        <f>SQRT(($R$1022-R742)^2)</f>
        <v/>
      </c>
      <c r="BD742" s="125" t="inlineStr">
        <is>
          <t>HY750X253</t>
        </is>
      </c>
      <c r="BI742">
        <f>SQRT(($J$1023-J742)^2)</f>
        <v/>
      </c>
      <c r="BJ742">
        <f>SQRT(($R$1023-R742)^2)</f>
        <v/>
      </c>
      <c r="BK742" s="125" t="inlineStr">
        <is>
          <t>HY750X253</t>
        </is>
      </c>
      <c r="BP742">
        <f>SQRT(($J$1024-J742)^2)</f>
        <v/>
      </c>
      <c r="BQ742">
        <f>SQRT(($R$1024-R742)^2)</f>
        <v/>
      </c>
      <c r="BR742" s="125" t="inlineStr">
        <is>
          <t>HY750X253</t>
        </is>
      </c>
      <c r="BW742">
        <f>SQRT(($J$1025-J742)^2)</f>
        <v/>
      </c>
      <c r="BX742">
        <f>SQRT(($R$1025-R742)^2)</f>
        <v/>
      </c>
      <c r="BY742" s="125" t="inlineStr">
        <is>
          <t>HY750X253</t>
        </is>
      </c>
      <c r="CD742">
        <f>SQRT(($J$1026-J742)^2)</f>
        <v/>
      </c>
      <c r="CE742">
        <f>SQRT(($R$1026-R742)^2)</f>
        <v/>
      </c>
      <c r="CF742" s="125" t="inlineStr">
        <is>
          <t>HY750X253</t>
        </is>
      </c>
    </row>
    <row r="743">
      <c r="A743" s="125" t="inlineStr">
        <is>
          <t>HY750X232</t>
        </is>
      </c>
      <c r="B743" s="129" t="inlineStr">
        <is>
          <t>HY</t>
        </is>
      </c>
      <c r="C743" s="125" t="n">
        <v>232</v>
      </c>
      <c r="D743" s="125" t="n">
        <v>750</v>
      </c>
      <c r="E743" s="125" t="n">
        <v>350</v>
      </c>
      <c r="F743" s="125" t="n">
        <v>28</v>
      </c>
      <c r="G743" s="125" t="n">
        <v>14</v>
      </c>
      <c r="H743" s="125" t="n">
        <v>18</v>
      </c>
      <c r="I743" s="125">
        <f>D743-(2*(H743+F743))</f>
        <v/>
      </c>
      <c r="J743" s="125">
        <f>(2*E743/10*F743/10)+((D743-F743-F743)/10*G743/10)+((H743/10+H743/10)^2)-(PI()*H743/10*H743/10)</f>
        <v/>
      </c>
      <c r="K743" s="125">
        <f>((E743-G743)/2)/F743</f>
        <v/>
      </c>
      <c r="L743" s="125">
        <f>I743/G743</f>
        <v/>
      </c>
      <c r="M743" s="125">
        <f>(E743*2+F743*4+((E743-G743)/2-H743)*4+2*PI()*H743+(D743-2*F743-2*H743)*2)/1000</f>
        <v/>
      </c>
      <c r="N743" s="5" t="n">
        <v>298000</v>
      </c>
      <c r="O743" s="5" t="n">
        <v>20000</v>
      </c>
      <c r="P743" s="125" t="n">
        <v>31.7</v>
      </c>
      <c r="Q743" s="125" t="n">
        <v>8.199999999999999</v>
      </c>
      <c r="R743" s="5" t="n">
        <v>7940</v>
      </c>
      <c r="S743" s="5" t="n">
        <v>1140</v>
      </c>
      <c r="T743" s="5" t="n">
        <v>8860</v>
      </c>
      <c r="U743" s="5" t="n">
        <v>1750</v>
      </c>
      <c r="X743" s="129">
        <f t="array" ref="X743">_xlfn.IFS((D743/F743) &lt;= (640/SQRT($AT$32)), "Compact", L743 &lt;= ($AT$32*(0.79-(0.002*((E743-G743/2)/(2*F743))*SQRT($AT$32)))), "Non-Compact", L743 &gt; ($AT$32*(0.79-(0.002*((E743-G743/2)/(2*F743))*SQRT($AT$32)))), "Slender")</f>
        <v/>
      </c>
      <c r="Y743" s="129">
        <f t="array" ref="Y743">_xlfn.IFS(K743 &lt;= (65/SQRT($AT$32)), "Compact", K743 &lt;= (95/SQRT($AT$32)), "Non-Compact", K743 &gt; (95/SQRT($AT$32)), "Slender")</f>
        <v/>
      </c>
      <c r="Z743" s="125">
        <f>E743/F743</f>
        <v/>
      </c>
      <c r="AA743" s="125">
        <f>D743/G743</f>
        <v/>
      </c>
      <c r="AB743" s="125">
        <f t="array" ref="AB743">_xlfn.IFS(Z743 &lt;= 9, "1", Z743 &lt;= 12, "2", Z743 &lt;= 15, "3", Z743 &gt; 15, "4")</f>
        <v/>
      </c>
      <c r="AC743" s="125">
        <f t="array" ref="AC743">_xlfn.IFS(AA743 &lt;= 200, "1", L743 &lt;= 300, "2", L743 &lt;= 400, "3", L743 &gt; 400, "4")</f>
        <v/>
      </c>
      <c r="AF743" s="129">
        <f>SQRT((((VLOOKUP($AT$4,$A$4:$D$1021,4,FALSE))-D743)^2)+(((VLOOKUP($AT$4,$A$4:$E$1021,5,FALSE))-E743)^2)+(((VLOOKUP($AT$4,$A$4:$N$1021,14,FALSE))-N743)^2)+(((VLOOKUP($AT$4,$A$4:$O$1021,15,FALSE))-O743)^2))</f>
        <v/>
      </c>
      <c r="AG743" s="129" t="n"/>
      <c r="AI743" s="129">
        <f>SQRT((((VLOOKUP($AT$4,$A$4:$D$1021,4,FALSE))-D743)^2)+(((VLOOKUP($AT$4,$A$4:$E$1021,5,FALSE))-E743)^2)+(((VLOOKUP($AT$4,$A$4:$R$1021,18,FALSE))-R743)^2)+(((VLOOKUP($AT$4,$A$4:$S$1021,19,FALSE))-S743)^2))</f>
        <v/>
      </c>
      <c r="AJ743" s="125" t="inlineStr">
        <is>
          <t>HY750X232</t>
        </is>
      </c>
      <c r="AK743" s="125" t="n"/>
      <c r="AL743" s="125" t="n"/>
      <c r="AM743" s="125">
        <f>SQRT(((VLOOKUP($AT$4,$A$4:$J$1021,10,FALSE))-J743)^2)</f>
        <v/>
      </c>
      <c r="AN743" s="125" t="n"/>
      <c r="AO743" s="125" t="n"/>
      <c r="AP743" s="125">
        <f>SQRT(((VLOOKUP($AT$4,$A$4:$R$1021,18,FALSE))-R743)^2)</f>
        <v/>
      </c>
      <c r="AQ743" s="125" t="inlineStr">
        <is>
          <t>HY750X232</t>
        </is>
      </c>
      <c r="BB743" s="125">
        <f>SQRT(($J$1022-J743)^2)</f>
        <v/>
      </c>
      <c r="BC743" s="125">
        <f>SQRT(($R$1022-R743)^2)</f>
        <v/>
      </c>
      <c r="BD743" s="125" t="inlineStr">
        <is>
          <t>HY750X232</t>
        </is>
      </c>
      <c r="BI743">
        <f>SQRT(($J$1023-J743)^2)</f>
        <v/>
      </c>
      <c r="BJ743">
        <f>SQRT(($R$1023-R743)^2)</f>
        <v/>
      </c>
      <c r="BK743" s="125" t="inlineStr">
        <is>
          <t>HY750X232</t>
        </is>
      </c>
      <c r="BP743">
        <f>SQRT(($J$1024-J743)^2)</f>
        <v/>
      </c>
      <c r="BQ743">
        <f>SQRT(($R$1024-R743)^2)</f>
        <v/>
      </c>
      <c r="BR743" s="125" t="inlineStr">
        <is>
          <t>HY750X232</t>
        </is>
      </c>
      <c r="BW743">
        <f>SQRT(($J$1025-J743)^2)</f>
        <v/>
      </c>
      <c r="BX743">
        <f>SQRT(($R$1025-R743)^2)</f>
        <v/>
      </c>
      <c r="BY743" s="125" t="inlineStr">
        <is>
          <t>HY750X232</t>
        </is>
      </c>
      <c r="CD743">
        <f>SQRT(($J$1026-J743)^2)</f>
        <v/>
      </c>
      <c r="CE743">
        <f>SQRT(($R$1026-R743)^2)</f>
        <v/>
      </c>
      <c r="CF743" s="125" t="inlineStr">
        <is>
          <t>HY750X232</t>
        </is>
      </c>
    </row>
    <row r="744">
      <c r="A744" s="125" t="inlineStr">
        <is>
          <t>HY750X216</t>
        </is>
      </c>
      <c r="B744" s="129" t="inlineStr">
        <is>
          <t>HY</t>
        </is>
      </c>
      <c r="C744" s="125" t="n">
        <v>216</v>
      </c>
      <c r="D744" s="125" t="n">
        <v>750</v>
      </c>
      <c r="E744" s="125" t="n">
        <v>350</v>
      </c>
      <c r="F744" s="125" t="n">
        <v>25</v>
      </c>
      <c r="G744" s="125" t="n">
        <v>14</v>
      </c>
      <c r="H744" s="125" t="n">
        <v>18</v>
      </c>
      <c r="I744" s="125">
        <f>D744-(2*(H744+F744))</f>
        <v/>
      </c>
      <c r="J744" s="125">
        <f>(2*E744/10*F744/10)+((D744-F744-F744)/10*G744/10)+((H744/10+H744/10)^2)-(PI()*H744/10*H744/10)</f>
        <v/>
      </c>
      <c r="K744" s="125">
        <f>((E744-G744)/2)/F744</f>
        <v/>
      </c>
      <c r="L744" s="125">
        <f>I744/G744</f>
        <v/>
      </c>
      <c r="M744" s="125">
        <f>(E744*2+F744*4+((E744-G744)/2-H744)*4+2*PI()*H744+(D744-2*F744-2*H744)*2)/1000</f>
        <v/>
      </c>
      <c r="N744" s="5" t="n">
        <v>273000</v>
      </c>
      <c r="O744" s="5" t="n">
        <v>17900</v>
      </c>
      <c r="P744" s="125" t="n">
        <v>31.5</v>
      </c>
      <c r="Q744" s="125" t="n">
        <v>8.1</v>
      </c>
      <c r="R744" s="5" t="n">
        <v>7290</v>
      </c>
      <c r="S744" s="5" t="n">
        <v>1020</v>
      </c>
      <c r="T744" s="5" t="n">
        <v>8150</v>
      </c>
      <c r="U744" s="5" t="n">
        <v>1570</v>
      </c>
      <c r="X744" s="129">
        <f t="array" ref="X744">_xlfn.IFS((D744/F744) &lt;= (640/SQRT($AT$32)), "Compact", L744 &lt;= ($AT$32*(0.79-(0.002*((E744-G744/2)/(2*F744))*SQRT($AT$32)))), "Non-Compact", L744 &gt; ($AT$32*(0.79-(0.002*((E744-G744/2)/(2*F744))*SQRT($AT$32)))), "Slender")</f>
        <v/>
      </c>
      <c r="Y744" s="129">
        <f t="array" ref="Y744">_xlfn.IFS(K744 &lt;= (65/SQRT($AT$32)), "Compact", K744 &lt;= (95/SQRT($AT$32)), "Non-Compact", K744 &gt; (95/SQRT($AT$32)), "Slender")</f>
        <v/>
      </c>
      <c r="Z744" s="125">
        <f>E744/F744</f>
        <v/>
      </c>
      <c r="AA744" s="125">
        <f>D744/G744</f>
        <v/>
      </c>
      <c r="AB744" s="125">
        <f t="array" ref="AB744">_xlfn.IFS(Z744 &lt;= 9, "1", Z744 &lt;= 12, "2", Z744 &lt;= 15, "3", Z744 &gt; 15, "4")</f>
        <v/>
      </c>
      <c r="AC744" s="125">
        <f t="array" ref="AC744">_xlfn.IFS(AA744 &lt;= 200, "1", L744 &lt;= 300, "2", L744 &lt;= 400, "3", L744 &gt; 400, "4")</f>
        <v/>
      </c>
      <c r="AF744" s="129">
        <f>SQRT((((VLOOKUP($AT$4,$A$4:$D$1021,4,FALSE))-D744)^2)+(((VLOOKUP($AT$4,$A$4:$E$1021,5,FALSE))-E744)^2)+(((VLOOKUP($AT$4,$A$4:$N$1021,14,FALSE))-N744)^2)+(((VLOOKUP($AT$4,$A$4:$O$1021,15,FALSE))-O744)^2))</f>
        <v/>
      </c>
      <c r="AG744" s="129" t="n"/>
      <c r="AI744" s="129">
        <f>SQRT((((VLOOKUP($AT$4,$A$4:$D$1021,4,FALSE))-D744)^2)+(((VLOOKUP($AT$4,$A$4:$E$1021,5,FALSE))-E744)^2)+(((VLOOKUP($AT$4,$A$4:$R$1021,18,FALSE))-R744)^2)+(((VLOOKUP($AT$4,$A$4:$S$1021,19,FALSE))-S744)^2))</f>
        <v/>
      </c>
      <c r="AJ744" s="125" t="inlineStr">
        <is>
          <t>HY750X216</t>
        </is>
      </c>
      <c r="AK744" s="125" t="n"/>
      <c r="AL744" s="125" t="n"/>
      <c r="AM744" s="125">
        <f>SQRT(((VLOOKUP($AT$4,$A$4:$J$1021,10,FALSE))-J744)^2)</f>
        <v/>
      </c>
      <c r="AN744" s="125" t="n"/>
      <c r="AO744" s="125" t="n"/>
      <c r="AP744" s="125">
        <f>SQRT(((VLOOKUP($AT$4,$A$4:$R$1021,18,FALSE))-R744)^2)</f>
        <v/>
      </c>
      <c r="AQ744" s="125" t="inlineStr">
        <is>
          <t>HY750X216</t>
        </is>
      </c>
      <c r="BB744" s="125">
        <f>SQRT(($J$1022-J744)^2)</f>
        <v/>
      </c>
      <c r="BC744" s="125">
        <f>SQRT(($R$1022-R744)^2)</f>
        <v/>
      </c>
      <c r="BD744" s="125" t="inlineStr">
        <is>
          <t>HY750X216</t>
        </is>
      </c>
      <c r="BI744">
        <f>SQRT(($J$1023-J744)^2)</f>
        <v/>
      </c>
      <c r="BJ744">
        <f>SQRT(($R$1023-R744)^2)</f>
        <v/>
      </c>
      <c r="BK744" s="125" t="inlineStr">
        <is>
          <t>HY750X216</t>
        </is>
      </c>
      <c r="BP744">
        <f>SQRT(($J$1024-J744)^2)</f>
        <v/>
      </c>
      <c r="BQ744">
        <f>SQRT(($R$1024-R744)^2)</f>
        <v/>
      </c>
      <c r="BR744" s="125" t="inlineStr">
        <is>
          <t>HY750X216</t>
        </is>
      </c>
      <c r="BW744">
        <f>SQRT(($J$1025-J744)^2)</f>
        <v/>
      </c>
      <c r="BX744">
        <f>SQRT(($R$1025-R744)^2)</f>
        <v/>
      </c>
      <c r="BY744" s="125" t="inlineStr">
        <is>
          <t>HY750X216</t>
        </is>
      </c>
      <c r="CD744">
        <f>SQRT(($J$1026-J744)^2)</f>
        <v/>
      </c>
      <c r="CE744">
        <f>SQRT(($R$1026-R744)^2)</f>
        <v/>
      </c>
      <c r="CF744" s="125" t="inlineStr">
        <is>
          <t>HY750X216</t>
        </is>
      </c>
    </row>
    <row r="745">
      <c r="A745" s="125" t="inlineStr">
        <is>
          <t>HY750X257</t>
        </is>
      </c>
      <c r="B745" s="129" t="inlineStr">
        <is>
          <t>HY</t>
        </is>
      </c>
      <c r="C745" s="125" t="n">
        <v>257</v>
      </c>
      <c r="D745" s="125" t="n">
        <v>750</v>
      </c>
      <c r="E745" s="125" t="n">
        <v>300</v>
      </c>
      <c r="F745" s="125" t="n">
        <v>36</v>
      </c>
      <c r="G745" s="125" t="n">
        <v>16</v>
      </c>
      <c r="H745" s="125" t="n">
        <v>18</v>
      </c>
      <c r="I745" s="125">
        <f>D745-(2*(H745+F745))</f>
        <v/>
      </c>
      <c r="J745" s="125">
        <f>(2*E745/10*F745/10)+((D745-F745-F745)/10*G745/10)+((H745/10+H745/10)^2)-(PI()*H745/10*H745/10)</f>
        <v/>
      </c>
      <c r="K745" s="125">
        <f>((E745-G745)/2)/F745</f>
        <v/>
      </c>
      <c r="L745" s="125">
        <f>I745/G745</f>
        <v/>
      </c>
      <c r="M745" s="125">
        <f>(E745*2+F745*4+((E745-G745)/2-H745)*4+2*PI()*H745+(D745-2*F745-2*H745)*2)/1000</f>
        <v/>
      </c>
      <c r="N745" s="5" t="n">
        <v>320000</v>
      </c>
      <c r="O745" s="5" t="n">
        <v>16200</v>
      </c>
      <c r="P745" s="125" t="n">
        <v>31.3</v>
      </c>
      <c r="Q745" s="125" t="n">
        <v>7</v>
      </c>
      <c r="R745" s="5" t="n">
        <v>8540</v>
      </c>
      <c r="S745" s="5" t="n">
        <v>1080</v>
      </c>
      <c r="T745" s="5" t="n">
        <v>9640</v>
      </c>
      <c r="U745" s="5" t="n">
        <v>1670</v>
      </c>
      <c r="X745" s="129">
        <f t="array" ref="X745">_xlfn.IFS((D745/F745) &lt;= (640/SQRT($AT$32)), "Compact", L745 &lt;= ($AT$32*(0.79-(0.002*((E745-G745/2)/(2*F745))*SQRT($AT$32)))), "Non-Compact", L745 &gt; ($AT$32*(0.79-(0.002*((E745-G745/2)/(2*F745))*SQRT($AT$32)))), "Slender")</f>
        <v/>
      </c>
      <c r="Y745" s="129">
        <f t="array" ref="Y745">_xlfn.IFS(K745 &lt;= (65/SQRT($AT$32)), "Compact", K745 &lt;= (95/SQRT($AT$32)), "Non-Compact", K745 &gt; (95/SQRT($AT$32)), "Slender")</f>
        <v/>
      </c>
      <c r="Z745" s="125">
        <f>E745/F745</f>
        <v/>
      </c>
      <c r="AA745" s="125">
        <f>D745/G745</f>
        <v/>
      </c>
      <c r="AB745" s="125">
        <f t="array" ref="AB745">_xlfn.IFS(Z745 &lt;= 9, "1", Z745 &lt;= 12, "2", Z745 &lt;= 15, "3", Z745 &gt; 15, "4")</f>
        <v/>
      </c>
      <c r="AC745" s="125">
        <f t="array" ref="AC745">_xlfn.IFS(AA745 &lt;= 200, "1", L745 &lt;= 300, "2", L745 &lt;= 400, "3", L745 &gt; 400, "4")</f>
        <v/>
      </c>
      <c r="AF745" s="129">
        <f>SQRT((((VLOOKUP($AT$4,$A$4:$D$1021,4,FALSE))-D745)^2)+(((VLOOKUP($AT$4,$A$4:$E$1021,5,FALSE))-E745)^2)+(((VLOOKUP($AT$4,$A$4:$N$1021,14,FALSE))-N745)^2)+(((VLOOKUP($AT$4,$A$4:$O$1021,15,FALSE))-O745)^2))</f>
        <v/>
      </c>
      <c r="AG745" s="129" t="n"/>
      <c r="AI745" s="129">
        <f>SQRT((((VLOOKUP($AT$4,$A$4:$D$1021,4,FALSE))-D745)^2)+(((VLOOKUP($AT$4,$A$4:$E$1021,5,FALSE))-E745)^2)+(((VLOOKUP($AT$4,$A$4:$R$1021,18,FALSE))-R745)^2)+(((VLOOKUP($AT$4,$A$4:$S$1021,19,FALSE))-S745)^2))</f>
        <v/>
      </c>
      <c r="AJ745" s="125" t="inlineStr">
        <is>
          <t>HY750X257</t>
        </is>
      </c>
      <c r="AK745" s="125" t="n"/>
      <c r="AL745" s="125" t="n"/>
      <c r="AM745" s="125">
        <f>SQRT(((VLOOKUP($AT$4,$A$4:$J$1021,10,FALSE))-J745)^2)</f>
        <v/>
      </c>
      <c r="AN745" s="125" t="n"/>
      <c r="AO745" s="125" t="n"/>
      <c r="AP745" s="125">
        <f>SQRT(((VLOOKUP($AT$4,$A$4:$R$1021,18,FALSE))-R745)^2)</f>
        <v/>
      </c>
      <c r="AQ745" s="125" t="inlineStr">
        <is>
          <t>HY750X257</t>
        </is>
      </c>
      <c r="BB745" s="125">
        <f>SQRT(($J$1022-J745)^2)</f>
        <v/>
      </c>
      <c r="BC745" s="125">
        <f>SQRT(($R$1022-R745)^2)</f>
        <v/>
      </c>
      <c r="BD745" s="125" t="inlineStr">
        <is>
          <t>HY750X257</t>
        </is>
      </c>
      <c r="BI745">
        <f>SQRT(($J$1023-J745)^2)</f>
        <v/>
      </c>
      <c r="BJ745">
        <f>SQRT(($R$1023-R745)^2)</f>
        <v/>
      </c>
      <c r="BK745" s="125" t="inlineStr">
        <is>
          <t>HY750X257</t>
        </is>
      </c>
      <c r="BP745">
        <f>SQRT(($J$1024-J745)^2)</f>
        <v/>
      </c>
      <c r="BQ745">
        <f>SQRT(($R$1024-R745)^2)</f>
        <v/>
      </c>
      <c r="BR745" s="125" t="inlineStr">
        <is>
          <t>HY750X257</t>
        </is>
      </c>
      <c r="BW745">
        <f>SQRT(($J$1025-J745)^2)</f>
        <v/>
      </c>
      <c r="BX745">
        <f>SQRT(($R$1025-R745)^2)</f>
        <v/>
      </c>
      <c r="BY745" s="125" t="inlineStr">
        <is>
          <t>HY750X257</t>
        </is>
      </c>
      <c r="CD745">
        <f>SQRT(($J$1026-J745)^2)</f>
        <v/>
      </c>
      <c r="CE745">
        <f>SQRT(($R$1026-R745)^2)</f>
        <v/>
      </c>
      <c r="CF745" s="125" t="inlineStr">
        <is>
          <t>HY750X257</t>
        </is>
      </c>
    </row>
    <row r="746">
      <c r="A746" s="125" t="inlineStr">
        <is>
          <t>HY750X239</t>
        </is>
      </c>
      <c r="B746" s="129" t="inlineStr">
        <is>
          <t>HY</t>
        </is>
      </c>
      <c r="C746" s="125" t="n">
        <v>239</v>
      </c>
      <c r="D746" s="125" t="n">
        <v>750</v>
      </c>
      <c r="E746" s="125" t="n">
        <v>300</v>
      </c>
      <c r="F746" s="125" t="n">
        <v>32</v>
      </c>
      <c r="G746" s="125" t="n">
        <v>16</v>
      </c>
      <c r="H746" s="125" t="n">
        <v>18</v>
      </c>
      <c r="I746" s="125">
        <f>D746-(2*(H746+F746))</f>
        <v/>
      </c>
      <c r="J746" s="125">
        <f>(2*E746/10*F746/10)+((D746-F746-F746)/10*G746/10)+((H746/10+H746/10)^2)-(PI()*H746/10*H746/10)</f>
        <v/>
      </c>
      <c r="K746" s="125">
        <f>((E746-G746)/2)/F746</f>
        <v/>
      </c>
      <c r="L746" s="125">
        <f>I746/G746</f>
        <v/>
      </c>
      <c r="M746" s="125">
        <f>(E746*2+F746*4+((E746-G746)/2-H746)*4+2*PI()*H746+(D746-2*F746-2*H746)*2)/1000</f>
        <v/>
      </c>
      <c r="N746" s="5" t="n">
        <v>294000</v>
      </c>
      <c r="O746" s="5" t="n">
        <v>14400</v>
      </c>
      <c r="P746" s="125" t="n">
        <v>31.1</v>
      </c>
      <c r="Q746" s="125" t="n">
        <v>6.9</v>
      </c>
      <c r="R746" s="5" t="n">
        <v>7840</v>
      </c>
      <c r="S746" s="125" t="n">
        <v>962</v>
      </c>
      <c r="T746" s="5" t="n">
        <v>8870</v>
      </c>
      <c r="U746" s="5" t="n">
        <v>1490</v>
      </c>
      <c r="X746" s="129">
        <f t="array" ref="X746">_xlfn.IFS((D746/F746) &lt;= (640/SQRT($AT$32)), "Compact", L746 &lt;= ($AT$32*(0.79-(0.002*((E746-G746/2)/(2*F746))*SQRT($AT$32)))), "Non-Compact", L746 &gt; ($AT$32*(0.79-(0.002*((E746-G746/2)/(2*F746))*SQRT($AT$32)))), "Slender")</f>
        <v/>
      </c>
      <c r="Y746" s="129">
        <f t="array" ref="Y746">_xlfn.IFS(K746 &lt;= (65/SQRT($AT$32)), "Compact", K746 &lt;= (95/SQRT($AT$32)), "Non-Compact", K746 &gt; (95/SQRT($AT$32)), "Slender")</f>
        <v/>
      </c>
      <c r="Z746" s="125">
        <f>E746/F746</f>
        <v/>
      </c>
      <c r="AA746" s="125">
        <f>D746/G746</f>
        <v/>
      </c>
      <c r="AB746" s="125">
        <f t="array" ref="AB746">_xlfn.IFS(Z746 &lt;= 9, "1", Z746 &lt;= 12, "2", Z746 &lt;= 15, "3", Z746 &gt; 15, "4")</f>
        <v/>
      </c>
      <c r="AC746" s="125">
        <f t="array" ref="AC746">_xlfn.IFS(AA746 &lt;= 200, "1", L746 &lt;= 300, "2", L746 &lt;= 400, "3", L746 &gt; 400, "4")</f>
        <v/>
      </c>
      <c r="AF746" s="129">
        <f>SQRT((((VLOOKUP($AT$4,$A$4:$D$1021,4,FALSE))-D746)^2)+(((VLOOKUP($AT$4,$A$4:$E$1021,5,FALSE))-E746)^2)+(((VLOOKUP($AT$4,$A$4:$N$1021,14,FALSE))-N746)^2)+(((VLOOKUP($AT$4,$A$4:$O$1021,15,FALSE))-O746)^2))</f>
        <v/>
      </c>
      <c r="AG746" s="129" t="n"/>
      <c r="AI746" s="129">
        <f>SQRT((((VLOOKUP($AT$4,$A$4:$D$1021,4,FALSE))-D746)^2)+(((VLOOKUP($AT$4,$A$4:$E$1021,5,FALSE))-E746)^2)+(((VLOOKUP($AT$4,$A$4:$R$1021,18,FALSE))-R746)^2)+(((VLOOKUP($AT$4,$A$4:$S$1021,19,FALSE))-S746)^2))</f>
        <v/>
      </c>
      <c r="AJ746" s="125" t="inlineStr">
        <is>
          <t>HY750X239</t>
        </is>
      </c>
      <c r="AK746" s="125" t="n"/>
      <c r="AL746" s="125" t="n"/>
      <c r="AM746" s="125">
        <f>SQRT(((VLOOKUP($AT$4,$A$4:$J$1021,10,FALSE))-J746)^2)</f>
        <v/>
      </c>
      <c r="AN746" s="125" t="n"/>
      <c r="AO746" s="125" t="n"/>
      <c r="AP746" s="125">
        <f>SQRT(((VLOOKUP($AT$4,$A$4:$R$1021,18,FALSE))-R746)^2)</f>
        <v/>
      </c>
      <c r="AQ746" s="125" t="inlineStr">
        <is>
          <t>HY750X239</t>
        </is>
      </c>
      <c r="BB746" s="125">
        <f>SQRT(($J$1022-J746)^2)</f>
        <v/>
      </c>
      <c r="BC746" s="125">
        <f>SQRT(($R$1022-R746)^2)</f>
        <v/>
      </c>
      <c r="BD746" s="125" t="inlineStr">
        <is>
          <t>HY750X239</t>
        </is>
      </c>
      <c r="BI746">
        <f>SQRT(($J$1023-J746)^2)</f>
        <v/>
      </c>
      <c r="BJ746">
        <f>SQRT(($R$1023-R746)^2)</f>
        <v/>
      </c>
      <c r="BK746" s="125" t="inlineStr">
        <is>
          <t>HY750X239</t>
        </is>
      </c>
      <c r="BP746">
        <f>SQRT(($J$1024-J746)^2)</f>
        <v/>
      </c>
      <c r="BQ746">
        <f>SQRT(($R$1024-R746)^2)</f>
        <v/>
      </c>
      <c r="BR746" s="125" t="inlineStr">
        <is>
          <t>HY750X239</t>
        </is>
      </c>
      <c r="BW746">
        <f>SQRT(($J$1025-J746)^2)</f>
        <v/>
      </c>
      <c r="BX746">
        <f>SQRT(($R$1025-R746)^2)</f>
        <v/>
      </c>
      <c r="BY746" s="125" t="inlineStr">
        <is>
          <t>HY750X239</t>
        </is>
      </c>
      <c r="CD746">
        <f>SQRT(($J$1026-J746)^2)</f>
        <v/>
      </c>
      <c r="CE746">
        <f>SQRT(($R$1026-R746)^2)</f>
        <v/>
      </c>
      <c r="CF746" s="125" t="inlineStr">
        <is>
          <t>HY750X239</t>
        </is>
      </c>
    </row>
    <row r="747">
      <c r="A747" s="125" t="inlineStr">
        <is>
          <t>HY750X221</t>
        </is>
      </c>
      <c r="B747" s="129" t="inlineStr">
        <is>
          <t>HY</t>
        </is>
      </c>
      <c r="C747" s="125" t="n">
        <v>221</v>
      </c>
      <c r="D747" s="125" t="n">
        <v>750</v>
      </c>
      <c r="E747" s="125" t="n">
        <v>300</v>
      </c>
      <c r="F747" s="125" t="n">
        <v>28</v>
      </c>
      <c r="G747" s="125" t="n">
        <v>16</v>
      </c>
      <c r="H747" s="125" t="n">
        <v>18</v>
      </c>
      <c r="I747" s="125">
        <f>D747-(2*(H747+F747))</f>
        <v/>
      </c>
      <c r="J747" s="125">
        <f>(2*E747/10*F747/10)+((D747-F747-F747)/10*G747/10)+((H747/10+H747/10)^2)-(PI()*H747/10*H747/10)</f>
        <v/>
      </c>
      <c r="K747" s="125">
        <f>((E747-G747)/2)/F747</f>
        <v/>
      </c>
      <c r="L747" s="125">
        <f>I747/G747</f>
        <v/>
      </c>
      <c r="M747" s="125">
        <f>(E747*2+F747*4+((E747-G747)/2-H747)*4+2*PI()*H747+(D747-2*F747-2*H747)*2)/1000</f>
        <v/>
      </c>
      <c r="N747" s="5" t="n">
        <v>267000</v>
      </c>
      <c r="O747" s="5" t="n">
        <v>12600</v>
      </c>
      <c r="P747" s="125" t="n">
        <v>30.8</v>
      </c>
      <c r="Q747" s="125" t="n">
        <v>6.7</v>
      </c>
      <c r="R747" s="5" t="n">
        <v>7120</v>
      </c>
      <c r="S747" s="125" t="n">
        <v>842</v>
      </c>
      <c r="T747" s="5" t="n">
        <v>8090</v>
      </c>
      <c r="U747" s="5" t="n">
        <v>1310</v>
      </c>
      <c r="X747" s="129">
        <f t="array" ref="X747">_xlfn.IFS((D747/F747) &lt;= (640/SQRT($AT$32)), "Compact", L747 &lt;= ($AT$32*(0.79-(0.002*((E747-G747/2)/(2*F747))*SQRT($AT$32)))), "Non-Compact", L747 &gt; ($AT$32*(0.79-(0.002*((E747-G747/2)/(2*F747))*SQRT($AT$32)))), "Slender")</f>
        <v/>
      </c>
      <c r="Y747" s="129">
        <f t="array" ref="Y747">_xlfn.IFS(K747 &lt;= (65/SQRT($AT$32)), "Compact", K747 &lt;= (95/SQRT($AT$32)), "Non-Compact", K747 &gt; (95/SQRT($AT$32)), "Slender")</f>
        <v/>
      </c>
      <c r="Z747" s="125">
        <f>E747/F747</f>
        <v/>
      </c>
      <c r="AA747" s="125">
        <f>D747/G747</f>
        <v/>
      </c>
      <c r="AB747" s="125">
        <f t="array" ref="AB747">_xlfn.IFS(Z747 &lt;= 9, "1", Z747 &lt;= 12, "2", Z747 &lt;= 15, "3", Z747 &gt; 15, "4")</f>
        <v/>
      </c>
      <c r="AC747" s="125">
        <f t="array" ref="AC747">_xlfn.IFS(AA747 &lt;= 200, "1", L747 &lt;= 300, "2", L747 &lt;= 400, "3", L747 &gt; 400, "4")</f>
        <v/>
      </c>
      <c r="AF747" s="129">
        <f>SQRT((((VLOOKUP($AT$4,$A$4:$D$1021,4,FALSE))-D747)^2)+(((VLOOKUP($AT$4,$A$4:$E$1021,5,FALSE))-E747)^2)+(((VLOOKUP($AT$4,$A$4:$N$1021,14,FALSE))-N747)^2)+(((VLOOKUP($AT$4,$A$4:$O$1021,15,FALSE))-O747)^2))</f>
        <v/>
      </c>
      <c r="AG747" s="129" t="n"/>
      <c r="AI747" s="129">
        <f>SQRT((((VLOOKUP($AT$4,$A$4:$D$1021,4,FALSE))-D747)^2)+(((VLOOKUP($AT$4,$A$4:$E$1021,5,FALSE))-E747)^2)+(((VLOOKUP($AT$4,$A$4:$R$1021,18,FALSE))-R747)^2)+(((VLOOKUP($AT$4,$A$4:$S$1021,19,FALSE))-S747)^2))</f>
        <v/>
      </c>
      <c r="AJ747" s="125" t="inlineStr">
        <is>
          <t>HY750X221</t>
        </is>
      </c>
      <c r="AK747" s="125" t="n"/>
      <c r="AL747" s="125" t="n"/>
      <c r="AM747" s="125">
        <f>SQRT(((VLOOKUP($AT$4,$A$4:$J$1021,10,FALSE))-J747)^2)</f>
        <v/>
      </c>
      <c r="AN747" s="125" t="n"/>
      <c r="AO747" s="125" t="n"/>
      <c r="AP747" s="125">
        <f>SQRT(((VLOOKUP($AT$4,$A$4:$R$1021,18,FALSE))-R747)^2)</f>
        <v/>
      </c>
      <c r="AQ747" s="125" t="inlineStr">
        <is>
          <t>HY750X221</t>
        </is>
      </c>
      <c r="BB747" s="125">
        <f>SQRT(($J$1022-J747)^2)</f>
        <v/>
      </c>
      <c r="BC747" s="125">
        <f>SQRT(($R$1022-R747)^2)</f>
        <v/>
      </c>
      <c r="BD747" s="125" t="inlineStr">
        <is>
          <t>HY750X221</t>
        </is>
      </c>
      <c r="BI747">
        <f>SQRT(($J$1023-J747)^2)</f>
        <v/>
      </c>
      <c r="BJ747">
        <f>SQRT(($R$1023-R747)^2)</f>
        <v/>
      </c>
      <c r="BK747" s="125" t="inlineStr">
        <is>
          <t>HY750X221</t>
        </is>
      </c>
      <c r="BP747">
        <f>SQRT(($J$1024-J747)^2)</f>
        <v/>
      </c>
      <c r="BQ747">
        <f>SQRT(($R$1024-R747)^2)</f>
        <v/>
      </c>
      <c r="BR747" s="125" t="inlineStr">
        <is>
          <t>HY750X221</t>
        </is>
      </c>
      <c r="BW747">
        <f>SQRT(($J$1025-J747)^2)</f>
        <v/>
      </c>
      <c r="BX747">
        <f>SQRT(($R$1025-R747)^2)</f>
        <v/>
      </c>
      <c r="BY747" s="125" t="inlineStr">
        <is>
          <t>HY750X221</t>
        </is>
      </c>
      <c r="CD747">
        <f>SQRT(($J$1026-J747)^2)</f>
        <v/>
      </c>
      <c r="CE747">
        <f>SQRT(($R$1026-R747)^2)</f>
        <v/>
      </c>
      <c r="CF747" s="125" t="inlineStr">
        <is>
          <t>HY750X221</t>
        </is>
      </c>
    </row>
    <row r="748">
      <c r="A748" s="125" t="inlineStr">
        <is>
          <t>HY750X208</t>
        </is>
      </c>
      <c r="B748" s="129" t="inlineStr">
        <is>
          <t>HY</t>
        </is>
      </c>
      <c r="C748" s="125" t="n">
        <v>208</v>
      </c>
      <c r="D748" s="125" t="n">
        <v>750</v>
      </c>
      <c r="E748" s="125" t="n">
        <v>300</v>
      </c>
      <c r="F748" s="125" t="n">
        <v>25</v>
      </c>
      <c r="G748" s="125" t="n">
        <v>16</v>
      </c>
      <c r="H748" s="125" t="n">
        <v>18</v>
      </c>
      <c r="I748" s="125">
        <f>D748-(2*(H748+F748))</f>
        <v/>
      </c>
      <c r="J748" s="125">
        <f>(2*E748/10*F748/10)+((D748-F748-F748)/10*G748/10)+((H748/10+H748/10)^2)-(PI()*H748/10*H748/10)</f>
        <v/>
      </c>
      <c r="K748" s="125">
        <f>((E748-G748)/2)/F748</f>
        <v/>
      </c>
      <c r="L748" s="125">
        <f>I748/G748</f>
        <v/>
      </c>
      <c r="M748" s="125">
        <f>(E748*2+F748*4+((E748-G748)/2-H748)*4+2*PI()*H748+(D748-2*F748-2*H748)*2)/1000</f>
        <v/>
      </c>
      <c r="N748" s="5" t="n">
        <v>246000</v>
      </c>
      <c r="O748" s="5" t="n">
        <v>11300</v>
      </c>
      <c r="P748" s="125" t="n">
        <v>30.5</v>
      </c>
      <c r="Q748" s="125" t="n">
        <v>6.5</v>
      </c>
      <c r="R748" s="5" t="n">
        <v>6570</v>
      </c>
      <c r="S748" s="125" t="n">
        <v>752</v>
      </c>
      <c r="T748" s="5" t="n">
        <v>7490</v>
      </c>
      <c r="U748" s="5" t="n">
        <v>1170</v>
      </c>
      <c r="X748" s="129">
        <f t="array" ref="X748">_xlfn.IFS((D748/F748) &lt;= (640/SQRT($AT$32)), "Compact", L748 &lt;= ($AT$32*(0.79-(0.002*((E748-G748/2)/(2*F748))*SQRT($AT$32)))), "Non-Compact", L748 &gt; ($AT$32*(0.79-(0.002*((E748-G748/2)/(2*F748))*SQRT($AT$32)))), "Slender")</f>
        <v/>
      </c>
      <c r="Y748" s="129">
        <f t="array" ref="Y748">_xlfn.IFS(K748 &lt;= (65/SQRT($AT$32)), "Compact", K748 &lt;= (95/SQRT($AT$32)), "Non-Compact", K748 &gt; (95/SQRT($AT$32)), "Slender")</f>
        <v/>
      </c>
      <c r="Z748" s="125">
        <f>E748/F748</f>
        <v/>
      </c>
      <c r="AA748" s="125">
        <f>D748/G748</f>
        <v/>
      </c>
      <c r="AB748" s="125">
        <f t="array" ref="AB748">_xlfn.IFS(Z748 &lt;= 9, "1", Z748 &lt;= 12, "2", Z748 &lt;= 15, "3", Z748 &gt; 15, "4")</f>
        <v/>
      </c>
      <c r="AC748" s="125">
        <f t="array" ref="AC748">_xlfn.IFS(AA748 &lt;= 200, "1", L748 &lt;= 300, "2", L748 &lt;= 400, "3", L748 &gt; 400, "4")</f>
        <v/>
      </c>
      <c r="AF748" s="129">
        <f>SQRT((((VLOOKUP($AT$4,$A$4:$D$1021,4,FALSE))-D748)^2)+(((VLOOKUP($AT$4,$A$4:$E$1021,5,FALSE))-E748)^2)+(((VLOOKUP($AT$4,$A$4:$N$1021,14,FALSE))-N748)^2)+(((VLOOKUP($AT$4,$A$4:$O$1021,15,FALSE))-O748)^2))</f>
        <v/>
      </c>
      <c r="AG748" s="129" t="n"/>
      <c r="AI748" s="129">
        <f>SQRT((((VLOOKUP($AT$4,$A$4:$D$1021,4,FALSE))-D748)^2)+(((VLOOKUP($AT$4,$A$4:$E$1021,5,FALSE))-E748)^2)+(((VLOOKUP($AT$4,$A$4:$R$1021,18,FALSE))-R748)^2)+(((VLOOKUP($AT$4,$A$4:$S$1021,19,FALSE))-S748)^2))</f>
        <v/>
      </c>
      <c r="AJ748" s="125" t="inlineStr">
        <is>
          <t>HY750X208</t>
        </is>
      </c>
      <c r="AK748" s="125" t="n"/>
      <c r="AL748" s="125" t="n"/>
      <c r="AM748" s="125">
        <f>SQRT(((VLOOKUP($AT$4,$A$4:$J$1021,10,FALSE))-J748)^2)</f>
        <v/>
      </c>
      <c r="AN748" s="125" t="n"/>
      <c r="AO748" s="125" t="n"/>
      <c r="AP748" s="125">
        <f>SQRT(((VLOOKUP($AT$4,$A$4:$R$1021,18,FALSE))-R748)^2)</f>
        <v/>
      </c>
      <c r="AQ748" s="125" t="inlineStr">
        <is>
          <t>HY750X208</t>
        </is>
      </c>
      <c r="BB748" s="125">
        <f>SQRT(($J$1022-J748)^2)</f>
        <v/>
      </c>
      <c r="BC748" s="125">
        <f>SQRT(($R$1022-R748)^2)</f>
        <v/>
      </c>
      <c r="BD748" s="125" t="inlineStr">
        <is>
          <t>HY750X208</t>
        </is>
      </c>
      <c r="BI748">
        <f>SQRT(($J$1023-J748)^2)</f>
        <v/>
      </c>
      <c r="BJ748">
        <f>SQRT(($R$1023-R748)^2)</f>
        <v/>
      </c>
      <c r="BK748" s="125" t="inlineStr">
        <is>
          <t>HY750X208</t>
        </is>
      </c>
      <c r="BP748">
        <f>SQRT(($J$1024-J748)^2)</f>
        <v/>
      </c>
      <c r="BQ748">
        <f>SQRT(($R$1024-R748)^2)</f>
        <v/>
      </c>
      <c r="BR748" s="125" t="inlineStr">
        <is>
          <t>HY750X208</t>
        </is>
      </c>
      <c r="BW748">
        <f>SQRT(($J$1025-J748)^2)</f>
        <v/>
      </c>
      <c r="BX748">
        <f>SQRT(($R$1025-R748)^2)</f>
        <v/>
      </c>
      <c r="BY748" s="125" t="inlineStr">
        <is>
          <t>HY750X208</t>
        </is>
      </c>
      <c r="CD748">
        <f>SQRT(($J$1026-J748)^2)</f>
        <v/>
      </c>
      <c r="CE748">
        <f>SQRT(($R$1026-R748)^2)</f>
        <v/>
      </c>
      <c r="CF748" s="125" t="inlineStr">
        <is>
          <t>HY750X208</t>
        </is>
      </c>
    </row>
    <row r="749">
      <c r="A749" s="125" t="inlineStr">
        <is>
          <t>HY750X194</t>
        </is>
      </c>
      <c r="B749" s="129" t="inlineStr">
        <is>
          <t>HY</t>
        </is>
      </c>
      <c r="C749" s="125" t="n">
        <v>194</v>
      </c>
      <c r="D749" s="125" t="n">
        <v>750</v>
      </c>
      <c r="E749" s="125" t="n">
        <v>300</v>
      </c>
      <c r="F749" s="125" t="n">
        <v>22</v>
      </c>
      <c r="G749" s="125" t="n">
        <v>16</v>
      </c>
      <c r="H749" s="125" t="n">
        <v>18</v>
      </c>
      <c r="I749" s="125">
        <f>D749-(2*(H749+F749))</f>
        <v/>
      </c>
      <c r="J749" s="125">
        <f>(2*E749/10*F749/10)+((D749-F749-F749)/10*G749/10)+((H749/10+H749/10)^2)-(PI()*H749/10*H749/10)</f>
        <v/>
      </c>
      <c r="K749" s="125">
        <f>((E749-G749)/2)/F749</f>
        <v/>
      </c>
      <c r="L749" s="125">
        <f>I749/G749</f>
        <v/>
      </c>
      <c r="M749" s="125">
        <f>(E749*2+F749*4+((E749-G749)/2-H749)*4+2*PI()*H749+(D749-2*F749-2*H749)*2)/1000</f>
        <v/>
      </c>
      <c r="N749" s="5" t="n">
        <v>225000</v>
      </c>
      <c r="O749" s="5" t="n">
        <v>9930</v>
      </c>
      <c r="P749" s="125" t="n">
        <v>30.2</v>
      </c>
      <c r="Q749" s="125" t="n">
        <v>6.3</v>
      </c>
      <c r="R749" s="5" t="n">
        <v>6010</v>
      </c>
      <c r="S749" s="125" t="n">
        <v>662</v>
      </c>
      <c r="T749" s="5" t="n">
        <v>6900</v>
      </c>
      <c r="U749" s="5" t="n">
        <v>1040</v>
      </c>
      <c r="X749" s="129">
        <f t="array" ref="X749">_xlfn.IFS((D749/F749) &lt;= (640/SQRT($AT$32)), "Compact", L749 &lt;= ($AT$32*(0.79-(0.002*((E749-G749/2)/(2*F749))*SQRT($AT$32)))), "Non-Compact", L749 &gt; ($AT$32*(0.79-(0.002*((E749-G749/2)/(2*F749))*SQRT($AT$32)))), "Slender")</f>
        <v/>
      </c>
      <c r="Y749" s="129">
        <f t="array" ref="Y749">_xlfn.IFS(K749 &lt;= (65/SQRT($AT$32)), "Compact", K749 &lt;= (95/SQRT($AT$32)), "Non-Compact", K749 &gt; (95/SQRT($AT$32)), "Slender")</f>
        <v/>
      </c>
      <c r="Z749" s="125">
        <f>E749/F749</f>
        <v/>
      </c>
      <c r="AA749" s="125">
        <f>D749/G749</f>
        <v/>
      </c>
      <c r="AB749" s="125">
        <f t="array" ref="AB749">_xlfn.IFS(Z749 &lt;= 9, "1", Z749 &lt;= 12, "2", Z749 &lt;= 15, "3", Z749 &gt; 15, "4")</f>
        <v/>
      </c>
      <c r="AC749" s="125">
        <f t="array" ref="AC749">_xlfn.IFS(AA749 &lt;= 200, "1", L749 &lt;= 300, "2", L749 &lt;= 400, "3", L749 &gt; 400, "4")</f>
        <v/>
      </c>
      <c r="AF749" s="129">
        <f>SQRT((((VLOOKUP($AT$4,$A$4:$D$1021,4,FALSE))-D749)^2)+(((VLOOKUP($AT$4,$A$4:$E$1021,5,FALSE))-E749)^2)+(((VLOOKUP($AT$4,$A$4:$N$1021,14,FALSE))-N749)^2)+(((VLOOKUP($AT$4,$A$4:$O$1021,15,FALSE))-O749)^2))</f>
        <v/>
      </c>
      <c r="AG749" s="129" t="n"/>
      <c r="AI749" s="129">
        <f>SQRT((((VLOOKUP($AT$4,$A$4:$D$1021,4,FALSE))-D749)^2)+(((VLOOKUP($AT$4,$A$4:$E$1021,5,FALSE))-E749)^2)+(((VLOOKUP($AT$4,$A$4:$R$1021,18,FALSE))-R749)^2)+(((VLOOKUP($AT$4,$A$4:$S$1021,19,FALSE))-S749)^2))</f>
        <v/>
      </c>
      <c r="AJ749" s="125" t="inlineStr">
        <is>
          <t>HY750X194</t>
        </is>
      </c>
      <c r="AK749" s="125" t="n"/>
      <c r="AL749" s="125" t="n"/>
      <c r="AM749" s="125">
        <f>SQRT(((VLOOKUP($AT$4,$A$4:$J$1021,10,FALSE))-J749)^2)</f>
        <v/>
      </c>
      <c r="AN749" s="125" t="n"/>
      <c r="AO749" s="125" t="n"/>
      <c r="AP749" s="125">
        <f>SQRT(((VLOOKUP($AT$4,$A$4:$R$1021,18,FALSE))-R749)^2)</f>
        <v/>
      </c>
      <c r="AQ749" s="125" t="inlineStr">
        <is>
          <t>HY750X194</t>
        </is>
      </c>
      <c r="BB749" s="125">
        <f>SQRT(($J$1022-J749)^2)</f>
        <v/>
      </c>
      <c r="BC749" s="125">
        <f>SQRT(($R$1022-R749)^2)</f>
        <v/>
      </c>
      <c r="BD749" s="125" t="inlineStr">
        <is>
          <t>HY750X194</t>
        </is>
      </c>
      <c r="BI749">
        <f>SQRT(($J$1023-J749)^2)</f>
        <v/>
      </c>
      <c r="BJ749">
        <f>SQRT(($R$1023-R749)^2)</f>
        <v/>
      </c>
      <c r="BK749" s="125" t="inlineStr">
        <is>
          <t>HY750X194</t>
        </is>
      </c>
      <c r="BP749">
        <f>SQRT(($J$1024-J749)^2)</f>
        <v/>
      </c>
      <c r="BQ749">
        <f>SQRT(($R$1024-R749)^2)</f>
        <v/>
      </c>
      <c r="BR749" s="125" t="inlineStr">
        <is>
          <t>HY750X194</t>
        </is>
      </c>
      <c r="BW749">
        <f>SQRT(($J$1025-J749)^2)</f>
        <v/>
      </c>
      <c r="BX749">
        <f>SQRT(($R$1025-R749)^2)</f>
        <v/>
      </c>
      <c r="BY749" s="125" t="inlineStr">
        <is>
          <t>HY750X194</t>
        </is>
      </c>
      <c r="CD749">
        <f>SQRT(($J$1026-J749)^2)</f>
        <v/>
      </c>
      <c r="CE749">
        <f>SQRT(($R$1026-R749)^2)</f>
        <v/>
      </c>
      <c r="CF749" s="125" t="inlineStr">
        <is>
          <t>HY750X194</t>
        </is>
      </c>
    </row>
    <row r="750">
      <c r="A750" s="125" t="inlineStr">
        <is>
          <t>HY750X228</t>
        </is>
      </c>
      <c r="B750" s="129" t="inlineStr">
        <is>
          <t>HY</t>
        </is>
      </c>
      <c r="C750" s="125" t="n">
        <v>228</v>
      </c>
      <c r="D750" s="125" t="n">
        <v>750</v>
      </c>
      <c r="E750" s="125" t="n">
        <v>300</v>
      </c>
      <c r="F750" s="125" t="n">
        <v>32</v>
      </c>
      <c r="G750" s="125" t="n">
        <v>14</v>
      </c>
      <c r="H750" s="125" t="n">
        <v>18</v>
      </c>
      <c r="I750" s="125">
        <f>D750-(2*(H750+F750))</f>
        <v/>
      </c>
      <c r="J750" s="125">
        <f>(2*E750/10*F750/10)+((D750-F750-F750)/10*G750/10)+((H750/10+H750/10)^2)-(PI()*H750/10*H750/10)</f>
        <v/>
      </c>
      <c r="K750" s="125">
        <f>((E750-G750)/2)/F750</f>
        <v/>
      </c>
      <c r="L750" s="125">
        <f>I750/G750</f>
        <v/>
      </c>
      <c r="M750" s="125">
        <f>(E750*2+F750*4+((E750-G750)/2-H750)*4+2*PI()*H750+(D750-2*F750-2*H750)*2)/1000</f>
        <v/>
      </c>
      <c r="N750" s="5" t="n">
        <v>288000</v>
      </c>
      <c r="O750" s="5" t="n">
        <v>14400</v>
      </c>
      <c r="P750" s="125" t="n">
        <v>31.5</v>
      </c>
      <c r="Q750" s="125" t="n">
        <v>7</v>
      </c>
      <c r="R750" s="5" t="n">
        <v>7690</v>
      </c>
      <c r="S750" s="125" t="n">
        <v>961</v>
      </c>
      <c r="T750" s="5" t="n">
        <v>8630</v>
      </c>
      <c r="U750" s="5" t="n">
        <v>1480</v>
      </c>
      <c r="X750" s="129">
        <f t="array" ref="X750">_xlfn.IFS((D750/F750) &lt;= (640/SQRT($AT$32)), "Compact", L750 &lt;= ($AT$32*(0.79-(0.002*((E750-G750/2)/(2*F750))*SQRT($AT$32)))), "Non-Compact", L750 &gt; ($AT$32*(0.79-(0.002*((E750-G750/2)/(2*F750))*SQRT($AT$32)))), "Slender")</f>
        <v/>
      </c>
      <c r="Y750" s="129">
        <f t="array" ref="Y750">_xlfn.IFS(K750 &lt;= (65/SQRT($AT$32)), "Compact", K750 &lt;= (95/SQRT($AT$32)), "Non-Compact", K750 &gt; (95/SQRT($AT$32)), "Slender")</f>
        <v/>
      </c>
      <c r="Z750" s="125">
        <f>E750/F750</f>
        <v/>
      </c>
      <c r="AA750" s="125">
        <f>D750/G750</f>
        <v/>
      </c>
      <c r="AB750" s="125">
        <f t="array" ref="AB750">_xlfn.IFS(Z750 &lt;= 9, "1", Z750 &lt;= 12, "2", Z750 &lt;= 15, "3", Z750 &gt; 15, "4")</f>
        <v/>
      </c>
      <c r="AC750" s="125">
        <f t="array" ref="AC750">_xlfn.IFS(AA750 &lt;= 200, "1", L750 &lt;= 300, "2", L750 &lt;= 400, "3", L750 &gt; 400, "4")</f>
        <v/>
      </c>
      <c r="AF750" s="129">
        <f>SQRT((((VLOOKUP($AT$4,$A$4:$D$1021,4,FALSE))-D750)^2)+(((VLOOKUP($AT$4,$A$4:$E$1021,5,FALSE))-E750)^2)+(((VLOOKUP($AT$4,$A$4:$N$1021,14,FALSE))-N750)^2)+(((VLOOKUP($AT$4,$A$4:$O$1021,15,FALSE))-O750)^2))</f>
        <v/>
      </c>
      <c r="AG750" s="129" t="n"/>
      <c r="AI750" s="129">
        <f>SQRT((((VLOOKUP($AT$4,$A$4:$D$1021,4,FALSE))-D750)^2)+(((VLOOKUP($AT$4,$A$4:$E$1021,5,FALSE))-E750)^2)+(((VLOOKUP($AT$4,$A$4:$R$1021,18,FALSE))-R750)^2)+(((VLOOKUP($AT$4,$A$4:$S$1021,19,FALSE))-S750)^2))</f>
        <v/>
      </c>
      <c r="AJ750" s="125" t="inlineStr">
        <is>
          <t>HY750X228</t>
        </is>
      </c>
      <c r="AK750" s="125" t="n"/>
      <c r="AL750" s="125" t="n"/>
      <c r="AM750" s="125">
        <f>SQRT(((VLOOKUP($AT$4,$A$4:$J$1021,10,FALSE))-J750)^2)</f>
        <v/>
      </c>
      <c r="AN750" s="125" t="n"/>
      <c r="AO750" s="125" t="n"/>
      <c r="AP750" s="125">
        <f>SQRT(((VLOOKUP($AT$4,$A$4:$R$1021,18,FALSE))-R750)^2)</f>
        <v/>
      </c>
      <c r="AQ750" s="125" t="inlineStr">
        <is>
          <t>HY750X228</t>
        </is>
      </c>
      <c r="BB750" s="125">
        <f>SQRT(($J$1022-J750)^2)</f>
        <v/>
      </c>
      <c r="BC750" s="125">
        <f>SQRT(($R$1022-R750)^2)</f>
        <v/>
      </c>
      <c r="BD750" s="125" t="inlineStr">
        <is>
          <t>HY750X228</t>
        </is>
      </c>
      <c r="BI750">
        <f>SQRT(($J$1023-J750)^2)</f>
        <v/>
      </c>
      <c r="BJ750">
        <f>SQRT(($R$1023-R750)^2)</f>
        <v/>
      </c>
      <c r="BK750" s="125" t="inlineStr">
        <is>
          <t>HY750X228</t>
        </is>
      </c>
      <c r="BP750">
        <f>SQRT(($J$1024-J750)^2)</f>
        <v/>
      </c>
      <c r="BQ750">
        <f>SQRT(($R$1024-R750)^2)</f>
        <v/>
      </c>
      <c r="BR750" s="125" t="inlineStr">
        <is>
          <t>HY750X228</t>
        </is>
      </c>
      <c r="BW750">
        <f>SQRT(($J$1025-J750)^2)</f>
        <v/>
      </c>
      <c r="BX750">
        <f>SQRT(($R$1025-R750)^2)</f>
        <v/>
      </c>
      <c r="BY750" s="125" t="inlineStr">
        <is>
          <t>HY750X228</t>
        </is>
      </c>
      <c r="CD750">
        <f>SQRT(($J$1026-J750)^2)</f>
        <v/>
      </c>
      <c r="CE750">
        <f>SQRT(($R$1026-R750)^2)</f>
        <v/>
      </c>
      <c r="CF750" s="125" t="inlineStr">
        <is>
          <t>HY750X228</t>
        </is>
      </c>
    </row>
    <row r="751">
      <c r="A751" s="125" t="inlineStr">
        <is>
          <t>HY750X210</t>
        </is>
      </c>
      <c r="B751" s="129" t="inlineStr">
        <is>
          <t>HY</t>
        </is>
      </c>
      <c r="C751" s="125" t="n">
        <v>210</v>
      </c>
      <c r="D751" s="125" t="n">
        <v>750</v>
      </c>
      <c r="E751" s="125" t="n">
        <v>300</v>
      </c>
      <c r="F751" s="125" t="n">
        <v>28</v>
      </c>
      <c r="G751" s="125" t="n">
        <v>14</v>
      </c>
      <c r="H751" s="125" t="n">
        <v>18</v>
      </c>
      <c r="I751" s="125">
        <f>D751-(2*(H751+F751))</f>
        <v/>
      </c>
      <c r="J751" s="125">
        <f>(2*E751/10*F751/10)+((D751-F751-F751)/10*G751/10)+((H751/10+H751/10)^2)-(PI()*H751/10*H751/10)</f>
        <v/>
      </c>
      <c r="K751" s="125">
        <f>((E751-G751)/2)/F751</f>
        <v/>
      </c>
      <c r="L751" s="125">
        <f>I751/G751</f>
        <v/>
      </c>
      <c r="M751" s="125">
        <f>(E751*2+F751*4+((E751-G751)/2-H751)*4+2*PI()*H751+(D751-2*F751-2*H751)*2)/1000</f>
        <v/>
      </c>
      <c r="N751" s="5" t="n">
        <v>261000</v>
      </c>
      <c r="O751" s="5" t="n">
        <v>12600</v>
      </c>
      <c r="P751" s="125" t="n">
        <v>31.2</v>
      </c>
      <c r="Q751" s="125" t="n">
        <v>6.9</v>
      </c>
      <c r="R751" s="5" t="n">
        <v>6970</v>
      </c>
      <c r="S751" s="125" t="n">
        <v>841</v>
      </c>
      <c r="T751" s="5" t="n">
        <v>7850</v>
      </c>
      <c r="U751" s="5" t="n">
        <v>1300</v>
      </c>
      <c r="X751" s="129">
        <f t="array" ref="X751">_xlfn.IFS((D751/F751) &lt;= (640/SQRT($AT$32)), "Compact", L751 &lt;= ($AT$32*(0.79-(0.002*((E751-G751/2)/(2*F751))*SQRT($AT$32)))), "Non-Compact", L751 &gt; ($AT$32*(0.79-(0.002*((E751-G751/2)/(2*F751))*SQRT($AT$32)))), "Slender")</f>
        <v/>
      </c>
      <c r="Y751" s="129">
        <f t="array" ref="Y751">_xlfn.IFS(K751 &lt;= (65/SQRT($AT$32)), "Compact", K751 &lt;= (95/SQRT($AT$32)), "Non-Compact", K751 &gt; (95/SQRT($AT$32)), "Slender")</f>
        <v/>
      </c>
      <c r="Z751" s="125">
        <f>E751/F751</f>
        <v/>
      </c>
      <c r="AA751" s="125">
        <f>D751/G751</f>
        <v/>
      </c>
      <c r="AB751" s="125">
        <f t="array" ref="AB751">_xlfn.IFS(Z751 &lt;= 9, "1", Z751 &lt;= 12, "2", Z751 &lt;= 15, "3", Z751 &gt; 15, "4")</f>
        <v/>
      </c>
      <c r="AC751" s="125">
        <f t="array" ref="AC751">_xlfn.IFS(AA751 &lt;= 200, "1", L751 &lt;= 300, "2", L751 &lt;= 400, "3", L751 &gt; 400, "4")</f>
        <v/>
      </c>
      <c r="AF751" s="129">
        <f>SQRT((((VLOOKUP($AT$4,$A$4:$D$1021,4,FALSE))-D751)^2)+(((VLOOKUP($AT$4,$A$4:$E$1021,5,FALSE))-E751)^2)+(((VLOOKUP($AT$4,$A$4:$N$1021,14,FALSE))-N751)^2)+(((VLOOKUP($AT$4,$A$4:$O$1021,15,FALSE))-O751)^2))</f>
        <v/>
      </c>
      <c r="AG751" s="129" t="n"/>
      <c r="AI751" s="129">
        <f>SQRT((((VLOOKUP($AT$4,$A$4:$D$1021,4,FALSE))-D751)^2)+(((VLOOKUP($AT$4,$A$4:$E$1021,5,FALSE))-E751)^2)+(((VLOOKUP($AT$4,$A$4:$R$1021,18,FALSE))-R751)^2)+(((VLOOKUP($AT$4,$A$4:$S$1021,19,FALSE))-S751)^2))</f>
        <v/>
      </c>
      <c r="AJ751" s="125" t="inlineStr">
        <is>
          <t>HY750X210</t>
        </is>
      </c>
      <c r="AK751" s="125" t="n"/>
      <c r="AL751" s="125" t="n"/>
      <c r="AM751" s="125">
        <f>SQRT(((VLOOKUP($AT$4,$A$4:$J$1021,10,FALSE))-J751)^2)</f>
        <v/>
      </c>
      <c r="AN751" s="125" t="n"/>
      <c r="AO751" s="125" t="n"/>
      <c r="AP751" s="125">
        <f>SQRT(((VLOOKUP($AT$4,$A$4:$R$1021,18,FALSE))-R751)^2)</f>
        <v/>
      </c>
      <c r="AQ751" s="125" t="inlineStr">
        <is>
          <t>HY750X210</t>
        </is>
      </c>
      <c r="BB751" s="125">
        <f>SQRT(($J$1022-J751)^2)</f>
        <v/>
      </c>
      <c r="BC751" s="125">
        <f>SQRT(($R$1022-R751)^2)</f>
        <v/>
      </c>
      <c r="BD751" s="125" t="inlineStr">
        <is>
          <t>HY750X210</t>
        </is>
      </c>
      <c r="BI751">
        <f>SQRT(($J$1023-J751)^2)</f>
        <v/>
      </c>
      <c r="BJ751">
        <f>SQRT(($R$1023-R751)^2)</f>
        <v/>
      </c>
      <c r="BK751" s="125" t="inlineStr">
        <is>
          <t>HY750X210</t>
        </is>
      </c>
      <c r="BP751">
        <f>SQRT(($J$1024-J751)^2)</f>
        <v/>
      </c>
      <c r="BQ751">
        <f>SQRT(($R$1024-R751)^2)</f>
        <v/>
      </c>
      <c r="BR751" s="125" t="inlineStr">
        <is>
          <t>HY750X210</t>
        </is>
      </c>
      <c r="BW751">
        <f>SQRT(($J$1025-J751)^2)</f>
        <v/>
      </c>
      <c r="BX751">
        <f>SQRT(($R$1025-R751)^2)</f>
        <v/>
      </c>
      <c r="BY751" s="125" t="inlineStr">
        <is>
          <t>HY750X210</t>
        </is>
      </c>
      <c r="CD751">
        <f>SQRT(($J$1026-J751)^2)</f>
        <v/>
      </c>
      <c r="CE751">
        <f>SQRT(($R$1026-R751)^2)</f>
        <v/>
      </c>
      <c r="CF751" s="125" t="inlineStr">
        <is>
          <t>HY750X210</t>
        </is>
      </c>
    </row>
    <row r="752">
      <c r="A752" s="125" t="inlineStr">
        <is>
          <t>HY750X197</t>
        </is>
      </c>
      <c r="B752" s="129" t="inlineStr">
        <is>
          <t>HY</t>
        </is>
      </c>
      <c r="C752" s="125" t="n">
        <v>197</v>
      </c>
      <c r="D752" s="125" t="n">
        <v>750</v>
      </c>
      <c r="E752" s="125" t="n">
        <v>300</v>
      </c>
      <c r="F752" s="125" t="n">
        <v>25</v>
      </c>
      <c r="G752" s="125" t="n">
        <v>14</v>
      </c>
      <c r="H752" s="125" t="n">
        <v>18</v>
      </c>
      <c r="I752" s="125">
        <f>D752-(2*(H752+F752))</f>
        <v/>
      </c>
      <c r="J752" s="125">
        <f>(2*E752/10*F752/10)+((D752-F752-F752)/10*G752/10)+((H752/10+H752/10)^2)-(PI()*H752/10*H752/10)</f>
        <v/>
      </c>
      <c r="K752" s="125">
        <f>((E752-G752)/2)/F752</f>
        <v/>
      </c>
      <c r="L752" s="125">
        <f>I752/G752</f>
        <v/>
      </c>
      <c r="M752" s="125">
        <f>(E752*2+F752*4+((E752-G752)/2-H752)*4+2*PI()*H752+(D752-2*F752-2*H752)*2)/1000</f>
        <v/>
      </c>
      <c r="N752" s="5" t="n">
        <v>241000</v>
      </c>
      <c r="O752" s="5" t="n">
        <v>11300</v>
      </c>
      <c r="P752" s="125" t="n">
        <v>31</v>
      </c>
      <c r="Q752" s="125" t="n">
        <v>6.7</v>
      </c>
      <c r="R752" s="5" t="n">
        <v>6410</v>
      </c>
      <c r="S752" s="125" t="n">
        <v>751</v>
      </c>
      <c r="T752" s="5" t="n">
        <v>7250</v>
      </c>
      <c r="U752" s="5" t="n">
        <v>1160</v>
      </c>
      <c r="X752" s="129">
        <f t="array" ref="X752">_xlfn.IFS((D752/F752) &lt;= (640/SQRT($AT$32)), "Compact", L752 &lt;= ($AT$32*(0.79-(0.002*((E752-G752/2)/(2*F752))*SQRT($AT$32)))), "Non-Compact", L752 &gt; ($AT$32*(0.79-(0.002*((E752-G752/2)/(2*F752))*SQRT($AT$32)))), "Slender")</f>
        <v/>
      </c>
      <c r="Y752" s="129">
        <f t="array" ref="Y752">_xlfn.IFS(K752 &lt;= (65/SQRT($AT$32)), "Compact", K752 &lt;= (95/SQRT($AT$32)), "Non-Compact", K752 &gt; (95/SQRT($AT$32)), "Slender")</f>
        <v/>
      </c>
      <c r="Z752" s="125">
        <f>E752/F752</f>
        <v/>
      </c>
      <c r="AA752" s="125">
        <f>D752/G752</f>
        <v/>
      </c>
      <c r="AB752" s="125">
        <f t="array" ref="AB752">_xlfn.IFS(Z752 &lt;= 9, "1", Z752 &lt;= 12, "2", Z752 &lt;= 15, "3", Z752 &gt; 15, "4")</f>
        <v/>
      </c>
      <c r="AC752" s="125">
        <f t="array" ref="AC752">_xlfn.IFS(AA752 &lt;= 200, "1", L752 &lt;= 300, "2", L752 &lt;= 400, "3", L752 &gt; 400, "4")</f>
        <v/>
      </c>
      <c r="AF752" s="129">
        <f>SQRT((((VLOOKUP($AT$4,$A$4:$D$1021,4,FALSE))-D752)^2)+(((VLOOKUP($AT$4,$A$4:$E$1021,5,FALSE))-E752)^2)+(((VLOOKUP($AT$4,$A$4:$N$1021,14,FALSE))-N752)^2)+(((VLOOKUP($AT$4,$A$4:$O$1021,15,FALSE))-O752)^2))</f>
        <v/>
      </c>
      <c r="AG752" s="129" t="n"/>
      <c r="AI752" s="129">
        <f>SQRT((((VLOOKUP($AT$4,$A$4:$D$1021,4,FALSE))-D752)^2)+(((VLOOKUP($AT$4,$A$4:$E$1021,5,FALSE))-E752)^2)+(((VLOOKUP($AT$4,$A$4:$R$1021,18,FALSE))-R752)^2)+(((VLOOKUP($AT$4,$A$4:$S$1021,19,FALSE))-S752)^2))</f>
        <v/>
      </c>
      <c r="AJ752" s="125" t="inlineStr">
        <is>
          <t>HY750X197</t>
        </is>
      </c>
      <c r="AK752" s="125" t="n"/>
      <c r="AL752" s="125" t="n"/>
      <c r="AM752" s="125">
        <f>SQRT(((VLOOKUP($AT$4,$A$4:$J$1021,10,FALSE))-J752)^2)</f>
        <v/>
      </c>
      <c r="AN752" s="125" t="n"/>
      <c r="AO752" s="125" t="n"/>
      <c r="AP752" s="125">
        <f>SQRT(((VLOOKUP($AT$4,$A$4:$R$1021,18,FALSE))-R752)^2)</f>
        <v/>
      </c>
      <c r="AQ752" s="125" t="inlineStr">
        <is>
          <t>HY750X197</t>
        </is>
      </c>
      <c r="BB752" s="125">
        <f>SQRT(($J$1022-J752)^2)</f>
        <v/>
      </c>
      <c r="BC752" s="125">
        <f>SQRT(($R$1022-R752)^2)</f>
        <v/>
      </c>
      <c r="BD752" s="125" t="inlineStr">
        <is>
          <t>HY750X197</t>
        </is>
      </c>
      <c r="BI752">
        <f>SQRT(($J$1023-J752)^2)</f>
        <v/>
      </c>
      <c r="BJ752">
        <f>SQRT(($R$1023-R752)^2)</f>
        <v/>
      </c>
      <c r="BK752" s="125" t="inlineStr">
        <is>
          <t>HY750X197</t>
        </is>
      </c>
      <c r="BP752">
        <f>SQRT(($J$1024-J752)^2)</f>
        <v/>
      </c>
      <c r="BQ752">
        <f>SQRT(($R$1024-R752)^2)</f>
        <v/>
      </c>
      <c r="BR752" s="125" t="inlineStr">
        <is>
          <t>HY750X197</t>
        </is>
      </c>
      <c r="BW752">
        <f>SQRT(($J$1025-J752)^2)</f>
        <v/>
      </c>
      <c r="BX752">
        <f>SQRT(($R$1025-R752)^2)</f>
        <v/>
      </c>
      <c r="BY752" s="125" t="inlineStr">
        <is>
          <t>HY750X197</t>
        </is>
      </c>
      <c r="CD752">
        <f>SQRT(($J$1026-J752)^2)</f>
        <v/>
      </c>
      <c r="CE752">
        <f>SQRT(($R$1026-R752)^2)</f>
        <v/>
      </c>
      <c r="CF752" s="125" t="inlineStr">
        <is>
          <t>HY750X197</t>
        </is>
      </c>
    </row>
    <row r="753">
      <c r="A753" s="125" t="inlineStr">
        <is>
          <t>HY750X183</t>
        </is>
      </c>
      <c r="B753" s="129" t="inlineStr">
        <is>
          <t>HY</t>
        </is>
      </c>
      <c r="C753" s="125" t="n">
        <v>183</v>
      </c>
      <c r="D753" s="125" t="n">
        <v>750</v>
      </c>
      <c r="E753" s="125" t="n">
        <v>300</v>
      </c>
      <c r="F753" s="125" t="n">
        <v>22</v>
      </c>
      <c r="G753" s="125" t="n">
        <v>14</v>
      </c>
      <c r="H753" s="125" t="n">
        <v>18</v>
      </c>
      <c r="I753" s="125">
        <f>D753-(2*(H753+F753))</f>
        <v/>
      </c>
      <c r="J753" s="125">
        <f>(2*E753/10*F753/10)+((D753-F753-F753)/10*G753/10)+((H753/10+H753/10)^2)-(PI()*H753/10*H753/10)</f>
        <v/>
      </c>
      <c r="K753" s="125">
        <f>((E753-G753)/2)/F753</f>
        <v/>
      </c>
      <c r="L753" s="125">
        <f>I753/G753</f>
        <v/>
      </c>
      <c r="M753" s="125">
        <f>(E753*2+F753*4+((E753-G753)/2-H753)*4+2*PI()*H753+(D753-2*F753-2*H753)*2)/1000</f>
        <v/>
      </c>
      <c r="N753" s="5" t="n">
        <v>219000</v>
      </c>
      <c r="O753" s="5" t="n">
        <v>9920</v>
      </c>
      <c r="P753" s="125" t="n">
        <v>30.6</v>
      </c>
      <c r="Q753" s="125" t="n">
        <v>6.5</v>
      </c>
      <c r="R753" s="5" t="n">
        <v>5850</v>
      </c>
      <c r="S753" s="125" t="n">
        <v>661</v>
      </c>
      <c r="T753" s="5" t="n">
        <v>6650</v>
      </c>
      <c r="U753" s="5" t="n">
        <v>1030</v>
      </c>
      <c r="X753" s="129">
        <f t="array" ref="X753">_xlfn.IFS((D753/F753) &lt;= (640/SQRT($AT$32)), "Compact", L753 &lt;= ($AT$32*(0.79-(0.002*((E753-G753/2)/(2*F753))*SQRT($AT$32)))), "Non-Compact", L753 &gt; ($AT$32*(0.79-(0.002*((E753-G753/2)/(2*F753))*SQRT($AT$32)))), "Slender")</f>
        <v/>
      </c>
      <c r="Y753" s="129">
        <f t="array" ref="Y753">_xlfn.IFS(K753 &lt;= (65/SQRT($AT$32)), "Compact", K753 &lt;= (95/SQRT($AT$32)), "Non-Compact", K753 &gt; (95/SQRT($AT$32)), "Slender")</f>
        <v/>
      </c>
      <c r="Z753" s="125">
        <f>E753/F753</f>
        <v/>
      </c>
      <c r="AA753" s="125">
        <f>D753/G753</f>
        <v/>
      </c>
      <c r="AB753" s="125">
        <f t="array" ref="AB753">_xlfn.IFS(Z753 &lt;= 9, "1", Z753 &lt;= 12, "2", Z753 &lt;= 15, "3", Z753 &gt; 15, "4")</f>
        <v/>
      </c>
      <c r="AC753" s="125">
        <f t="array" ref="AC753">_xlfn.IFS(AA753 &lt;= 200, "1", L753 &lt;= 300, "2", L753 &lt;= 400, "3", L753 &gt; 400, "4")</f>
        <v/>
      </c>
      <c r="AF753" s="129">
        <f>SQRT((((VLOOKUP($AT$4,$A$4:$D$1021,4,FALSE))-D753)^2)+(((VLOOKUP($AT$4,$A$4:$E$1021,5,FALSE))-E753)^2)+(((VLOOKUP($AT$4,$A$4:$N$1021,14,FALSE))-N753)^2)+(((VLOOKUP($AT$4,$A$4:$O$1021,15,FALSE))-O753)^2))</f>
        <v/>
      </c>
      <c r="AG753" s="129" t="n"/>
      <c r="AI753" s="129">
        <f>SQRT((((VLOOKUP($AT$4,$A$4:$D$1021,4,FALSE))-D753)^2)+(((VLOOKUP($AT$4,$A$4:$E$1021,5,FALSE))-E753)^2)+(((VLOOKUP($AT$4,$A$4:$R$1021,18,FALSE))-R753)^2)+(((VLOOKUP($AT$4,$A$4:$S$1021,19,FALSE))-S753)^2))</f>
        <v/>
      </c>
      <c r="AJ753" s="125" t="inlineStr">
        <is>
          <t>HY750X183</t>
        </is>
      </c>
      <c r="AK753" s="125" t="n"/>
      <c r="AL753" s="125" t="n"/>
      <c r="AM753" s="125">
        <f>SQRT(((VLOOKUP($AT$4,$A$4:$J$1021,10,FALSE))-J753)^2)</f>
        <v/>
      </c>
      <c r="AN753" s="125" t="n"/>
      <c r="AO753" s="125" t="n"/>
      <c r="AP753" s="125">
        <f>SQRT(((VLOOKUP($AT$4,$A$4:$R$1021,18,FALSE))-R753)^2)</f>
        <v/>
      </c>
      <c r="AQ753" s="125" t="inlineStr">
        <is>
          <t>HY750X183</t>
        </is>
      </c>
      <c r="BB753" s="125">
        <f>SQRT(($J$1022-J753)^2)</f>
        <v/>
      </c>
      <c r="BC753" s="125">
        <f>SQRT(($R$1022-R753)^2)</f>
        <v/>
      </c>
      <c r="BD753" s="125" t="inlineStr">
        <is>
          <t>HY750X183</t>
        </is>
      </c>
      <c r="BI753">
        <f>SQRT(($J$1023-J753)^2)</f>
        <v/>
      </c>
      <c r="BJ753">
        <f>SQRT(($R$1023-R753)^2)</f>
        <v/>
      </c>
      <c r="BK753" s="125" t="inlineStr">
        <is>
          <t>HY750X183</t>
        </is>
      </c>
      <c r="BP753">
        <f>SQRT(($J$1024-J753)^2)</f>
        <v/>
      </c>
      <c r="BQ753">
        <f>SQRT(($R$1024-R753)^2)</f>
        <v/>
      </c>
      <c r="BR753" s="125" t="inlineStr">
        <is>
          <t>HY750X183</t>
        </is>
      </c>
      <c r="BW753">
        <f>SQRT(($J$1025-J753)^2)</f>
        <v/>
      </c>
      <c r="BX753">
        <f>SQRT(($R$1025-R753)^2)</f>
        <v/>
      </c>
      <c r="BY753" s="125" t="inlineStr">
        <is>
          <t>HY750X183</t>
        </is>
      </c>
      <c r="CD753">
        <f>SQRT(($J$1026-J753)^2)</f>
        <v/>
      </c>
      <c r="CE753">
        <f>SQRT(($R$1026-R753)^2)</f>
        <v/>
      </c>
      <c r="CF753" s="125" t="inlineStr">
        <is>
          <t>HY750X183</t>
        </is>
      </c>
    </row>
    <row r="754">
      <c r="A754" s="125" t="inlineStr">
        <is>
          <t>HY750X170</t>
        </is>
      </c>
      <c r="B754" s="129" t="inlineStr">
        <is>
          <t>HY</t>
        </is>
      </c>
      <c r="C754" s="125" t="n">
        <v>170</v>
      </c>
      <c r="D754" s="125" t="n">
        <v>750</v>
      </c>
      <c r="E754" s="125" t="n">
        <v>300</v>
      </c>
      <c r="F754" s="125" t="n">
        <v>19</v>
      </c>
      <c r="G754" s="125" t="n">
        <v>14</v>
      </c>
      <c r="H754" s="125" t="n">
        <v>18</v>
      </c>
      <c r="I754" s="125">
        <f>D754-(2*(H754+F754))</f>
        <v/>
      </c>
      <c r="J754" s="125">
        <f>(2*E754/10*F754/10)+((D754-F754-F754)/10*G754/10)+((H754/10+H754/10)^2)-(PI()*H754/10*H754/10)</f>
        <v/>
      </c>
      <c r="K754" s="125">
        <f>((E754-G754)/2)/F754</f>
        <v/>
      </c>
      <c r="L754" s="125">
        <f>I754/G754</f>
        <v/>
      </c>
      <c r="M754" s="125">
        <f>(E754*2+F754*4+((E754-G754)/2-H754)*4+2*PI()*H754+(D754-2*F754-2*H754)*2)/1000</f>
        <v/>
      </c>
      <c r="N754" s="5" t="n">
        <v>198000</v>
      </c>
      <c r="O754" s="5" t="n">
        <v>8570</v>
      </c>
      <c r="P754" s="125" t="n">
        <v>30.2</v>
      </c>
      <c r="Q754" s="125" t="n">
        <v>6.3</v>
      </c>
      <c r="R754" s="5" t="n">
        <v>5280</v>
      </c>
      <c r="S754" s="125" t="n">
        <v>571</v>
      </c>
      <c r="T754" s="5" t="n">
        <v>6040</v>
      </c>
      <c r="U754" s="125" t="n">
        <v>893</v>
      </c>
      <c r="X754" s="129">
        <f t="array" ref="X754">_xlfn.IFS((D754/F754) &lt;= (640/SQRT($AT$32)), "Compact", L754 &lt;= ($AT$32*(0.79-(0.002*((E754-G754/2)/(2*F754))*SQRT($AT$32)))), "Non-Compact", L754 &gt; ($AT$32*(0.79-(0.002*((E754-G754/2)/(2*F754))*SQRT($AT$32)))), "Slender")</f>
        <v/>
      </c>
      <c r="Y754" s="129">
        <f t="array" ref="Y754">_xlfn.IFS(K754 &lt;= (65/SQRT($AT$32)), "Compact", K754 &lt;= (95/SQRT($AT$32)), "Non-Compact", K754 &gt; (95/SQRT($AT$32)), "Slender")</f>
        <v/>
      </c>
      <c r="Z754" s="125">
        <f>E754/F754</f>
        <v/>
      </c>
      <c r="AA754" s="125">
        <f>D754/G754</f>
        <v/>
      </c>
      <c r="AB754" s="125">
        <f t="array" ref="AB754">_xlfn.IFS(Z754 &lt;= 9, "1", Z754 &lt;= 12, "2", Z754 &lt;= 15, "3", Z754 &gt; 15, "4")</f>
        <v/>
      </c>
      <c r="AC754" s="125">
        <f t="array" ref="AC754">_xlfn.IFS(AA754 &lt;= 200, "1", L754 &lt;= 300, "2", L754 &lt;= 400, "3", L754 &gt; 400, "4")</f>
        <v/>
      </c>
      <c r="AF754" s="129">
        <f>SQRT((((VLOOKUP($AT$4,$A$4:$D$1021,4,FALSE))-D754)^2)+(((VLOOKUP($AT$4,$A$4:$E$1021,5,FALSE))-E754)^2)+(((VLOOKUP($AT$4,$A$4:$N$1021,14,FALSE))-N754)^2)+(((VLOOKUP($AT$4,$A$4:$O$1021,15,FALSE))-O754)^2))</f>
        <v/>
      </c>
      <c r="AG754" s="129" t="n"/>
      <c r="AI754" s="129">
        <f>SQRT((((VLOOKUP($AT$4,$A$4:$D$1021,4,FALSE))-D754)^2)+(((VLOOKUP($AT$4,$A$4:$E$1021,5,FALSE))-E754)^2)+(((VLOOKUP($AT$4,$A$4:$R$1021,18,FALSE))-R754)^2)+(((VLOOKUP($AT$4,$A$4:$S$1021,19,FALSE))-S754)^2))</f>
        <v/>
      </c>
      <c r="AJ754" s="125" t="inlineStr">
        <is>
          <t>HY750X170</t>
        </is>
      </c>
      <c r="AK754" s="125" t="n"/>
      <c r="AL754" s="125" t="n"/>
      <c r="AM754" s="125">
        <f>SQRT(((VLOOKUP($AT$4,$A$4:$J$1021,10,FALSE))-J754)^2)</f>
        <v/>
      </c>
      <c r="AN754" s="125" t="n"/>
      <c r="AO754" s="125" t="n"/>
      <c r="AP754" s="125">
        <f>SQRT(((VLOOKUP($AT$4,$A$4:$R$1021,18,FALSE))-R754)^2)</f>
        <v/>
      </c>
      <c r="AQ754" s="125" t="inlineStr">
        <is>
          <t>HY750X170</t>
        </is>
      </c>
      <c r="BB754" s="125">
        <f>SQRT(($J$1022-J754)^2)</f>
        <v/>
      </c>
      <c r="BC754" s="125">
        <f>SQRT(($R$1022-R754)^2)</f>
        <v/>
      </c>
      <c r="BD754" s="125" t="inlineStr">
        <is>
          <t>HY750X170</t>
        </is>
      </c>
      <c r="BI754">
        <f>SQRT(($J$1023-J754)^2)</f>
        <v/>
      </c>
      <c r="BJ754">
        <f>SQRT(($R$1023-R754)^2)</f>
        <v/>
      </c>
      <c r="BK754" s="125" t="inlineStr">
        <is>
          <t>HY750X170</t>
        </is>
      </c>
      <c r="BP754">
        <f>SQRT(($J$1024-J754)^2)</f>
        <v/>
      </c>
      <c r="BQ754">
        <f>SQRT(($R$1024-R754)^2)</f>
        <v/>
      </c>
      <c r="BR754" s="125" t="inlineStr">
        <is>
          <t>HY750X170</t>
        </is>
      </c>
      <c r="BW754">
        <f>SQRT(($J$1025-J754)^2)</f>
        <v/>
      </c>
      <c r="BX754">
        <f>SQRT(($R$1025-R754)^2)</f>
        <v/>
      </c>
      <c r="BY754" s="125" t="inlineStr">
        <is>
          <t>HY750X170</t>
        </is>
      </c>
      <c r="CD754">
        <f>SQRT(($J$1026-J754)^2)</f>
        <v/>
      </c>
      <c r="CE754">
        <f>SQRT(($R$1026-R754)^2)</f>
        <v/>
      </c>
      <c r="CF754" s="125" t="inlineStr">
        <is>
          <t>HY750X170</t>
        </is>
      </c>
    </row>
    <row r="755">
      <c r="A755" s="125" t="inlineStr">
        <is>
          <t>HY750X186</t>
        </is>
      </c>
      <c r="B755" s="129" t="inlineStr">
        <is>
          <t>HY</t>
        </is>
      </c>
      <c r="C755" s="125" t="n">
        <v>186</v>
      </c>
      <c r="D755" s="125" t="n">
        <v>750</v>
      </c>
      <c r="E755" s="125" t="n">
        <v>300</v>
      </c>
      <c r="F755" s="125" t="n">
        <v>25</v>
      </c>
      <c r="G755" s="125" t="n">
        <v>12</v>
      </c>
      <c r="H755" s="125" t="n">
        <v>18</v>
      </c>
      <c r="I755" s="125">
        <f>D755-(2*(H755+F755))</f>
        <v/>
      </c>
      <c r="J755" s="125">
        <f>(2*E755/10*F755/10)+((D755-F755-F755)/10*G755/10)+((H755/10+H755/10)^2)-(PI()*H755/10*H755/10)</f>
        <v/>
      </c>
      <c r="K755" s="125">
        <f>((E755-G755)/2)/F755</f>
        <v/>
      </c>
      <c r="L755" s="125">
        <f>I755/G755</f>
        <v/>
      </c>
      <c r="M755" s="125">
        <f>(E755*2+F755*4+((E755-G755)/2-H755)*4+2*PI()*H755+(D755-2*F755-2*H755)*2)/1000</f>
        <v/>
      </c>
      <c r="N755" s="5" t="n">
        <v>235000</v>
      </c>
      <c r="O755" s="5" t="n">
        <v>11300</v>
      </c>
      <c r="P755" s="125" t="n">
        <v>31.5</v>
      </c>
      <c r="Q755" s="125" t="n">
        <v>6.9</v>
      </c>
      <c r="R755" s="5" t="n">
        <v>6260</v>
      </c>
      <c r="S755" s="125" t="n">
        <v>751</v>
      </c>
      <c r="T755" s="5" t="n">
        <v>7000</v>
      </c>
      <c r="U755" s="5" t="n">
        <v>1150</v>
      </c>
      <c r="X755" s="129">
        <f t="array" ref="X755">_xlfn.IFS((D755/F755) &lt;= (640/SQRT($AT$32)), "Compact", L755 &lt;= ($AT$32*(0.79-(0.002*((E755-G755/2)/(2*F755))*SQRT($AT$32)))), "Non-Compact", L755 &gt; ($AT$32*(0.79-(0.002*((E755-G755/2)/(2*F755))*SQRT($AT$32)))), "Slender")</f>
        <v/>
      </c>
      <c r="Y755" s="129">
        <f t="array" ref="Y755">_xlfn.IFS(K755 &lt;= (65/SQRT($AT$32)), "Compact", K755 &lt;= (95/SQRT($AT$32)), "Non-Compact", K755 &gt; (95/SQRT($AT$32)), "Slender")</f>
        <v/>
      </c>
      <c r="Z755" s="125">
        <f>E755/F755</f>
        <v/>
      </c>
      <c r="AA755" s="125">
        <f>D755/G755</f>
        <v/>
      </c>
      <c r="AB755" s="125">
        <f t="array" ref="AB755">_xlfn.IFS(Z755 &lt;= 9, "1", Z755 &lt;= 12, "2", Z755 &lt;= 15, "3", Z755 &gt; 15, "4")</f>
        <v/>
      </c>
      <c r="AC755" s="125">
        <f t="array" ref="AC755">_xlfn.IFS(AA755 &lt;= 200, "1", L755 &lt;= 300, "2", L755 &lt;= 400, "3", L755 &gt; 400, "4")</f>
        <v/>
      </c>
      <c r="AF755" s="129">
        <f>SQRT((((VLOOKUP($AT$4,$A$4:$D$1021,4,FALSE))-D755)^2)+(((VLOOKUP($AT$4,$A$4:$E$1021,5,FALSE))-E755)^2)+(((VLOOKUP($AT$4,$A$4:$N$1021,14,FALSE))-N755)^2)+(((VLOOKUP($AT$4,$A$4:$O$1021,15,FALSE))-O755)^2))</f>
        <v/>
      </c>
      <c r="AG755" s="129" t="n"/>
      <c r="AI755" s="129">
        <f>SQRT((((VLOOKUP($AT$4,$A$4:$D$1021,4,FALSE))-D755)^2)+(((VLOOKUP($AT$4,$A$4:$E$1021,5,FALSE))-E755)^2)+(((VLOOKUP($AT$4,$A$4:$R$1021,18,FALSE))-R755)^2)+(((VLOOKUP($AT$4,$A$4:$S$1021,19,FALSE))-S755)^2))</f>
        <v/>
      </c>
      <c r="AJ755" s="125" t="inlineStr">
        <is>
          <t>HY750X186</t>
        </is>
      </c>
      <c r="AK755" s="125" t="n"/>
      <c r="AL755" s="125" t="n"/>
      <c r="AM755" s="125">
        <f>SQRT(((VLOOKUP($AT$4,$A$4:$J$1021,10,FALSE))-J755)^2)</f>
        <v/>
      </c>
      <c r="AN755" s="125" t="n"/>
      <c r="AO755" s="125" t="n"/>
      <c r="AP755" s="125">
        <f>SQRT(((VLOOKUP($AT$4,$A$4:$R$1021,18,FALSE))-R755)^2)</f>
        <v/>
      </c>
      <c r="AQ755" s="125" t="inlineStr">
        <is>
          <t>HY750X186</t>
        </is>
      </c>
      <c r="BB755" s="125">
        <f>SQRT(($J$1022-J755)^2)</f>
        <v/>
      </c>
      <c r="BC755" s="125">
        <f>SQRT(($R$1022-R755)^2)</f>
        <v/>
      </c>
      <c r="BD755" s="125" t="inlineStr">
        <is>
          <t>HY750X186</t>
        </is>
      </c>
      <c r="BI755">
        <f>SQRT(($J$1023-J755)^2)</f>
        <v/>
      </c>
      <c r="BJ755">
        <f>SQRT(($R$1023-R755)^2)</f>
        <v/>
      </c>
      <c r="BK755" s="125" t="inlineStr">
        <is>
          <t>HY750X186</t>
        </is>
      </c>
      <c r="BP755">
        <f>SQRT(($J$1024-J755)^2)</f>
        <v/>
      </c>
      <c r="BQ755">
        <f>SQRT(($R$1024-R755)^2)</f>
        <v/>
      </c>
      <c r="BR755" s="125" t="inlineStr">
        <is>
          <t>HY750X186</t>
        </is>
      </c>
      <c r="BW755">
        <f>SQRT(($J$1025-J755)^2)</f>
        <v/>
      </c>
      <c r="BX755">
        <f>SQRT(($R$1025-R755)^2)</f>
        <v/>
      </c>
      <c r="BY755" s="125" t="inlineStr">
        <is>
          <t>HY750X186</t>
        </is>
      </c>
      <c r="CD755">
        <f>SQRT(($J$1026-J755)^2)</f>
        <v/>
      </c>
      <c r="CE755">
        <f>SQRT(($R$1026-R755)^2)</f>
        <v/>
      </c>
      <c r="CF755" s="125" t="inlineStr">
        <is>
          <t>HY750X186</t>
        </is>
      </c>
    </row>
    <row r="756">
      <c r="A756" s="125" t="inlineStr">
        <is>
          <t>HY750X172</t>
        </is>
      </c>
      <c r="B756" s="129" t="inlineStr">
        <is>
          <t>HY</t>
        </is>
      </c>
      <c r="C756" s="125" t="n">
        <v>172</v>
      </c>
      <c r="D756" s="125" t="n">
        <v>750</v>
      </c>
      <c r="E756" s="125" t="n">
        <v>300</v>
      </c>
      <c r="F756" s="125" t="n">
        <v>22</v>
      </c>
      <c r="G756" s="125" t="n">
        <v>12</v>
      </c>
      <c r="H756" s="125" t="n">
        <v>18</v>
      </c>
      <c r="I756" s="125">
        <f>D756-(2*(H756+F756))</f>
        <v/>
      </c>
      <c r="J756" s="125">
        <f>(2*E756/10*F756/10)+((D756-F756-F756)/10*G756/10)+((H756/10+H756/10)^2)-(PI()*H756/10*H756/10)</f>
        <v/>
      </c>
      <c r="K756" s="125">
        <f>((E756-G756)/2)/F756</f>
        <v/>
      </c>
      <c r="L756" s="125">
        <f>I756/G756</f>
        <v/>
      </c>
      <c r="M756" s="125">
        <f>(E756*2+F756*4+((E756-G756)/2-H756)*4+2*PI()*H756+(D756-2*F756-2*H756)*2)/1000</f>
        <v/>
      </c>
      <c r="N756" s="5" t="n">
        <v>214000</v>
      </c>
      <c r="O756" s="5" t="n">
        <v>9910</v>
      </c>
      <c r="P756" s="125" t="n">
        <v>31.2</v>
      </c>
      <c r="Q756" s="125" t="n">
        <v>6.7</v>
      </c>
      <c r="R756" s="5" t="n">
        <v>5690</v>
      </c>
      <c r="S756" s="125" t="n">
        <v>661</v>
      </c>
      <c r="T756" s="5" t="n">
        <v>6400</v>
      </c>
      <c r="U756" s="5" t="n">
        <v>1020</v>
      </c>
      <c r="X756" s="129">
        <f t="array" ref="X756">_xlfn.IFS((D756/F756) &lt;= (640/SQRT($AT$32)), "Compact", L756 &lt;= ($AT$32*(0.79-(0.002*((E756-G756/2)/(2*F756))*SQRT($AT$32)))), "Non-Compact", L756 &gt; ($AT$32*(0.79-(0.002*((E756-G756/2)/(2*F756))*SQRT($AT$32)))), "Slender")</f>
        <v/>
      </c>
      <c r="Y756" s="129">
        <f t="array" ref="Y756">_xlfn.IFS(K756 &lt;= (65/SQRT($AT$32)), "Compact", K756 &lt;= (95/SQRT($AT$32)), "Non-Compact", K756 &gt; (95/SQRT($AT$32)), "Slender")</f>
        <v/>
      </c>
      <c r="Z756" s="125">
        <f>E756/F756</f>
        <v/>
      </c>
      <c r="AA756" s="125">
        <f>D756/G756</f>
        <v/>
      </c>
      <c r="AB756" s="125">
        <f t="array" ref="AB756">_xlfn.IFS(Z756 &lt;= 9, "1", Z756 &lt;= 12, "2", Z756 &lt;= 15, "3", Z756 &gt; 15, "4")</f>
        <v/>
      </c>
      <c r="AC756" s="125">
        <f t="array" ref="AC756">_xlfn.IFS(AA756 &lt;= 200, "1", L756 &lt;= 300, "2", L756 &lt;= 400, "3", L756 &gt; 400, "4")</f>
        <v/>
      </c>
      <c r="AF756" s="129">
        <f>SQRT((((VLOOKUP($AT$4,$A$4:$D$1021,4,FALSE))-D756)^2)+(((VLOOKUP($AT$4,$A$4:$E$1021,5,FALSE))-E756)^2)+(((VLOOKUP($AT$4,$A$4:$N$1021,14,FALSE))-N756)^2)+(((VLOOKUP($AT$4,$A$4:$O$1021,15,FALSE))-O756)^2))</f>
        <v/>
      </c>
      <c r="AG756" s="129" t="n"/>
      <c r="AI756" s="129">
        <f>SQRT((((VLOOKUP($AT$4,$A$4:$D$1021,4,FALSE))-D756)^2)+(((VLOOKUP($AT$4,$A$4:$E$1021,5,FALSE))-E756)^2)+(((VLOOKUP($AT$4,$A$4:$R$1021,18,FALSE))-R756)^2)+(((VLOOKUP($AT$4,$A$4:$S$1021,19,FALSE))-S756)^2))</f>
        <v/>
      </c>
      <c r="AJ756" s="125" t="inlineStr">
        <is>
          <t>HY750X172</t>
        </is>
      </c>
      <c r="AK756" s="125" t="n"/>
      <c r="AL756" s="125" t="n"/>
      <c r="AM756" s="125">
        <f>SQRT(((VLOOKUP($AT$4,$A$4:$J$1021,10,FALSE))-J756)^2)</f>
        <v/>
      </c>
      <c r="AN756" s="125" t="n"/>
      <c r="AO756" s="125" t="n"/>
      <c r="AP756" s="125">
        <f>SQRT(((VLOOKUP($AT$4,$A$4:$R$1021,18,FALSE))-R756)^2)</f>
        <v/>
      </c>
      <c r="AQ756" s="125" t="inlineStr">
        <is>
          <t>HY750X172</t>
        </is>
      </c>
      <c r="BB756" s="125">
        <f>SQRT(($J$1022-J756)^2)</f>
        <v/>
      </c>
      <c r="BC756" s="125">
        <f>SQRT(($R$1022-R756)^2)</f>
        <v/>
      </c>
      <c r="BD756" s="125" t="inlineStr">
        <is>
          <t>HY750X172</t>
        </is>
      </c>
      <c r="BI756">
        <f>SQRT(($J$1023-J756)^2)</f>
        <v/>
      </c>
      <c r="BJ756">
        <f>SQRT(($R$1023-R756)^2)</f>
        <v/>
      </c>
      <c r="BK756" s="125" t="inlineStr">
        <is>
          <t>HY750X172</t>
        </is>
      </c>
      <c r="BP756">
        <f>SQRT(($J$1024-J756)^2)</f>
        <v/>
      </c>
      <c r="BQ756">
        <f>SQRT(($R$1024-R756)^2)</f>
        <v/>
      </c>
      <c r="BR756" s="125" t="inlineStr">
        <is>
          <t>HY750X172</t>
        </is>
      </c>
      <c r="BW756">
        <f>SQRT(($J$1025-J756)^2)</f>
        <v/>
      </c>
      <c r="BX756">
        <f>SQRT(($R$1025-R756)^2)</f>
        <v/>
      </c>
      <c r="BY756" s="125" t="inlineStr">
        <is>
          <t>HY750X172</t>
        </is>
      </c>
      <c r="CD756">
        <f>SQRT(($J$1026-J756)^2)</f>
        <v/>
      </c>
      <c r="CE756">
        <f>SQRT(($R$1026-R756)^2)</f>
        <v/>
      </c>
      <c r="CF756" s="125" t="inlineStr">
        <is>
          <t>HY750X172</t>
        </is>
      </c>
    </row>
    <row r="757">
      <c r="A757" s="125" t="inlineStr">
        <is>
          <t>HY750X159</t>
        </is>
      </c>
      <c r="B757" s="129" t="inlineStr">
        <is>
          <t>HY</t>
        </is>
      </c>
      <c r="C757" s="125" t="n">
        <v>159</v>
      </c>
      <c r="D757" s="125" t="n">
        <v>750</v>
      </c>
      <c r="E757" s="125" t="n">
        <v>300</v>
      </c>
      <c r="F757" s="125" t="n">
        <v>19</v>
      </c>
      <c r="G757" s="125" t="n">
        <v>12</v>
      </c>
      <c r="H757" s="125" t="n">
        <v>18</v>
      </c>
      <c r="I757" s="125">
        <f>D757-(2*(H757+F757))</f>
        <v/>
      </c>
      <c r="J757" s="125">
        <f>(2*E757/10*F757/10)+((D757-F757-F757)/10*G757/10)+((H757/10+H757/10)^2)-(PI()*H757/10*H757/10)</f>
        <v/>
      </c>
      <c r="K757" s="125">
        <f>((E757-G757)/2)/F757</f>
        <v/>
      </c>
      <c r="L757" s="125">
        <f>I757/G757</f>
        <v/>
      </c>
      <c r="M757" s="125">
        <f>(E757*2+F757*4+((E757-G757)/2-H757)*4+2*PI()*H757+(D757-2*F757-2*H757)*2)/1000</f>
        <v/>
      </c>
      <c r="N757" s="5" t="n">
        <v>192000</v>
      </c>
      <c r="O757" s="5" t="n">
        <v>8560</v>
      </c>
      <c r="P757" s="125" t="n">
        <v>30.8</v>
      </c>
      <c r="Q757" s="125" t="n">
        <v>6.5</v>
      </c>
      <c r="R757" s="5" t="n">
        <v>5120</v>
      </c>
      <c r="S757" s="125" t="n">
        <v>571</v>
      </c>
      <c r="T757" s="5" t="n">
        <v>5790</v>
      </c>
      <c r="U757" s="125" t="n">
        <v>883</v>
      </c>
      <c r="X757" s="129">
        <f t="array" ref="X757">_xlfn.IFS((D757/F757) &lt;= (640/SQRT($AT$32)), "Compact", L757 &lt;= ($AT$32*(0.79-(0.002*((E757-G757/2)/(2*F757))*SQRT($AT$32)))), "Non-Compact", L757 &gt; ($AT$32*(0.79-(0.002*((E757-G757/2)/(2*F757))*SQRT($AT$32)))), "Slender")</f>
        <v/>
      </c>
      <c r="Y757" s="129">
        <f t="array" ref="Y757">_xlfn.IFS(K757 &lt;= (65/SQRT($AT$32)), "Compact", K757 &lt;= (95/SQRT($AT$32)), "Non-Compact", K757 &gt; (95/SQRT($AT$32)), "Slender")</f>
        <v/>
      </c>
      <c r="Z757" s="125">
        <f>E757/F757</f>
        <v/>
      </c>
      <c r="AA757" s="125">
        <f>D757/G757</f>
        <v/>
      </c>
      <c r="AB757" s="125">
        <f t="array" ref="AB757">_xlfn.IFS(Z757 &lt;= 9, "1", Z757 &lt;= 12, "2", Z757 &lt;= 15, "3", Z757 &gt; 15, "4")</f>
        <v/>
      </c>
      <c r="AC757" s="125">
        <f t="array" ref="AC757">_xlfn.IFS(AA757 &lt;= 200, "1", L757 &lt;= 300, "2", L757 &lt;= 400, "3", L757 &gt; 400, "4")</f>
        <v/>
      </c>
      <c r="AF757" s="129">
        <f>SQRT((((VLOOKUP($AT$4,$A$4:$D$1021,4,FALSE))-D757)^2)+(((VLOOKUP($AT$4,$A$4:$E$1021,5,FALSE))-E757)^2)+(((VLOOKUP($AT$4,$A$4:$N$1021,14,FALSE))-N757)^2)+(((VLOOKUP($AT$4,$A$4:$O$1021,15,FALSE))-O757)^2))</f>
        <v/>
      </c>
      <c r="AG757" s="129" t="n"/>
      <c r="AI757" s="129">
        <f>SQRT((((VLOOKUP($AT$4,$A$4:$D$1021,4,FALSE))-D757)^2)+(((VLOOKUP($AT$4,$A$4:$E$1021,5,FALSE))-E757)^2)+(((VLOOKUP($AT$4,$A$4:$R$1021,18,FALSE))-R757)^2)+(((VLOOKUP($AT$4,$A$4:$S$1021,19,FALSE))-S757)^2))</f>
        <v/>
      </c>
      <c r="AJ757" s="125" t="inlineStr">
        <is>
          <t>HY750X159</t>
        </is>
      </c>
      <c r="AK757" s="125" t="n"/>
      <c r="AL757" s="125" t="n"/>
      <c r="AM757" s="125">
        <f>SQRT(((VLOOKUP($AT$4,$A$4:$J$1021,10,FALSE))-J757)^2)</f>
        <v/>
      </c>
      <c r="AN757" s="125" t="n"/>
      <c r="AO757" s="125" t="n"/>
      <c r="AP757" s="125">
        <f>SQRT(((VLOOKUP($AT$4,$A$4:$R$1021,18,FALSE))-R757)^2)</f>
        <v/>
      </c>
      <c r="AQ757" s="125" t="inlineStr">
        <is>
          <t>HY750X159</t>
        </is>
      </c>
      <c r="BB757" s="125">
        <f>SQRT(($J$1022-J757)^2)</f>
        <v/>
      </c>
      <c r="BC757" s="125">
        <f>SQRT(($R$1022-R757)^2)</f>
        <v/>
      </c>
      <c r="BD757" s="125" t="inlineStr">
        <is>
          <t>HY750X159</t>
        </is>
      </c>
      <c r="BI757">
        <f>SQRT(($J$1023-J757)^2)</f>
        <v/>
      </c>
      <c r="BJ757">
        <f>SQRT(($R$1023-R757)^2)</f>
        <v/>
      </c>
      <c r="BK757" s="125" t="inlineStr">
        <is>
          <t>HY750X159</t>
        </is>
      </c>
      <c r="BP757">
        <f>SQRT(($J$1024-J757)^2)</f>
        <v/>
      </c>
      <c r="BQ757">
        <f>SQRT(($R$1024-R757)^2)</f>
        <v/>
      </c>
      <c r="BR757" s="125" t="inlineStr">
        <is>
          <t>HY750X159</t>
        </is>
      </c>
      <c r="BW757">
        <f>SQRT(($J$1025-J757)^2)</f>
        <v/>
      </c>
      <c r="BX757">
        <f>SQRT(($R$1025-R757)^2)</f>
        <v/>
      </c>
      <c r="BY757" s="125" t="inlineStr">
        <is>
          <t>HY750X159</t>
        </is>
      </c>
      <c r="CD757">
        <f>SQRT(($J$1026-J757)^2)</f>
        <v/>
      </c>
      <c r="CE757">
        <f>SQRT(($R$1026-R757)^2)</f>
        <v/>
      </c>
      <c r="CF757" s="125" t="inlineStr">
        <is>
          <t>HY750X159</t>
        </is>
      </c>
    </row>
    <row r="758">
      <c r="A758" s="125" t="inlineStr">
        <is>
          <t>HY750X229</t>
        </is>
      </c>
      <c r="B758" s="129" t="inlineStr">
        <is>
          <t>HY</t>
        </is>
      </c>
      <c r="C758" s="125" t="n">
        <v>229</v>
      </c>
      <c r="D758" s="125" t="n">
        <v>750</v>
      </c>
      <c r="E758" s="125" t="n">
        <v>250</v>
      </c>
      <c r="F758" s="125" t="n">
        <v>36</v>
      </c>
      <c r="G758" s="125" t="n">
        <v>16</v>
      </c>
      <c r="H758" s="125" t="n">
        <v>18</v>
      </c>
      <c r="I758" s="125">
        <f>D758-(2*(H758+F758))</f>
        <v/>
      </c>
      <c r="J758" s="125">
        <f>(2*E758/10*F758/10)+((D758-F758-F758)/10*G758/10)+((H758/10+H758/10)^2)-(PI()*H758/10*H758/10)</f>
        <v/>
      </c>
      <c r="K758" s="125">
        <f>((E758-G758)/2)/F758</f>
        <v/>
      </c>
      <c r="L758" s="125">
        <f>I758/G758</f>
        <v/>
      </c>
      <c r="M758" s="125">
        <f>(E758*2+F758*4+((E758-G758)/2-H758)*4+2*PI()*H758+(D758-2*F758-2*H758)*2)/1000</f>
        <v/>
      </c>
      <c r="N758" s="5" t="n">
        <v>274000</v>
      </c>
      <c r="O758" s="5" t="n">
        <v>9400</v>
      </c>
      <c r="P758" s="125" t="n">
        <v>30.7</v>
      </c>
      <c r="Q758" s="125" t="n">
        <v>5.7</v>
      </c>
      <c r="R758" s="5" t="n">
        <v>7310</v>
      </c>
      <c r="S758" s="125" t="n">
        <v>752</v>
      </c>
      <c r="T758" s="5" t="n">
        <v>8360</v>
      </c>
      <c r="U758" s="5" t="n">
        <v>1170</v>
      </c>
      <c r="X758" s="129">
        <f t="array" ref="X758">_xlfn.IFS((D758/F758) &lt;= (640/SQRT($AT$32)), "Compact", L758 &lt;= ($AT$32*(0.79-(0.002*((E758-G758/2)/(2*F758))*SQRT($AT$32)))), "Non-Compact", L758 &gt; ($AT$32*(0.79-(0.002*((E758-G758/2)/(2*F758))*SQRT($AT$32)))), "Slender")</f>
        <v/>
      </c>
      <c r="Y758" s="129">
        <f t="array" ref="Y758">_xlfn.IFS(K758 &lt;= (65/SQRT($AT$32)), "Compact", K758 &lt;= (95/SQRT($AT$32)), "Non-Compact", K758 &gt; (95/SQRT($AT$32)), "Slender")</f>
        <v/>
      </c>
      <c r="Z758" s="125">
        <f>E758/F758</f>
        <v/>
      </c>
      <c r="AA758" s="125">
        <f>D758/G758</f>
        <v/>
      </c>
      <c r="AB758" s="125">
        <f t="array" ref="AB758">_xlfn.IFS(Z758 &lt;= 9, "1", Z758 &lt;= 12, "2", Z758 &lt;= 15, "3", Z758 &gt; 15, "4")</f>
        <v/>
      </c>
      <c r="AC758" s="125">
        <f t="array" ref="AC758">_xlfn.IFS(AA758 &lt;= 200, "1", L758 &lt;= 300, "2", L758 &lt;= 400, "3", L758 &gt; 400, "4")</f>
        <v/>
      </c>
      <c r="AF758" s="129">
        <f>SQRT((((VLOOKUP($AT$4,$A$4:$D$1021,4,FALSE))-D758)^2)+(((VLOOKUP($AT$4,$A$4:$E$1021,5,FALSE))-E758)^2)+(((VLOOKUP($AT$4,$A$4:$N$1021,14,FALSE))-N758)^2)+(((VLOOKUP($AT$4,$A$4:$O$1021,15,FALSE))-O758)^2))</f>
        <v/>
      </c>
      <c r="AG758" s="129" t="n"/>
      <c r="AI758" s="129">
        <f>SQRT((((VLOOKUP($AT$4,$A$4:$D$1021,4,FALSE))-D758)^2)+(((VLOOKUP($AT$4,$A$4:$E$1021,5,FALSE))-E758)^2)+(((VLOOKUP($AT$4,$A$4:$R$1021,18,FALSE))-R758)^2)+(((VLOOKUP($AT$4,$A$4:$S$1021,19,FALSE))-S758)^2))</f>
        <v/>
      </c>
      <c r="AJ758" s="125" t="inlineStr">
        <is>
          <t>HY750X229</t>
        </is>
      </c>
      <c r="AK758" s="125" t="n"/>
      <c r="AL758" s="125" t="n"/>
      <c r="AM758" s="125">
        <f>SQRT(((VLOOKUP($AT$4,$A$4:$J$1021,10,FALSE))-J758)^2)</f>
        <v/>
      </c>
      <c r="AN758" s="125" t="n"/>
      <c r="AO758" s="125" t="n"/>
      <c r="AP758" s="125">
        <f>SQRT(((VLOOKUP($AT$4,$A$4:$R$1021,18,FALSE))-R758)^2)</f>
        <v/>
      </c>
      <c r="AQ758" s="125" t="inlineStr">
        <is>
          <t>HY750X229</t>
        </is>
      </c>
      <c r="BB758" s="125">
        <f>SQRT(($J$1022-J758)^2)</f>
        <v/>
      </c>
      <c r="BC758" s="125">
        <f>SQRT(($R$1022-R758)^2)</f>
        <v/>
      </c>
      <c r="BD758" s="125" t="inlineStr">
        <is>
          <t>HY750X229</t>
        </is>
      </c>
      <c r="BI758">
        <f>SQRT(($J$1023-J758)^2)</f>
        <v/>
      </c>
      <c r="BJ758">
        <f>SQRT(($R$1023-R758)^2)</f>
        <v/>
      </c>
      <c r="BK758" s="125" t="inlineStr">
        <is>
          <t>HY750X229</t>
        </is>
      </c>
      <c r="BP758">
        <f>SQRT(($J$1024-J758)^2)</f>
        <v/>
      </c>
      <c r="BQ758">
        <f>SQRT(($R$1024-R758)^2)</f>
        <v/>
      </c>
      <c r="BR758" s="125" t="inlineStr">
        <is>
          <t>HY750X229</t>
        </is>
      </c>
      <c r="BW758">
        <f>SQRT(($J$1025-J758)^2)</f>
        <v/>
      </c>
      <c r="BX758">
        <f>SQRT(($R$1025-R758)^2)</f>
        <v/>
      </c>
      <c r="BY758" s="125" t="inlineStr">
        <is>
          <t>HY750X229</t>
        </is>
      </c>
      <c r="CD758">
        <f>SQRT(($J$1026-J758)^2)</f>
        <v/>
      </c>
      <c r="CE758">
        <f>SQRT(($R$1026-R758)^2)</f>
        <v/>
      </c>
      <c r="CF758" s="125" t="inlineStr">
        <is>
          <t>HY750X229</t>
        </is>
      </c>
    </row>
    <row r="759">
      <c r="A759" s="125" t="inlineStr">
        <is>
          <t>HY750X214</t>
        </is>
      </c>
      <c r="B759" s="129" t="inlineStr">
        <is>
          <t>HY</t>
        </is>
      </c>
      <c r="C759" s="125" t="n">
        <v>214</v>
      </c>
      <c r="D759" s="125" t="n">
        <v>750</v>
      </c>
      <c r="E759" s="125" t="n">
        <v>250</v>
      </c>
      <c r="F759" s="125" t="n">
        <v>32</v>
      </c>
      <c r="G759" s="125" t="n">
        <v>16</v>
      </c>
      <c r="H759" s="125" t="n">
        <v>18</v>
      </c>
      <c r="I759" s="125">
        <f>D759-(2*(H759+F759))</f>
        <v/>
      </c>
      <c r="J759" s="125">
        <f>(2*E759/10*F759/10)+((D759-F759-F759)/10*G759/10)+((H759/10+H759/10)^2)-(PI()*H759/10*H759/10)</f>
        <v/>
      </c>
      <c r="K759" s="125">
        <f>((E759-G759)/2)/F759</f>
        <v/>
      </c>
      <c r="L759" s="125">
        <f>I759/G759</f>
        <v/>
      </c>
      <c r="M759" s="125">
        <f>(E759*2+F759*4+((E759-G759)/2-H759)*4+2*PI()*H759+(D759-2*F759-2*H759)*2)/1000</f>
        <v/>
      </c>
      <c r="N759" s="5" t="n">
        <v>253000</v>
      </c>
      <c r="O759" s="5" t="n">
        <v>8360</v>
      </c>
      <c r="P759" s="125" t="n">
        <v>30.4</v>
      </c>
      <c r="Q759" s="125" t="n">
        <v>5.5</v>
      </c>
      <c r="R759" s="5" t="n">
        <v>6740</v>
      </c>
      <c r="S759" s="125" t="n">
        <v>669</v>
      </c>
      <c r="T759" s="5" t="n">
        <v>7720</v>
      </c>
      <c r="U759" s="5" t="n">
        <v>1050</v>
      </c>
      <c r="X759" s="129">
        <f t="array" ref="X759">_xlfn.IFS((D759/F759) &lt;= (640/SQRT($AT$32)), "Compact", L759 &lt;= ($AT$32*(0.79-(0.002*((E759-G759/2)/(2*F759))*SQRT($AT$32)))), "Non-Compact", L759 &gt; ($AT$32*(0.79-(0.002*((E759-G759/2)/(2*F759))*SQRT($AT$32)))), "Slender")</f>
        <v/>
      </c>
      <c r="Y759" s="129">
        <f t="array" ref="Y759">_xlfn.IFS(K759 &lt;= (65/SQRT($AT$32)), "Compact", K759 &lt;= (95/SQRT($AT$32)), "Non-Compact", K759 &gt; (95/SQRT($AT$32)), "Slender")</f>
        <v/>
      </c>
      <c r="Z759" s="125">
        <f>E759/F759</f>
        <v/>
      </c>
      <c r="AA759" s="125">
        <f>D759/G759</f>
        <v/>
      </c>
      <c r="AB759" s="125">
        <f t="array" ref="AB759">_xlfn.IFS(Z759 &lt;= 9, "1", Z759 &lt;= 12, "2", Z759 &lt;= 15, "3", Z759 &gt; 15, "4")</f>
        <v/>
      </c>
      <c r="AC759" s="125">
        <f t="array" ref="AC759">_xlfn.IFS(AA759 &lt;= 200, "1", L759 &lt;= 300, "2", L759 &lt;= 400, "3", L759 &gt; 400, "4")</f>
        <v/>
      </c>
      <c r="AF759" s="129">
        <f>SQRT((((VLOOKUP($AT$4,$A$4:$D$1021,4,FALSE))-D759)^2)+(((VLOOKUP($AT$4,$A$4:$E$1021,5,FALSE))-E759)^2)+(((VLOOKUP($AT$4,$A$4:$N$1021,14,FALSE))-N759)^2)+(((VLOOKUP($AT$4,$A$4:$O$1021,15,FALSE))-O759)^2))</f>
        <v/>
      </c>
      <c r="AG759" s="129" t="n"/>
      <c r="AI759" s="129">
        <f>SQRT((((VLOOKUP($AT$4,$A$4:$D$1021,4,FALSE))-D759)^2)+(((VLOOKUP($AT$4,$A$4:$E$1021,5,FALSE))-E759)^2)+(((VLOOKUP($AT$4,$A$4:$R$1021,18,FALSE))-R759)^2)+(((VLOOKUP($AT$4,$A$4:$S$1021,19,FALSE))-S759)^2))</f>
        <v/>
      </c>
      <c r="AJ759" s="125" t="inlineStr">
        <is>
          <t>HY750X214</t>
        </is>
      </c>
      <c r="AK759" s="125" t="n"/>
      <c r="AL759" s="125" t="n"/>
      <c r="AM759" s="125">
        <f>SQRT(((VLOOKUP($AT$4,$A$4:$J$1021,10,FALSE))-J759)^2)</f>
        <v/>
      </c>
      <c r="AN759" s="125" t="n"/>
      <c r="AO759" s="125" t="n"/>
      <c r="AP759" s="125">
        <f>SQRT(((VLOOKUP($AT$4,$A$4:$R$1021,18,FALSE))-R759)^2)</f>
        <v/>
      </c>
      <c r="AQ759" s="125" t="inlineStr">
        <is>
          <t>HY750X214</t>
        </is>
      </c>
      <c r="BB759" s="125">
        <f>SQRT(($J$1022-J759)^2)</f>
        <v/>
      </c>
      <c r="BC759" s="125">
        <f>SQRT(($R$1022-R759)^2)</f>
        <v/>
      </c>
      <c r="BD759" s="125" t="inlineStr">
        <is>
          <t>HY750X214</t>
        </is>
      </c>
      <c r="BI759">
        <f>SQRT(($J$1023-J759)^2)</f>
        <v/>
      </c>
      <c r="BJ759">
        <f>SQRT(($R$1023-R759)^2)</f>
        <v/>
      </c>
      <c r="BK759" s="125" t="inlineStr">
        <is>
          <t>HY750X214</t>
        </is>
      </c>
      <c r="BP759">
        <f>SQRT(($J$1024-J759)^2)</f>
        <v/>
      </c>
      <c r="BQ759">
        <f>SQRT(($R$1024-R759)^2)</f>
        <v/>
      </c>
      <c r="BR759" s="125" t="inlineStr">
        <is>
          <t>HY750X214</t>
        </is>
      </c>
      <c r="BW759">
        <f>SQRT(($J$1025-J759)^2)</f>
        <v/>
      </c>
      <c r="BX759">
        <f>SQRT(($R$1025-R759)^2)</f>
        <v/>
      </c>
      <c r="BY759" s="125" t="inlineStr">
        <is>
          <t>HY750X214</t>
        </is>
      </c>
      <c r="CD759">
        <f>SQRT(($J$1026-J759)^2)</f>
        <v/>
      </c>
      <c r="CE759">
        <f>SQRT(($R$1026-R759)^2)</f>
        <v/>
      </c>
      <c r="CF759" s="125" t="inlineStr">
        <is>
          <t>HY750X214</t>
        </is>
      </c>
    </row>
    <row r="760">
      <c r="A760" s="125" t="inlineStr">
        <is>
          <t>HY750X199</t>
        </is>
      </c>
      <c r="B760" s="129" t="inlineStr">
        <is>
          <t>HY</t>
        </is>
      </c>
      <c r="C760" s="125" t="n">
        <v>199</v>
      </c>
      <c r="D760" s="125" t="n">
        <v>750</v>
      </c>
      <c r="E760" s="125" t="n">
        <v>250</v>
      </c>
      <c r="F760" s="125" t="n">
        <v>28</v>
      </c>
      <c r="G760" s="125" t="n">
        <v>16</v>
      </c>
      <c r="H760" s="125" t="n">
        <v>18</v>
      </c>
      <c r="I760" s="125">
        <f>D760-(2*(H760+F760))</f>
        <v/>
      </c>
      <c r="J760" s="125">
        <f>(2*E760/10*F760/10)+((D760-F760-F760)/10*G760/10)+((H760/10+H760/10)^2)-(PI()*H760/10*H760/10)</f>
        <v/>
      </c>
      <c r="K760" s="125">
        <f>((E760-G760)/2)/F760</f>
        <v/>
      </c>
      <c r="L760" s="125">
        <f>I760/G760</f>
        <v/>
      </c>
      <c r="M760" s="125">
        <f>(E760*2+F760*4+((E760-G760)/2-H760)*4+2*PI()*H760+(D760-2*F760-2*H760)*2)/1000</f>
        <v/>
      </c>
      <c r="N760" s="5" t="n">
        <v>230000</v>
      </c>
      <c r="O760" s="5" t="n">
        <v>7320</v>
      </c>
      <c r="P760" s="125" t="n">
        <v>30.1</v>
      </c>
      <c r="Q760" s="125" t="n">
        <v>5.4</v>
      </c>
      <c r="R760" s="5" t="n">
        <v>6140</v>
      </c>
      <c r="S760" s="125" t="n">
        <v>586</v>
      </c>
      <c r="T760" s="5" t="n">
        <v>7080</v>
      </c>
      <c r="U760" s="125" t="n">
        <v>923</v>
      </c>
      <c r="X760" s="129">
        <f t="array" ref="X760">_xlfn.IFS((D760/F760) &lt;= (640/SQRT($AT$32)), "Compact", L760 &lt;= ($AT$32*(0.79-(0.002*((E760-G760/2)/(2*F760))*SQRT($AT$32)))), "Non-Compact", L760 &gt; ($AT$32*(0.79-(0.002*((E760-G760/2)/(2*F760))*SQRT($AT$32)))), "Slender")</f>
        <v/>
      </c>
      <c r="Y760" s="129">
        <f t="array" ref="Y760">_xlfn.IFS(K760 &lt;= (65/SQRT($AT$32)), "Compact", K760 &lt;= (95/SQRT($AT$32)), "Non-Compact", K760 &gt; (95/SQRT($AT$32)), "Slender")</f>
        <v/>
      </c>
      <c r="Z760" s="125">
        <f>E760/F760</f>
        <v/>
      </c>
      <c r="AA760" s="125">
        <f>D760/G760</f>
        <v/>
      </c>
      <c r="AB760" s="125">
        <f t="array" ref="AB760">_xlfn.IFS(Z760 &lt;= 9, "1", Z760 &lt;= 12, "2", Z760 &lt;= 15, "3", Z760 &gt; 15, "4")</f>
        <v/>
      </c>
      <c r="AC760" s="125">
        <f t="array" ref="AC760">_xlfn.IFS(AA760 &lt;= 200, "1", L760 &lt;= 300, "2", L760 &lt;= 400, "3", L760 &gt; 400, "4")</f>
        <v/>
      </c>
      <c r="AF760" s="129">
        <f>SQRT((((VLOOKUP($AT$4,$A$4:$D$1021,4,FALSE))-D760)^2)+(((VLOOKUP($AT$4,$A$4:$E$1021,5,FALSE))-E760)^2)+(((VLOOKUP($AT$4,$A$4:$N$1021,14,FALSE))-N760)^2)+(((VLOOKUP($AT$4,$A$4:$O$1021,15,FALSE))-O760)^2))</f>
        <v/>
      </c>
      <c r="AG760" s="129" t="n"/>
      <c r="AI760" s="129">
        <f>SQRT((((VLOOKUP($AT$4,$A$4:$D$1021,4,FALSE))-D760)^2)+(((VLOOKUP($AT$4,$A$4:$E$1021,5,FALSE))-E760)^2)+(((VLOOKUP($AT$4,$A$4:$R$1021,18,FALSE))-R760)^2)+(((VLOOKUP($AT$4,$A$4:$S$1021,19,FALSE))-S760)^2))</f>
        <v/>
      </c>
      <c r="AJ760" s="125" t="inlineStr">
        <is>
          <t>HY750X199</t>
        </is>
      </c>
      <c r="AK760" s="125" t="n"/>
      <c r="AL760" s="125" t="n"/>
      <c r="AM760" s="125">
        <f>SQRT(((VLOOKUP($AT$4,$A$4:$J$1021,10,FALSE))-J760)^2)</f>
        <v/>
      </c>
      <c r="AN760" s="125" t="n"/>
      <c r="AO760" s="125" t="n"/>
      <c r="AP760" s="125">
        <f>SQRT(((VLOOKUP($AT$4,$A$4:$R$1021,18,FALSE))-R760)^2)</f>
        <v/>
      </c>
      <c r="AQ760" s="125" t="inlineStr">
        <is>
          <t>HY750X199</t>
        </is>
      </c>
      <c r="BB760" s="125">
        <f>SQRT(($J$1022-J760)^2)</f>
        <v/>
      </c>
      <c r="BC760" s="125">
        <f>SQRT(($R$1022-R760)^2)</f>
        <v/>
      </c>
      <c r="BD760" s="125" t="inlineStr">
        <is>
          <t>HY750X199</t>
        </is>
      </c>
      <c r="BI760">
        <f>SQRT(($J$1023-J760)^2)</f>
        <v/>
      </c>
      <c r="BJ760">
        <f>SQRT(($R$1023-R760)^2)</f>
        <v/>
      </c>
      <c r="BK760" s="125" t="inlineStr">
        <is>
          <t>HY750X199</t>
        </is>
      </c>
      <c r="BP760">
        <f>SQRT(($J$1024-J760)^2)</f>
        <v/>
      </c>
      <c r="BQ760">
        <f>SQRT(($R$1024-R760)^2)</f>
        <v/>
      </c>
      <c r="BR760" s="125" t="inlineStr">
        <is>
          <t>HY750X199</t>
        </is>
      </c>
      <c r="BW760">
        <f>SQRT(($J$1025-J760)^2)</f>
        <v/>
      </c>
      <c r="BX760">
        <f>SQRT(($R$1025-R760)^2)</f>
        <v/>
      </c>
      <c r="BY760" s="125" t="inlineStr">
        <is>
          <t>HY750X199</t>
        </is>
      </c>
      <c r="CD760">
        <f>SQRT(($J$1026-J760)^2)</f>
        <v/>
      </c>
      <c r="CE760">
        <f>SQRT(($R$1026-R760)^2)</f>
        <v/>
      </c>
      <c r="CF760" s="125" t="inlineStr">
        <is>
          <t>HY750X199</t>
        </is>
      </c>
    </row>
    <row r="761">
      <c r="A761" s="125" t="inlineStr">
        <is>
          <t>HY750X188</t>
        </is>
      </c>
      <c r="B761" s="129" t="inlineStr">
        <is>
          <t>HY</t>
        </is>
      </c>
      <c r="C761" s="125" t="n">
        <v>188</v>
      </c>
      <c r="D761" s="125" t="n">
        <v>750</v>
      </c>
      <c r="E761" s="125" t="n">
        <v>250</v>
      </c>
      <c r="F761" s="125" t="n">
        <v>25</v>
      </c>
      <c r="G761" s="125" t="n">
        <v>16</v>
      </c>
      <c r="H761" s="125" t="n">
        <v>18</v>
      </c>
      <c r="I761" s="125">
        <f>D761-(2*(H761+F761))</f>
        <v/>
      </c>
      <c r="J761" s="125">
        <f>(2*E761/10*F761/10)+((D761-F761-F761)/10*G761/10)+((H761/10+H761/10)^2)-(PI()*H761/10*H761/10)</f>
        <v/>
      </c>
      <c r="K761" s="125">
        <f>((E761-G761)/2)/F761</f>
        <v/>
      </c>
      <c r="L761" s="125">
        <f>I761/G761</f>
        <v/>
      </c>
      <c r="M761" s="125">
        <f>(E761*2+F761*4+((E761-G761)/2-H761)*4+2*PI()*H761+(D761-2*F761-2*H761)*2)/1000</f>
        <v/>
      </c>
      <c r="N761" s="5" t="n">
        <v>213000</v>
      </c>
      <c r="O761" s="5" t="n">
        <v>6540</v>
      </c>
      <c r="P761" s="125" t="n">
        <v>29.8</v>
      </c>
      <c r="Q761" s="125" t="n">
        <v>5.2</v>
      </c>
      <c r="R761" s="5" t="n">
        <v>5690</v>
      </c>
      <c r="S761" s="125" t="n">
        <v>523</v>
      </c>
      <c r="T761" s="5" t="n">
        <v>6590</v>
      </c>
      <c r="U761" s="125" t="n">
        <v>829</v>
      </c>
      <c r="X761" s="129">
        <f t="array" ref="X761">_xlfn.IFS((D761/F761) &lt;= (640/SQRT($AT$32)), "Compact", L761 &lt;= ($AT$32*(0.79-(0.002*((E761-G761/2)/(2*F761))*SQRT($AT$32)))), "Non-Compact", L761 &gt; ($AT$32*(0.79-(0.002*((E761-G761/2)/(2*F761))*SQRT($AT$32)))), "Slender")</f>
        <v/>
      </c>
      <c r="Y761" s="129">
        <f t="array" ref="Y761">_xlfn.IFS(K761 &lt;= (65/SQRT($AT$32)), "Compact", K761 &lt;= (95/SQRT($AT$32)), "Non-Compact", K761 &gt; (95/SQRT($AT$32)), "Slender")</f>
        <v/>
      </c>
      <c r="Z761" s="125">
        <f>E761/F761</f>
        <v/>
      </c>
      <c r="AA761" s="125">
        <f>D761/G761</f>
        <v/>
      </c>
      <c r="AB761" s="125">
        <f t="array" ref="AB761">_xlfn.IFS(Z761 &lt;= 9, "1", Z761 &lt;= 12, "2", Z761 &lt;= 15, "3", Z761 &gt; 15, "4")</f>
        <v/>
      </c>
      <c r="AC761" s="125">
        <f t="array" ref="AC761">_xlfn.IFS(AA761 &lt;= 200, "1", L761 &lt;= 300, "2", L761 &lt;= 400, "3", L761 &gt; 400, "4")</f>
        <v/>
      </c>
      <c r="AF761" s="129">
        <f>SQRT((((VLOOKUP($AT$4,$A$4:$D$1021,4,FALSE))-D761)^2)+(((VLOOKUP($AT$4,$A$4:$E$1021,5,FALSE))-E761)^2)+(((VLOOKUP($AT$4,$A$4:$N$1021,14,FALSE))-N761)^2)+(((VLOOKUP($AT$4,$A$4:$O$1021,15,FALSE))-O761)^2))</f>
        <v/>
      </c>
      <c r="AG761" s="129" t="n"/>
      <c r="AI761" s="129">
        <f>SQRT((((VLOOKUP($AT$4,$A$4:$D$1021,4,FALSE))-D761)^2)+(((VLOOKUP($AT$4,$A$4:$E$1021,5,FALSE))-E761)^2)+(((VLOOKUP($AT$4,$A$4:$R$1021,18,FALSE))-R761)^2)+(((VLOOKUP($AT$4,$A$4:$S$1021,19,FALSE))-S761)^2))</f>
        <v/>
      </c>
      <c r="AJ761" s="125" t="inlineStr">
        <is>
          <t>HY750X188</t>
        </is>
      </c>
      <c r="AK761" s="125" t="n"/>
      <c r="AL761" s="125" t="n"/>
      <c r="AM761" s="125">
        <f>SQRT(((VLOOKUP($AT$4,$A$4:$J$1021,10,FALSE))-J761)^2)</f>
        <v/>
      </c>
      <c r="AN761" s="125" t="n"/>
      <c r="AO761" s="125" t="n"/>
      <c r="AP761" s="125">
        <f>SQRT(((VLOOKUP($AT$4,$A$4:$R$1021,18,FALSE))-R761)^2)</f>
        <v/>
      </c>
      <c r="AQ761" s="125" t="inlineStr">
        <is>
          <t>HY750X188</t>
        </is>
      </c>
      <c r="BB761" s="125">
        <f>SQRT(($J$1022-J761)^2)</f>
        <v/>
      </c>
      <c r="BC761" s="125">
        <f>SQRT(($R$1022-R761)^2)</f>
        <v/>
      </c>
      <c r="BD761" s="125" t="inlineStr">
        <is>
          <t>HY750X188</t>
        </is>
      </c>
      <c r="BI761">
        <f>SQRT(($J$1023-J761)^2)</f>
        <v/>
      </c>
      <c r="BJ761">
        <f>SQRT(($R$1023-R761)^2)</f>
        <v/>
      </c>
      <c r="BK761" s="125" t="inlineStr">
        <is>
          <t>HY750X188</t>
        </is>
      </c>
      <c r="BP761">
        <f>SQRT(($J$1024-J761)^2)</f>
        <v/>
      </c>
      <c r="BQ761">
        <f>SQRT(($R$1024-R761)^2)</f>
        <v/>
      </c>
      <c r="BR761" s="125" t="inlineStr">
        <is>
          <t>HY750X188</t>
        </is>
      </c>
      <c r="BW761">
        <f>SQRT(($J$1025-J761)^2)</f>
        <v/>
      </c>
      <c r="BX761">
        <f>SQRT(($R$1025-R761)^2)</f>
        <v/>
      </c>
      <c r="BY761" s="125" t="inlineStr">
        <is>
          <t>HY750X188</t>
        </is>
      </c>
      <c r="CD761">
        <f>SQRT(($J$1026-J761)^2)</f>
        <v/>
      </c>
      <c r="CE761">
        <f>SQRT(($R$1026-R761)^2)</f>
        <v/>
      </c>
      <c r="CF761" s="125" t="inlineStr">
        <is>
          <t>HY750X188</t>
        </is>
      </c>
    </row>
    <row r="762">
      <c r="A762" s="125" t="inlineStr">
        <is>
          <t>HY750X177</t>
        </is>
      </c>
      <c r="B762" s="129" t="inlineStr">
        <is>
          <t>HY</t>
        </is>
      </c>
      <c r="C762" s="125" t="n">
        <v>177</v>
      </c>
      <c r="D762" s="125" t="n">
        <v>750</v>
      </c>
      <c r="E762" s="125" t="n">
        <v>250</v>
      </c>
      <c r="F762" s="125" t="n">
        <v>22</v>
      </c>
      <c r="G762" s="125" t="n">
        <v>16</v>
      </c>
      <c r="H762" s="125" t="n">
        <v>18</v>
      </c>
      <c r="I762" s="125">
        <f>D762-(2*(H762+F762))</f>
        <v/>
      </c>
      <c r="J762" s="125">
        <f>(2*E762/10*F762/10)+((D762-F762-F762)/10*G762/10)+((H762/10+H762/10)^2)-(PI()*H762/10*H762/10)</f>
        <v/>
      </c>
      <c r="K762" s="125">
        <f>((E762-G762)/2)/F762</f>
        <v/>
      </c>
      <c r="L762" s="125">
        <f>I762/G762</f>
        <v/>
      </c>
      <c r="M762" s="125">
        <f>(E762*2+F762*4+((E762-G762)/2-H762)*4+2*PI()*H762+(D762-2*F762-2*H762)*2)/1000</f>
        <v/>
      </c>
      <c r="N762" s="5" t="n">
        <v>196000</v>
      </c>
      <c r="O762" s="5" t="n">
        <v>5760</v>
      </c>
      <c r="P762" s="125" t="n">
        <v>29.5</v>
      </c>
      <c r="Q762" s="125" t="n">
        <v>5.1</v>
      </c>
      <c r="R762" s="5" t="n">
        <v>5230</v>
      </c>
      <c r="S762" s="125" t="n">
        <v>461</v>
      </c>
      <c r="T762" s="5" t="n">
        <v>6090</v>
      </c>
      <c r="U762" s="125" t="n">
        <v>736</v>
      </c>
      <c r="X762" s="129">
        <f t="array" ref="X762">_xlfn.IFS((D762/F762) &lt;= (640/SQRT($AT$32)), "Compact", L762 &lt;= ($AT$32*(0.79-(0.002*((E762-G762/2)/(2*F762))*SQRT($AT$32)))), "Non-Compact", L762 &gt; ($AT$32*(0.79-(0.002*((E762-G762/2)/(2*F762))*SQRT($AT$32)))), "Slender")</f>
        <v/>
      </c>
      <c r="Y762" s="129">
        <f t="array" ref="Y762">_xlfn.IFS(K762 &lt;= (65/SQRT($AT$32)), "Compact", K762 &lt;= (95/SQRT($AT$32)), "Non-Compact", K762 &gt; (95/SQRT($AT$32)), "Slender")</f>
        <v/>
      </c>
      <c r="Z762" s="125">
        <f>E762/F762</f>
        <v/>
      </c>
      <c r="AA762" s="125">
        <f>D762/G762</f>
        <v/>
      </c>
      <c r="AB762" s="125">
        <f t="array" ref="AB762">_xlfn.IFS(Z762 &lt;= 9, "1", Z762 &lt;= 12, "2", Z762 &lt;= 15, "3", Z762 &gt; 15, "4")</f>
        <v/>
      </c>
      <c r="AC762" s="125">
        <f t="array" ref="AC762">_xlfn.IFS(AA762 &lt;= 200, "1", L762 &lt;= 300, "2", L762 &lt;= 400, "3", L762 &gt; 400, "4")</f>
        <v/>
      </c>
      <c r="AF762" s="129">
        <f>SQRT((((VLOOKUP($AT$4,$A$4:$D$1021,4,FALSE))-D762)^2)+(((VLOOKUP($AT$4,$A$4:$E$1021,5,FALSE))-E762)^2)+(((VLOOKUP($AT$4,$A$4:$N$1021,14,FALSE))-N762)^2)+(((VLOOKUP($AT$4,$A$4:$O$1021,15,FALSE))-O762)^2))</f>
        <v/>
      </c>
      <c r="AG762" s="129" t="n"/>
      <c r="AI762" s="129">
        <f>SQRT((((VLOOKUP($AT$4,$A$4:$D$1021,4,FALSE))-D762)^2)+(((VLOOKUP($AT$4,$A$4:$E$1021,5,FALSE))-E762)^2)+(((VLOOKUP($AT$4,$A$4:$R$1021,18,FALSE))-R762)^2)+(((VLOOKUP($AT$4,$A$4:$S$1021,19,FALSE))-S762)^2))</f>
        <v/>
      </c>
      <c r="AJ762" s="125" t="inlineStr">
        <is>
          <t>HY750X177</t>
        </is>
      </c>
      <c r="AK762" s="125" t="n"/>
      <c r="AL762" s="125" t="n"/>
      <c r="AM762" s="125">
        <f>SQRT(((VLOOKUP($AT$4,$A$4:$J$1021,10,FALSE))-J762)^2)</f>
        <v/>
      </c>
      <c r="AN762" s="125" t="n"/>
      <c r="AO762" s="125" t="n"/>
      <c r="AP762" s="125">
        <f>SQRT(((VLOOKUP($AT$4,$A$4:$R$1021,18,FALSE))-R762)^2)</f>
        <v/>
      </c>
      <c r="AQ762" s="125" t="inlineStr">
        <is>
          <t>HY750X177</t>
        </is>
      </c>
      <c r="BB762" s="125">
        <f>SQRT(($J$1022-J762)^2)</f>
        <v/>
      </c>
      <c r="BC762" s="125">
        <f>SQRT(($R$1022-R762)^2)</f>
        <v/>
      </c>
      <c r="BD762" s="125" t="inlineStr">
        <is>
          <t>HY750X177</t>
        </is>
      </c>
      <c r="BI762">
        <f>SQRT(($J$1023-J762)^2)</f>
        <v/>
      </c>
      <c r="BJ762">
        <f>SQRT(($R$1023-R762)^2)</f>
        <v/>
      </c>
      <c r="BK762" s="125" t="inlineStr">
        <is>
          <t>HY750X177</t>
        </is>
      </c>
      <c r="BP762">
        <f>SQRT(($J$1024-J762)^2)</f>
        <v/>
      </c>
      <c r="BQ762">
        <f>SQRT(($R$1024-R762)^2)</f>
        <v/>
      </c>
      <c r="BR762" s="125" t="inlineStr">
        <is>
          <t>HY750X177</t>
        </is>
      </c>
      <c r="BW762">
        <f>SQRT(($J$1025-J762)^2)</f>
        <v/>
      </c>
      <c r="BX762">
        <f>SQRT(($R$1025-R762)^2)</f>
        <v/>
      </c>
      <c r="BY762" s="125" t="inlineStr">
        <is>
          <t>HY750X177</t>
        </is>
      </c>
      <c r="CD762">
        <f>SQRT(($J$1026-J762)^2)</f>
        <v/>
      </c>
      <c r="CE762">
        <f>SQRT(($R$1026-R762)^2)</f>
        <v/>
      </c>
      <c r="CF762" s="125" t="inlineStr">
        <is>
          <t>HY750X177</t>
        </is>
      </c>
    </row>
    <row r="763">
      <c r="A763" s="125" t="inlineStr">
        <is>
          <t>HY750X203</t>
        </is>
      </c>
      <c r="B763" s="129" t="inlineStr">
        <is>
          <t>HY</t>
        </is>
      </c>
      <c r="C763" s="125" t="n">
        <v>203</v>
      </c>
      <c r="D763" s="125" t="n">
        <v>750</v>
      </c>
      <c r="E763" s="125" t="n">
        <v>250</v>
      </c>
      <c r="F763" s="125" t="n">
        <v>32</v>
      </c>
      <c r="G763" s="125" t="n">
        <v>14</v>
      </c>
      <c r="H763" s="125" t="n">
        <v>18</v>
      </c>
      <c r="I763" s="125">
        <f>D763-(2*(H763+F763))</f>
        <v/>
      </c>
      <c r="J763" s="125">
        <f>(2*E763/10*F763/10)+((D763-F763-F763)/10*G763/10)+((H763/10+H763/10)^2)-(PI()*H763/10*H763/10)</f>
        <v/>
      </c>
      <c r="K763" s="125">
        <f>((E763-G763)/2)/F763</f>
        <v/>
      </c>
      <c r="L763" s="125">
        <f>I763/G763</f>
        <v/>
      </c>
      <c r="M763" s="125">
        <f>(E763*2+F763*4+((E763-G763)/2-H763)*4+2*PI()*H763+(D763-2*F763-2*H763)*2)/1000</f>
        <v/>
      </c>
      <c r="N763" s="5" t="n">
        <v>247000</v>
      </c>
      <c r="O763" s="5" t="n">
        <v>8350</v>
      </c>
      <c r="P763" s="125" t="n">
        <v>30.9</v>
      </c>
      <c r="Q763" s="125" t="n">
        <v>5.7</v>
      </c>
      <c r="R763" s="5" t="n">
        <v>6590</v>
      </c>
      <c r="S763" s="125" t="n">
        <v>668</v>
      </c>
      <c r="T763" s="5" t="n">
        <v>7490</v>
      </c>
      <c r="U763" s="5" t="n">
        <v>1040</v>
      </c>
      <c r="X763" s="129">
        <f t="array" ref="X763">_xlfn.IFS((D763/F763) &lt;= (640/SQRT($AT$32)), "Compact", L763 &lt;= ($AT$32*(0.79-(0.002*((E763-G763/2)/(2*F763))*SQRT($AT$32)))), "Non-Compact", L763 &gt; ($AT$32*(0.79-(0.002*((E763-G763/2)/(2*F763))*SQRT($AT$32)))), "Slender")</f>
        <v/>
      </c>
      <c r="Y763" s="129">
        <f t="array" ref="Y763">_xlfn.IFS(K763 &lt;= (65/SQRT($AT$32)), "Compact", K763 &lt;= (95/SQRT($AT$32)), "Non-Compact", K763 &gt; (95/SQRT($AT$32)), "Slender")</f>
        <v/>
      </c>
      <c r="Z763" s="125">
        <f>E763/F763</f>
        <v/>
      </c>
      <c r="AA763" s="125">
        <f>D763/G763</f>
        <v/>
      </c>
      <c r="AB763" s="125">
        <f t="array" ref="AB763">_xlfn.IFS(Z763 &lt;= 9, "1", Z763 &lt;= 12, "2", Z763 &lt;= 15, "3", Z763 &gt; 15, "4")</f>
        <v/>
      </c>
      <c r="AC763" s="125">
        <f t="array" ref="AC763">_xlfn.IFS(AA763 &lt;= 200, "1", L763 &lt;= 300, "2", L763 &lt;= 400, "3", L763 &gt; 400, "4")</f>
        <v/>
      </c>
      <c r="AF763" s="129">
        <f>SQRT((((VLOOKUP($AT$4,$A$4:$D$1021,4,FALSE))-D763)^2)+(((VLOOKUP($AT$4,$A$4:$E$1021,5,FALSE))-E763)^2)+(((VLOOKUP($AT$4,$A$4:$N$1021,14,FALSE))-N763)^2)+(((VLOOKUP($AT$4,$A$4:$O$1021,15,FALSE))-O763)^2))</f>
        <v/>
      </c>
      <c r="AG763" s="129" t="n"/>
      <c r="AI763" s="129">
        <f>SQRT((((VLOOKUP($AT$4,$A$4:$D$1021,4,FALSE))-D763)^2)+(((VLOOKUP($AT$4,$A$4:$E$1021,5,FALSE))-E763)^2)+(((VLOOKUP($AT$4,$A$4:$R$1021,18,FALSE))-R763)^2)+(((VLOOKUP($AT$4,$A$4:$S$1021,19,FALSE))-S763)^2))</f>
        <v/>
      </c>
      <c r="AJ763" s="125" t="inlineStr">
        <is>
          <t>HY750X203</t>
        </is>
      </c>
      <c r="AK763" s="125" t="n"/>
      <c r="AL763" s="125" t="n"/>
      <c r="AM763" s="125">
        <f>SQRT(((VLOOKUP($AT$4,$A$4:$J$1021,10,FALSE))-J763)^2)</f>
        <v/>
      </c>
      <c r="AN763" s="125" t="n"/>
      <c r="AO763" s="125" t="n"/>
      <c r="AP763" s="125">
        <f>SQRT(((VLOOKUP($AT$4,$A$4:$R$1021,18,FALSE))-R763)^2)</f>
        <v/>
      </c>
      <c r="AQ763" s="125" t="inlineStr">
        <is>
          <t>HY750X203</t>
        </is>
      </c>
      <c r="BB763" s="125">
        <f>SQRT(($J$1022-J763)^2)</f>
        <v/>
      </c>
      <c r="BC763" s="125">
        <f>SQRT(($R$1022-R763)^2)</f>
        <v/>
      </c>
      <c r="BD763" s="125" t="inlineStr">
        <is>
          <t>HY750X203</t>
        </is>
      </c>
      <c r="BI763">
        <f>SQRT(($J$1023-J763)^2)</f>
        <v/>
      </c>
      <c r="BJ763">
        <f>SQRT(($R$1023-R763)^2)</f>
        <v/>
      </c>
      <c r="BK763" s="125" t="inlineStr">
        <is>
          <t>HY750X203</t>
        </is>
      </c>
      <c r="BP763">
        <f>SQRT(($J$1024-J763)^2)</f>
        <v/>
      </c>
      <c r="BQ763">
        <f>SQRT(($R$1024-R763)^2)</f>
        <v/>
      </c>
      <c r="BR763" s="125" t="inlineStr">
        <is>
          <t>HY750X203</t>
        </is>
      </c>
      <c r="BW763">
        <f>SQRT(($J$1025-J763)^2)</f>
        <v/>
      </c>
      <c r="BX763">
        <f>SQRT(($R$1025-R763)^2)</f>
        <v/>
      </c>
      <c r="BY763" s="125" t="inlineStr">
        <is>
          <t>HY750X203</t>
        </is>
      </c>
      <c r="CD763">
        <f>SQRT(($J$1026-J763)^2)</f>
        <v/>
      </c>
      <c r="CE763">
        <f>SQRT(($R$1026-R763)^2)</f>
        <v/>
      </c>
      <c r="CF763" s="125" t="inlineStr">
        <is>
          <t>HY750X203</t>
        </is>
      </c>
    </row>
    <row r="764">
      <c r="A764" s="125" t="inlineStr">
        <is>
          <t>HY750X188</t>
        </is>
      </c>
      <c r="B764" s="129" t="inlineStr">
        <is>
          <t>HY</t>
        </is>
      </c>
      <c r="C764" s="125" t="n">
        <v>188</v>
      </c>
      <c r="D764" s="125" t="n">
        <v>750</v>
      </c>
      <c r="E764" s="125" t="n">
        <v>250</v>
      </c>
      <c r="F764" s="125" t="n">
        <v>28</v>
      </c>
      <c r="G764" s="125" t="n">
        <v>14</v>
      </c>
      <c r="H764" s="125" t="n">
        <v>18</v>
      </c>
      <c r="I764" s="125">
        <f>D764-(2*(H764+F764))</f>
        <v/>
      </c>
      <c r="J764" s="125">
        <f>(2*E764/10*F764/10)+((D764-F764-F764)/10*G764/10)+((H764/10+H764/10)^2)-(PI()*H764/10*H764/10)</f>
        <v/>
      </c>
      <c r="K764" s="125">
        <f>((E764-G764)/2)/F764</f>
        <v/>
      </c>
      <c r="L764" s="125">
        <f>I764/G764</f>
        <v/>
      </c>
      <c r="M764" s="125">
        <f>(E764*2+F764*4+((E764-G764)/2-H764)*4+2*PI()*H764+(D764-2*F764-2*H764)*2)/1000</f>
        <v/>
      </c>
      <c r="N764" s="5" t="n">
        <v>225000</v>
      </c>
      <c r="O764" s="5" t="n">
        <v>7310</v>
      </c>
      <c r="P764" s="125" t="n">
        <v>30.6</v>
      </c>
      <c r="Q764" s="125" t="n">
        <v>5.5</v>
      </c>
      <c r="R764" s="5" t="n">
        <v>5990</v>
      </c>
      <c r="S764" s="125" t="n">
        <v>585</v>
      </c>
      <c r="T764" s="5" t="n">
        <v>6840</v>
      </c>
      <c r="U764" s="125" t="n">
        <v>912</v>
      </c>
      <c r="X764" s="129">
        <f t="array" ref="X764">_xlfn.IFS((D764/F764) &lt;= (640/SQRT($AT$32)), "Compact", L764 &lt;= ($AT$32*(0.79-(0.002*((E764-G764/2)/(2*F764))*SQRT($AT$32)))), "Non-Compact", L764 &gt; ($AT$32*(0.79-(0.002*((E764-G764/2)/(2*F764))*SQRT($AT$32)))), "Slender")</f>
        <v/>
      </c>
      <c r="Y764" s="129">
        <f t="array" ref="Y764">_xlfn.IFS(K764 &lt;= (65/SQRT($AT$32)), "Compact", K764 &lt;= (95/SQRT($AT$32)), "Non-Compact", K764 &gt; (95/SQRT($AT$32)), "Slender")</f>
        <v/>
      </c>
      <c r="Z764" s="125">
        <f>E764/F764</f>
        <v/>
      </c>
      <c r="AA764" s="125">
        <f>D764/G764</f>
        <v/>
      </c>
      <c r="AB764" s="125">
        <f t="array" ref="AB764">_xlfn.IFS(Z764 &lt;= 9, "1", Z764 &lt;= 12, "2", Z764 &lt;= 15, "3", Z764 &gt; 15, "4")</f>
        <v/>
      </c>
      <c r="AC764" s="125">
        <f t="array" ref="AC764">_xlfn.IFS(AA764 &lt;= 200, "1", L764 &lt;= 300, "2", L764 &lt;= 400, "3", L764 &gt; 400, "4")</f>
        <v/>
      </c>
      <c r="AF764" s="129">
        <f>SQRT((((VLOOKUP($AT$4,$A$4:$D$1021,4,FALSE))-D764)^2)+(((VLOOKUP($AT$4,$A$4:$E$1021,5,FALSE))-E764)^2)+(((VLOOKUP($AT$4,$A$4:$N$1021,14,FALSE))-N764)^2)+(((VLOOKUP($AT$4,$A$4:$O$1021,15,FALSE))-O764)^2))</f>
        <v/>
      </c>
      <c r="AG764" s="129" t="n"/>
      <c r="AI764" s="129">
        <f>SQRT((((VLOOKUP($AT$4,$A$4:$D$1021,4,FALSE))-D764)^2)+(((VLOOKUP($AT$4,$A$4:$E$1021,5,FALSE))-E764)^2)+(((VLOOKUP($AT$4,$A$4:$R$1021,18,FALSE))-R764)^2)+(((VLOOKUP($AT$4,$A$4:$S$1021,19,FALSE))-S764)^2))</f>
        <v/>
      </c>
      <c r="AJ764" s="125" t="inlineStr">
        <is>
          <t>HY750X188</t>
        </is>
      </c>
      <c r="AK764" s="125" t="n"/>
      <c r="AL764" s="125" t="n"/>
      <c r="AM764" s="125">
        <f>SQRT(((VLOOKUP($AT$4,$A$4:$J$1021,10,FALSE))-J764)^2)</f>
        <v/>
      </c>
      <c r="AN764" s="125" t="n"/>
      <c r="AO764" s="125" t="n"/>
      <c r="AP764" s="125">
        <f>SQRT(((VLOOKUP($AT$4,$A$4:$R$1021,18,FALSE))-R764)^2)</f>
        <v/>
      </c>
      <c r="AQ764" s="125" t="inlineStr">
        <is>
          <t>HY750X188</t>
        </is>
      </c>
      <c r="BB764" s="125">
        <f>SQRT(($J$1022-J764)^2)</f>
        <v/>
      </c>
      <c r="BC764" s="125">
        <f>SQRT(($R$1022-R764)^2)</f>
        <v/>
      </c>
      <c r="BD764" s="125" t="inlineStr">
        <is>
          <t>HY750X188</t>
        </is>
      </c>
      <c r="BI764">
        <f>SQRT(($J$1023-J764)^2)</f>
        <v/>
      </c>
      <c r="BJ764">
        <f>SQRT(($R$1023-R764)^2)</f>
        <v/>
      </c>
      <c r="BK764" s="125" t="inlineStr">
        <is>
          <t>HY750X188</t>
        </is>
      </c>
      <c r="BP764">
        <f>SQRT(($J$1024-J764)^2)</f>
        <v/>
      </c>
      <c r="BQ764">
        <f>SQRT(($R$1024-R764)^2)</f>
        <v/>
      </c>
      <c r="BR764" s="125" t="inlineStr">
        <is>
          <t>HY750X188</t>
        </is>
      </c>
      <c r="BW764">
        <f>SQRT(($J$1025-J764)^2)</f>
        <v/>
      </c>
      <c r="BX764">
        <f>SQRT(($R$1025-R764)^2)</f>
        <v/>
      </c>
      <c r="BY764" s="125" t="inlineStr">
        <is>
          <t>HY750X188</t>
        </is>
      </c>
      <c r="CD764">
        <f>SQRT(($J$1026-J764)^2)</f>
        <v/>
      </c>
      <c r="CE764">
        <f>SQRT(($R$1026-R764)^2)</f>
        <v/>
      </c>
      <c r="CF764" s="125" t="inlineStr">
        <is>
          <t>HY750X188</t>
        </is>
      </c>
    </row>
    <row r="765">
      <c r="A765" s="125" t="inlineStr">
        <is>
          <t>HY750X177</t>
        </is>
      </c>
      <c r="B765" s="129" t="inlineStr">
        <is>
          <t>HY</t>
        </is>
      </c>
      <c r="C765" s="125" t="n">
        <v>177</v>
      </c>
      <c r="D765" s="125" t="n">
        <v>750</v>
      </c>
      <c r="E765" s="125" t="n">
        <v>250</v>
      </c>
      <c r="F765" s="125" t="n">
        <v>25</v>
      </c>
      <c r="G765" s="125" t="n">
        <v>14</v>
      </c>
      <c r="H765" s="125" t="n">
        <v>18</v>
      </c>
      <c r="I765" s="125">
        <f>D765-(2*(H765+F765))</f>
        <v/>
      </c>
      <c r="J765" s="125">
        <f>(2*E765/10*F765/10)+((D765-F765-F765)/10*G765/10)+((H765/10+H765/10)^2)-(PI()*H765/10*H765/10)</f>
        <v/>
      </c>
      <c r="K765" s="125">
        <f>((E765-G765)/2)/F765</f>
        <v/>
      </c>
      <c r="L765" s="125">
        <f>I765/G765</f>
        <v/>
      </c>
      <c r="M765" s="125">
        <f>(E765*2+F765*4+((E765-G765)/2-H765)*4+2*PI()*H765+(D765-2*F765-2*H765)*2)/1000</f>
        <v/>
      </c>
      <c r="N765" s="5" t="n">
        <v>208000</v>
      </c>
      <c r="O765" s="5" t="n">
        <v>6530</v>
      </c>
      <c r="P765" s="125" t="n">
        <v>30.3</v>
      </c>
      <c r="Q765" s="125" t="n">
        <v>5.4</v>
      </c>
      <c r="R765" s="5" t="n">
        <v>5540</v>
      </c>
      <c r="S765" s="125" t="n">
        <v>522</v>
      </c>
      <c r="T765" s="5" t="n">
        <v>6340</v>
      </c>
      <c r="U765" s="125" t="n">
        <v>819</v>
      </c>
      <c r="X765" s="129">
        <f t="array" ref="X765">_xlfn.IFS((D765/F765) &lt;= (640/SQRT($AT$32)), "Compact", L765 &lt;= ($AT$32*(0.79-(0.002*((E765-G765/2)/(2*F765))*SQRT($AT$32)))), "Non-Compact", L765 &gt; ($AT$32*(0.79-(0.002*((E765-G765/2)/(2*F765))*SQRT($AT$32)))), "Slender")</f>
        <v/>
      </c>
      <c r="Y765" s="129">
        <f t="array" ref="Y765">_xlfn.IFS(K765 &lt;= (65/SQRT($AT$32)), "Compact", K765 &lt;= (95/SQRT($AT$32)), "Non-Compact", K765 &gt; (95/SQRT($AT$32)), "Slender")</f>
        <v/>
      </c>
      <c r="Z765" s="125">
        <f>E765/F765</f>
        <v/>
      </c>
      <c r="AA765" s="125">
        <f>D765/G765</f>
        <v/>
      </c>
      <c r="AB765" s="125">
        <f t="array" ref="AB765">_xlfn.IFS(Z765 &lt;= 9, "1", Z765 &lt;= 12, "2", Z765 &lt;= 15, "3", Z765 &gt; 15, "4")</f>
        <v/>
      </c>
      <c r="AC765" s="125">
        <f t="array" ref="AC765">_xlfn.IFS(AA765 &lt;= 200, "1", L765 &lt;= 300, "2", L765 &lt;= 400, "3", L765 &gt; 400, "4")</f>
        <v/>
      </c>
      <c r="AF765" s="129">
        <f>SQRT((((VLOOKUP($AT$4,$A$4:$D$1021,4,FALSE))-D765)^2)+(((VLOOKUP($AT$4,$A$4:$E$1021,5,FALSE))-E765)^2)+(((VLOOKUP($AT$4,$A$4:$N$1021,14,FALSE))-N765)^2)+(((VLOOKUP($AT$4,$A$4:$O$1021,15,FALSE))-O765)^2))</f>
        <v/>
      </c>
      <c r="AG765" s="129" t="n"/>
      <c r="AI765" s="129">
        <f>SQRT((((VLOOKUP($AT$4,$A$4:$D$1021,4,FALSE))-D765)^2)+(((VLOOKUP($AT$4,$A$4:$E$1021,5,FALSE))-E765)^2)+(((VLOOKUP($AT$4,$A$4:$R$1021,18,FALSE))-R765)^2)+(((VLOOKUP($AT$4,$A$4:$S$1021,19,FALSE))-S765)^2))</f>
        <v/>
      </c>
      <c r="AJ765" s="125" t="inlineStr">
        <is>
          <t>HY750X177</t>
        </is>
      </c>
      <c r="AK765" s="125" t="n"/>
      <c r="AL765" s="125" t="n"/>
      <c r="AM765" s="125">
        <f>SQRT(((VLOOKUP($AT$4,$A$4:$J$1021,10,FALSE))-J765)^2)</f>
        <v/>
      </c>
      <c r="AN765" s="125" t="n"/>
      <c r="AO765" s="125" t="n"/>
      <c r="AP765" s="125">
        <f>SQRT(((VLOOKUP($AT$4,$A$4:$R$1021,18,FALSE))-R765)^2)</f>
        <v/>
      </c>
      <c r="AQ765" s="125" t="inlineStr">
        <is>
          <t>HY750X177</t>
        </is>
      </c>
      <c r="BB765" s="125">
        <f>SQRT(($J$1022-J765)^2)</f>
        <v/>
      </c>
      <c r="BC765" s="125">
        <f>SQRT(($R$1022-R765)^2)</f>
        <v/>
      </c>
      <c r="BD765" s="125" t="inlineStr">
        <is>
          <t>HY750X177</t>
        </is>
      </c>
      <c r="BI765">
        <f>SQRT(($J$1023-J765)^2)</f>
        <v/>
      </c>
      <c r="BJ765">
        <f>SQRT(($R$1023-R765)^2)</f>
        <v/>
      </c>
      <c r="BK765" s="125" t="inlineStr">
        <is>
          <t>HY750X177</t>
        </is>
      </c>
      <c r="BP765">
        <f>SQRT(($J$1024-J765)^2)</f>
        <v/>
      </c>
      <c r="BQ765">
        <f>SQRT(($R$1024-R765)^2)</f>
        <v/>
      </c>
      <c r="BR765" s="125" t="inlineStr">
        <is>
          <t>HY750X177</t>
        </is>
      </c>
      <c r="BW765">
        <f>SQRT(($J$1025-J765)^2)</f>
        <v/>
      </c>
      <c r="BX765">
        <f>SQRT(($R$1025-R765)^2)</f>
        <v/>
      </c>
      <c r="BY765" s="125" t="inlineStr">
        <is>
          <t>HY750X177</t>
        </is>
      </c>
      <c r="CD765">
        <f>SQRT(($J$1026-J765)^2)</f>
        <v/>
      </c>
      <c r="CE765">
        <f>SQRT(($R$1026-R765)^2)</f>
        <v/>
      </c>
      <c r="CF765" s="125" t="inlineStr">
        <is>
          <t>HY750X177</t>
        </is>
      </c>
    </row>
    <row r="766">
      <c r="A766" s="125" t="inlineStr">
        <is>
          <t>HY750X166</t>
        </is>
      </c>
      <c r="B766" s="129" t="inlineStr">
        <is>
          <t>HY</t>
        </is>
      </c>
      <c r="C766" s="125" t="n">
        <v>166</v>
      </c>
      <c r="D766" s="125" t="n">
        <v>750</v>
      </c>
      <c r="E766" s="125" t="n">
        <v>250</v>
      </c>
      <c r="F766" s="125" t="n">
        <v>22</v>
      </c>
      <c r="G766" s="125" t="n">
        <v>14</v>
      </c>
      <c r="H766" s="125" t="n">
        <v>18</v>
      </c>
      <c r="I766" s="125">
        <f>D766-(2*(H766+F766))</f>
        <v/>
      </c>
      <c r="J766" s="125">
        <f>(2*E766/10*F766/10)+((D766-F766-F766)/10*G766/10)+((H766/10+H766/10)^2)-(PI()*H766/10*H766/10)</f>
        <v/>
      </c>
      <c r="K766" s="125">
        <f>((E766-G766)/2)/F766</f>
        <v/>
      </c>
      <c r="L766" s="125">
        <f>I766/G766</f>
        <v/>
      </c>
      <c r="M766" s="125">
        <f>(E766*2+F766*4+((E766-G766)/2-H766)*4+2*PI()*H766+(D766-2*F766-2*H766)*2)/1000</f>
        <v/>
      </c>
      <c r="N766" s="5" t="n">
        <v>190000</v>
      </c>
      <c r="O766" s="5" t="n">
        <v>5750</v>
      </c>
      <c r="P766" s="125" t="n">
        <v>30</v>
      </c>
      <c r="Q766" s="125" t="n">
        <v>5.2</v>
      </c>
      <c r="R766" s="5" t="n">
        <v>5070</v>
      </c>
      <c r="S766" s="125" t="n">
        <v>460</v>
      </c>
      <c r="T766" s="5" t="n">
        <v>5850</v>
      </c>
      <c r="U766" s="125" t="n">
        <v>725</v>
      </c>
      <c r="X766" s="129">
        <f t="array" ref="X766">_xlfn.IFS((D766/F766) &lt;= (640/SQRT($AT$32)), "Compact", L766 &lt;= ($AT$32*(0.79-(0.002*((E766-G766/2)/(2*F766))*SQRT($AT$32)))), "Non-Compact", L766 &gt; ($AT$32*(0.79-(0.002*((E766-G766/2)/(2*F766))*SQRT($AT$32)))), "Slender")</f>
        <v/>
      </c>
      <c r="Y766" s="129">
        <f t="array" ref="Y766">_xlfn.IFS(K766 &lt;= (65/SQRT($AT$32)), "Compact", K766 &lt;= (95/SQRT($AT$32)), "Non-Compact", K766 &gt; (95/SQRT($AT$32)), "Slender")</f>
        <v/>
      </c>
      <c r="Z766" s="125">
        <f>E766/F766</f>
        <v/>
      </c>
      <c r="AA766" s="125">
        <f>D766/G766</f>
        <v/>
      </c>
      <c r="AB766" s="125">
        <f t="array" ref="AB766">_xlfn.IFS(Z766 &lt;= 9, "1", Z766 &lt;= 12, "2", Z766 &lt;= 15, "3", Z766 &gt; 15, "4")</f>
        <v/>
      </c>
      <c r="AC766" s="125">
        <f t="array" ref="AC766">_xlfn.IFS(AA766 &lt;= 200, "1", L766 &lt;= 300, "2", L766 &lt;= 400, "3", L766 &gt; 400, "4")</f>
        <v/>
      </c>
      <c r="AF766" s="129">
        <f>SQRT((((VLOOKUP($AT$4,$A$4:$D$1021,4,FALSE))-D766)^2)+(((VLOOKUP($AT$4,$A$4:$E$1021,5,FALSE))-E766)^2)+(((VLOOKUP($AT$4,$A$4:$N$1021,14,FALSE))-N766)^2)+(((VLOOKUP($AT$4,$A$4:$O$1021,15,FALSE))-O766)^2))</f>
        <v/>
      </c>
      <c r="AG766" s="129" t="n"/>
      <c r="AI766" s="129">
        <f>SQRT((((VLOOKUP($AT$4,$A$4:$D$1021,4,FALSE))-D766)^2)+(((VLOOKUP($AT$4,$A$4:$E$1021,5,FALSE))-E766)^2)+(((VLOOKUP($AT$4,$A$4:$R$1021,18,FALSE))-R766)^2)+(((VLOOKUP($AT$4,$A$4:$S$1021,19,FALSE))-S766)^2))</f>
        <v/>
      </c>
      <c r="AJ766" s="125" t="inlineStr">
        <is>
          <t>HY750X166</t>
        </is>
      </c>
      <c r="AK766" s="125" t="n"/>
      <c r="AL766" s="125" t="n"/>
      <c r="AM766" s="125">
        <f>SQRT(((VLOOKUP($AT$4,$A$4:$J$1021,10,FALSE))-J766)^2)</f>
        <v/>
      </c>
      <c r="AN766" s="125" t="n"/>
      <c r="AO766" s="125" t="n"/>
      <c r="AP766" s="125">
        <f>SQRT(((VLOOKUP($AT$4,$A$4:$R$1021,18,FALSE))-R766)^2)</f>
        <v/>
      </c>
      <c r="AQ766" s="125" t="inlineStr">
        <is>
          <t>HY750X166</t>
        </is>
      </c>
      <c r="BB766" s="125">
        <f>SQRT(($J$1022-J766)^2)</f>
        <v/>
      </c>
      <c r="BC766" s="125">
        <f>SQRT(($R$1022-R766)^2)</f>
        <v/>
      </c>
      <c r="BD766" s="125" t="inlineStr">
        <is>
          <t>HY750X166</t>
        </is>
      </c>
      <c r="BI766">
        <f>SQRT(($J$1023-J766)^2)</f>
        <v/>
      </c>
      <c r="BJ766">
        <f>SQRT(($R$1023-R766)^2)</f>
        <v/>
      </c>
      <c r="BK766" s="125" t="inlineStr">
        <is>
          <t>HY750X166</t>
        </is>
      </c>
      <c r="BP766">
        <f>SQRT(($J$1024-J766)^2)</f>
        <v/>
      </c>
      <c r="BQ766">
        <f>SQRT(($R$1024-R766)^2)</f>
        <v/>
      </c>
      <c r="BR766" s="125" t="inlineStr">
        <is>
          <t>HY750X166</t>
        </is>
      </c>
      <c r="BW766">
        <f>SQRT(($J$1025-J766)^2)</f>
        <v/>
      </c>
      <c r="BX766">
        <f>SQRT(($R$1025-R766)^2)</f>
        <v/>
      </c>
      <c r="BY766" s="125" t="inlineStr">
        <is>
          <t>HY750X166</t>
        </is>
      </c>
      <c r="CD766">
        <f>SQRT(($J$1026-J766)^2)</f>
        <v/>
      </c>
      <c r="CE766">
        <f>SQRT(($R$1026-R766)^2)</f>
        <v/>
      </c>
      <c r="CF766" s="125" t="inlineStr">
        <is>
          <t>HY750X166</t>
        </is>
      </c>
    </row>
    <row r="767">
      <c r="A767" s="125" t="inlineStr">
        <is>
          <t>HY750X155</t>
        </is>
      </c>
      <c r="B767" s="129" t="inlineStr">
        <is>
          <t>HY</t>
        </is>
      </c>
      <c r="C767" s="125" t="n">
        <v>155</v>
      </c>
      <c r="D767" s="125" t="n">
        <v>750</v>
      </c>
      <c r="E767" s="125" t="n">
        <v>250</v>
      </c>
      <c r="F767" s="125" t="n">
        <v>19</v>
      </c>
      <c r="G767" s="125" t="n">
        <v>14</v>
      </c>
      <c r="H767" s="125" t="n">
        <v>18</v>
      </c>
      <c r="I767" s="125">
        <f>D767-(2*(H767+F767))</f>
        <v/>
      </c>
      <c r="J767" s="125">
        <f>(2*E767/10*F767/10)+((D767-F767-F767)/10*G767/10)+((H767/10+H767/10)^2)-(PI()*H767/10*H767/10)</f>
        <v/>
      </c>
      <c r="K767" s="125">
        <f>((E767-G767)/2)/F767</f>
        <v/>
      </c>
      <c r="L767" s="125">
        <f>I767/G767</f>
        <v/>
      </c>
      <c r="M767" s="125">
        <f>(E767*2+F767*4+((E767-G767)/2-H767)*4+2*PI()*H767+(D767-2*F767-2*H767)*2)/1000</f>
        <v/>
      </c>
      <c r="N767" s="5" t="n">
        <v>172000</v>
      </c>
      <c r="O767" s="5" t="n">
        <v>4970</v>
      </c>
      <c r="P767" s="125" t="n">
        <v>29.6</v>
      </c>
      <c r="Q767" s="125" t="n">
        <v>5</v>
      </c>
      <c r="R767" s="5" t="n">
        <v>4600</v>
      </c>
      <c r="S767" s="125" t="n">
        <v>397</v>
      </c>
      <c r="T767" s="5" t="n">
        <v>5340</v>
      </c>
      <c r="U767" s="125" t="n">
        <v>632</v>
      </c>
      <c r="X767" s="129">
        <f t="array" ref="X767">_xlfn.IFS((D767/F767) &lt;= (640/SQRT($AT$32)), "Compact", L767 &lt;= ($AT$32*(0.79-(0.002*((E767-G767/2)/(2*F767))*SQRT($AT$32)))), "Non-Compact", L767 &gt; ($AT$32*(0.79-(0.002*((E767-G767/2)/(2*F767))*SQRT($AT$32)))), "Slender")</f>
        <v/>
      </c>
      <c r="Y767" s="129">
        <f t="array" ref="Y767">_xlfn.IFS(K767 &lt;= (65/SQRT($AT$32)), "Compact", K767 &lt;= (95/SQRT($AT$32)), "Non-Compact", K767 &gt; (95/SQRT($AT$32)), "Slender")</f>
        <v/>
      </c>
      <c r="Z767" s="125">
        <f>E767/F767</f>
        <v/>
      </c>
      <c r="AA767" s="125">
        <f>D767/G767</f>
        <v/>
      </c>
      <c r="AB767" s="125">
        <f t="array" ref="AB767">_xlfn.IFS(Z767 &lt;= 9, "1", Z767 &lt;= 12, "2", Z767 &lt;= 15, "3", Z767 &gt; 15, "4")</f>
        <v/>
      </c>
      <c r="AC767" s="125">
        <f t="array" ref="AC767">_xlfn.IFS(AA767 &lt;= 200, "1", L767 &lt;= 300, "2", L767 &lt;= 400, "3", L767 &gt; 400, "4")</f>
        <v/>
      </c>
      <c r="AF767" s="129">
        <f>SQRT((((VLOOKUP($AT$4,$A$4:$D$1021,4,FALSE))-D767)^2)+(((VLOOKUP($AT$4,$A$4:$E$1021,5,FALSE))-E767)^2)+(((VLOOKUP($AT$4,$A$4:$N$1021,14,FALSE))-N767)^2)+(((VLOOKUP($AT$4,$A$4:$O$1021,15,FALSE))-O767)^2))</f>
        <v/>
      </c>
      <c r="AG767" s="129" t="n"/>
      <c r="AI767" s="129">
        <f>SQRT((((VLOOKUP($AT$4,$A$4:$D$1021,4,FALSE))-D767)^2)+(((VLOOKUP($AT$4,$A$4:$E$1021,5,FALSE))-E767)^2)+(((VLOOKUP($AT$4,$A$4:$R$1021,18,FALSE))-R767)^2)+(((VLOOKUP($AT$4,$A$4:$S$1021,19,FALSE))-S767)^2))</f>
        <v/>
      </c>
      <c r="AJ767" s="125" t="inlineStr">
        <is>
          <t>HY750X155</t>
        </is>
      </c>
      <c r="AK767" s="125" t="n"/>
      <c r="AL767" s="125" t="n"/>
      <c r="AM767" s="125">
        <f>SQRT(((VLOOKUP($AT$4,$A$4:$J$1021,10,FALSE))-J767)^2)</f>
        <v/>
      </c>
      <c r="AN767" s="125" t="n"/>
      <c r="AO767" s="125" t="n"/>
      <c r="AP767" s="125">
        <f>SQRT(((VLOOKUP($AT$4,$A$4:$R$1021,18,FALSE))-R767)^2)</f>
        <v/>
      </c>
      <c r="AQ767" s="125" t="inlineStr">
        <is>
          <t>HY750X155</t>
        </is>
      </c>
      <c r="BB767" s="125">
        <f>SQRT(($J$1022-J767)^2)</f>
        <v/>
      </c>
      <c r="BC767" s="125">
        <f>SQRT(($R$1022-R767)^2)</f>
        <v/>
      </c>
      <c r="BD767" s="125" t="inlineStr">
        <is>
          <t>HY750X155</t>
        </is>
      </c>
      <c r="BI767">
        <f>SQRT(($J$1023-J767)^2)</f>
        <v/>
      </c>
      <c r="BJ767">
        <f>SQRT(($R$1023-R767)^2)</f>
        <v/>
      </c>
      <c r="BK767" s="125" t="inlineStr">
        <is>
          <t>HY750X155</t>
        </is>
      </c>
      <c r="BP767">
        <f>SQRT(($J$1024-J767)^2)</f>
        <v/>
      </c>
      <c r="BQ767">
        <f>SQRT(($R$1024-R767)^2)</f>
        <v/>
      </c>
      <c r="BR767" s="125" t="inlineStr">
        <is>
          <t>HY750X155</t>
        </is>
      </c>
      <c r="BW767">
        <f>SQRT(($J$1025-J767)^2)</f>
        <v/>
      </c>
      <c r="BX767">
        <f>SQRT(($R$1025-R767)^2)</f>
        <v/>
      </c>
      <c r="BY767" s="125" t="inlineStr">
        <is>
          <t>HY750X155</t>
        </is>
      </c>
      <c r="CD767">
        <f>SQRT(($J$1026-J767)^2)</f>
        <v/>
      </c>
      <c r="CE767">
        <f>SQRT(($R$1026-R767)^2)</f>
        <v/>
      </c>
      <c r="CF767" s="125" t="inlineStr">
        <is>
          <t>HY750X155</t>
        </is>
      </c>
    </row>
    <row r="768">
      <c r="A768" s="125" t="inlineStr">
        <is>
          <t>HY750X166</t>
        </is>
      </c>
      <c r="B768" s="129" t="inlineStr">
        <is>
          <t>HY</t>
        </is>
      </c>
      <c r="C768" s="125" t="n">
        <v>166</v>
      </c>
      <c r="D768" s="125" t="n">
        <v>750</v>
      </c>
      <c r="E768" s="125" t="n">
        <v>250</v>
      </c>
      <c r="F768" s="125" t="n">
        <v>25</v>
      </c>
      <c r="G768" s="125" t="n">
        <v>12</v>
      </c>
      <c r="H768" s="125" t="n">
        <v>18</v>
      </c>
      <c r="I768" s="125">
        <f>D768-(2*(H768+F768))</f>
        <v/>
      </c>
      <c r="J768" s="125">
        <f>(2*E768/10*F768/10)+((D768-F768-F768)/10*G768/10)+((H768/10+H768/10)^2)-(PI()*H768/10*H768/10)</f>
        <v/>
      </c>
      <c r="K768" s="125">
        <f>((E768-G768)/2)/F768</f>
        <v/>
      </c>
      <c r="L768" s="125">
        <f>I768/G768</f>
        <v/>
      </c>
      <c r="M768" s="125">
        <f>(E768*2+F768*4+((E768-G768)/2-H768)*4+2*PI()*H768+(D768-2*F768-2*H768)*2)/1000</f>
        <v/>
      </c>
      <c r="N768" s="5" t="n">
        <v>202000</v>
      </c>
      <c r="O768" s="5" t="n">
        <v>6520</v>
      </c>
      <c r="P768" s="125" t="n">
        <v>30.9</v>
      </c>
      <c r="Q768" s="125" t="n">
        <v>5.6</v>
      </c>
      <c r="R768" s="5" t="n">
        <v>5390</v>
      </c>
      <c r="S768" s="125" t="n">
        <v>522</v>
      </c>
      <c r="T768" s="5" t="n">
        <v>6100</v>
      </c>
      <c r="U768" s="125" t="n">
        <v>809</v>
      </c>
      <c r="X768" s="129">
        <f t="array" ref="X768">_xlfn.IFS((D768/F768) &lt;= (640/SQRT($AT$32)), "Compact", L768 &lt;= ($AT$32*(0.79-(0.002*((E768-G768/2)/(2*F768))*SQRT($AT$32)))), "Non-Compact", L768 &gt; ($AT$32*(0.79-(0.002*((E768-G768/2)/(2*F768))*SQRT($AT$32)))), "Slender")</f>
        <v/>
      </c>
      <c r="Y768" s="129">
        <f t="array" ref="Y768">_xlfn.IFS(K768 &lt;= (65/SQRT($AT$32)), "Compact", K768 &lt;= (95/SQRT($AT$32)), "Non-Compact", K768 &gt; (95/SQRT($AT$32)), "Slender")</f>
        <v/>
      </c>
      <c r="Z768" s="125">
        <f>E768/F768</f>
        <v/>
      </c>
      <c r="AA768" s="125">
        <f>D768/G768</f>
        <v/>
      </c>
      <c r="AB768" s="125">
        <f t="array" ref="AB768">_xlfn.IFS(Z768 &lt;= 9, "1", Z768 &lt;= 12, "2", Z768 &lt;= 15, "3", Z768 &gt; 15, "4")</f>
        <v/>
      </c>
      <c r="AC768" s="125">
        <f t="array" ref="AC768">_xlfn.IFS(AA768 &lt;= 200, "1", L768 &lt;= 300, "2", L768 &lt;= 400, "3", L768 &gt; 400, "4")</f>
        <v/>
      </c>
      <c r="AF768" s="129">
        <f>SQRT((((VLOOKUP($AT$4,$A$4:$D$1021,4,FALSE))-D768)^2)+(((VLOOKUP($AT$4,$A$4:$E$1021,5,FALSE))-E768)^2)+(((VLOOKUP($AT$4,$A$4:$N$1021,14,FALSE))-N768)^2)+(((VLOOKUP($AT$4,$A$4:$O$1021,15,FALSE))-O768)^2))</f>
        <v/>
      </c>
      <c r="AG768" s="129" t="n"/>
      <c r="AI768" s="129">
        <f>SQRT((((VLOOKUP($AT$4,$A$4:$D$1021,4,FALSE))-D768)^2)+(((VLOOKUP($AT$4,$A$4:$E$1021,5,FALSE))-E768)^2)+(((VLOOKUP($AT$4,$A$4:$R$1021,18,FALSE))-R768)^2)+(((VLOOKUP($AT$4,$A$4:$S$1021,19,FALSE))-S768)^2))</f>
        <v/>
      </c>
      <c r="AJ768" s="125" t="inlineStr">
        <is>
          <t>HY750X166</t>
        </is>
      </c>
      <c r="AK768" s="125" t="n"/>
      <c r="AL768" s="125" t="n"/>
      <c r="AM768" s="125">
        <f>SQRT(((VLOOKUP($AT$4,$A$4:$J$1021,10,FALSE))-J768)^2)</f>
        <v/>
      </c>
      <c r="AN768" s="125" t="n"/>
      <c r="AO768" s="125" t="n"/>
      <c r="AP768" s="125">
        <f>SQRT(((VLOOKUP($AT$4,$A$4:$R$1021,18,FALSE))-R768)^2)</f>
        <v/>
      </c>
      <c r="AQ768" s="125" t="inlineStr">
        <is>
          <t>HY750X166</t>
        </is>
      </c>
      <c r="BB768" s="125">
        <f>SQRT(($J$1022-J768)^2)</f>
        <v/>
      </c>
      <c r="BC768" s="125">
        <f>SQRT(($R$1022-R768)^2)</f>
        <v/>
      </c>
      <c r="BD768" s="125" t="inlineStr">
        <is>
          <t>HY750X166</t>
        </is>
      </c>
      <c r="BI768">
        <f>SQRT(($J$1023-J768)^2)</f>
        <v/>
      </c>
      <c r="BJ768">
        <f>SQRT(($R$1023-R768)^2)</f>
        <v/>
      </c>
      <c r="BK768" s="125" t="inlineStr">
        <is>
          <t>HY750X166</t>
        </is>
      </c>
      <c r="BP768">
        <f>SQRT(($J$1024-J768)^2)</f>
        <v/>
      </c>
      <c r="BQ768">
        <f>SQRT(($R$1024-R768)^2)</f>
        <v/>
      </c>
      <c r="BR768" s="125" t="inlineStr">
        <is>
          <t>HY750X166</t>
        </is>
      </c>
      <c r="BW768">
        <f>SQRT(($J$1025-J768)^2)</f>
        <v/>
      </c>
      <c r="BX768">
        <f>SQRT(($R$1025-R768)^2)</f>
        <v/>
      </c>
      <c r="BY768" s="125" t="inlineStr">
        <is>
          <t>HY750X166</t>
        </is>
      </c>
      <c r="CD768">
        <f>SQRT(($J$1026-J768)^2)</f>
        <v/>
      </c>
      <c r="CE768">
        <f>SQRT(($R$1026-R768)^2)</f>
        <v/>
      </c>
      <c r="CF768" s="125" t="inlineStr">
        <is>
          <t>HY750X166</t>
        </is>
      </c>
    </row>
    <row r="769">
      <c r="A769" s="125" t="inlineStr">
        <is>
          <t>HY750X155</t>
        </is>
      </c>
      <c r="B769" s="129" t="inlineStr">
        <is>
          <t>HY</t>
        </is>
      </c>
      <c r="C769" s="125" t="n">
        <v>155</v>
      </c>
      <c r="D769" s="125" t="n">
        <v>750</v>
      </c>
      <c r="E769" s="125" t="n">
        <v>250</v>
      </c>
      <c r="F769" s="125" t="n">
        <v>22</v>
      </c>
      <c r="G769" s="125" t="n">
        <v>12</v>
      </c>
      <c r="H769" s="125" t="n">
        <v>18</v>
      </c>
      <c r="I769" s="125">
        <f>D769-(2*(H769+F769))</f>
        <v/>
      </c>
      <c r="J769" s="125">
        <f>(2*E769/10*F769/10)+((D769-F769-F769)/10*G769/10)+((H769/10+H769/10)^2)-(PI()*H769/10*H769/10)</f>
        <v/>
      </c>
      <c r="K769" s="125">
        <f>((E769-G769)/2)/F769</f>
        <v/>
      </c>
      <c r="L769" s="125">
        <f>I769/G769</f>
        <v/>
      </c>
      <c r="M769" s="125">
        <f>(E769*2+F769*4+((E769-G769)/2-H769)*4+2*PI()*H769+(D769-2*F769-2*H769)*2)/1000</f>
        <v/>
      </c>
      <c r="N769" s="5" t="n">
        <v>184000</v>
      </c>
      <c r="O769" s="5" t="n">
        <v>5740</v>
      </c>
      <c r="P769" s="125" t="n">
        <v>30.6</v>
      </c>
      <c r="Q769" s="125" t="n">
        <v>5.4</v>
      </c>
      <c r="R769" s="5" t="n">
        <v>4920</v>
      </c>
      <c r="S769" s="125" t="n">
        <v>459</v>
      </c>
      <c r="T769" s="5" t="n">
        <v>5600</v>
      </c>
      <c r="U769" s="125" t="n">
        <v>716</v>
      </c>
      <c r="X769" s="129">
        <f t="array" ref="X769">_xlfn.IFS((D769/F769) &lt;= (640/SQRT($AT$32)), "Compact", L769 &lt;= ($AT$32*(0.79-(0.002*((E769-G769/2)/(2*F769))*SQRT($AT$32)))), "Non-Compact", L769 &gt; ($AT$32*(0.79-(0.002*((E769-G769/2)/(2*F769))*SQRT($AT$32)))), "Slender")</f>
        <v/>
      </c>
      <c r="Y769" s="129">
        <f t="array" ref="Y769">_xlfn.IFS(K769 &lt;= (65/SQRT($AT$32)), "Compact", K769 &lt;= (95/SQRT($AT$32)), "Non-Compact", K769 &gt; (95/SQRT($AT$32)), "Slender")</f>
        <v/>
      </c>
      <c r="Z769" s="125">
        <f>E769/F769</f>
        <v/>
      </c>
      <c r="AA769" s="125">
        <f>D769/G769</f>
        <v/>
      </c>
      <c r="AB769" s="125">
        <f t="array" ref="AB769">_xlfn.IFS(Z769 &lt;= 9, "1", Z769 &lt;= 12, "2", Z769 &lt;= 15, "3", Z769 &gt; 15, "4")</f>
        <v/>
      </c>
      <c r="AC769" s="125">
        <f t="array" ref="AC769">_xlfn.IFS(AA769 &lt;= 200, "1", L769 &lt;= 300, "2", L769 &lt;= 400, "3", L769 &gt; 400, "4")</f>
        <v/>
      </c>
      <c r="AF769" s="129">
        <f>SQRT((((VLOOKUP($AT$4,$A$4:$D$1021,4,FALSE))-D769)^2)+(((VLOOKUP($AT$4,$A$4:$E$1021,5,FALSE))-E769)^2)+(((VLOOKUP($AT$4,$A$4:$N$1021,14,FALSE))-N769)^2)+(((VLOOKUP($AT$4,$A$4:$O$1021,15,FALSE))-O769)^2))</f>
        <v/>
      </c>
      <c r="AG769" s="129" t="n"/>
      <c r="AI769" s="129">
        <f>SQRT((((VLOOKUP($AT$4,$A$4:$D$1021,4,FALSE))-D769)^2)+(((VLOOKUP($AT$4,$A$4:$E$1021,5,FALSE))-E769)^2)+(((VLOOKUP($AT$4,$A$4:$R$1021,18,FALSE))-R769)^2)+(((VLOOKUP($AT$4,$A$4:$S$1021,19,FALSE))-S769)^2))</f>
        <v/>
      </c>
      <c r="AJ769" s="125" t="inlineStr">
        <is>
          <t>HY750X155</t>
        </is>
      </c>
      <c r="AK769" s="125" t="n"/>
      <c r="AL769" s="125" t="n"/>
      <c r="AM769" s="125">
        <f>SQRT(((VLOOKUP($AT$4,$A$4:$J$1021,10,FALSE))-J769)^2)</f>
        <v/>
      </c>
      <c r="AN769" s="125" t="n"/>
      <c r="AO769" s="125" t="n"/>
      <c r="AP769" s="125">
        <f>SQRT(((VLOOKUP($AT$4,$A$4:$R$1021,18,FALSE))-R769)^2)</f>
        <v/>
      </c>
      <c r="AQ769" s="125" t="inlineStr">
        <is>
          <t>HY750X155</t>
        </is>
      </c>
      <c r="BB769" s="125">
        <f>SQRT(($J$1022-J769)^2)</f>
        <v/>
      </c>
      <c r="BC769" s="125">
        <f>SQRT(($R$1022-R769)^2)</f>
        <v/>
      </c>
      <c r="BD769" s="125" t="inlineStr">
        <is>
          <t>HY750X155</t>
        </is>
      </c>
      <c r="BI769">
        <f>SQRT(($J$1023-J769)^2)</f>
        <v/>
      </c>
      <c r="BJ769">
        <f>SQRT(($R$1023-R769)^2)</f>
        <v/>
      </c>
      <c r="BK769" s="125" t="inlineStr">
        <is>
          <t>HY750X155</t>
        </is>
      </c>
      <c r="BP769">
        <f>SQRT(($J$1024-J769)^2)</f>
        <v/>
      </c>
      <c r="BQ769">
        <f>SQRT(($R$1024-R769)^2)</f>
        <v/>
      </c>
      <c r="BR769" s="125" t="inlineStr">
        <is>
          <t>HY750X155</t>
        </is>
      </c>
      <c r="BW769">
        <f>SQRT(($J$1025-J769)^2)</f>
        <v/>
      </c>
      <c r="BX769">
        <f>SQRT(($R$1025-R769)^2)</f>
        <v/>
      </c>
      <c r="BY769" s="125" t="inlineStr">
        <is>
          <t>HY750X155</t>
        </is>
      </c>
      <c r="CD769">
        <f>SQRT(($J$1026-J769)^2)</f>
        <v/>
      </c>
      <c r="CE769">
        <f>SQRT(($R$1026-R769)^2)</f>
        <v/>
      </c>
      <c r="CF769" s="125" t="inlineStr">
        <is>
          <t>HY750X155</t>
        </is>
      </c>
    </row>
    <row r="770">
      <c r="A770" s="125" t="inlineStr">
        <is>
          <t>HY750X144</t>
        </is>
      </c>
      <c r="B770" s="129" t="inlineStr">
        <is>
          <t>HY</t>
        </is>
      </c>
      <c r="C770" s="125" t="n">
        <v>144</v>
      </c>
      <c r="D770" s="125" t="n">
        <v>750</v>
      </c>
      <c r="E770" s="125" t="n">
        <v>250</v>
      </c>
      <c r="F770" s="125" t="n">
        <v>19</v>
      </c>
      <c r="G770" s="125" t="n">
        <v>12</v>
      </c>
      <c r="H770" s="125" t="n">
        <v>18</v>
      </c>
      <c r="I770" s="125">
        <f>D770-(2*(H770+F770))</f>
        <v/>
      </c>
      <c r="J770" s="125">
        <f>(2*E770/10*F770/10)+((D770-F770-F770)/10*G770/10)+((H770/10+H770/10)^2)-(PI()*H770/10*H770/10)</f>
        <v/>
      </c>
      <c r="K770" s="125">
        <f>((E770-G770)/2)/F770</f>
        <v/>
      </c>
      <c r="L770" s="125">
        <f>I770/G770</f>
        <v/>
      </c>
      <c r="M770" s="125">
        <f>(E770*2+F770*4+((E770-G770)/2-H770)*4+2*PI()*H770+(D770-2*F770-2*H770)*2)/1000</f>
        <v/>
      </c>
      <c r="N770" s="5" t="n">
        <v>166000</v>
      </c>
      <c r="O770" s="5" t="n">
        <v>4960</v>
      </c>
      <c r="P770" s="125" t="n">
        <v>30.1</v>
      </c>
      <c r="Q770" s="125" t="n">
        <v>5.2</v>
      </c>
      <c r="R770" s="5" t="n">
        <v>4440</v>
      </c>
      <c r="S770" s="125" t="n">
        <v>397</v>
      </c>
      <c r="T770" s="5" t="n">
        <v>5090</v>
      </c>
      <c r="U770" s="125" t="n">
        <v>622</v>
      </c>
      <c r="X770" s="129">
        <f t="array" ref="X770">_xlfn.IFS((D770/F770) &lt;= (640/SQRT($AT$32)), "Compact", L770 &lt;= ($AT$32*(0.79-(0.002*((E770-G770/2)/(2*F770))*SQRT($AT$32)))), "Non-Compact", L770 &gt; ($AT$32*(0.79-(0.002*((E770-G770/2)/(2*F770))*SQRT($AT$32)))), "Slender")</f>
        <v/>
      </c>
      <c r="Y770" s="129">
        <f t="array" ref="Y770">_xlfn.IFS(K770 &lt;= (65/SQRT($AT$32)), "Compact", K770 &lt;= (95/SQRT($AT$32)), "Non-Compact", K770 &gt; (95/SQRT($AT$32)), "Slender")</f>
        <v/>
      </c>
      <c r="Z770" s="125">
        <f>E770/F770</f>
        <v/>
      </c>
      <c r="AA770" s="125">
        <f>D770/G770</f>
        <v/>
      </c>
      <c r="AB770" s="125">
        <f t="array" ref="AB770">_xlfn.IFS(Z770 &lt;= 9, "1", Z770 &lt;= 12, "2", Z770 &lt;= 15, "3", Z770 &gt; 15, "4")</f>
        <v/>
      </c>
      <c r="AC770" s="125">
        <f t="array" ref="AC770">_xlfn.IFS(AA770 &lt;= 200, "1", L770 &lt;= 300, "2", L770 &lt;= 400, "3", L770 &gt; 400, "4")</f>
        <v/>
      </c>
      <c r="AF770" s="129">
        <f>SQRT((((VLOOKUP($AT$4,$A$4:$D$1021,4,FALSE))-D770)^2)+(((VLOOKUP($AT$4,$A$4:$E$1021,5,FALSE))-E770)^2)+(((VLOOKUP($AT$4,$A$4:$N$1021,14,FALSE))-N770)^2)+(((VLOOKUP($AT$4,$A$4:$O$1021,15,FALSE))-O770)^2))</f>
        <v/>
      </c>
      <c r="AG770" s="129" t="n"/>
      <c r="AI770" s="129">
        <f>SQRT((((VLOOKUP($AT$4,$A$4:$D$1021,4,FALSE))-D770)^2)+(((VLOOKUP($AT$4,$A$4:$E$1021,5,FALSE))-E770)^2)+(((VLOOKUP($AT$4,$A$4:$R$1021,18,FALSE))-R770)^2)+(((VLOOKUP($AT$4,$A$4:$S$1021,19,FALSE))-S770)^2))</f>
        <v/>
      </c>
      <c r="AJ770" s="125" t="inlineStr">
        <is>
          <t>HY750X144</t>
        </is>
      </c>
      <c r="AK770" s="125" t="n"/>
      <c r="AL770" s="125" t="n"/>
      <c r="AM770" s="125">
        <f>SQRT(((VLOOKUP($AT$4,$A$4:$J$1021,10,FALSE))-J770)^2)</f>
        <v/>
      </c>
      <c r="AN770" s="125" t="n"/>
      <c r="AO770" s="125" t="n"/>
      <c r="AP770" s="125">
        <f>SQRT(((VLOOKUP($AT$4,$A$4:$R$1021,18,FALSE))-R770)^2)</f>
        <v/>
      </c>
      <c r="AQ770" s="125" t="inlineStr">
        <is>
          <t>HY750X144</t>
        </is>
      </c>
      <c r="BB770" s="125">
        <f>SQRT(($J$1022-J770)^2)</f>
        <v/>
      </c>
      <c r="BC770" s="125">
        <f>SQRT(($R$1022-R770)^2)</f>
        <v/>
      </c>
      <c r="BD770" s="125" t="inlineStr">
        <is>
          <t>HY750X144</t>
        </is>
      </c>
      <c r="BI770">
        <f>SQRT(($J$1023-J770)^2)</f>
        <v/>
      </c>
      <c r="BJ770">
        <f>SQRT(($R$1023-R770)^2)</f>
        <v/>
      </c>
      <c r="BK770" s="125" t="inlineStr">
        <is>
          <t>HY750X144</t>
        </is>
      </c>
      <c r="BP770">
        <f>SQRT(($J$1024-J770)^2)</f>
        <v/>
      </c>
      <c r="BQ770">
        <f>SQRT(($R$1024-R770)^2)</f>
        <v/>
      </c>
      <c r="BR770" s="125" t="inlineStr">
        <is>
          <t>HY750X144</t>
        </is>
      </c>
      <c r="BW770">
        <f>SQRT(($J$1025-J770)^2)</f>
        <v/>
      </c>
      <c r="BX770">
        <f>SQRT(($R$1025-R770)^2)</f>
        <v/>
      </c>
      <c r="BY770" s="125" t="inlineStr">
        <is>
          <t>HY750X144</t>
        </is>
      </c>
      <c r="CD770">
        <f>SQRT(($J$1026-J770)^2)</f>
        <v/>
      </c>
      <c r="CE770">
        <f>SQRT(($R$1026-R770)^2)</f>
        <v/>
      </c>
      <c r="CF770" s="125" t="inlineStr">
        <is>
          <t>HY750X144</t>
        </is>
      </c>
    </row>
    <row r="771">
      <c r="A771" s="125" t="inlineStr">
        <is>
          <t>HY700X337</t>
        </is>
      </c>
      <c r="B771" s="129" t="inlineStr">
        <is>
          <t>HY</t>
        </is>
      </c>
      <c r="C771" s="125" t="n">
        <v>337</v>
      </c>
      <c r="D771" s="125" t="n">
        <v>700</v>
      </c>
      <c r="E771" s="125" t="n">
        <v>400</v>
      </c>
      <c r="F771" s="125" t="n">
        <v>36</v>
      </c>
      <c r="G771" s="125" t="n">
        <v>22</v>
      </c>
      <c r="H771" s="125" t="n">
        <v>18</v>
      </c>
      <c r="I771" s="125">
        <f>D771-(2*(H771+F771))</f>
        <v/>
      </c>
      <c r="J771" s="125">
        <f>(2*E771/10*F771/10)+((D771-F771-F771)/10*G771/10)+((H771/10+H771/10)^2)-(PI()*H771/10*H771/10)</f>
        <v/>
      </c>
      <c r="K771" s="125">
        <f>((E771-G771)/2)/F771</f>
        <v/>
      </c>
      <c r="L771" s="125">
        <f>I771/G771</f>
        <v/>
      </c>
      <c r="M771" s="125">
        <f>(E771*2+F771*4+((E771-G771)/2-H771)*4+2*PI()*H771+(D771-2*F771-2*H771)*2)/1000</f>
        <v/>
      </c>
      <c r="N771" s="5" t="n">
        <v>366000</v>
      </c>
      <c r="O771" s="5" t="n">
        <v>38500</v>
      </c>
      <c r="P771" s="125" t="n">
        <v>29.2</v>
      </c>
      <c r="Q771" s="125" t="n">
        <v>9.5</v>
      </c>
      <c r="R771" s="5" t="n">
        <v>10500</v>
      </c>
      <c r="S771" s="5" t="n">
        <v>1920</v>
      </c>
      <c r="T771" s="5" t="n">
        <v>11800</v>
      </c>
      <c r="U771" s="5" t="n">
        <v>2960</v>
      </c>
      <c r="X771" s="129">
        <f t="array" ref="X771">_xlfn.IFS((D771/F771) &lt;= (640/SQRT($AT$32)), "Compact", L771 &lt;= ($AT$32*(0.79-(0.002*((E771-G771/2)/(2*F771))*SQRT($AT$32)))), "Non-Compact", L771 &gt; ($AT$32*(0.79-(0.002*((E771-G771/2)/(2*F771))*SQRT($AT$32)))), "Slender")</f>
        <v/>
      </c>
      <c r="Y771" s="129">
        <f t="array" ref="Y771">_xlfn.IFS(K771 &lt;= (65/SQRT($AT$32)), "Compact", K771 &lt;= (95/SQRT($AT$32)), "Non-Compact", K771 &gt; (95/SQRT($AT$32)), "Slender")</f>
        <v/>
      </c>
      <c r="Z771" s="125">
        <f>E771/F771</f>
        <v/>
      </c>
      <c r="AA771" s="125">
        <f>D771/G771</f>
        <v/>
      </c>
      <c r="AB771" s="125">
        <f t="array" ref="AB771">_xlfn.IFS(Z771 &lt;= 9, "1", Z771 &lt;= 12, "2", Z771 &lt;= 15, "3", Z771 &gt; 15, "4")</f>
        <v/>
      </c>
      <c r="AC771" s="125">
        <f t="array" ref="AC771">_xlfn.IFS(AA771 &lt;= 200, "1", L771 &lt;= 300, "2", L771 &lt;= 400, "3", L771 &gt; 400, "4")</f>
        <v/>
      </c>
      <c r="AF771" s="129">
        <f>SQRT((((VLOOKUP($AT$4,$A$4:$D$1021,4,FALSE))-D771)^2)+(((VLOOKUP($AT$4,$A$4:$E$1021,5,FALSE))-E771)^2)+(((VLOOKUP($AT$4,$A$4:$N$1021,14,FALSE))-N771)^2)+(((VLOOKUP($AT$4,$A$4:$O$1021,15,FALSE))-O771)^2))</f>
        <v/>
      </c>
      <c r="AG771" s="129" t="n"/>
      <c r="AI771" s="129">
        <f>SQRT((((VLOOKUP($AT$4,$A$4:$D$1021,4,FALSE))-D771)^2)+(((VLOOKUP($AT$4,$A$4:$E$1021,5,FALSE))-E771)^2)+(((VLOOKUP($AT$4,$A$4:$R$1021,18,FALSE))-R771)^2)+(((VLOOKUP($AT$4,$A$4:$S$1021,19,FALSE))-S771)^2))</f>
        <v/>
      </c>
      <c r="AJ771" s="125" t="inlineStr">
        <is>
          <t>HY700X337</t>
        </is>
      </c>
      <c r="AK771" s="125" t="n"/>
      <c r="AL771" s="125" t="n"/>
      <c r="AM771" s="125">
        <f>SQRT(((VLOOKUP($AT$4,$A$4:$J$1021,10,FALSE))-J771)^2)</f>
        <v/>
      </c>
      <c r="AN771" s="125" t="n"/>
      <c r="AO771" s="125" t="n"/>
      <c r="AP771" s="125">
        <f>SQRT(((VLOOKUP($AT$4,$A$4:$R$1021,18,FALSE))-R771)^2)</f>
        <v/>
      </c>
      <c r="AQ771" s="125" t="inlineStr">
        <is>
          <t>HY700X337</t>
        </is>
      </c>
      <c r="BB771" s="125">
        <f>SQRT(($J$1022-J771)^2)</f>
        <v/>
      </c>
      <c r="BC771" s="125">
        <f>SQRT(($R$1022-R771)^2)</f>
        <v/>
      </c>
      <c r="BD771" s="125" t="inlineStr">
        <is>
          <t>HY700X337</t>
        </is>
      </c>
      <c r="BI771">
        <f>SQRT(($J$1023-J771)^2)</f>
        <v/>
      </c>
      <c r="BJ771">
        <f>SQRT(($R$1023-R771)^2)</f>
        <v/>
      </c>
      <c r="BK771" s="125" t="inlineStr">
        <is>
          <t>HY700X337</t>
        </is>
      </c>
      <c r="BP771">
        <f>SQRT(($J$1024-J771)^2)</f>
        <v/>
      </c>
      <c r="BQ771">
        <f>SQRT(($R$1024-R771)^2)</f>
        <v/>
      </c>
      <c r="BR771" s="125" t="inlineStr">
        <is>
          <t>HY700X337</t>
        </is>
      </c>
      <c r="BW771">
        <f>SQRT(($J$1025-J771)^2)</f>
        <v/>
      </c>
      <c r="BX771">
        <f>SQRT(($R$1025-R771)^2)</f>
        <v/>
      </c>
      <c r="BY771" s="125" t="inlineStr">
        <is>
          <t>HY700X337</t>
        </is>
      </c>
      <c r="CD771">
        <f>SQRT(($J$1026-J771)^2)</f>
        <v/>
      </c>
      <c r="CE771">
        <f>SQRT(($R$1026-R771)^2)</f>
        <v/>
      </c>
      <c r="CF771" s="125" t="inlineStr">
        <is>
          <t>HY700X337</t>
        </is>
      </c>
    </row>
    <row r="772">
      <c r="A772" s="125" t="inlineStr">
        <is>
          <t>HY700X313</t>
        </is>
      </c>
      <c r="B772" s="129" t="inlineStr">
        <is>
          <t>HY</t>
        </is>
      </c>
      <c r="C772" s="125" t="n">
        <v>313</v>
      </c>
      <c r="D772" s="125" t="n">
        <v>700</v>
      </c>
      <c r="E772" s="125" t="n">
        <v>400</v>
      </c>
      <c r="F772" s="125" t="n">
        <v>32</v>
      </c>
      <c r="G772" s="125" t="n">
        <v>22</v>
      </c>
      <c r="H772" s="125" t="n">
        <v>18</v>
      </c>
      <c r="I772" s="125">
        <f>D772-(2*(H772+F772))</f>
        <v/>
      </c>
      <c r="J772" s="125">
        <f>(2*E772/10*F772/10)+((D772-F772-F772)/10*G772/10)+((H772/10+H772/10)^2)-(PI()*H772/10*H772/10)</f>
        <v/>
      </c>
      <c r="K772" s="125">
        <f>((E772-G772)/2)/F772</f>
        <v/>
      </c>
      <c r="L772" s="125">
        <f>I772/G772</f>
        <v/>
      </c>
      <c r="M772" s="125">
        <f>(E772*2+F772*4+((E772-G772)/2-H772)*4+2*PI()*H772+(D772-2*F772-2*H772)*2)/1000</f>
        <v/>
      </c>
      <c r="N772" s="5" t="n">
        <v>336000</v>
      </c>
      <c r="O772" s="5" t="n">
        <v>34200</v>
      </c>
      <c r="P772" s="125" t="n">
        <v>29</v>
      </c>
      <c r="Q772" s="125" t="n">
        <v>9.300000000000001</v>
      </c>
      <c r="R772" s="5" t="n">
        <v>9590</v>
      </c>
      <c r="S772" s="5" t="n">
        <v>1710</v>
      </c>
      <c r="T772" s="5" t="n">
        <v>10900</v>
      </c>
      <c r="U772" s="5" t="n">
        <v>2640</v>
      </c>
      <c r="X772" s="129">
        <f t="array" ref="X772">_xlfn.IFS((D772/F772) &lt;= (640/SQRT($AT$32)), "Compact", L772 &lt;= ($AT$32*(0.79-(0.002*((E772-G772/2)/(2*F772))*SQRT($AT$32)))), "Non-Compact", L772 &gt; ($AT$32*(0.79-(0.002*((E772-G772/2)/(2*F772))*SQRT($AT$32)))), "Slender")</f>
        <v/>
      </c>
      <c r="Y772" s="129">
        <f t="array" ref="Y772">_xlfn.IFS(K772 &lt;= (65/SQRT($AT$32)), "Compact", K772 &lt;= (95/SQRT($AT$32)), "Non-Compact", K772 &gt; (95/SQRT($AT$32)), "Slender")</f>
        <v/>
      </c>
      <c r="Z772" s="125">
        <f>E772/F772</f>
        <v/>
      </c>
      <c r="AA772" s="125">
        <f>D772/G772</f>
        <v/>
      </c>
      <c r="AB772" s="125">
        <f t="array" ref="AB772">_xlfn.IFS(Z772 &lt;= 9, "1", Z772 &lt;= 12, "2", Z772 &lt;= 15, "3", Z772 &gt; 15, "4")</f>
        <v/>
      </c>
      <c r="AC772" s="125">
        <f t="array" ref="AC772">_xlfn.IFS(AA772 &lt;= 200, "1", L772 &lt;= 300, "2", L772 &lt;= 400, "3", L772 &gt; 400, "4")</f>
        <v/>
      </c>
      <c r="AF772" s="129">
        <f>SQRT((((VLOOKUP($AT$4,$A$4:$D$1021,4,FALSE))-D772)^2)+(((VLOOKUP($AT$4,$A$4:$E$1021,5,FALSE))-E772)^2)+(((VLOOKUP($AT$4,$A$4:$N$1021,14,FALSE))-N772)^2)+(((VLOOKUP($AT$4,$A$4:$O$1021,15,FALSE))-O772)^2))</f>
        <v/>
      </c>
      <c r="AG772" s="129" t="n"/>
      <c r="AI772" s="129">
        <f>SQRT((((VLOOKUP($AT$4,$A$4:$D$1021,4,FALSE))-D772)^2)+(((VLOOKUP($AT$4,$A$4:$E$1021,5,FALSE))-E772)^2)+(((VLOOKUP($AT$4,$A$4:$R$1021,18,FALSE))-R772)^2)+(((VLOOKUP($AT$4,$A$4:$S$1021,19,FALSE))-S772)^2))</f>
        <v/>
      </c>
      <c r="AJ772" s="125" t="inlineStr">
        <is>
          <t>HY700X313</t>
        </is>
      </c>
      <c r="AK772" s="125" t="n"/>
      <c r="AL772" s="125" t="n"/>
      <c r="AM772" s="125">
        <f>SQRT(((VLOOKUP($AT$4,$A$4:$J$1021,10,FALSE))-J772)^2)</f>
        <v/>
      </c>
      <c r="AN772" s="125" t="n"/>
      <c r="AO772" s="125" t="n"/>
      <c r="AP772" s="125">
        <f>SQRT(((VLOOKUP($AT$4,$A$4:$R$1021,18,FALSE))-R772)^2)</f>
        <v/>
      </c>
      <c r="AQ772" s="125" t="inlineStr">
        <is>
          <t>HY700X313</t>
        </is>
      </c>
      <c r="BB772" s="125">
        <f>SQRT(($J$1022-J772)^2)</f>
        <v/>
      </c>
      <c r="BC772" s="125">
        <f>SQRT(($R$1022-R772)^2)</f>
        <v/>
      </c>
      <c r="BD772" s="125" t="inlineStr">
        <is>
          <t>HY700X313</t>
        </is>
      </c>
      <c r="BI772">
        <f>SQRT(($J$1023-J772)^2)</f>
        <v/>
      </c>
      <c r="BJ772">
        <f>SQRT(($R$1023-R772)^2)</f>
        <v/>
      </c>
      <c r="BK772" s="125" t="inlineStr">
        <is>
          <t>HY700X313</t>
        </is>
      </c>
      <c r="BP772">
        <f>SQRT(($J$1024-J772)^2)</f>
        <v/>
      </c>
      <c r="BQ772">
        <f>SQRT(($R$1024-R772)^2)</f>
        <v/>
      </c>
      <c r="BR772" s="125" t="inlineStr">
        <is>
          <t>HY700X313</t>
        </is>
      </c>
      <c r="BW772">
        <f>SQRT(($J$1025-J772)^2)</f>
        <v/>
      </c>
      <c r="BX772">
        <f>SQRT(($R$1025-R772)^2)</f>
        <v/>
      </c>
      <c r="BY772" s="125" t="inlineStr">
        <is>
          <t>HY700X313</t>
        </is>
      </c>
      <c r="CD772">
        <f>SQRT(($J$1026-J772)^2)</f>
        <v/>
      </c>
      <c r="CE772">
        <f>SQRT(($R$1026-R772)^2)</f>
        <v/>
      </c>
      <c r="CF772" s="125" t="inlineStr">
        <is>
          <t>HY700X313</t>
        </is>
      </c>
    </row>
    <row r="773">
      <c r="A773" s="125" t="inlineStr">
        <is>
          <t>HY700X289</t>
        </is>
      </c>
      <c r="B773" s="129" t="inlineStr">
        <is>
          <t>HY</t>
        </is>
      </c>
      <c r="C773" s="125" t="n">
        <v>289</v>
      </c>
      <c r="D773" s="125" t="n">
        <v>700</v>
      </c>
      <c r="E773" s="125" t="n">
        <v>400</v>
      </c>
      <c r="F773" s="125" t="n">
        <v>28</v>
      </c>
      <c r="G773" s="125" t="n">
        <v>22</v>
      </c>
      <c r="H773" s="125" t="n">
        <v>18</v>
      </c>
      <c r="I773" s="125">
        <f>D773-(2*(H773+F773))</f>
        <v/>
      </c>
      <c r="J773" s="125">
        <f>(2*E773/10*F773/10)+((D773-F773-F773)/10*G773/10)+((H773/10+H773/10)^2)-(PI()*H773/10*H773/10)</f>
        <v/>
      </c>
      <c r="K773" s="125">
        <f>((E773-G773)/2)/F773</f>
        <v/>
      </c>
      <c r="L773" s="125">
        <f>I773/G773</f>
        <v/>
      </c>
      <c r="M773" s="125">
        <f>(E773*2+F773*4+((E773-G773)/2-H773)*4+2*PI()*H773+(D773-2*F773-2*H773)*2)/1000</f>
        <v/>
      </c>
      <c r="N773" s="5" t="n">
        <v>305000</v>
      </c>
      <c r="O773" s="5" t="n">
        <v>29900</v>
      </c>
      <c r="P773" s="125" t="n">
        <v>28.8</v>
      </c>
      <c r="Q773" s="125" t="n">
        <v>9</v>
      </c>
      <c r="R773" s="5" t="n">
        <v>8710</v>
      </c>
      <c r="S773" s="5" t="n">
        <v>1500</v>
      </c>
      <c r="T773" s="5" t="n">
        <v>9900</v>
      </c>
      <c r="U773" s="5" t="n">
        <v>2320</v>
      </c>
      <c r="X773" s="129">
        <f t="array" ref="X773">_xlfn.IFS((D773/F773) &lt;= (640/SQRT($AT$32)), "Compact", L773 &lt;= ($AT$32*(0.79-(0.002*((E773-G773/2)/(2*F773))*SQRT($AT$32)))), "Non-Compact", L773 &gt; ($AT$32*(0.79-(0.002*((E773-G773/2)/(2*F773))*SQRT($AT$32)))), "Slender")</f>
        <v/>
      </c>
      <c r="Y773" s="129">
        <f t="array" ref="Y773">_xlfn.IFS(K773 &lt;= (65/SQRT($AT$32)), "Compact", K773 &lt;= (95/SQRT($AT$32)), "Non-Compact", K773 &gt; (95/SQRT($AT$32)), "Slender")</f>
        <v/>
      </c>
      <c r="Z773" s="125">
        <f>E773/F773</f>
        <v/>
      </c>
      <c r="AA773" s="125">
        <f>D773/G773</f>
        <v/>
      </c>
      <c r="AB773" s="125">
        <f t="array" ref="AB773">_xlfn.IFS(Z773 &lt;= 9, "1", Z773 &lt;= 12, "2", Z773 &lt;= 15, "3", Z773 &gt; 15, "4")</f>
        <v/>
      </c>
      <c r="AC773" s="125">
        <f t="array" ref="AC773">_xlfn.IFS(AA773 &lt;= 200, "1", L773 &lt;= 300, "2", L773 &lt;= 400, "3", L773 &gt; 400, "4")</f>
        <v/>
      </c>
      <c r="AF773" s="129">
        <f>SQRT((((VLOOKUP($AT$4,$A$4:$D$1021,4,FALSE))-D773)^2)+(((VLOOKUP($AT$4,$A$4:$E$1021,5,FALSE))-E773)^2)+(((VLOOKUP($AT$4,$A$4:$N$1021,14,FALSE))-N773)^2)+(((VLOOKUP($AT$4,$A$4:$O$1021,15,FALSE))-O773)^2))</f>
        <v/>
      </c>
      <c r="AG773" s="129" t="n"/>
      <c r="AI773" s="129">
        <f>SQRT((((VLOOKUP($AT$4,$A$4:$D$1021,4,FALSE))-D773)^2)+(((VLOOKUP($AT$4,$A$4:$E$1021,5,FALSE))-E773)^2)+(((VLOOKUP($AT$4,$A$4:$R$1021,18,FALSE))-R773)^2)+(((VLOOKUP($AT$4,$A$4:$S$1021,19,FALSE))-S773)^2))</f>
        <v/>
      </c>
      <c r="AJ773" s="125" t="inlineStr">
        <is>
          <t>HY700X289</t>
        </is>
      </c>
      <c r="AK773" s="125" t="n"/>
      <c r="AL773" s="125" t="n"/>
      <c r="AM773" s="125">
        <f>SQRT(((VLOOKUP($AT$4,$A$4:$J$1021,10,FALSE))-J773)^2)</f>
        <v/>
      </c>
      <c r="AN773" s="125" t="n"/>
      <c r="AO773" s="125" t="n"/>
      <c r="AP773" s="125">
        <f>SQRT(((VLOOKUP($AT$4,$A$4:$R$1021,18,FALSE))-R773)^2)</f>
        <v/>
      </c>
      <c r="AQ773" s="125" t="inlineStr">
        <is>
          <t>HY700X289</t>
        </is>
      </c>
      <c r="BB773" s="125">
        <f>SQRT(($J$1022-J773)^2)</f>
        <v/>
      </c>
      <c r="BC773" s="125">
        <f>SQRT(($R$1022-R773)^2)</f>
        <v/>
      </c>
      <c r="BD773" s="125" t="inlineStr">
        <is>
          <t>HY700X289</t>
        </is>
      </c>
      <c r="BI773">
        <f>SQRT(($J$1023-J773)^2)</f>
        <v/>
      </c>
      <c r="BJ773">
        <f>SQRT(($R$1023-R773)^2)</f>
        <v/>
      </c>
      <c r="BK773" s="125" t="inlineStr">
        <is>
          <t>HY700X289</t>
        </is>
      </c>
      <c r="BP773">
        <f>SQRT(($J$1024-J773)^2)</f>
        <v/>
      </c>
      <c r="BQ773">
        <f>SQRT(($R$1024-R773)^2)</f>
        <v/>
      </c>
      <c r="BR773" s="125" t="inlineStr">
        <is>
          <t>HY700X289</t>
        </is>
      </c>
      <c r="BW773">
        <f>SQRT(($J$1025-J773)^2)</f>
        <v/>
      </c>
      <c r="BX773">
        <f>SQRT(($R$1025-R773)^2)</f>
        <v/>
      </c>
      <c r="BY773" s="125" t="inlineStr">
        <is>
          <t>HY700X289</t>
        </is>
      </c>
      <c r="CD773">
        <f>SQRT(($J$1026-J773)^2)</f>
        <v/>
      </c>
      <c r="CE773">
        <f>SQRT(($R$1026-R773)^2)</f>
        <v/>
      </c>
      <c r="CF773" s="125" t="inlineStr">
        <is>
          <t>HY700X289</t>
        </is>
      </c>
    </row>
    <row r="774">
      <c r="A774" s="125" t="inlineStr">
        <is>
          <t>HY700X322</t>
        </is>
      </c>
      <c r="B774" s="129" t="inlineStr">
        <is>
          <t>HY</t>
        </is>
      </c>
      <c r="C774" s="125" t="n">
        <v>322</v>
      </c>
      <c r="D774" s="125" t="n">
        <v>700</v>
      </c>
      <c r="E774" s="125" t="n">
        <v>400</v>
      </c>
      <c r="F774" s="125" t="n">
        <v>36</v>
      </c>
      <c r="G774" s="125" t="n">
        <v>19</v>
      </c>
      <c r="H774" s="125" t="n">
        <v>18</v>
      </c>
      <c r="I774" s="125">
        <f>D774-(2*(H774+F774))</f>
        <v/>
      </c>
      <c r="J774" s="125">
        <f>(2*E774/10*F774/10)+((D774-F774-F774)/10*G774/10)+((H774/10+H774/10)^2)-(PI()*H774/10*H774/10)</f>
        <v/>
      </c>
      <c r="K774" s="125">
        <f>((E774-G774)/2)/F774</f>
        <v/>
      </c>
      <c r="L774" s="125">
        <f>I774/G774</f>
        <v/>
      </c>
      <c r="M774" s="125">
        <f>(E774*2+F774*4+((E774-G774)/2-H774)*4+2*PI()*H774+(D774-2*F774-2*H774)*2)/1000</f>
        <v/>
      </c>
      <c r="N774" s="5" t="n">
        <v>360000</v>
      </c>
      <c r="O774" s="5" t="n">
        <v>38400</v>
      </c>
      <c r="P774" s="125" t="n">
        <v>29.6</v>
      </c>
      <c r="Q774" s="125" t="n">
        <v>9.699999999999999</v>
      </c>
      <c r="R774" s="5" t="n">
        <v>10300</v>
      </c>
      <c r="S774" s="5" t="n">
        <v>1920</v>
      </c>
      <c r="T774" s="5" t="n">
        <v>11500</v>
      </c>
      <c r="U774" s="5" t="n">
        <v>2940</v>
      </c>
      <c r="X774" s="129">
        <f t="array" ref="X774">_xlfn.IFS((D774/F774) &lt;= (640/SQRT($AT$32)), "Compact", L774 &lt;= ($AT$32*(0.79-(0.002*((E774-G774/2)/(2*F774))*SQRT($AT$32)))), "Non-Compact", L774 &gt; ($AT$32*(0.79-(0.002*((E774-G774/2)/(2*F774))*SQRT($AT$32)))), "Slender")</f>
        <v/>
      </c>
      <c r="Y774" s="129">
        <f t="array" ref="Y774">_xlfn.IFS(K774 &lt;= (65/SQRT($AT$32)), "Compact", K774 &lt;= (95/SQRT($AT$32)), "Non-Compact", K774 &gt; (95/SQRT($AT$32)), "Slender")</f>
        <v/>
      </c>
      <c r="Z774" s="125">
        <f>E774/F774</f>
        <v/>
      </c>
      <c r="AA774" s="125">
        <f>D774/G774</f>
        <v/>
      </c>
      <c r="AB774" s="125">
        <f t="array" ref="AB774">_xlfn.IFS(Z774 &lt;= 9, "1", Z774 &lt;= 12, "2", Z774 &lt;= 15, "3", Z774 &gt; 15, "4")</f>
        <v/>
      </c>
      <c r="AC774" s="125">
        <f t="array" ref="AC774">_xlfn.IFS(AA774 &lt;= 200, "1", L774 &lt;= 300, "2", L774 &lt;= 400, "3", L774 &gt; 400, "4")</f>
        <v/>
      </c>
      <c r="AF774" s="129">
        <f>SQRT((((VLOOKUP($AT$4,$A$4:$D$1021,4,FALSE))-D774)^2)+(((VLOOKUP($AT$4,$A$4:$E$1021,5,FALSE))-E774)^2)+(((VLOOKUP($AT$4,$A$4:$N$1021,14,FALSE))-N774)^2)+(((VLOOKUP($AT$4,$A$4:$O$1021,15,FALSE))-O774)^2))</f>
        <v/>
      </c>
      <c r="AG774" s="129" t="n"/>
      <c r="AI774" s="129">
        <f>SQRT((((VLOOKUP($AT$4,$A$4:$D$1021,4,FALSE))-D774)^2)+(((VLOOKUP($AT$4,$A$4:$E$1021,5,FALSE))-E774)^2)+(((VLOOKUP($AT$4,$A$4:$R$1021,18,FALSE))-R774)^2)+(((VLOOKUP($AT$4,$A$4:$S$1021,19,FALSE))-S774)^2))</f>
        <v/>
      </c>
      <c r="AJ774" s="125" t="inlineStr">
        <is>
          <t>HY700X322</t>
        </is>
      </c>
      <c r="AK774" s="125" t="n"/>
      <c r="AL774" s="125" t="n"/>
      <c r="AM774" s="125">
        <f>SQRT(((VLOOKUP($AT$4,$A$4:$J$1021,10,FALSE))-J774)^2)</f>
        <v/>
      </c>
      <c r="AN774" s="125" t="n"/>
      <c r="AO774" s="125" t="n"/>
      <c r="AP774" s="125">
        <f>SQRT(((VLOOKUP($AT$4,$A$4:$R$1021,18,FALSE))-R774)^2)</f>
        <v/>
      </c>
      <c r="AQ774" s="125" t="inlineStr">
        <is>
          <t>HY700X322</t>
        </is>
      </c>
      <c r="BB774" s="125">
        <f>SQRT(($J$1022-J774)^2)</f>
        <v/>
      </c>
      <c r="BC774" s="125">
        <f>SQRT(($R$1022-R774)^2)</f>
        <v/>
      </c>
      <c r="BD774" s="125" t="inlineStr">
        <is>
          <t>HY700X322</t>
        </is>
      </c>
      <c r="BI774">
        <f>SQRT(($J$1023-J774)^2)</f>
        <v/>
      </c>
      <c r="BJ774">
        <f>SQRT(($R$1023-R774)^2)</f>
        <v/>
      </c>
      <c r="BK774" s="125" t="inlineStr">
        <is>
          <t>HY700X322</t>
        </is>
      </c>
      <c r="BP774">
        <f>SQRT(($J$1024-J774)^2)</f>
        <v/>
      </c>
      <c r="BQ774">
        <f>SQRT(($R$1024-R774)^2)</f>
        <v/>
      </c>
      <c r="BR774" s="125" t="inlineStr">
        <is>
          <t>HY700X322</t>
        </is>
      </c>
      <c r="BW774">
        <f>SQRT(($J$1025-J774)^2)</f>
        <v/>
      </c>
      <c r="BX774">
        <f>SQRT(($R$1025-R774)^2)</f>
        <v/>
      </c>
      <c r="BY774" s="125" t="inlineStr">
        <is>
          <t>HY700X322</t>
        </is>
      </c>
      <c r="CD774">
        <f>SQRT(($J$1026-J774)^2)</f>
        <v/>
      </c>
      <c r="CE774">
        <f>SQRT(($R$1026-R774)^2)</f>
        <v/>
      </c>
      <c r="CF774" s="125" t="inlineStr">
        <is>
          <t>HY700X322</t>
        </is>
      </c>
    </row>
    <row r="775">
      <c r="A775" s="125" t="inlineStr">
        <is>
          <t>HY700X298</t>
        </is>
      </c>
      <c r="B775" s="129" t="inlineStr">
        <is>
          <t>HY</t>
        </is>
      </c>
      <c r="C775" s="125" t="n">
        <v>298</v>
      </c>
      <c r="D775" s="125" t="n">
        <v>700</v>
      </c>
      <c r="E775" s="125" t="n">
        <v>400</v>
      </c>
      <c r="F775" s="125" t="n">
        <v>32</v>
      </c>
      <c r="G775" s="125" t="n">
        <v>19</v>
      </c>
      <c r="H775" s="125" t="n">
        <v>18</v>
      </c>
      <c r="I775" s="125">
        <f>D775-(2*(H775+F775))</f>
        <v/>
      </c>
      <c r="J775" s="125">
        <f>(2*E775/10*F775/10)+((D775-F775-F775)/10*G775/10)+((H775/10+H775/10)^2)-(PI()*H775/10*H775/10)</f>
        <v/>
      </c>
      <c r="K775" s="125">
        <f>((E775-G775)/2)/F775</f>
        <v/>
      </c>
      <c r="L775" s="125">
        <f>I775/G775</f>
        <v/>
      </c>
      <c r="M775" s="125">
        <f>(E775*2+F775*4+((E775-G775)/2-H775)*4+2*PI()*H775+(D775-2*F775-2*H775)*2)/1000</f>
        <v/>
      </c>
      <c r="N775" s="5" t="n">
        <v>329000</v>
      </c>
      <c r="O775" s="5" t="n">
        <v>34200</v>
      </c>
      <c r="P775" s="125" t="n">
        <v>29.5</v>
      </c>
      <c r="Q775" s="125" t="n">
        <v>9.5</v>
      </c>
      <c r="R775" s="5" t="n">
        <v>9410</v>
      </c>
      <c r="S775" s="5" t="n">
        <v>1710</v>
      </c>
      <c r="T775" s="5" t="n">
        <v>10600</v>
      </c>
      <c r="U775" s="5" t="n">
        <v>2620</v>
      </c>
      <c r="X775" s="129">
        <f t="array" ref="X775">_xlfn.IFS((D775/F775) &lt;= (640/SQRT($AT$32)), "Compact", L775 &lt;= ($AT$32*(0.79-(0.002*((E775-G775/2)/(2*F775))*SQRT($AT$32)))), "Non-Compact", L775 &gt; ($AT$32*(0.79-(0.002*((E775-G775/2)/(2*F775))*SQRT($AT$32)))), "Slender")</f>
        <v/>
      </c>
      <c r="Y775" s="129">
        <f t="array" ref="Y775">_xlfn.IFS(K775 &lt;= (65/SQRT($AT$32)), "Compact", K775 &lt;= (95/SQRT($AT$32)), "Non-Compact", K775 &gt; (95/SQRT($AT$32)), "Slender")</f>
        <v/>
      </c>
      <c r="Z775" s="125">
        <f>E775/F775</f>
        <v/>
      </c>
      <c r="AA775" s="125">
        <f>D775/G775</f>
        <v/>
      </c>
      <c r="AB775" s="125">
        <f t="array" ref="AB775">_xlfn.IFS(Z775 &lt;= 9, "1", Z775 &lt;= 12, "2", Z775 &lt;= 15, "3", Z775 &gt; 15, "4")</f>
        <v/>
      </c>
      <c r="AC775" s="125">
        <f t="array" ref="AC775">_xlfn.IFS(AA775 &lt;= 200, "1", L775 &lt;= 300, "2", L775 &lt;= 400, "3", L775 &gt; 400, "4")</f>
        <v/>
      </c>
      <c r="AF775" s="129">
        <f>SQRT((((VLOOKUP($AT$4,$A$4:$D$1021,4,FALSE))-D775)^2)+(((VLOOKUP($AT$4,$A$4:$E$1021,5,FALSE))-E775)^2)+(((VLOOKUP($AT$4,$A$4:$N$1021,14,FALSE))-N775)^2)+(((VLOOKUP($AT$4,$A$4:$O$1021,15,FALSE))-O775)^2))</f>
        <v/>
      </c>
      <c r="AG775" s="129" t="n"/>
      <c r="AI775" s="129">
        <f>SQRT((((VLOOKUP($AT$4,$A$4:$D$1021,4,FALSE))-D775)^2)+(((VLOOKUP($AT$4,$A$4:$E$1021,5,FALSE))-E775)^2)+(((VLOOKUP($AT$4,$A$4:$R$1021,18,FALSE))-R775)^2)+(((VLOOKUP($AT$4,$A$4:$S$1021,19,FALSE))-S775)^2))</f>
        <v/>
      </c>
      <c r="AJ775" s="125" t="inlineStr">
        <is>
          <t>HY700X298</t>
        </is>
      </c>
      <c r="AK775" s="125" t="n"/>
      <c r="AL775" s="125" t="n"/>
      <c r="AM775" s="125">
        <f>SQRT(((VLOOKUP($AT$4,$A$4:$J$1021,10,FALSE))-J775)^2)</f>
        <v/>
      </c>
      <c r="AN775" s="125" t="n"/>
      <c r="AO775" s="125" t="n"/>
      <c r="AP775" s="125">
        <f>SQRT(((VLOOKUP($AT$4,$A$4:$R$1021,18,FALSE))-R775)^2)</f>
        <v/>
      </c>
      <c r="AQ775" s="125" t="inlineStr">
        <is>
          <t>HY700X298</t>
        </is>
      </c>
      <c r="BB775" s="125">
        <f>SQRT(($J$1022-J775)^2)</f>
        <v/>
      </c>
      <c r="BC775" s="125">
        <f>SQRT(($R$1022-R775)^2)</f>
        <v/>
      </c>
      <c r="BD775" s="125" t="inlineStr">
        <is>
          <t>HY700X298</t>
        </is>
      </c>
      <c r="BI775">
        <f>SQRT(($J$1023-J775)^2)</f>
        <v/>
      </c>
      <c r="BJ775">
        <f>SQRT(($R$1023-R775)^2)</f>
        <v/>
      </c>
      <c r="BK775" s="125" t="inlineStr">
        <is>
          <t>HY700X298</t>
        </is>
      </c>
      <c r="BP775">
        <f>SQRT(($J$1024-J775)^2)</f>
        <v/>
      </c>
      <c r="BQ775">
        <f>SQRT(($R$1024-R775)^2)</f>
        <v/>
      </c>
      <c r="BR775" s="125" t="inlineStr">
        <is>
          <t>HY700X298</t>
        </is>
      </c>
      <c r="BW775">
        <f>SQRT(($J$1025-J775)^2)</f>
        <v/>
      </c>
      <c r="BX775">
        <f>SQRT(($R$1025-R775)^2)</f>
        <v/>
      </c>
      <c r="BY775" s="125" t="inlineStr">
        <is>
          <t>HY700X298</t>
        </is>
      </c>
      <c r="CD775">
        <f>SQRT(($J$1026-J775)^2)</f>
        <v/>
      </c>
      <c r="CE775">
        <f>SQRT(($R$1026-R775)^2)</f>
        <v/>
      </c>
      <c r="CF775" s="125" t="inlineStr">
        <is>
          <t>HY700X298</t>
        </is>
      </c>
    </row>
    <row r="776">
      <c r="A776" s="125" t="inlineStr">
        <is>
          <t>HY700X274</t>
        </is>
      </c>
      <c r="B776" s="129" t="inlineStr">
        <is>
          <t>HY</t>
        </is>
      </c>
      <c r="C776" s="125" t="n">
        <v>274</v>
      </c>
      <c r="D776" s="125" t="n">
        <v>700</v>
      </c>
      <c r="E776" s="125" t="n">
        <v>400</v>
      </c>
      <c r="F776" s="125" t="n">
        <v>28</v>
      </c>
      <c r="G776" s="125" t="n">
        <v>19</v>
      </c>
      <c r="H776" s="125" t="n">
        <v>18</v>
      </c>
      <c r="I776" s="125">
        <f>D776-(2*(H776+F776))</f>
        <v/>
      </c>
      <c r="J776" s="125">
        <f>(2*E776/10*F776/10)+((D776-F776-F776)/10*G776/10)+((H776/10+H776/10)^2)-(PI()*H776/10*H776/10)</f>
        <v/>
      </c>
      <c r="K776" s="125">
        <f>((E776-G776)/2)/F776</f>
        <v/>
      </c>
      <c r="L776" s="125">
        <f>I776/G776</f>
        <v/>
      </c>
      <c r="M776" s="125">
        <f>(E776*2+F776*4+((E776-G776)/2-H776)*4+2*PI()*H776+(D776-2*F776-2*H776)*2)/1000</f>
        <v/>
      </c>
      <c r="N776" s="5" t="n">
        <v>298000</v>
      </c>
      <c r="O776" s="5" t="n">
        <v>29900</v>
      </c>
      <c r="P776" s="125" t="n">
        <v>29.2</v>
      </c>
      <c r="Q776" s="125" t="n">
        <v>9.300000000000001</v>
      </c>
      <c r="R776" s="5" t="n">
        <v>8520</v>
      </c>
      <c r="S776" s="5" t="n">
        <v>1500</v>
      </c>
      <c r="T776" s="5" t="n">
        <v>9580</v>
      </c>
      <c r="U776" s="5" t="n">
        <v>2300</v>
      </c>
      <c r="X776" s="129">
        <f t="array" ref="X776">_xlfn.IFS((D776/F776) &lt;= (640/SQRT($AT$32)), "Compact", L776 &lt;= ($AT$32*(0.79-(0.002*((E776-G776/2)/(2*F776))*SQRT($AT$32)))), "Non-Compact", L776 &gt; ($AT$32*(0.79-(0.002*((E776-G776/2)/(2*F776))*SQRT($AT$32)))), "Slender")</f>
        <v/>
      </c>
      <c r="Y776" s="129">
        <f t="array" ref="Y776">_xlfn.IFS(K776 &lt;= (65/SQRT($AT$32)), "Compact", K776 &lt;= (95/SQRT($AT$32)), "Non-Compact", K776 &gt; (95/SQRT($AT$32)), "Slender")</f>
        <v/>
      </c>
      <c r="Z776" s="125">
        <f>E776/F776</f>
        <v/>
      </c>
      <c r="AA776" s="125">
        <f>D776/G776</f>
        <v/>
      </c>
      <c r="AB776" s="125">
        <f t="array" ref="AB776">_xlfn.IFS(Z776 &lt;= 9, "1", Z776 &lt;= 12, "2", Z776 &lt;= 15, "3", Z776 &gt; 15, "4")</f>
        <v/>
      </c>
      <c r="AC776" s="125">
        <f t="array" ref="AC776">_xlfn.IFS(AA776 &lt;= 200, "1", L776 &lt;= 300, "2", L776 &lt;= 400, "3", L776 &gt; 400, "4")</f>
        <v/>
      </c>
      <c r="AF776" s="129">
        <f>SQRT((((VLOOKUP($AT$4,$A$4:$D$1021,4,FALSE))-D776)^2)+(((VLOOKUP($AT$4,$A$4:$E$1021,5,FALSE))-E776)^2)+(((VLOOKUP($AT$4,$A$4:$N$1021,14,FALSE))-N776)^2)+(((VLOOKUP($AT$4,$A$4:$O$1021,15,FALSE))-O776)^2))</f>
        <v/>
      </c>
      <c r="AG776" s="129" t="n"/>
      <c r="AI776" s="129">
        <f>SQRT((((VLOOKUP($AT$4,$A$4:$D$1021,4,FALSE))-D776)^2)+(((VLOOKUP($AT$4,$A$4:$E$1021,5,FALSE))-E776)^2)+(((VLOOKUP($AT$4,$A$4:$R$1021,18,FALSE))-R776)^2)+(((VLOOKUP($AT$4,$A$4:$S$1021,19,FALSE))-S776)^2))</f>
        <v/>
      </c>
      <c r="AJ776" s="125" t="inlineStr">
        <is>
          <t>HY700X274</t>
        </is>
      </c>
      <c r="AK776" s="125" t="n"/>
      <c r="AL776" s="125" t="n"/>
      <c r="AM776" s="125">
        <f>SQRT(((VLOOKUP($AT$4,$A$4:$J$1021,10,FALSE))-J776)^2)</f>
        <v/>
      </c>
      <c r="AN776" s="125" t="n"/>
      <c r="AO776" s="125" t="n"/>
      <c r="AP776" s="125">
        <f>SQRT(((VLOOKUP($AT$4,$A$4:$R$1021,18,FALSE))-R776)^2)</f>
        <v/>
      </c>
      <c r="AQ776" s="125" t="inlineStr">
        <is>
          <t>HY700X274</t>
        </is>
      </c>
      <c r="BB776" s="125">
        <f>SQRT(($J$1022-J776)^2)</f>
        <v/>
      </c>
      <c r="BC776" s="125">
        <f>SQRT(($R$1022-R776)^2)</f>
        <v/>
      </c>
      <c r="BD776" s="125" t="inlineStr">
        <is>
          <t>HY700X274</t>
        </is>
      </c>
      <c r="BI776">
        <f>SQRT(($J$1023-J776)^2)</f>
        <v/>
      </c>
      <c r="BJ776">
        <f>SQRT(($R$1023-R776)^2)</f>
        <v/>
      </c>
      <c r="BK776" s="125" t="inlineStr">
        <is>
          <t>HY700X274</t>
        </is>
      </c>
      <c r="BP776">
        <f>SQRT(($J$1024-J776)^2)</f>
        <v/>
      </c>
      <c r="BQ776">
        <f>SQRT(($R$1024-R776)^2)</f>
        <v/>
      </c>
      <c r="BR776" s="125" t="inlineStr">
        <is>
          <t>HY700X274</t>
        </is>
      </c>
      <c r="BW776">
        <f>SQRT(($J$1025-J776)^2)</f>
        <v/>
      </c>
      <c r="BX776">
        <f>SQRT(($R$1025-R776)^2)</f>
        <v/>
      </c>
      <c r="BY776" s="125" t="inlineStr">
        <is>
          <t>HY700X274</t>
        </is>
      </c>
      <c r="CD776">
        <f>SQRT(($J$1026-J776)^2)</f>
        <v/>
      </c>
      <c r="CE776">
        <f>SQRT(($R$1026-R776)^2)</f>
        <v/>
      </c>
      <c r="CF776" s="125" t="inlineStr">
        <is>
          <t>HY700X274</t>
        </is>
      </c>
    </row>
    <row r="777">
      <c r="A777" s="125" t="inlineStr">
        <is>
          <t>HY700X307</t>
        </is>
      </c>
      <c r="B777" s="129" t="inlineStr">
        <is>
          <t>HY</t>
        </is>
      </c>
      <c r="C777" s="125" t="n">
        <v>307</v>
      </c>
      <c r="D777" s="125" t="n">
        <v>700</v>
      </c>
      <c r="E777" s="125" t="n">
        <v>400</v>
      </c>
      <c r="F777" s="125" t="n">
        <v>36</v>
      </c>
      <c r="G777" s="125" t="n">
        <v>16</v>
      </c>
      <c r="H777" s="125" t="n">
        <v>18</v>
      </c>
      <c r="I777" s="125">
        <f>D777-(2*(H777+F777))</f>
        <v/>
      </c>
      <c r="J777" s="125">
        <f>(2*E777/10*F777/10)+((D777-F777-F777)/10*G777/10)+((H777/10+H777/10)^2)-(PI()*H777/10*H777/10)</f>
        <v/>
      </c>
      <c r="K777" s="125">
        <f>((E777-G777)/2)/F777</f>
        <v/>
      </c>
      <c r="L777" s="125">
        <f>I777/G777</f>
        <v/>
      </c>
      <c r="M777" s="125">
        <f>(E777*2+F777*4+((E777-G777)/2-H777)*4+2*PI()*H777+(D777-2*F777-2*H777)*2)/1000</f>
        <v/>
      </c>
      <c r="N777" s="5" t="n">
        <v>353000</v>
      </c>
      <c r="O777" s="5" t="n">
        <v>38400</v>
      </c>
      <c r="P777" s="125" t="n">
        <v>30.1</v>
      </c>
      <c r="Q777" s="125" t="n">
        <v>9.9</v>
      </c>
      <c r="R777" s="5" t="n">
        <v>10100</v>
      </c>
      <c r="S777" s="5" t="n">
        <v>1920</v>
      </c>
      <c r="T777" s="5" t="n">
        <v>11200</v>
      </c>
      <c r="U777" s="5" t="n">
        <v>2920</v>
      </c>
      <c r="X777" s="129">
        <f t="array" ref="X777">_xlfn.IFS((D777/F777) &lt;= (640/SQRT($AT$32)), "Compact", L777 &lt;= ($AT$32*(0.79-(0.002*((E777-G777/2)/(2*F777))*SQRT($AT$32)))), "Non-Compact", L777 &gt; ($AT$32*(0.79-(0.002*((E777-G777/2)/(2*F777))*SQRT($AT$32)))), "Slender")</f>
        <v/>
      </c>
      <c r="Y777" s="129">
        <f t="array" ref="Y777">_xlfn.IFS(K777 &lt;= (65/SQRT($AT$32)), "Compact", K777 &lt;= (95/SQRT($AT$32)), "Non-Compact", K777 &gt; (95/SQRT($AT$32)), "Slender")</f>
        <v/>
      </c>
      <c r="Z777" s="125">
        <f>E777/F777</f>
        <v/>
      </c>
      <c r="AA777" s="125">
        <f>D777/G777</f>
        <v/>
      </c>
      <c r="AB777" s="125">
        <f t="array" ref="AB777">_xlfn.IFS(Z777 &lt;= 9, "1", Z777 &lt;= 12, "2", Z777 &lt;= 15, "3", Z777 &gt; 15, "4")</f>
        <v/>
      </c>
      <c r="AC777" s="125">
        <f t="array" ref="AC777">_xlfn.IFS(AA777 &lt;= 200, "1", L777 &lt;= 300, "2", L777 &lt;= 400, "3", L777 &gt; 400, "4")</f>
        <v/>
      </c>
      <c r="AF777" s="129">
        <f>SQRT((((VLOOKUP($AT$4,$A$4:$D$1021,4,FALSE))-D777)^2)+(((VLOOKUP($AT$4,$A$4:$E$1021,5,FALSE))-E777)^2)+(((VLOOKUP($AT$4,$A$4:$N$1021,14,FALSE))-N777)^2)+(((VLOOKUP($AT$4,$A$4:$O$1021,15,FALSE))-O777)^2))</f>
        <v/>
      </c>
      <c r="AG777" s="129" t="n"/>
      <c r="AI777" s="129">
        <f>SQRT((((VLOOKUP($AT$4,$A$4:$D$1021,4,FALSE))-D777)^2)+(((VLOOKUP($AT$4,$A$4:$E$1021,5,FALSE))-E777)^2)+(((VLOOKUP($AT$4,$A$4:$R$1021,18,FALSE))-R777)^2)+(((VLOOKUP($AT$4,$A$4:$S$1021,19,FALSE))-S777)^2))</f>
        <v/>
      </c>
      <c r="AJ777" s="125" t="inlineStr">
        <is>
          <t>HY700X307</t>
        </is>
      </c>
      <c r="AK777" s="125" t="n"/>
      <c r="AL777" s="125" t="n"/>
      <c r="AM777" s="125">
        <f>SQRT(((VLOOKUP($AT$4,$A$4:$J$1021,10,FALSE))-J777)^2)</f>
        <v/>
      </c>
      <c r="AN777" s="125" t="n"/>
      <c r="AO777" s="125" t="n"/>
      <c r="AP777" s="125">
        <f>SQRT(((VLOOKUP($AT$4,$A$4:$R$1021,18,FALSE))-R777)^2)</f>
        <v/>
      </c>
      <c r="AQ777" s="125" t="inlineStr">
        <is>
          <t>HY700X307</t>
        </is>
      </c>
      <c r="BB777" s="125">
        <f>SQRT(($J$1022-J777)^2)</f>
        <v/>
      </c>
      <c r="BC777" s="125">
        <f>SQRT(($R$1022-R777)^2)</f>
        <v/>
      </c>
      <c r="BD777" s="125" t="inlineStr">
        <is>
          <t>HY700X307</t>
        </is>
      </c>
      <c r="BI777">
        <f>SQRT(($J$1023-J777)^2)</f>
        <v/>
      </c>
      <c r="BJ777">
        <f>SQRT(($R$1023-R777)^2)</f>
        <v/>
      </c>
      <c r="BK777" s="125" t="inlineStr">
        <is>
          <t>HY700X307</t>
        </is>
      </c>
      <c r="BP777">
        <f>SQRT(($J$1024-J777)^2)</f>
        <v/>
      </c>
      <c r="BQ777">
        <f>SQRT(($R$1024-R777)^2)</f>
        <v/>
      </c>
      <c r="BR777" s="125" t="inlineStr">
        <is>
          <t>HY700X307</t>
        </is>
      </c>
      <c r="BW777">
        <f>SQRT(($J$1025-J777)^2)</f>
        <v/>
      </c>
      <c r="BX777">
        <f>SQRT(($R$1025-R777)^2)</f>
        <v/>
      </c>
      <c r="BY777" s="125" t="inlineStr">
        <is>
          <t>HY700X307</t>
        </is>
      </c>
      <c r="CD777">
        <f>SQRT(($J$1026-J777)^2)</f>
        <v/>
      </c>
      <c r="CE777">
        <f>SQRT(($R$1026-R777)^2)</f>
        <v/>
      </c>
      <c r="CF777" s="125" t="inlineStr">
        <is>
          <t>HY700X307</t>
        </is>
      </c>
    </row>
    <row r="778">
      <c r="A778" s="125" t="inlineStr">
        <is>
          <t>HY700X283</t>
        </is>
      </c>
      <c r="B778" s="129" t="inlineStr">
        <is>
          <t>HY</t>
        </is>
      </c>
      <c r="C778" s="125" t="n">
        <v>283</v>
      </c>
      <c r="D778" s="125" t="n">
        <v>700</v>
      </c>
      <c r="E778" s="125" t="n">
        <v>400</v>
      </c>
      <c r="F778" s="125" t="n">
        <v>32</v>
      </c>
      <c r="G778" s="125" t="n">
        <v>16</v>
      </c>
      <c r="H778" s="125" t="n">
        <v>18</v>
      </c>
      <c r="I778" s="125">
        <f>D778-(2*(H778+F778))</f>
        <v/>
      </c>
      <c r="J778" s="125">
        <f>(2*E778/10*F778/10)+((D778-F778-F778)/10*G778/10)+((H778/10+H778/10)^2)-(PI()*H778/10*H778/10)</f>
        <v/>
      </c>
      <c r="K778" s="125">
        <f>((E778-G778)/2)/F778</f>
        <v/>
      </c>
      <c r="L778" s="125">
        <f>I778/G778</f>
        <v/>
      </c>
      <c r="M778" s="125">
        <f>(E778*2+F778*4+((E778-G778)/2-H778)*4+2*PI()*H778+(D778-2*F778-2*H778)*2)/1000</f>
        <v/>
      </c>
      <c r="N778" s="5" t="n">
        <v>323000</v>
      </c>
      <c r="O778" s="5" t="n">
        <v>34200</v>
      </c>
      <c r="P778" s="125" t="n">
        <v>29.9</v>
      </c>
      <c r="Q778" s="125" t="n">
        <v>9.699999999999999</v>
      </c>
      <c r="R778" s="5" t="n">
        <v>9220</v>
      </c>
      <c r="S778" s="5" t="n">
        <v>1710</v>
      </c>
      <c r="T778" s="5" t="n">
        <v>10300</v>
      </c>
      <c r="U778" s="5" t="n">
        <v>2600</v>
      </c>
      <c r="X778" s="129">
        <f t="array" ref="X778">_xlfn.IFS((D778/F778) &lt;= (640/SQRT($AT$32)), "Compact", L778 &lt;= ($AT$32*(0.79-(0.002*((E778-G778/2)/(2*F778))*SQRT($AT$32)))), "Non-Compact", L778 &gt; ($AT$32*(0.79-(0.002*((E778-G778/2)/(2*F778))*SQRT($AT$32)))), "Slender")</f>
        <v/>
      </c>
      <c r="Y778" s="129">
        <f t="array" ref="Y778">_xlfn.IFS(K778 &lt;= (65/SQRT($AT$32)), "Compact", K778 &lt;= (95/SQRT($AT$32)), "Non-Compact", K778 &gt; (95/SQRT($AT$32)), "Slender")</f>
        <v/>
      </c>
      <c r="Z778" s="125">
        <f>E778/F778</f>
        <v/>
      </c>
      <c r="AA778" s="125">
        <f>D778/G778</f>
        <v/>
      </c>
      <c r="AB778" s="125">
        <f t="array" ref="AB778">_xlfn.IFS(Z778 &lt;= 9, "1", Z778 &lt;= 12, "2", Z778 &lt;= 15, "3", Z778 &gt; 15, "4")</f>
        <v/>
      </c>
      <c r="AC778" s="125">
        <f t="array" ref="AC778">_xlfn.IFS(AA778 &lt;= 200, "1", L778 &lt;= 300, "2", L778 &lt;= 400, "3", L778 &gt; 400, "4")</f>
        <v/>
      </c>
      <c r="AF778" s="129">
        <f>SQRT((((VLOOKUP($AT$4,$A$4:$D$1021,4,FALSE))-D778)^2)+(((VLOOKUP($AT$4,$A$4:$E$1021,5,FALSE))-E778)^2)+(((VLOOKUP($AT$4,$A$4:$N$1021,14,FALSE))-N778)^2)+(((VLOOKUP($AT$4,$A$4:$O$1021,15,FALSE))-O778)^2))</f>
        <v/>
      </c>
      <c r="AG778" s="129" t="n"/>
      <c r="AI778" s="129">
        <f>SQRT((((VLOOKUP($AT$4,$A$4:$D$1021,4,FALSE))-D778)^2)+(((VLOOKUP($AT$4,$A$4:$E$1021,5,FALSE))-E778)^2)+(((VLOOKUP($AT$4,$A$4:$R$1021,18,FALSE))-R778)^2)+(((VLOOKUP($AT$4,$A$4:$S$1021,19,FALSE))-S778)^2))</f>
        <v/>
      </c>
      <c r="AJ778" s="125" t="inlineStr">
        <is>
          <t>HY700X283</t>
        </is>
      </c>
      <c r="AK778" s="125" t="n"/>
      <c r="AL778" s="125" t="n"/>
      <c r="AM778" s="125">
        <f>SQRT(((VLOOKUP($AT$4,$A$4:$J$1021,10,FALSE))-J778)^2)</f>
        <v/>
      </c>
      <c r="AN778" s="125" t="n"/>
      <c r="AO778" s="125" t="n"/>
      <c r="AP778" s="125">
        <f>SQRT(((VLOOKUP($AT$4,$A$4:$R$1021,18,FALSE))-R778)^2)</f>
        <v/>
      </c>
      <c r="AQ778" s="125" t="inlineStr">
        <is>
          <t>HY700X283</t>
        </is>
      </c>
      <c r="BB778" s="125">
        <f>SQRT(($J$1022-J778)^2)</f>
        <v/>
      </c>
      <c r="BC778" s="125">
        <f>SQRT(($R$1022-R778)^2)</f>
        <v/>
      </c>
      <c r="BD778" s="125" t="inlineStr">
        <is>
          <t>HY700X283</t>
        </is>
      </c>
      <c r="BI778">
        <f>SQRT(($J$1023-J778)^2)</f>
        <v/>
      </c>
      <c r="BJ778">
        <f>SQRT(($R$1023-R778)^2)</f>
        <v/>
      </c>
      <c r="BK778" s="125" t="inlineStr">
        <is>
          <t>HY700X283</t>
        </is>
      </c>
      <c r="BP778">
        <f>SQRT(($J$1024-J778)^2)</f>
        <v/>
      </c>
      <c r="BQ778">
        <f>SQRT(($R$1024-R778)^2)</f>
        <v/>
      </c>
      <c r="BR778" s="125" t="inlineStr">
        <is>
          <t>HY700X283</t>
        </is>
      </c>
      <c r="BW778">
        <f>SQRT(($J$1025-J778)^2)</f>
        <v/>
      </c>
      <c r="BX778">
        <f>SQRT(($R$1025-R778)^2)</f>
        <v/>
      </c>
      <c r="BY778" s="125" t="inlineStr">
        <is>
          <t>HY700X283</t>
        </is>
      </c>
      <c r="CD778">
        <f>SQRT(($J$1026-J778)^2)</f>
        <v/>
      </c>
      <c r="CE778">
        <f>SQRT(($R$1026-R778)^2)</f>
        <v/>
      </c>
      <c r="CF778" s="125" t="inlineStr">
        <is>
          <t>HY700X283</t>
        </is>
      </c>
    </row>
    <row r="779">
      <c r="A779" s="125" t="inlineStr">
        <is>
          <t>HY700X259</t>
        </is>
      </c>
      <c r="B779" s="129" t="inlineStr">
        <is>
          <t>HY</t>
        </is>
      </c>
      <c r="C779" s="125" t="n">
        <v>259</v>
      </c>
      <c r="D779" s="125" t="n">
        <v>700</v>
      </c>
      <c r="E779" s="125" t="n">
        <v>400</v>
      </c>
      <c r="F779" s="125" t="n">
        <v>28</v>
      </c>
      <c r="G779" s="125" t="n">
        <v>16</v>
      </c>
      <c r="H779" s="125" t="n">
        <v>18</v>
      </c>
      <c r="I779" s="125">
        <f>D779-(2*(H779+F779))</f>
        <v/>
      </c>
      <c r="J779" s="125">
        <f>(2*E779/10*F779/10)+((D779-F779-F779)/10*G779/10)+((H779/10+H779/10)^2)-(PI()*H779/10*H779/10)</f>
        <v/>
      </c>
      <c r="K779" s="125">
        <f>((E779-G779)/2)/F779</f>
        <v/>
      </c>
      <c r="L779" s="125">
        <f>I779/G779</f>
        <v/>
      </c>
      <c r="M779" s="125">
        <f>(E779*2+F779*4+((E779-G779)/2-H779)*4+2*PI()*H779+(D779-2*F779-2*H779)*2)/1000</f>
        <v/>
      </c>
      <c r="N779" s="5" t="n">
        <v>291000</v>
      </c>
      <c r="O779" s="5" t="n">
        <v>29900</v>
      </c>
      <c r="P779" s="125" t="n">
        <v>29.7</v>
      </c>
      <c r="Q779" s="125" t="n">
        <v>9.5</v>
      </c>
      <c r="R779" s="5" t="n">
        <v>8330</v>
      </c>
      <c r="S779" s="5" t="n">
        <v>1490</v>
      </c>
      <c r="T779" s="5" t="n">
        <v>9270</v>
      </c>
      <c r="U779" s="5" t="n">
        <v>2280</v>
      </c>
      <c r="X779" s="129">
        <f t="array" ref="X779">_xlfn.IFS((D779/F779) &lt;= (640/SQRT($AT$32)), "Compact", L779 &lt;= ($AT$32*(0.79-(0.002*((E779-G779/2)/(2*F779))*SQRT($AT$32)))), "Non-Compact", L779 &gt; ($AT$32*(0.79-(0.002*((E779-G779/2)/(2*F779))*SQRT($AT$32)))), "Slender")</f>
        <v/>
      </c>
      <c r="Y779" s="129">
        <f t="array" ref="Y779">_xlfn.IFS(K779 &lt;= (65/SQRT($AT$32)), "Compact", K779 &lt;= (95/SQRT($AT$32)), "Non-Compact", K779 &gt; (95/SQRT($AT$32)), "Slender")</f>
        <v/>
      </c>
      <c r="Z779" s="125">
        <f>E779/F779</f>
        <v/>
      </c>
      <c r="AA779" s="125">
        <f>D779/G779</f>
        <v/>
      </c>
      <c r="AB779" s="125">
        <f t="array" ref="AB779">_xlfn.IFS(Z779 &lt;= 9, "1", Z779 &lt;= 12, "2", Z779 &lt;= 15, "3", Z779 &gt; 15, "4")</f>
        <v/>
      </c>
      <c r="AC779" s="125">
        <f t="array" ref="AC779">_xlfn.IFS(AA779 &lt;= 200, "1", L779 &lt;= 300, "2", L779 &lt;= 400, "3", L779 &gt; 400, "4")</f>
        <v/>
      </c>
      <c r="AF779" s="129">
        <f>SQRT((((VLOOKUP($AT$4,$A$4:$D$1021,4,FALSE))-D779)^2)+(((VLOOKUP($AT$4,$A$4:$E$1021,5,FALSE))-E779)^2)+(((VLOOKUP($AT$4,$A$4:$N$1021,14,FALSE))-N779)^2)+(((VLOOKUP($AT$4,$A$4:$O$1021,15,FALSE))-O779)^2))</f>
        <v/>
      </c>
      <c r="AG779" s="129" t="n"/>
      <c r="AI779" s="129">
        <f>SQRT((((VLOOKUP($AT$4,$A$4:$D$1021,4,FALSE))-D779)^2)+(((VLOOKUP($AT$4,$A$4:$E$1021,5,FALSE))-E779)^2)+(((VLOOKUP($AT$4,$A$4:$R$1021,18,FALSE))-R779)^2)+(((VLOOKUP($AT$4,$A$4:$S$1021,19,FALSE))-S779)^2))</f>
        <v/>
      </c>
      <c r="AJ779" s="125" t="inlineStr">
        <is>
          <t>HY700X259</t>
        </is>
      </c>
      <c r="AK779" s="125" t="n"/>
      <c r="AL779" s="125" t="n"/>
      <c r="AM779" s="125">
        <f>SQRT(((VLOOKUP($AT$4,$A$4:$J$1021,10,FALSE))-J779)^2)</f>
        <v/>
      </c>
      <c r="AN779" s="125" t="n"/>
      <c r="AO779" s="125" t="n"/>
      <c r="AP779" s="125">
        <f>SQRT(((VLOOKUP($AT$4,$A$4:$R$1021,18,FALSE))-R779)^2)</f>
        <v/>
      </c>
      <c r="AQ779" s="125" t="inlineStr">
        <is>
          <t>HY700X259</t>
        </is>
      </c>
      <c r="BB779" s="125">
        <f>SQRT(($J$1022-J779)^2)</f>
        <v/>
      </c>
      <c r="BC779" s="125">
        <f>SQRT(($R$1022-R779)^2)</f>
        <v/>
      </c>
      <c r="BD779" s="125" t="inlineStr">
        <is>
          <t>HY700X259</t>
        </is>
      </c>
      <c r="BI779">
        <f>SQRT(($J$1023-J779)^2)</f>
        <v/>
      </c>
      <c r="BJ779">
        <f>SQRT(($R$1023-R779)^2)</f>
        <v/>
      </c>
      <c r="BK779" s="125" t="inlineStr">
        <is>
          <t>HY700X259</t>
        </is>
      </c>
      <c r="BP779">
        <f>SQRT(($J$1024-J779)^2)</f>
        <v/>
      </c>
      <c r="BQ779">
        <f>SQRT(($R$1024-R779)^2)</f>
        <v/>
      </c>
      <c r="BR779" s="125" t="inlineStr">
        <is>
          <t>HY700X259</t>
        </is>
      </c>
      <c r="BW779">
        <f>SQRT(($J$1025-J779)^2)</f>
        <v/>
      </c>
      <c r="BX779">
        <f>SQRT(($R$1025-R779)^2)</f>
        <v/>
      </c>
      <c r="BY779" s="125" t="inlineStr">
        <is>
          <t>HY700X259</t>
        </is>
      </c>
      <c r="CD779">
        <f>SQRT(($J$1026-J779)^2)</f>
        <v/>
      </c>
      <c r="CE779">
        <f>SQRT(($R$1026-R779)^2)</f>
        <v/>
      </c>
      <c r="CF779" s="125" t="inlineStr">
        <is>
          <t>HY700X259</t>
        </is>
      </c>
    </row>
    <row r="780">
      <c r="A780" s="125" t="inlineStr">
        <is>
          <t>HY700X241</t>
        </is>
      </c>
      <c r="B780" s="129" t="inlineStr">
        <is>
          <t>HY</t>
        </is>
      </c>
      <c r="C780" s="125" t="n">
        <v>241</v>
      </c>
      <c r="D780" s="125" t="n">
        <v>700</v>
      </c>
      <c r="E780" s="125" t="n">
        <v>400</v>
      </c>
      <c r="F780" s="125" t="n">
        <v>25</v>
      </c>
      <c r="G780" s="125" t="n">
        <v>16</v>
      </c>
      <c r="H780" s="125" t="n">
        <v>18</v>
      </c>
      <c r="I780" s="125">
        <f>D780-(2*(H780+F780))</f>
        <v/>
      </c>
      <c r="J780" s="125">
        <f>(2*E780/10*F780/10)+((D780-F780-F780)/10*G780/10)+((H780/10+H780/10)^2)-(PI()*H780/10*H780/10)</f>
        <v/>
      </c>
      <c r="K780" s="125">
        <f>((E780-G780)/2)/F780</f>
        <v/>
      </c>
      <c r="L780" s="125">
        <f>I780/G780</f>
        <v/>
      </c>
      <c r="M780" s="125">
        <f>(E780*2+F780*4+((E780-G780)/2-H780)*4+2*PI()*H780+(D780-2*F780-2*H780)*2)/1000</f>
        <v/>
      </c>
      <c r="N780" s="5" t="n">
        <v>267000</v>
      </c>
      <c r="O780" s="5" t="n">
        <v>26700</v>
      </c>
      <c r="P780" s="125" t="n">
        <v>29.5</v>
      </c>
      <c r="Q780" s="125" t="n">
        <v>9.300000000000001</v>
      </c>
      <c r="R780" s="5" t="n">
        <v>7640</v>
      </c>
      <c r="S780" s="5" t="n">
        <v>1330</v>
      </c>
      <c r="T780" s="5" t="n">
        <v>8530</v>
      </c>
      <c r="U780" s="5" t="n">
        <v>2040</v>
      </c>
      <c r="X780" s="129">
        <f t="array" ref="X780">_xlfn.IFS((D780/F780) &lt;= (640/SQRT($AT$32)), "Compact", L780 &lt;= ($AT$32*(0.79-(0.002*((E780-G780/2)/(2*F780))*SQRT($AT$32)))), "Non-Compact", L780 &gt; ($AT$32*(0.79-(0.002*((E780-G780/2)/(2*F780))*SQRT($AT$32)))), "Slender")</f>
        <v/>
      </c>
      <c r="Y780" s="129">
        <f t="array" ref="Y780">_xlfn.IFS(K780 &lt;= (65/SQRT($AT$32)), "Compact", K780 &lt;= (95/SQRT($AT$32)), "Non-Compact", K780 &gt; (95/SQRT($AT$32)), "Slender")</f>
        <v/>
      </c>
      <c r="Z780" s="125">
        <f>E780/F780</f>
        <v/>
      </c>
      <c r="AA780" s="125">
        <f>D780/G780</f>
        <v/>
      </c>
      <c r="AB780" s="125">
        <f t="array" ref="AB780">_xlfn.IFS(Z780 &lt;= 9, "1", Z780 &lt;= 12, "2", Z780 &lt;= 15, "3", Z780 &gt; 15, "4")</f>
        <v/>
      </c>
      <c r="AC780" s="125">
        <f t="array" ref="AC780">_xlfn.IFS(AA780 &lt;= 200, "1", L780 &lt;= 300, "2", L780 &lt;= 400, "3", L780 &gt; 400, "4")</f>
        <v/>
      </c>
      <c r="AF780" s="129">
        <f>SQRT((((VLOOKUP($AT$4,$A$4:$D$1021,4,FALSE))-D780)^2)+(((VLOOKUP($AT$4,$A$4:$E$1021,5,FALSE))-E780)^2)+(((VLOOKUP($AT$4,$A$4:$N$1021,14,FALSE))-N780)^2)+(((VLOOKUP($AT$4,$A$4:$O$1021,15,FALSE))-O780)^2))</f>
        <v/>
      </c>
      <c r="AG780" s="129" t="n"/>
      <c r="AI780" s="129">
        <f>SQRT((((VLOOKUP($AT$4,$A$4:$D$1021,4,FALSE))-D780)^2)+(((VLOOKUP($AT$4,$A$4:$E$1021,5,FALSE))-E780)^2)+(((VLOOKUP($AT$4,$A$4:$R$1021,18,FALSE))-R780)^2)+(((VLOOKUP($AT$4,$A$4:$S$1021,19,FALSE))-S780)^2))</f>
        <v/>
      </c>
      <c r="AJ780" s="125" t="inlineStr">
        <is>
          <t>HY700X241</t>
        </is>
      </c>
      <c r="AK780" s="125" t="n"/>
      <c r="AL780" s="125" t="n"/>
      <c r="AM780" s="125">
        <f>SQRT(((VLOOKUP($AT$4,$A$4:$J$1021,10,FALSE))-J780)^2)</f>
        <v/>
      </c>
      <c r="AN780" s="125" t="n"/>
      <c r="AO780" s="125" t="n"/>
      <c r="AP780" s="125">
        <f>SQRT(((VLOOKUP($AT$4,$A$4:$R$1021,18,FALSE))-R780)^2)</f>
        <v/>
      </c>
      <c r="AQ780" s="125" t="inlineStr">
        <is>
          <t>HY700X241</t>
        </is>
      </c>
      <c r="BB780" s="125">
        <f>SQRT(($J$1022-J780)^2)</f>
        <v/>
      </c>
      <c r="BC780" s="125">
        <f>SQRT(($R$1022-R780)^2)</f>
        <v/>
      </c>
      <c r="BD780" s="125" t="inlineStr">
        <is>
          <t>HY700X241</t>
        </is>
      </c>
      <c r="BI780">
        <f>SQRT(($J$1023-J780)^2)</f>
        <v/>
      </c>
      <c r="BJ780">
        <f>SQRT(($R$1023-R780)^2)</f>
        <v/>
      </c>
      <c r="BK780" s="125" t="inlineStr">
        <is>
          <t>HY700X241</t>
        </is>
      </c>
      <c r="BP780">
        <f>SQRT(($J$1024-J780)^2)</f>
        <v/>
      </c>
      <c r="BQ780">
        <f>SQRT(($R$1024-R780)^2)</f>
        <v/>
      </c>
      <c r="BR780" s="125" t="inlineStr">
        <is>
          <t>HY700X241</t>
        </is>
      </c>
      <c r="BW780">
        <f>SQRT(($J$1025-J780)^2)</f>
        <v/>
      </c>
      <c r="BX780">
        <f>SQRT(($R$1025-R780)^2)</f>
        <v/>
      </c>
      <c r="BY780" s="125" t="inlineStr">
        <is>
          <t>HY700X241</t>
        </is>
      </c>
      <c r="CD780">
        <f>SQRT(($J$1026-J780)^2)</f>
        <v/>
      </c>
      <c r="CE780">
        <f>SQRT(($R$1026-R780)^2)</f>
        <v/>
      </c>
      <c r="CF780" s="125" t="inlineStr">
        <is>
          <t>HY700X241</t>
        </is>
      </c>
    </row>
    <row r="781">
      <c r="A781" s="125" t="inlineStr">
        <is>
          <t>HY700X223</t>
        </is>
      </c>
      <c r="B781" s="129" t="inlineStr">
        <is>
          <t>HY</t>
        </is>
      </c>
      <c r="C781" s="125" t="n">
        <v>223</v>
      </c>
      <c r="D781" s="125" t="n">
        <v>700</v>
      </c>
      <c r="E781" s="125" t="n">
        <v>400</v>
      </c>
      <c r="F781" s="125" t="n">
        <v>22</v>
      </c>
      <c r="G781" s="125" t="n">
        <v>16</v>
      </c>
      <c r="H781" s="125" t="n">
        <v>18</v>
      </c>
      <c r="I781" s="125">
        <f>D781-(2*(H781+F781))</f>
        <v/>
      </c>
      <c r="J781" s="125">
        <f>(2*E781/10*F781/10)+((D781-F781-F781)/10*G781/10)+((H781/10+H781/10)^2)-(PI()*H781/10*H781/10)</f>
        <v/>
      </c>
      <c r="K781" s="125">
        <f>((E781-G781)/2)/F781</f>
        <v/>
      </c>
      <c r="L781" s="125">
        <f>I781/G781</f>
        <v/>
      </c>
      <c r="M781" s="125">
        <f>(E781*2+F781*4+((E781-G781)/2-H781)*4+2*PI()*H781+(D781-2*F781-2*H781)*2)/1000</f>
        <v/>
      </c>
      <c r="N781" s="5" t="n">
        <v>243000</v>
      </c>
      <c r="O781" s="5" t="n">
        <v>23500</v>
      </c>
      <c r="P781" s="125" t="n">
        <v>29.3</v>
      </c>
      <c r="Q781" s="125" t="n">
        <v>9.1</v>
      </c>
      <c r="R781" s="5" t="n">
        <v>6940</v>
      </c>
      <c r="S781" s="5" t="n">
        <v>1170</v>
      </c>
      <c r="T781" s="5" t="n">
        <v>7780</v>
      </c>
      <c r="U781" s="5" t="n">
        <v>1810</v>
      </c>
      <c r="X781" s="129">
        <f t="array" ref="X781">_xlfn.IFS((D781/F781) &lt;= (640/SQRT($AT$32)), "Compact", L781 &lt;= ($AT$32*(0.79-(0.002*((E781-G781/2)/(2*F781))*SQRT($AT$32)))), "Non-Compact", L781 &gt; ($AT$32*(0.79-(0.002*((E781-G781/2)/(2*F781))*SQRT($AT$32)))), "Slender")</f>
        <v/>
      </c>
      <c r="Y781" s="129">
        <f t="array" ref="Y781">_xlfn.IFS(K781 &lt;= (65/SQRT($AT$32)), "Compact", K781 &lt;= (95/SQRT($AT$32)), "Non-Compact", K781 &gt; (95/SQRT($AT$32)), "Slender")</f>
        <v/>
      </c>
      <c r="Z781" s="125">
        <f>E781/F781</f>
        <v/>
      </c>
      <c r="AA781" s="125">
        <f>D781/G781</f>
        <v/>
      </c>
      <c r="AB781" s="125">
        <f t="array" ref="AB781">_xlfn.IFS(Z781 &lt;= 9, "1", Z781 &lt;= 12, "2", Z781 &lt;= 15, "3", Z781 &gt; 15, "4")</f>
        <v/>
      </c>
      <c r="AC781" s="125">
        <f t="array" ref="AC781">_xlfn.IFS(AA781 &lt;= 200, "1", L781 &lt;= 300, "2", L781 &lt;= 400, "3", L781 &gt; 400, "4")</f>
        <v/>
      </c>
      <c r="AF781" s="129">
        <f>SQRT((((VLOOKUP($AT$4,$A$4:$D$1021,4,FALSE))-D781)^2)+(((VLOOKUP($AT$4,$A$4:$E$1021,5,FALSE))-E781)^2)+(((VLOOKUP($AT$4,$A$4:$N$1021,14,FALSE))-N781)^2)+(((VLOOKUP($AT$4,$A$4:$O$1021,15,FALSE))-O781)^2))</f>
        <v/>
      </c>
      <c r="AG781" s="129" t="n"/>
      <c r="AI781" s="129">
        <f>SQRT((((VLOOKUP($AT$4,$A$4:$D$1021,4,FALSE))-D781)^2)+(((VLOOKUP($AT$4,$A$4:$E$1021,5,FALSE))-E781)^2)+(((VLOOKUP($AT$4,$A$4:$R$1021,18,FALSE))-R781)^2)+(((VLOOKUP($AT$4,$A$4:$S$1021,19,FALSE))-S781)^2))</f>
        <v/>
      </c>
      <c r="AJ781" s="125" t="inlineStr">
        <is>
          <t>HY700X223</t>
        </is>
      </c>
      <c r="AK781" s="125" t="n"/>
      <c r="AL781" s="125" t="n"/>
      <c r="AM781" s="125">
        <f>SQRT(((VLOOKUP($AT$4,$A$4:$J$1021,10,FALSE))-J781)^2)</f>
        <v/>
      </c>
      <c r="AN781" s="125" t="n"/>
      <c r="AO781" s="125" t="n"/>
      <c r="AP781" s="125">
        <f>SQRT(((VLOOKUP($AT$4,$A$4:$R$1021,18,FALSE))-R781)^2)</f>
        <v/>
      </c>
      <c r="AQ781" s="125" t="inlineStr">
        <is>
          <t>HY700X223</t>
        </is>
      </c>
      <c r="BB781" s="125">
        <f>SQRT(($J$1022-J781)^2)</f>
        <v/>
      </c>
      <c r="BC781" s="125">
        <f>SQRT(($R$1022-R781)^2)</f>
        <v/>
      </c>
      <c r="BD781" s="125" t="inlineStr">
        <is>
          <t>HY700X223</t>
        </is>
      </c>
      <c r="BI781">
        <f>SQRT(($J$1023-J781)^2)</f>
        <v/>
      </c>
      <c r="BJ781">
        <f>SQRT(($R$1023-R781)^2)</f>
        <v/>
      </c>
      <c r="BK781" s="125" t="inlineStr">
        <is>
          <t>HY700X223</t>
        </is>
      </c>
      <c r="BP781">
        <f>SQRT(($J$1024-J781)^2)</f>
        <v/>
      </c>
      <c r="BQ781">
        <f>SQRT(($R$1024-R781)^2)</f>
        <v/>
      </c>
      <c r="BR781" s="125" t="inlineStr">
        <is>
          <t>HY700X223</t>
        </is>
      </c>
      <c r="BW781">
        <f>SQRT(($J$1025-J781)^2)</f>
        <v/>
      </c>
      <c r="BX781">
        <f>SQRT(($R$1025-R781)^2)</f>
        <v/>
      </c>
      <c r="BY781" s="125" t="inlineStr">
        <is>
          <t>HY700X223</t>
        </is>
      </c>
      <c r="CD781">
        <f>SQRT(($J$1026-J781)^2)</f>
        <v/>
      </c>
      <c r="CE781">
        <f>SQRT(($R$1026-R781)^2)</f>
        <v/>
      </c>
      <c r="CF781" s="125" t="inlineStr">
        <is>
          <t>HY700X223</t>
        </is>
      </c>
    </row>
    <row r="782">
      <c r="A782" s="125" t="inlineStr">
        <is>
          <t>HY700X273</t>
        </is>
      </c>
      <c r="B782" s="129" t="inlineStr">
        <is>
          <t>HY</t>
        </is>
      </c>
      <c r="C782" s="125" t="n">
        <v>273</v>
      </c>
      <c r="D782" s="125" t="n">
        <v>700</v>
      </c>
      <c r="E782" s="125" t="n">
        <v>400</v>
      </c>
      <c r="F782" s="125" t="n">
        <v>32</v>
      </c>
      <c r="G782" s="125" t="n">
        <v>14</v>
      </c>
      <c r="H782" s="125" t="n">
        <v>18</v>
      </c>
      <c r="I782" s="125">
        <f>D782-(2*(H782+F782))</f>
        <v/>
      </c>
      <c r="J782" s="125">
        <f>(2*E782/10*F782/10)+((D782-F782-F782)/10*G782/10)+((H782/10+H782/10)^2)-(PI()*H782/10*H782/10)</f>
        <v/>
      </c>
      <c r="K782" s="125">
        <f>((E782-G782)/2)/F782</f>
        <v/>
      </c>
      <c r="L782" s="125">
        <f>I782/G782</f>
        <v/>
      </c>
      <c r="M782" s="125">
        <f>(E782*2+F782*4+((E782-G782)/2-H782)*4+2*PI()*H782+(D782-2*F782-2*H782)*2)/1000</f>
        <v/>
      </c>
      <c r="N782" s="5" t="n">
        <v>319000</v>
      </c>
      <c r="O782" s="5" t="n">
        <v>34200</v>
      </c>
      <c r="P782" s="125" t="n">
        <v>30.3</v>
      </c>
      <c r="Q782" s="125" t="n">
        <v>9.9</v>
      </c>
      <c r="R782" s="5" t="n">
        <v>9100</v>
      </c>
      <c r="S782" s="5" t="n">
        <v>1710</v>
      </c>
      <c r="T782" s="5" t="n">
        <v>10100</v>
      </c>
      <c r="U782" s="5" t="n">
        <v>2590</v>
      </c>
      <c r="X782" s="129">
        <f t="array" ref="X782">_xlfn.IFS((D782/F782) &lt;= (640/SQRT($AT$32)), "Compact", L782 &lt;= ($AT$32*(0.79-(0.002*((E782-G782/2)/(2*F782))*SQRT($AT$32)))), "Non-Compact", L782 &gt; ($AT$32*(0.79-(0.002*((E782-G782/2)/(2*F782))*SQRT($AT$32)))), "Slender")</f>
        <v/>
      </c>
      <c r="Y782" s="129">
        <f t="array" ref="Y782">_xlfn.IFS(K782 &lt;= (65/SQRT($AT$32)), "Compact", K782 &lt;= (95/SQRT($AT$32)), "Non-Compact", K782 &gt; (95/SQRT($AT$32)), "Slender")</f>
        <v/>
      </c>
      <c r="Z782" s="125">
        <f>E782/F782</f>
        <v/>
      </c>
      <c r="AA782" s="125">
        <f>D782/G782</f>
        <v/>
      </c>
      <c r="AB782" s="125">
        <f t="array" ref="AB782">_xlfn.IFS(Z782 &lt;= 9, "1", Z782 &lt;= 12, "2", Z782 &lt;= 15, "3", Z782 &gt; 15, "4")</f>
        <v/>
      </c>
      <c r="AC782" s="125">
        <f t="array" ref="AC782">_xlfn.IFS(AA782 &lt;= 200, "1", L782 &lt;= 300, "2", L782 &lt;= 400, "3", L782 &gt; 400, "4")</f>
        <v/>
      </c>
      <c r="AF782" s="129">
        <f>SQRT((((VLOOKUP($AT$4,$A$4:$D$1021,4,FALSE))-D782)^2)+(((VLOOKUP($AT$4,$A$4:$E$1021,5,FALSE))-E782)^2)+(((VLOOKUP($AT$4,$A$4:$N$1021,14,FALSE))-N782)^2)+(((VLOOKUP($AT$4,$A$4:$O$1021,15,FALSE))-O782)^2))</f>
        <v/>
      </c>
      <c r="AG782" s="129" t="n"/>
      <c r="AI782" s="129">
        <f>SQRT((((VLOOKUP($AT$4,$A$4:$D$1021,4,FALSE))-D782)^2)+(((VLOOKUP($AT$4,$A$4:$E$1021,5,FALSE))-E782)^2)+(((VLOOKUP($AT$4,$A$4:$R$1021,18,FALSE))-R782)^2)+(((VLOOKUP($AT$4,$A$4:$S$1021,19,FALSE))-S782)^2))</f>
        <v/>
      </c>
      <c r="AJ782" s="125" t="inlineStr">
        <is>
          <t>HY700X273</t>
        </is>
      </c>
      <c r="AK782" s="125" t="n"/>
      <c r="AL782" s="125" t="n"/>
      <c r="AM782" s="125">
        <f>SQRT(((VLOOKUP($AT$4,$A$4:$J$1021,10,FALSE))-J782)^2)</f>
        <v/>
      </c>
      <c r="AN782" s="125" t="n"/>
      <c r="AO782" s="125" t="n"/>
      <c r="AP782" s="125">
        <f>SQRT(((VLOOKUP($AT$4,$A$4:$R$1021,18,FALSE))-R782)^2)</f>
        <v/>
      </c>
      <c r="AQ782" s="125" t="inlineStr">
        <is>
          <t>HY700X273</t>
        </is>
      </c>
      <c r="BB782" s="125">
        <f>SQRT(($J$1022-J782)^2)</f>
        <v/>
      </c>
      <c r="BC782" s="125">
        <f>SQRT(($R$1022-R782)^2)</f>
        <v/>
      </c>
      <c r="BD782" s="125" t="inlineStr">
        <is>
          <t>HY700X273</t>
        </is>
      </c>
      <c r="BI782">
        <f>SQRT(($J$1023-J782)^2)</f>
        <v/>
      </c>
      <c r="BJ782">
        <f>SQRT(($R$1023-R782)^2)</f>
        <v/>
      </c>
      <c r="BK782" s="125" t="inlineStr">
        <is>
          <t>HY700X273</t>
        </is>
      </c>
      <c r="BP782">
        <f>SQRT(($J$1024-J782)^2)</f>
        <v/>
      </c>
      <c r="BQ782">
        <f>SQRT(($R$1024-R782)^2)</f>
        <v/>
      </c>
      <c r="BR782" s="125" t="inlineStr">
        <is>
          <t>HY700X273</t>
        </is>
      </c>
      <c r="BW782">
        <f>SQRT(($J$1025-J782)^2)</f>
        <v/>
      </c>
      <c r="BX782">
        <f>SQRT(($R$1025-R782)^2)</f>
        <v/>
      </c>
      <c r="BY782" s="125" t="inlineStr">
        <is>
          <t>HY700X273</t>
        </is>
      </c>
      <c r="CD782">
        <f>SQRT(($J$1026-J782)^2)</f>
        <v/>
      </c>
      <c r="CE782">
        <f>SQRT(($R$1026-R782)^2)</f>
        <v/>
      </c>
      <c r="CF782" s="125" t="inlineStr">
        <is>
          <t>HY700X273</t>
        </is>
      </c>
    </row>
    <row r="783">
      <c r="A783" s="125" t="inlineStr">
        <is>
          <t>HY700X249</t>
        </is>
      </c>
      <c r="B783" s="129" t="inlineStr">
        <is>
          <t>HY</t>
        </is>
      </c>
      <c r="C783" s="125" t="n">
        <v>249</v>
      </c>
      <c r="D783" s="125" t="n">
        <v>700</v>
      </c>
      <c r="E783" s="125" t="n">
        <v>400</v>
      </c>
      <c r="F783" s="125" t="n">
        <v>28</v>
      </c>
      <c r="G783" s="125" t="n">
        <v>14</v>
      </c>
      <c r="H783" s="125" t="n">
        <v>18</v>
      </c>
      <c r="I783" s="125">
        <f>D783-(2*(H783+F783))</f>
        <v/>
      </c>
      <c r="J783" s="125">
        <f>(2*E783/10*F783/10)+((D783-F783-F783)/10*G783/10)+((H783/10+H783/10)^2)-(PI()*H783/10*H783/10)</f>
        <v/>
      </c>
      <c r="K783" s="125">
        <f>((E783-G783)/2)/F783</f>
        <v/>
      </c>
      <c r="L783" s="125">
        <f>I783/G783</f>
        <v/>
      </c>
      <c r="M783" s="125">
        <f>(E783*2+F783*4+((E783-G783)/2-H783)*4+2*PI()*H783+(D783-2*F783-2*H783)*2)/1000</f>
        <v/>
      </c>
      <c r="N783" s="5" t="n">
        <v>287000</v>
      </c>
      <c r="O783" s="5" t="n">
        <v>29900</v>
      </c>
      <c r="P783" s="125" t="n">
        <v>30.1</v>
      </c>
      <c r="Q783" s="125" t="n">
        <v>9.699999999999999</v>
      </c>
      <c r="R783" s="5" t="n">
        <v>8200</v>
      </c>
      <c r="S783" s="5" t="n">
        <v>1490</v>
      </c>
      <c r="T783" s="5" t="n">
        <v>9070</v>
      </c>
      <c r="U783" s="5" t="n">
        <v>2270</v>
      </c>
      <c r="X783" s="129">
        <f t="array" ref="X783">_xlfn.IFS((D783/F783) &lt;= (640/SQRT($AT$32)), "Compact", L783 &lt;= ($AT$32*(0.79-(0.002*((E783-G783/2)/(2*F783))*SQRT($AT$32)))), "Non-Compact", L783 &gt; ($AT$32*(0.79-(0.002*((E783-G783/2)/(2*F783))*SQRT($AT$32)))), "Slender")</f>
        <v/>
      </c>
      <c r="Y783" s="129">
        <f t="array" ref="Y783">_xlfn.IFS(K783 &lt;= (65/SQRT($AT$32)), "Compact", K783 &lt;= (95/SQRT($AT$32)), "Non-Compact", K783 &gt; (95/SQRT($AT$32)), "Slender")</f>
        <v/>
      </c>
      <c r="Z783" s="125">
        <f>E783/F783</f>
        <v/>
      </c>
      <c r="AA783" s="125">
        <f>D783/G783</f>
        <v/>
      </c>
      <c r="AB783" s="125">
        <f t="array" ref="AB783">_xlfn.IFS(Z783 &lt;= 9, "1", Z783 &lt;= 12, "2", Z783 &lt;= 15, "3", Z783 &gt; 15, "4")</f>
        <v/>
      </c>
      <c r="AC783" s="125">
        <f t="array" ref="AC783">_xlfn.IFS(AA783 &lt;= 200, "1", L783 &lt;= 300, "2", L783 &lt;= 400, "3", L783 &gt; 400, "4")</f>
        <v/>
      </c>
      <c r="AF783" s="129">
        <f>SQRT((((VLOOKUP($AT$4,$A$4:$D$1021,4,FALSE))-D783)^2)+(((VLOOKUP($AT$4,$A$4:$E$1021,5,FALSE))-E783)^2)+(((VLOOKUP($AT$4,$A$4:$N$1021,14,FALSE))-N783)^2)+(((VLOOKUP($AT$4,$A$4:$O$1021,15,FALSE))-O783)^2))</f>
        <v/>
      </c>
      <c r="AG783" s="129" t="n"/>
      <c r="AI783" s="129">
        <f>SQRT((((VLOOKUP($AT$4,$A$4:$D$1021,4,FALSE))-D783)^2)+(((VLOOKUP($AT$4,$A$4:$E$1021,5,FALSE))-E783)^2)+(((VLOOKUP($AT$4,$A$4:$R$1021,18,FALSE))-R783)^2)+(((VLOOKUP($AT$4,$A$4:$S$1021,19,FALSE))-S783)^2))</f>
        <v/>
      </c>
      <c r="AJ783" s="125" t="inlineStr">
        <is>
          <t>HY700X249</t>
        </is>
      </c>
      <c r="AK783" s="125" t="n"/>
      <c r="AL783" s="125" t="n"/>
      <c r="AM783" s="125">
        <f>SQRT(((VLOOKUP($AT$4,$A$4:$J$1021,10,FALSE))-J783)^2)</f>
        <v/>
      </c>
      <c r="AN783" s="125" t="n"/>
      <c r="AO783" s="125" t="n"/>
      <c r="AP783" s="125">
        <f>SQRT(((VLOOKUP($AT$4,$A$4:$R$1021,18,FALSE))-R783)^2)</f>
        <v/>
      </c>
      <c r="AQ783" s="125" t="inlineStr">
        <is>
          <t>HY700X249</t>
        </is>
      </c>
      <c r="BB783" s="125">
        <f>SQRT(($J$1022-J783)^2)</f>
        <v/>
      </c>
      <c r="BC783" s="125">
        <f>SQRT(($R$1022-R783)^2)</f>
        <v/>
      </c>
      <c r="BD783" s="125" t="inlineStr">
        <is>
          <t>HY700X249</t>
        </is>
      </c>
      <c r="BI783">
        <f>SQRT(($J$1023-J783)^2)</f>
        <v/>
      </c>
      <c r="BJ783">
        <f>SQRT(($R$1023-R783)^2)</f>
        <v/>
      </c>
      <c r="BK783" s="125" t="inlineStr">
        <is>
          <t>HY700X249</t>
        </is>
      </c>
      <c r="BP783">
        <f>SQRT(($J$1024-J783)^2)</f>
        <v/>
      </c>
      <c r="BQ783">
        <f>SQRT(($R$1024-R783)^2)</f>
        <v/>
      </c>
      <c r="BR783" s="125" t="inlineStr">
        <is>
          <t>HY700X249</t>
        </is>
      </c>
      <c r="BW783">
        <f>SQRT(($J$1025-J783)^2)</f>
        <v/>
      </c>
      <c r="BX783">
        <f>SQRT(($R$1025-R783)^2)</f>
        <v/>
      </c>
      <c r="BY783" s="125" t="inlineStr">
        <is>
          <t>HY700X249</t>
        </is>
      </c>
      <c r="CD783">
        <f>SQRT(($J$1026-J783)^2)</f>
        <v/>
      </c>
      <c r="CE783">
        <f>SQRT(($R$1026-R783)^2)</f>
        <v/>
      </c>
      <c r="CF783" s="125" t="inlineStr">
        <is>
          <t>HY700X249</t>
        </is>
      </c>
    </row>
    <row r="784">
      <c r="A784" s="125" t="inlineStr">
        <is>
          <t>HY700X231</t>
        </is>
      </c>
      <c r="B784" s="129" t="inlineStr">
        <is>
          <t>HY</t>
        </is>
      </c>
      <c r="C784" s="125" t="n">
        <v>231</v>
      </c>
      <c r="D784" s="125" t="n">
        <v>700</v>
      </c>
      <c r="E784" s="125" t="n">
        <v>400</v>
      </c>
      <c r="F784" s="125" t="n">
        <v>25</v>
      </c>
      <c r="G784" s="125" t="n">
        <v>14</v>
      </c>
      <c r="H784" s="125" t="n">
        <v>18</v>
      </c>
      <c r="I784" s="125">
        <f>D784-(2*(H784+F784))</f>
        <v/>
      </c>
      <c r="J784" s="125">
        <f>(2*E784/10*F784/10)+((D784-F784-F784)/10*G784/10)+((H784/10+H784/10)^2)-(PI()*H784/10*H784/10)</f>
        <v/>
      </c>
      <c r="K784" s="125">
        <f>((E784-G784)/2)/F784</f>
        <v/>
      </c>
      <c r="L784" s="125">
        <f>I784/G784</f>
        <v/>
      </c>
      <c r="M784" s="125">
        <f>(E784*2+F784*4+((E784-G784)/2-H784)*4+2*PI()*H784+(D784-2*F784-2*H784)*2)/1000</f>
        <v/>
      </c>
      <c r="N784" s="5" t="n">
        <v>263000</v>
      </c>
      <c r="O784" s="5" t="n">
        <v>26700</v>
      </c>
      <c r="P784" s="125" t="n">
        <v>29.9</v>
      </c>
      <c r="Q784" s="125" t="n">
        <v>9.5</v>
      </c>
      <c r="R784" s="5" t="n">
        <v>7510</v>
      </c>
      <c r="S784" s="5" t="n">
        <v>1330</v>
      </c>
      <c r="T784" s="5" t="n">
        <v>8320</v>
      </c>
      <c r="U784" s="5" t="n">
        <v>2030</v>
      </c>
      <c r="X784" s="129">
        <f t="array" ref="X784">_xlfn.IFS((D784/F784) &lt;= (640/SQRT($AT$32)), "Compact", L784 &lt;= ($AT$32*(0.79-(0.002*((E784-G784/2)/(2*F784))*SQRT($AT$32)))), "Non-Compact", L784 &gt; ($AT$32*(0.79-(0.002*((E784-G784/2)/(2*F784))*SQRT($AT$32)))), "Slender")</f>
        <v/>
      </c>
      <c r="Y784" s="129">
        <f t="array" ref="Y784">_xlfn.IFS(K784 &lt;= (65/SQRT($AT$32)), "Compact", K784 &lt;= (95/SQRT($AT$32)), "Non-Compact", K784 &gt; (95/SQRT($AT$32)), "Slender")</f>
        <v/>
      </c>
      <c r="Z784" s="125">
        <f>E784/F784</f>
        <v/>
      </c>
      <c r="AA784" s="125">
        <f>D784/G784</f>
        <v/>
      </c>
      <c r="AB784" s="125">
        <f t="array" ref="AB784">_xlfn.IFS(Z784 &lt;= 9, "1", Z784 &lt;= 12, "2", Z784 &lt;= 15, "3", Z784 &gt; 15, "4")</f>
        <v/>
      </c>
      <c r="AC784" s="125">
        <f t="array" ref="AC784">_xlfn.IFS(AA784 &lt;= 200, "1", L784 &lt;= 300, "2", L784 &lt;= 400, "3", L784 &gt; 400, "4")</f>
        <v/>
      </c>
      <c r="AF784" s="129">
        <f>SQRT((((VLOOKUP($AT$4,$A$4:$D$1021,4,FALSE))-D784)^2)+(((VLOOKUP($AT$4,$A$4:$E$1021,5,FALSE))-E784)^2)+(((VLOOKUP($AT$4,$A$4:$N$1021,14,FALSE))-N784)^2)+(((VLOOKUP($AT$4,$A$4:$O$1021,15,FALSE))-O784)^2))</f>
        <v/>
      </c>
      <c r="AG784" s="129" t="n"/>
      <c r="AI784" s="129">
        <f>SQRT((((VLOOKUP($AT$4,$A$4:$D$1021,4,FALSE))-D784)^2)+(((VLOOKUP($AT$4,$A$4:$E$1021,5,FALSE))-E784)^2)+(((VLOOKUP($AT$4,$A$4:$R$1021,18,FALSE))-R784)^2)+(((VLOOKUP($AT$4,$A$4:$S$1021,19,FALSE))-S784)^2))</f>
        <v/>
      </c>
      <c r="AJ784" s="125" t="inlineStr">
        <is>
          <t>HY700X231</t>
        </is>
      </c>
      <c r="AK784" s="125" t="n"/>
      <c r="AL784" s="125" t="n"/>
      <c r="AM784" s="125">
        <f>SQRT(((VLOOKUP($AT$4,$A$4:$J$1021,10,FALSE))-J784)^2)</f>
        <v/>
      </c>
      <c r="AN784" s="125" t="n"/>
      <c r="AO784" s="125" t="n"/>
      <c r="AP784" s="125">
        <f>SQRT(((VLOOKUP($AT$4,$A$4:$R$1021,18,FALSE))-R784)^2)</f>
        <v/>
      </c>
      <c r="AQ784" s="125" t="inlineStr">
        <is>
          <t>HY700X231</t>
        </is>
      </c>
      <c r="BB784" s="125">
        <f>SQRT(($J$1022-J784)^2)</f>
        <v/>
      </c>
      <c r="BC784" s="125">
        <f>SQRT(($R$1022-R784)^2)</f>
        <v/>
      </c>
      <c r="BD784" s="125" t="inlineStr">
        <is>
          <t>HY700X231</t>
        </is>
      </c>
      <c r="BI784">
        <f>SQRT(($J$1023-J784)^2)</f>
        <v/>
      </c>
      <c r="BJ784">
        <f>SQRT(($R$1023-R784)^2)</f>
        <v/>
      </c>
      <c r="BK784" s="125" t="inlineStr">
        <is>
          <t>HY700X231</t>
        </is>
      </c>
      <c r="BP784">
        <f>SQRT(($J$1024-J784)^2)</f>
        <v/>
      </c>
      <c r="BQ784">
        <f>SQRT(($R$1024-R784)^2)</f>
        <v/>
      </c>
      <c r="BR784" s="125" t="inlineStr">
        <is>
          <t>HY700X231</t>
        </is>
      </c>
      <c r="BW784">
        <f>SQRT(($J$1025-J784)^2)</f>
        <v/>
      </c>
      <c r="BX784">
        <f>SQRT(($R$1025-R784)^2)</f>
        <v/>
      </c>
      <c r="BY784" s="125" t="inlineStr">
        <is>
          <t>HY700X231</t>
        </is>
      </c>
      <c r="CD784">
        <f>SQRT(($J$1026-J784)^2)</f>
        <v/>
      </c>
      <c r="CE784">
        <f>SQRT(($R$1026-R784)^2)</f>
        <v/>
      </c>
      <c r="CF784" s="125" t="inlineStr">
        <is>
          <t>HY700X231</t>
        </is>
      </c>
    </row>
    <row r="785">
      <c r="A785" s="125" t="inlineStr">
        <is>
          <t>HY700X212</t>
        </is>
      </c>
      <c r="B785" s="129" t="inlineStr">
        <is>
          <t>HY</t>
        </is>
      </c>
      <c r="C785" s="125" t="n">
        <v>212</v>
      </c>
      <c r="D785" s="125" t="n">
        <v>700</v>
      </c>
      <c r="E785" s="125" t="n">
        <v>400</v>
      </c>
      <c r="F785" s="125" t="n">
        <v>22</v>
      </c>
      <c r="G785" s="125" t="n">
        <v>14</v>
      </c>
      <c r="H785" s="125" t="n">
        <v>18</v>
      </c>
      <c r="I785" s="125">
        <f>D785-(2*(H785+F785))</f>
        <v/>
      </c>
      <c r="J785" s="125">
        <f>(2*E785/10*F785/10)+((D785-F785-F785)/10*G785/10)+((H785/10+H785/10)^2)-(PI()*H785/10*H785/10)</f>
        <v/>
      </c>
      <c r="K785" s="125">
        <f>((E785-G785)/2)/F785</f>
        <v/>
      </c>
      <c r="L785" s="125">
        <f>I785/G785</f>
        <v/>
      </c>
      <c r="M785" s="125">
        <f>(E785*2+F785*4+((E785-G785)/2-H785)*4+2*PI()*H785+(D785-2*F785-2*H785)*2)/1000</f>
        <v/>
      </c>
      <c r="N785" s="5" t="n">
        <v>238000</v>
      </c>
      <c r="O785" s="5" t="n">
        <v>23500</v>
      </c>
      <c r="P785" s="125" t="n">
        <v>29.7</v>
      </c>
      <c r="Q785" s="125" t="n">
        <v>9.300000000000001</v>
      </c>
      <c r="R785" s="5" t="n">
        <v>6810</v>
      </c>
      <c r="S785" s="5" t="n">
        <v>1170</v>
      </c>
      <c r="T785" s="5" t="n">
        <v>7560</v>
      </c>
      <c r="U785" s="5" t="n">
        <v>1800</v>
      </c>
      <c r="X785" s="129">
        <f t="array" ref="X785">_xlfn.IFS((D785/F785) &lt;= (640/SQRT($AT$32)), "Compact", L785 &lt;= ($AT$32*(0.79-(0.002*((E785-G785/2)/(2*F785))*SQRT($AT$32)))), "Non-Compact", L785 &gt; ($AT$32*(0.79-(0.002*((E785-G785/2)/(2*F785))*SQRT($AT$32)))), "Slender")</f>
        <v/>
      </c>
      <c r="Y785" s="129">
        <f t="array" ref="Y785">_xlfn.IFS(K785 &lt;= (65/SQRT($AT$32)), "Compact", K785 &lt;= (95/SQRT($AT$32)), "Non-Compact", K785 &gt; (95/SQRT($AT$32)), "Slender")</f>
        <v/>
      </c>
      <c r="Z785" s="125">
        <f>E785/F785</f>
        <v/>
      </c>
      <c r="AA785" s="125">
        <f>D785/G785</f>
        <v/>
      </c>
      <c r="AB785" s="125">
        <f t="array" ref="AB785">_xlfn.IFS(Z785 &lt;= 9, "1", Z785 &lt;= 12, "2", Z785 &lt;= 15, "3", Z785 &gt; 15, "4")</f>
        <v/>
      </c>
      <c r="AC785" s="125">
        <f t="array" ref="AC785">_xlfn.IFS(AA785 &lt;= 200, "1", L785 &lt;= 300, "2", L785 &lt;= 400, "3", L785 &gt; 400, "4")</f>
        <v/>
      </c>
      <c r="AF785" s="129">
        <f>SQRT((((VLOOKUP($AT$4,$A$4:$D$1021,4,FALSE))-D785)^2)+(((VLOOKUP($AT$4,$A$4:$E$1021,5,FALSE))-E785)^2)+(((VLOOKUP($AT$4,$A$4:$N$1021,14,FALSE))-N785)^2)+(((VLOOKUP($AT$4,$A$4:$O$1021,15,FALSE))-O785)^2))</f>
        <v/>
      </c>
      <c r="AG785" s="129" t="n"/>
      <c r="AI785" s="129">
        <f>SQRT((((VLOOKUP($AT$4,$A$4:$D$1021,4,FALSE))-D785)^2)+(((VLOOKUP($AT$4,$A$4:$E$1021,5,FALSE))-E785)^2)+(((VLOOKUP($AT$4,$A$4:$R$1021,18,FALSE))-R785)^2)+(((VLOOKUP($AT$4,$A$4:$S$1021,19,FALSE))-S785)^2))</f>
        <v/>
      </c>
      <c r="AJ785" s="125" t="inlineStr">
        <is>
          <t>HY700X212</t>
        </is>
      </c>
      <c r="AK785" s="125" t="n"/>
      <c r="AL785" s="125" t="n"/>
      <c r="AM785" s="125">
        <f>SQRT(((VLOOKUP($AT$4,$A$4:$J$1021,10,FALSE))-J785)^2)</f>
        <v/>
      </c>
      <c r="AN785" s="125" t="n"/>
      <c r="AO785" s="125" t="n"/>
      <c r="AP785" s="125">
        <f>SQRT(((VLOOKUP($AT$4,$A$4:$R$1021,18,FALSE))-R785)^2)</f>
        <v/>
      </c>
      <c r="AQ785" s="125" t="inlineStr">
        <is>
          <t>HY700X212</t>
        </is>
      </c>
      <c r="BB785" s="125">
        <f>SQRT(($J$1022-J785)^2)</f>
        <v/>
      </c>
      <c r="BC785" s="125">
        <f>SQRT(($R$1022-R785)^2)</f>
        <v/>
      </c>
      <c r="BD785" s="125" t="inlineStr">
        <is>
          <t>HY700X212</t>
        </is>
      </c>
      <c r="BI785">
        <f>SQRT(($J$1023-J785)^2)</f>
        <v/>
      </c>
      <c r="BJ785">
        <f>SQRT(($R$1023-R785)^2)</f>
        <v/>
      </c>
      <c r="BK785" s="125" t="inlineStr">
        <is>
          <t>HY700X212</t>
        </is>
      </c>
      <c r="BP785">
        <f>SQRT(($J$1024-J785)^2)</f>
        <v/>
      </c>
      <c r="BQ785">
        <f>SQRT(($R$1024-R785)^2)</f>
        <v/>
      </c>
      <c r="BR785" s="125" t="inlineStr">
        <is>
          <t>HY700X212</t>
        </is>
      </c>
      <c r="BW785">
        <f>SQRT(($J$1025-J785)^2)</f>
        <v/>
      </c>
      <c r="BX785">
        <f>SQRT(($R$1025-R785)^2)</f>
        <v/>
      </c>
      <c r="BY785" s="125" t="inlineStr">
        <is>
          <t>HY700X212</t>
        </is>
      </c>
      <c r="CD785">
        <f>SQRT(($J$1026-J785)^2)</f>
        <v/>
      </c>
      <c r="CE785">
        <f>SQRT(($R$1026-R785)^2)</f>
        <v/>
      </c>
      <c r="CF785" s="125" t="inlineStr">
        <is>
          <t>HY700X212</t>
        </is>
      </c>
    </row>
    <row r="786">
      <c r="A786" s="125" t="inlineStr">
        <is>
          <t>HY700X220</t>
        </is>
      </c>
      <c r="B786" s="129" t="inlineStr">
        <is>
          <t>HY</t>
        </is>
      </c>
      <c r="C786" s="125" t="n">
        <v>220</v>
      </c>
      <c r="D786" s="125" t="n">
        <v>700</v>
      </c>
      <c r="E786" s="125" t="n">
        <v>400</v>
      </c>
      <c r="F786" s="125" t="n">
        <v>25</v>
      </c>
      <c r="G786" s="125" t="n">
        <v>12</v>
      </c>
      <c r="H786" s="125" t="n">
        <v>18</v>
      </c>
      <c r="I786" s="125">
        <f>D786-(2*(H786+F786))</f>
        <v/>
      </c>
      <c r="J786" s="125">
        <f>(2*E786/10*F786/10)+((D786-F786-F786)/10*G786/10)+((H786/10+H786/10)^2)-(PI()*H786/10*H786/10)</f>
        <v/>
      </c>
      <c r="K786" s="125">
        <f>((E786-G786)/2)/F786</f>
        <v/>
      </c>
      <c r="L786" s="125">
        <f>I786/G786</f>
        <v/>
      </c>
      <c r="M786" s="125">
        <f>(E786*2+F786*4+((E786-G786)/2-H786)*4+2*PI()*H786+(D786-2*F786-2*H786)*2)/1000</f>
        <v/>
      </c>
      <c r="N786" s="5" t="n">
        <v>258000</v>
      </c>
      <c r="O786" s="5" t="n">
        <v>26700</v>
      </c>
      <c r="P786" s="125" t="n">
        <v>30.3</v>
      </c>
      <c r="Q786" s="125" t="n">
        <v>9.800000000000001</v>
      </c>
      <c r="R786" s="5" t="n">
        <v>7380</v>
      </c>
      <c r="S786" s="5" t="n">
        <v>1330</v>
      </c>
      <c r="T786" s="5" t="n">
        <v>8110</v>
      </c>
      <c r="U786" s="5" t="n">
        <v>2030</v>
      </c>
      <c r="X786" s="129">
        <f t="array" ref="X786">_xlfn.IFS((D786/F786) &lt;= (640/SQRT($AT$32)), "Compact", L786 &lt;= ($AT$32*(0.79-(0.002*((E786-G786/2)/(2*F786))*SQRT($AT$32)))), "Non-Compact", L786 &gt; ($AT$32*(0.79-(0.002*((E786-G786/2)/(2*F786))*SQRT($AT$32)))), "Slender")</f>
        <v/>
      </c>
      <c r="Y786" s="129">
        <f t="array" ref="Y786">_xlfn.IFS(K786 &lt;= (65/SQRT($AT$32)), "Compact", K786 &lt;= (95/SQRT($AT$32)), "Non-Compact", K786 &gt; (95/SQRT($AT$32)), "Slender")</f>
        <v/>
      </c>
      <c r="Z786" s="125">
        <f>E786/F786</f>
        <v/>
      </c>
      <c r="AA786" s="125">
        <f>D786/G786</f>
        <v/>
      </c>
      <c r="AB786" s="125">
        <f t="array" ref="AB786">_xlfn.IFS(Z786 &lt;= 9, "1", Z786 &lt;= 12, "2", Z786 &lt;= 15, "3", Z786 &gt; 15, "4")</f>
        <v/>
      </c>
      <c r="AC786" s="125">
        <f t="array" ref="AC786">_xlfn.IFS(AA786 &lt;= 200, "1", L786 &lt;= 300, "2", L786 &lt;= 400, "3", L786 &gt; 400, "4")</f>
        <v/>
      </c>
      <c r="AF786" s="129">
        <f>SQRT((((VLOOKUP($AT$4,$A$4:$D$1021,4,FALSE))-D786)^2)+(((VLOOKUP($AT$4,$A$4:$E$1021,5,FALSE))-E786)^2)+(((VLOOKUP($AT$4,$A$4:$N$1021,14,FALSE))-N786)^2)+(((VLOOKUP($AT$4,$A$4:$O$1021,15,FALSE))-O786)^2))</f>
        <v/>
      </c>
      <c r="AG786" s="129" t="n"/>
      <c r="AI786" s="129">
        <f>SQRT((((VLOOKUP($AT$4,$A$4:$D$1021,4,FALSE))-D786)^2)+(((VLOOKUP($AT$4,$A$4:$E$1021,5,FALSE))-E786)^2)+(((VLOOKUP($AT$4,$A$4:$R$1021,18,FALSE))-R786)^2)+(((VLOOKUP($AT$4,$A$4:$S$1021,19,FALSE))-S786)^2))</f>
        <v/>
      </c>
      <c r="AJ786" s="125" t="inlineStr">
        <is>
          <t>HY700X220</t>
        </is>
      </c>
      <c r="AK786" s="125" t="n"/>
      <c r="AL786" s="125" t="n"/>
      <c r="AM786" s="125">
        <f>SQRT(((VLOOKUP($AT$4,$A$4:$J$1021,10,FALSE))-J786)^2)</f>
        <v/>
      </c>
      <c r="AN786" s="125" t="n"/>
      <c r="AO786" s="125" t="n"/>
      <c r="AP786" s="125">
        <f>SQRT(((VLOOKUP($AT$4,$A$4:$R$1021,18,FALSE))-R786)^2)</f>
        <v/>
      </c>
      <c r="AQ786" s="125" t="inlineStr">
        <is>
          <t>HY700X220</t>
        </is>
      </c>
      <c r="BB786" s="125">
        <f>SQRT(($J$1022-J786)^2)</f>
        <v/>
      </c>
      <c r="BC786" s="125">
        <f>SQRT(($R$1022-R786)^2)</f>
        <v/>
      </c>
      <c r="BD786" s="125" t="inlineStr">
        <is>
          <t>HY700X220</t>
        </is>
      </c>
      <c r="BI786">
        <f>SQRT(($J$1023-J786)^2)</f>
        <v/>
      </c>
      <c r="BJ786">
        <f>SQRT(($R$1023-R786)^2)</f>
        <v/>
      </c>
      <c r="BK786" s="125" t="inlineStr">
        <is>
          <t>HY700X220</t>
        </is>
      </c>
      <c r="BP786">
        <f>SQRT(($J$1024-J786)^2)</f>
        <v/>
      </c>
      <c r="BQ786">
        <f>SQRT(($R$1024-R786)^2)</f>
        <v/>
      </c>
      <c r="BR786" s="125" t="inlineStr">
        <is>
          <t>HY700X220</t>
        </is>
      </c>
      <c r="BW786">
        <f>SQRT(($J$1025-J786)^2)</f>
        <v/>
      </c>
      <c r="BX786">
        <f>SQRT(($R$1025-R786)^2)</f>
        <v/>
      </c>
      <c r="BY786" s="125" t="inlineStr">
        <is>
          <t>HY700X220</t>
        </is>
      </c>
      <c r="CD786">
        <f>SQRT(($J$1026-J786)^2)</f>
        <v/>
      </c>
      <c r="CE786">
        <f>SQRT(($R$1026-R786)^2)</f>
        <v/>
      </c>
      <c r="CF786" s="125" t="inlineStr">
        <is>
          <t>HY700X220</t>
        </is>
      </c>
    </row>
    <row r="787">
      <c r="A787" s="125" t="inlineStr">
        <is>
          <t>HY700X202</t>
        </is>
      </c>
      <c r="B787" s="129" t="inlineStr">
        <is>
          <t>HY</t>
        </is>
      </c>
      <c r="C787" s="125" t="n">
        <v>202</v>
      </c>
      <c r="D787" s="125" t="n">
        <v>700</v>
      </c>
      <c r="E787" s="125" t="n">
        <v>400</v>
      </c>
      <c r="F787" s="125" t="n">
        <v>22</v>
      </c>
      <c r="G787" s="125" t="n">
        <v>12</v>
      </c>
      <c r="H787" s="125" t="n">
        <v>18</v>
      </c>
      <c r="I787" s="125">
        <f>D787-(2*(H787+F787))</f>
        <v/>
      </c>
      <c r="J787" s="125">
        <f>(2*E787/10*F787/10)+((D787-F787-F787)/10*G787/10)+((H787/10+H787/10)^2)-(PI()*H787/10*H787/10)</f>
        <v/>
      </c>
      <c r="K787" s="125">
        <f>((E787-G787)/2)/F787</f>
        <v/>
      </c>
      <c r="L787" s="125">
        <f>I787/G787</f>
        <v/>
      </c>
      <c r="M787" s="125">
        <f>(E787*2+F787*4+((E787-G787)/2-H787)*4+2*PI()*H787+(D787-2*F787-2*H787)*2)/1000</f>
        <v/>
      </c>
      <c r="N787" s="5" t="n">
        <v>233000</v>
      </c>
      <c r="O787" s="5" t="n">
        <v>23500</v>
      </c>
      <c r="P787" s="125" t="n">
        <v>30.1</v>
      </c>
      <c r="Q787" s="125" t="n">
        <v>9.6</v>
      </c>
      <c r="R787" s="5" t="n">
        <v>6670</v>
      </c>
      <c r="S787" s="5" t="n">
        <v>1170</v>
      </c>
      <c r="T787" s="5" t="n">
        <v>7350</v>
      </c>
      <c r="U787" s="5" t="n">
        <v>1790</v>
      </c>
      <c r="X787" s="129">
        <f t="array" ref="X787">_xlfn.IFS((D787/F787) &lt;= (640/SQRT($AT$32)), "Compact", L787 &lt;= ($AT$32*(0.79-(0.002*((E787-G787/2)/(2*F787))*SQRT($AT$32)))), "Non-Compact", L787 &gt; ($AT$32*(0.79-(0.002*((E787-G787/2)/(2*F787))*SQRT($AT$32)))), "Slender")</f>
        <v/>
      </c>
      <c r="Y787" s="129">
        <f t="array" ref="Y787">_xlfn.IFS(K787 &lt;= (65/SQRT($AT$32)), "Compact", K787 &lt;= (95/SQRT($AT$32)), "Non-Compact", K787 &gt; (95/SQRT($AT$32)), "Slender")</f>
        <v/>
      </c>
      <c r="Z787" s="125">
        <f>E787/F787</f>
        <v/>
      </c>
      <c r="AA787" s="125">
        <f>D787/G787</f>
        <v/>
      </c>
      <c r="AB787" s="125">
        <f t="array" ref="AB787">_xlfn.IFS(Z787 &lt;= 9, "1", Z787 &lt;= 12, "2", Z787 &lt;= 15, "3", Z787 &gt; 15, "4")</f>
        <v/>
      </c>
      <c r="AC787" s="125">
        <f t="array" ref="AC787">_xlfn.IFS(AA787 &lt;= 200, "1", L787 &lt;= 300, "2", L787 &lt;= 400, "3", L787 &gt; 400, "4")</f>
        <v/>
      </c>
      <c r="AF787" s="129">
        <f>SQRT((((VLOOKUP($AT$4,$A$4:$D$1021,4,FALSE))-D787)^2)+(((VLOOKUP($AT$4,$A$4:$E$1021,5,FALSE))-E787)^2)+(((VLOOKUP($AT$4,$A$4:$N$1021,14,FALSE))-N787)^2)+(((VLOOKUP($AT$4,$A$4:$O$1021,15,FALSE))-O787)^2))</f>
        <v/>
      </c>
      <c r="AG787" s="129" t="n"/>
      <c r="AI787" s="129">
        <f>SQRT((((VLOOKUP($AT$4,$A$4:$D$1021,4,FALSE))-D787)^2)+(((VLOOKUP($AT$4,$A$4:$E$1021,5,FALSE))-E787)^2)+(((VLOOKUP($AT$4,$A$4:$R$1021,18,FALSE))-R787)^2)+(((VLOOKUP($AT$4,$A$4:$S$1021,19,FALSE))-S787)^2))</f>
        <v/>
      </c>
      <c r="AJ787" s="125" t="inlineStr">
        <is>
          <t>HY700X202</t>
        </is>
      </c>
      <c r="AK787" s="125" t="n"/>
      <c r="AL787" s="125" t="n"/>
      <c r="AM787" s="125">
        <f>SQRT(((VLOOKUP($AT$4,$A$4:$J$1021,10,FALSE))-J787)^2)</f>
        <v/>
      </c>
      <c r="AN787" s="125" t="n"/>
      <c r="AO787" s="125" t="n"/>
      <c r="AP787" s="125">
        <f>SQRT(((VLOOKUP($AT$4,$A$4:$R$1021,18,FALSE))-R787)^2)</f>
        <v/>
      </c>
      <c r="AQ787" s="125" t="inlineStr">
        <is>
          <t>HY700X202</t>
        </is>
      </c>
      <c r="BB787" s="125">
        <f>SQRT(($J$1022-J787)^2)</f>
        <v/>
      </c>
      <c r="BC787" s="125">
        <f>SQRT(($R$1022-R787)^2)</f>
        <v/>
      </c>
      <c r="BD787" s="125" t="inlineStr">
        <is>
          <t>HY700X202</t>
        </is>
      </c>
      <c r="BI787">
        <f>SQRT(($J$1023-J787)^2)</f>
        <v/>
      </c>
      <c r="BJ787">
        <f>SQRT(($R$1023-R787)^2)</f>
        <v/>
      </c>
      <c r="BK787" s="125" t="inlineStr">
        <is>
          <t>HY700X202</t>
        </is>
      </c>
      <c r="BP787">
        <f>SQRT(($J$1024-J787)^2)</f>
        <v/>
      </c>
      <c r="BQ787">
        <f>SQRT(($R$1024-R787)^2)</f>
        <v/>
      </c>
      <c r="BR787" s="125" t="inlineStr">
        <is>
          <t>HY700X202</t>
        </is>
      </c>
      <c r="BW787">
        <f>SQRT(($J$1025-J787)^2)</f>
        <v/>
      </c>
      <c r="BX787">
        <f>SQRT(($R$1025-R787)^2)</f>
        <v/>
      </c>
      <c r="BY787" s="125" t="inlineStr">
        <is>
          <t>HY700X202</t>
        </is>
      </c>
      <c r="CD787">
        <f>SQRT(($J$1026-J787)^2)</f>
        <v/>
      </c>
      <c r="CE787">
        <f>SQRT(($R$1026-R787)^2)</f>
        <v/>
      </c>
      <c r="CF787" s="125" t="inlineStr">
        <is>
          <t>HY700X202</t>
        </is>
      </c>
    </row>
    <row r="788">
      <c r="A788" s="125" t="inlineStr">
        <is>
          <t>HY700X308</t>
        </is>
      </c>
      <c r="B788" s="129" t="inlineStr">
        <is>
          <t>HY</t>
        </is>
      </c>
      <c r="C788" s="125" t="n">
        <v>308</v>
      </c>
      <c r="D788" s="125" t="n">
        <v>700</v>
      </c>
      <c r="E788" s="125" t="n">
        <v>350</v>
      </c>
      <c r="F788" s="125" t="n">
        <v>36</v>
      </c>
      <c r="G788" s="125" t="n">
        <v>22</v>
      </c>
      <c r="H788" s="125" t="n">
        <v>18</v>
      </c>
      <c r="I788" s="125">
        <f>D788-(2*(H788+F788))</f>
        <v/>
      </c>
      <c r="J788" s="125">
        <f>(2*E788/10*F788/10)+((D788-F788-F788)/10*G788/10)+((H788/10+H788/10)^2)-(PI()*H788/10*H788/10)</f>
        <v/>
      </c>
      <c r="K788" s="125">
        <f>((E788-G788)/2)/F788</f>
        <v/>
      </c>
      <c r="L788" s="125">
        <f>I788/G788</f>
        <v/>
      </c>
      <c r="M788" s="125">
        <f>(E788*2+F788*4+((E788-G788)/2-H788)*4+2*PI()*H788+(D788-2*F788-2*H788)*2)/1000</f>
        <v/>
      </c>
      <c r="N788" s="5" t="n">
        <v>326000</v>
      </c>
      <c r="O788" s="5" t="n">
        <v>25800</v>
      </c>
      <c r="P788" s="125" t="n">
        <v>28.8</v>
      </c>
      <c r="Q788" s="125" t="n">
        <v>8.1</v>
      </c>
      <c r="R788" s="5" t="n">
        <v>9320</v>
      </c>
      <c r="S788" s="5" t="n">
        <v>1470</v>
      </c>
      <c r="T788" s="5" t="n">
        <v>10600</v>
      </c>
      <c r="U788" s="5" t="n">
        <v>2290</v>
      </c>
      <c r="X788" s="129">
        <f t="array" ref="X788">_xlfn.IFS((D788/F788) &lt;= (640/SQRT($AT$32)), "Compact", L788 &lt;= ($AT$32*(0.79-(0.002*((E788-G788/2)/(2*F788))*SQRT($AT$32)))), "Non-Compact", L788 &gt; ($AT$32*(0.79-(0.002*((E788-G788/2)/(2*F788))*SQRT($AT$32)))), "Slender")</f>
        <v/>
      </c>
      <c r="Y788" s="129">
        <f t="array" ref="Y788">_xlfn.IFS(K788 &lt;= (65/SQRT($AT$32)), "Compact", K788 &lt;= (95/SQRT($AT$32)), "Non-Compact", K788 &gt; (95/SQRT($AT$32)), "Slender")</f>
        <v/>
      </c>
      <c r="Z788" s="125">
        <f>E788/F788</f>
        <v/>
      </c>
      <c r="AA788" s="125">
        <f>D788/G788</f>
        <v/>
      </c>
      <c r="AB788" s="125">
        <f t="array" ref="AB788">_xlfn.IFS(Z788 &lt;= 9, "1", Z788 &lt;= 12, "2", Z788 &lt;= 15, "3", Z788 &gt; 15, "4")</f>
        <v/>
      </c>
      <c r="AC788" s="125">
        <f t="array" ref="AC788">_xlfn.IFS(AA788 &lt;= 200, "1", L788 &lt;= 300, "2", L788 &lt;= 400, "3", L788 &gt; 400, "4")</f>
        <v/>
      </c>
      <c r="AF788" s="129">
        <f>SQRT((((VLOOKUP($AT$4,$A$4:$D$1021,4,FALSE))-D788)^2)+(((VLOOKUP($AT$4,$A$4:$E$1021,5,FALSE))-E788)^2)+(((VLOOKUP($AT$4,$A$4:$N$1021,14,FALSE))-N788)^2)+(((VLOOKUP($AT$4,$A$4:$O$1021,15,FALSE))-O788)^2))</f>
        <v/>
      </c>
      <c r="AG788" s="129" t="n"/>
      <c r="AI788" s="129">
        <f>SQRT((((VLOOKUP($AT$4,$A$4:$D$1021,4,FALSE))-D788)^2)+(((VLOOKUP($AT$4,$A$4:$E$1021,5,FALSE))-E788)^2)+(((VLOOKUP($AT$4,$A$4:$R$1021,18,FALSE))-R788)^2)+(((VLOOKUP($AT$4,$A$4:$S$1021,19,FALSE))-S788)^2))</f>
        <v/>
      </c>
      <c r="AJ788" s="125" t="inlineStr">
        <is>
          <t>HY700X308</t>
        </is>
      </c>
      <c r="AK788" s="125" t="n"/>
      <c r="AL788" s="125" t="n"/>
      <c r="AM788" s="125">
        <f>SQRT(((VLOOKUP($AT$4,$A$4:$J$1021,10,FALSE))-J788)^2)</f>
        <v/>
      </c>
      <c r="AN788" s="125" t="n"/>
      <c r="AO788" s="125" t="n"/>
      <c r="AP788" s="125">
        <f>SQRT(((VLOOKUP($AT$4,$A$4:$R$1021,18,FALSE))-R788)^2)</f>
        <v/>
      </c>
      <c r="AQ788" s="125" t="inlineStr">
        <is>
          <t>HY700X308</t>
        </is>
      </c>
      <c r="BB788" s="125">
        <f>SQRT(($J$1022-J788)^2)</f>
        <v/>
      </c>
      <c r="BC788" s="125">
        <f>SQRT(($R$1022-R788)^2)</f>
        <v/>
      </c>
      <c r="BD788" s="125" t="inlineStr">
        <is>
          <t>HY700X308</t>
        </is>
      </c>
      <c r="BI788">
        <f>SQRT(($J$1023-J788)^2)</f>
        <v/>
      </c>
      <c r="BJ788">
        <f>SQRT(($R$1023-R788)^2)</f>
        <v/>
      </c>
      <c r="BK788" s="125" t="inlineStr">
        <is>
          <t>HY700X308</t>
        </is>
      </c>
      <c r="BP788">
        <f>SQRT(($J$1024-J788)^2)</f>
        <v/>
      </c>
      <c r="BQ788">
        <f>SQRT(($R$1024-R788)^2)</f>
        <v/>
      </c>
      <c r="BR788" s="125" t="inlineStr">
        <is>
          <t>HY700X308</t>
        </is>
      </c>
      <c r="BW788">
        <f>SQRT(($J$1025-J788)^2)</f>
        <v/>
      </c>
      <c r="BX788">
        <f>SQRT(($R$1025-R788)^2)</f>
        <v/>
      </c>
      <c r="BY788" s="125" t="inlineStr">
        <is>
          <t>HY700X308</t>
        </is>
      </c>
      <c r="CD788">
        <f>SQRT(($J$1026-J788)^2)</f>
        <v/>
      </c>
      <c r="CE788">
        <f>SQRT(($R$1026-R788)^2)</f>
        <v/>
      </c>
      <c r="CF788" s="125" t="inlineStr">
        <is>
          <t>HY700X308</t>
        </is>
      </c>
    </row>
    <row r="789">
      <c r="A789" s="125" t="inlineStr">
        <is>
          <t>HY700X288</t>
        </is>
      </c>
      <c r="B789" s="129" t="inlineStr">
        <is>
          <t>HY</t>
        </is>
      </c>
      <c r="C789" s="125" t="n">
        <v>288</v>
      </c>
      <c r="D789" s="125" t="n">
        <v>700</v>
      </c>
      <c r="E789" s="125" t="n">
        <v>350</v>
      </c>
      <c r="F789" s="125" t="n">
        <v>32</v>
      </c>
      <c r="G789" s="125" t="n">
        <v>22</v>
      </c>
      <c r="H789" s="125" t="n">
        <v>18</v>
      </c>
      <c r="I789" s="125">
        <f>D789-(2*(H789+F789))</f>
        <v/>
      </c>
      <c r="J789" s="125">
        <f>(2*E789/10*F789/10)+((D789-F789-F789)/10*G789/10)+((H789/10+H789/10)^2)-(PI()*H789/10*H789/10)</f>
        <v/>
      </c>
      <c r="K789" s="125">
        <f>((E789-G789)/2)/F789</f>
        <v/>
      </c>
      <c r="L789" s="125">
        <f>I789/G789</f>
        <v/>
      </c>
      <c r="M789" s="125">
        <f>(E789*2+F789*4+((E789-G789)/2-H789)*4+2*PI()*H789+(D789-2*F789-2*H789)*2)/1000</f>
        <v/>
      </c>
      <c r="N789" s="5" t="n">
        <v>300000</v>
      </c>
      <c r="O789" s="5" t="n">
        <v>22900</v>
      </c>
      <c r="P789" s="125" t="n">
        <v>28.6</v>
      </c>
      <c r="Q789" s="125" t="n">
        <v>7.9</v>
      </c>
      <c r="R789" s="5" t="n">
        <v>8570</v>
      </c>
      <c r="S789" s="5" t="n">
        <v>1310</v>
      </c>
      <c r="T789" s="5" t="n">
        <v>9790</v>
      </c>
      <c r="U789" s="5" t="n">
        <v>2040</v>
      </c>
      <c r="X789" s="129">
        <f t="array" ref="X789">_xlfn.IFS((D789/F789) &lt;= (640/SQRT($AT$32)), "Compact", L789 &lt;= ($AT$32*(0.79-(0.002*((E789-G789/2)/(2*F789))*SQRT($AT$32)))), "Non-Compact", L789 &gt; ($AT$32*(0.79-(0.002*((E789-G789/2)/(2*F789))*SQRT($AT$32)))), "Slender")</f>
        <v/>
      </c>
      <c r="Y789" s="129">
        <f t="array" ref="Y789">_xlfn.IFS(K789 &lt;= (65/SQRT($AT$32)), "Compact", K789 &lt;= (95/SQRT($AT$32)), "Non-Compact", K789 &gt; (95/SQRT($AT$32)), "Slender")</f>
        <v/>
      </c>
      <c r="Z789" s="125">
        <f>E789/F789</f>
        <v/>
      </c>
      <c r="AA789" s="125">
        <f>D789/G789</f>
        <v/>
      </c>
      <c r="AB789" s="125">
        <f t="array" ref="AB789">_xlfn.IFS(Z789 &lt;= 9, "1", Z789 &lt;= 12, "2", Z789 &lt;= 15, "3", Z789 &gt; 15, "4")</f>
        <v/>
      </c>
      <c r="AC789" s="125">
        <f t="array" ref="AC789">_xlfn.IFS(AA789 &lt;= 200, "1", L789 &lt;= 300, "2", L789 &lt;= 400, "3", L789 &gt; 400, "4")</f>
        <v/>
      </c>
      <c r="AF789" s="129">
        <f>SQRT((((VLOOKUP($AT$4,$A$4:$D$1021,4,FALSE))-D789)^2)+(((VLOOKUP($AT$4,$A$4:$E$1021,5,FALSE))-E789)^2)+(((VLOOKUP($AT$4,$A$4:$N$1021,14,FALSE))-N789)^2)+(((VLOOKUP($AT$4,$A$4:$O$1021,15,FALSE))-O789)^2))</f>
        <v/>
      </c>
      <c r="AG789" s="129" t="n"/>
      <c r="AI789" s="129">
        <f>SQRT((((VLOOKUP($AT$4,$A$4:$D$1021,4,FALSE))-D789)^2)+(((VLOOKUP($AT$4,$A$4:$E$1021,5,FALSE))-E789)^2)+(((VLOOKUP($AT$4,$A$4:$R$1021,18,FALSE))-R789)^2)+(((VLOOKUP($AT$4,$A$4:$S$1021,19,FALSE))-S789)^2))</f>
        <v/>
      </c>
      <c r="AJ789" s="125" t="inlineStr">
        <is>
          <t>HY700X288</t>
        </is>
      </c>
      <c r="AK789" s="125" t="n"/>
      <c r="AL789" s="125" t="n"/>
      <c r="AM789" s="125">
        <f>SQRT(((VLOOKUP($AT$4,$A$4:$J$1021,10,FALSE))-J789)^2)</f>
        <v/>
      </c>
      <c r="AN789" s="125" t="n"/>
      <c r="AO789" s="125" t="n"/>
      <c r="AP789" s="125">
        <f>SQRT(((VLOOKUP($AT$4,$A$4:$R$1021,18,FALSE))-R789)^2)</f>
        <v/>
      </c>
      <c r="AQ789" s="125" t="inlineStr">
        <is>
          <t>HY700X288</t>
        </is>
      </c>
      <c r="BB789" s="125">
        <f>SQRT(($J$1022-J789)^2)</f>
        <v/>
      </c>
      <c r="BC789" s="125">
        <f>SQRT(($R$1022-R789)^2)</f>
        <v/>
      </c>
      <c r="BD789" s="125" t="inlineStr">
        <is>
          <t>HY700X288</t>
        </is>
      </c>
      <c r="BI789">
        <f>SQRT(($J$1023-J789)^2)</f>
        <v/>
      </c>
      <c r="BJ789">
        <f>SQRT(($R$1023-R789)^2)</f>
        <v/>
      </c>
      <c r="BK789" s="125" t="inlineStr">
        <is>
          <t>HY700X288</t>
        </is>
      </c>
      <c r="BP789">
        <f>SQRT(($J$1024-J789)^2)</f>
        <v/>
      </c>
      <c r="BQ789">
        <f>SQRT(($R$1024-R789)^2)</f>
        <v/>
      </c>
      <c r="BR789" s="125" t="inlineStr">
        <is>
          <t>HY700X288</t>
        </is>
      </c>
      <c r="BW789">
        <f>SQRT(($J$1025-J789)^2)</f>
        <v/>
      </c>
      <c r="BX789">
        <f>SQRT(($R$1025-R789)^2)</f>
        <v/>
      </c>
      <c r="BY789" s="125" t="inlineStr">
        <is>
          <t>HY700X288</t>
        </is>
      </c>
      <c r="CD789">
        <f>SQRT(($J$1026-J789)^2)</f>
        <v/>
      </c>
      <c r="CE789">
        <f>SQRT(($R$1026-R789)^2)</f>
        <v/>
      </c>
      <c r="CF789" s="125" t="inlineStr">
        <is>
          <t>HY700X288</t>
        </is>
      </c>
    </row>
    <row r="790">
      <c r="A790" s="125" t="inlineStr">
        <is>
          <t>HY700X267</t>
        </is>
      </c>
      <c r="B790" s="129" t="inlineStr">
        <is>
          <t>HY</t>
        </is>
      </c>
      <c r="C790" s="125" t="n">
        <v>267</v>
      </c>
      <c r="D790" s="125" t="n">
        <v>700</v>
      </c>
      <c r="E790" s="125" t="n">
        <v>350</v>
      </c>
      <c r="F790" s="125" t="n">
        <v>28</v>
      </c>
      <c r="G790" s="125" t="n">
        <v>22</v>
      </c>
      <c r="H790" s="125" t="n">
        <v>18</v>
      </c>
      <c r="I790" s="125">
        <f>D790-(2*(H790+F790))</f>
        <v/>
      </c>
      <c r="J790" s="125">
        <f>(2*E790/10*F790/10)+((D790-F790-F790)/10*G790/10)+((H790/10+H790/10)^2)-(PI()*H790/10*H790/10)</f>
        <v/>
      </c>
      <c r="K790" s="125">
        <f>((E790-G790)/2)/F790</f>
        <v/>
      </c>
      <c r="L790" s="125">
        <f>I790/G790</f>
        <v/>
      </c>
      <c r="M790" s="125">
        <f>(E790*2+F790*4+((E790-G790)/2-H790)*4+2*PI()*H790+(D790-2*F790-2*H790)*2)/1000</f>
        <v/>
      </c>
      <c r="N790" s="5" t="n">
        <v>273000</v>
      </c>
      <c r="O790" s="5" t="n">
        <v>20100</v>
      </c>
      <c r="P790" s="125" t="n">
        <v>28.3</v>
      </c>
      <c r="Q790" s="125" t="n">
        <v>7.7</v>
      </c>
      <c r="R790" s="5" t="n">
        <v>7810</v>
      </c>
      <c r="S790" s="5" t="n">
        <v>1150</v>
      </c>
      <c r="T790" s="5" t="n">
        <v>8960</v>
      </c>
      <c r="U790" s="5" t="n">
        <v>1800</v>
      </c>
      <c r="X790" s="129">
        <f t="array" ref="X790">_xlfn.IFS((D790/F790) &lt;= (640/SQRT($AT$32)), "Compact", L790 &lt;= ($AT$32*(0.79-(0.002*((E790-G790/2)/(2*F790))*SQRT($AT$32)))), "Non-Compact", L790 &gt; ($AT$32*(0.79-(0.002*((E790-G790/2)/(2*F790))*SQRT($AT$32)))), "Slender")</f>
        <v/>
      </c>
      <c r="Y790" s="129">
        <f t="array" ref="Y790">_xlfn.IFS(K790 &lt;= (65/SQRT($AT$32)), "Compact", K790 &lt;= (95/SQRT($AT$32)), "Non-Compact", K790 &gt; (95/SQRT($AT$32)), "Slender")</f>
        <v/>
      </c>
      <c r="Z790" s="125">
        <f>E790/F790</f>
        <v/>
      </c>
      <c r="AA790" s="125">
        <f>D790/G790</f>
        <v/>
      </c>
      <c r="AB790" s="125">
        <f t="array" ref="AB790">_xlfn.IFS(Z790 &lt;= 9, "1", Z790 &lt;= 12, "2", Z790 &lt;= 15, "3", Z790 &gt; 15, "4")</f>
        <v/>
      </c>
      <c r="AC790" s="125">
        <f t="array" ref="AC790">_xlfn.IFS(AA790 &lt;= 200, "1", L790 &lt;= 300, "2", L790 &lt;= 400, "3", L790 &gt; 400, "4")</f>
        <v/>
      </c>
      <c r="AF790" s="129">
        <f>SQRT((((VLOOKUP($AT$4,$A$4:$D$1021,4,FALSE))-D790)^2)+(((VLOOKUP($AT$4,$A$4:$E$1021,5,FALSE))-E790)^2)+(((VLOOKUP($AT$4,$A$4:$N$1021,14,FALSE))-N790)^2)+(((VLOOKUP($AT$4,$A$4:$O$1021,15,FALSE))-O790)^2))</f>
        <v/>
      </c>
      <c r="AG790" s="129" t="n"/>
      <c r="AI790" s="129">
        <f>SQRT((((VLOOKUP($AT$4,$A$4:$D$1021,4,FALSE))-D790)^2)+(((VLOOKUP($AT$4,$A$4:$E$1021,5,FALSE))-E790)^2)+(((VLOOKUP($AT$4,$A$4:$R$1021,18,FALSE))-R790)^2)+(((VLOOKUP($AT$4,$A$4:$S$1021,19,FALSE))-S790)^2))</f>
        <v/>
      </c>
      <c r="AJ790" s="125" t="inlineStr">
        <is>
          <t>HY700X267</t>
        </is>
      </c>
      <c r="AK790" s="125" t="n"/>
      <c r="AL790" s="125" t="n"/>
      <c r="AM790" s="125">
        <f>SQRT(((VLOOKUP($AT$4,$A$4:$J$1021,10,FALSE))-J790)^2)</f>
        <v/>
      </c>
      <c r="AN790" s="125" t="n"/>
      <c r="AO790" s="125" t="n"/>
      <c r="AP790" s="125">
        <f>SQRT(((VLOOKUP($AT$4,$A$4:$R$1021,18,FALSE))-R790)^2)</f>
        <v/>
      </c>
      <c r="AQ790" s="125" t="inlineStr">
        <is>
          <t>HY700X267</t>
        </is>
      </c>
      <c r="BB790" s="125">
        <f>SQRT(($J$1022-J790)^2)</f>
        <v/>
      </c>
      <c r="BC790" s="125">
        <f>SQRT(($R$1022-R790)^2)</f>
        <v/>
      </c>
      <c r="BD790" s="125" t="inlineStr">
        <is>
          <t>HY700X267</t>
        </is>
      </c>
      <c r="BI790">
        <f>SQRT(($J$1023-J790)^2)</f>
        <v/>
      </c>
      <c r="BJ790">
        <f>SQRT(($R$1023-R790)^2)</f>
        <v/>
      </c>
      <c r="BK790" s="125" t="inlineStr">
        <is>
          <t>HY700X267</t>
        </is>
      </c>
      <c r="BP790">
        <f>SQRT(($J$1024-J790)^2)</f>
        <v/>
      </c>
      <c r="BQ790">
        <f>SQRT(($R$1024-R790)^2)</f>
        <v/>
      </c>
      <c r="BR790" s="125" t="inlineStr">
        <is>
          <t>HY700X267</t>
        </is>
      </c>
      <c r="BW790">
        <f>SQRT(($J$1025-J790)^2)</f>
        <v/>
      </c>
      <c r="BX790">
        <f>SQRT(($R$1025-R790)^2)</f>
        <v/>
      </c>
      <c r="BY790" s="125" t="inlineStr">
        <is>
          <t>HY700X267</t>
        </is>
      </c>
      <c r="CD790">
        <f>SQRT(($J$1026-J790)^2)</f>
        <v/>
      </c>
      <c r="CE790">
        <f>SQRT(($R$1026-R790)^2)</f>
        <v/>
      </c>
      <c r="CF790" s="125" t="inlineStr">
        <is>
          <t>HY700X267</t>
        </is>
      </c>
    </row>
    <row r="791">
      <c r="A791" s="125" t="inlineStr">
        <is>
          <t>HY700X294</t>
        </is>
      </c>
      <c r="B791" s="129" t="inlineStr">
        <is>
          <t>HY</t>
        </is>
      </c>
      <c r="C791" s="125" t="n">
        <v>294</v>
      </c>
      <c r="D791" s="125" t="n">
        <v>700</v>
      </c>
      <c r="E791" s="125" t="n">
        <v>350</v>
      </c>
      <c r="F791" s="125" t="n">
        <v>36</v>
      </c>
      <c r="G791" s="125" t="n">
        <v>19</v>
      </c>
      <c r="H791" s="125" t="n">
        <v>18</v>
      </c>
      <c r="I791" s="125">
        <f>D791-(2*(H791+F791))</f>
        <v/>
      </c>
      <c r="J791" s="125">
        <f>(2*E791/10*F791/10)+((D791-F791-F791)/10*G791/10)+((H791/10+H791/10)^2)-(PI()*H791/10*H791/10)</f>
        <v/>
      </c>
      <c r="K791" s="125">
        <f>((E791-G791)/2)/F791</f>
        <v/>
      </c>
      <c r="L791" s="125">
        <f>I791/G791</f>
        <v/>
      </c>
      <c r="M791" s="125">
        <f>(E791*2+F791*4+((E791-G791)/2-H791)*4+2*PI()*H791+(D791-2*F791-2*H791)*2)/1000</f>
        <v/>
      </c>
      <c r="N791" s="5" t="n">
        <v>320000</v>
      </c>
      <c r="O791" s="5" t="n">
        <v>25800</v>
      </c>
      <c r="P791" s="125" t="n">
        <v>29.2</v>
      </c>
      <c r="Q791" s="125" t="n">
        <v>8.300000000000001</v>
      </c>
      <c r="R791" s="5" t="n">
        <v>9140</v>
      </c>
      <c r="S791" s="5" t="n">
        <v>1470</v>
      </c>
      <c r="T791" s="5" t="n">
        <v>10300</v>
      </c>
      <c r="U791" s="5" t="n">
        <v>2270</v>
      </c>
      <c r="X791" s="129">
        <f t="array" ref="X791">_xlfn.IFS((D791/F791) &lt;= (640/SQRT($AT$32)), "Compact", L791 &lt;= ($AT$32*(0.79-(0.002*((E791-G791/2)/(2*F791))*SQRT($AT$32)))), "Non-Compact", L791 &gt; ($AT$32*(0.79-(0.002*((E791-G791/2)/(2*F791))*SQRT($AT$32)))), "Slender")</f>
        <v/>
      </c>
      <c r="Y791" s="129">
        <f t="array" ref="Y791">_xlfn.IFS(K791 &lt;= (65/SQRT($AT$32)), "Compact", K791 &lt;= (95/SQRT($AT$32)), "Non-Compact", K791 &gt; (95/SQRT($AT$32)), "Slender")</f>
        <v/>
      </c>
      <c r="Z791" s="125">
        <f>E791/F791</f>
        <v/>
      </c>
      <c r="AA791" s="125">
        <f>D791/G791</f>
        <v/>
      </c>
      <c r="AB791" s="125">
        <f t="array" ref="AB791">_xlfn.IFS(Z791 &lt;= 9, "1", Z791 &lt;= 12, "2", Z791 &lt;= 15, "3", Z791 &gt; 15, "4")</f>
        <v/>
      </c>
      <c r="AC791" s="125">
        <f t="array" ref="AC791">_xlfn.IFS(AA791 &lt;= 200, "1", L791 &lt;= 300, "2", L791 &lt;= 400, "3", L791 &gt; 400, "4")</f>
        <v/>
      </c>
      <c r="AF791" s="129">
        <f>SQRT((((VLOOKUP($AT$4,$A$4:$D$1021,4,FALSE))-D791)^2)+(((VLOOKUP($AT$4,$A$4:$E$1021,5,FALSE))-E791)^2)+(((VLOOKUP($AT$4,$A$4:$N$1021,14,FALSE))-N791)^2)+(((VLOOKUP($AT$4,$A$4:$O$1021,15,FALSE))-O791)^2))</f>
        <v/>
      </c>
      <c r="AG791" s="129" t="n"/>
      <c r="AI791" s="129">
        <f>SQRT((((VLOOKUP($AT$4,$A$4:$D$1021,4,FALSE))-D791)^2)+(((VLOOKUP($AT$4,$A$4:$E$1021,5,FALSE))-E791)^2)+(((VLOOKUP($AT$4,$A$4:$R$1021,18,FALSE))-R791)^2)+(((VLOOKUP($AT$4,$A$4:$S$1021,19,FALSE))-S791)^2))</f>
        <v/>
      </c>
      <c r="AJ791" s="125" t="inlineStr">
        <is>
          <t>HY700X294</t>
        </is>
      </c>
      <c r="AK791" s="125" t="n"/>
      <c r="AL791" s="125" t="n"/>
      <c r="AM791" s="125">
        <f>SQRT(((VLOOKUP($AT$4,$A$4:$J$1021,10,FALSE))-J791)^2)</f>
        <v/>
      </c>
      <c r="AN791" s="125" t="n"/>
      <c r="AO791" s="125" t="n"/>
      <c r="AP791" s="125">
        <f>SQRT(((VLOOKUP($AT$4,$A$4:$R$1021,18,FALSE))-R791)^2)</f>
        <v/>
      </c>
      <c r="AQ791" s="125" t="inlineStr">
        <is>
          <t>HY700X294</t>
        </is>
      </c>
      <c r="BB791" s="125">
        <f>SQRT(($J$1022-J791)^2)</f>
        <v/>
      </c>
      <c r="BC791" s="125">
        <f>SQRT(($R$1022-R791)^2)</f>
        <v/>
      </c>
      <c r="BD791" s="125" t="inlineStr">
        <is>
          <t>HY700X294</t>
        </is>
      </c>
      <c r="BI791">
        <f>SQRT(($J$1023-J791)^2)</f>
        <v/>
      </c>
      <c r="BJ791">
        <f>SQRT(($R$1023-R791)^2)</f>
        <v/>
      </c>
      <c r="BK791" s="125" t="inlineStr">
        <is>
          <t>HY700X294</t>
        </is>
      </c>
      <c r="BP791">
        <f>SQRT(($J$1024-J791)^2)</f>
        <v/>
      </c>
      <c r="BQ791">
        <f>SQRT(($R$1024-R791)^2)</f>
        <v/>
      </c>
      <c r="BR791" s="125" t="inlineStr">
        <is>
          <t>HY700X294</t>
        </is>
      </c>
      <c r="BW791">
        <f>SQRT(($J$1025-J791)^2)</f>
        <v/>
      </c>
      <c r="BX791">
        <f>SQRT(($R$1025-R791)^2)</f>
        <v/>
      </c>
      <c r="BY791" s="125" t="inlineStr">
        <is>
          <t>HY700X294</t>
        </is>
      </c>
      <c r="CD791">
        <f>SQRT(($J$1026-J791)^2)</f>
        <v/>
      </c>
      <c r="CE791">
        <f>SQRT(($R$1026-R791)^2)</f>
        <v/>
      </c>
      <c r="CF791" s="125" t="inlineStr">
        <is>
          <t>HY700X294</t>
        </is>
      </c>
    </row>
    <row r="792">
      <c r="A792" s="125" t="inlineStr">
        <is>
          <t>HY700X273</t>
        </is>
      </c>
      <c r="B792" s="129" t="inlineStr">
        <is>
          <t>HY</t>
        </is>
      </c>
      <c r="C792" s="125" t="n">
        <v>273</v>
      </c>
      <c r="D792" s="125" t="n">
        <v>700</v>
      </c>
      <c r="E792" s="125" t="n">
        <v>350</v>
      </c>
      <c r="F792" s="125" t="n">
        <v>32</v>
      </c>
      <c r="G792" s="125" t="n">
        <v>19</v>
      </c>
      <c r="H792" s="125" t="n">
        <v>18</v>
      </c>
      <c r="I792" s="125">
        <f>D792-(2*(H792+F792))</f>
        <v/>
      </c>
      <c r="J792" s="125">
        <f>(2*E792/10*F792/10)+((D792-F792-F792)/10*G792/10)+((H792/10+H792/10)^2)-(PI()*H792/10*H792/10)</f>
        <v/>
      </c>
      <c r="K792" s="125">
        <f>((E792-G792)/2)/F792</f>
        <v/>
      </c>
      <c r="L792" s="125">
        <f>I792/G792</f>
        <v/>
      </c>
      <c r="M792" s="125">
        <f>(E792*2+F792*4+((E792-G792)/2-H792)*4+2*PI()*H792+(D792-2*F792-2*H792)*2)/1000</f>
        <v/>
      </c>
      <c r="N792" s="5" t="n">
        <v>294000</v>
      </c>
      <c r="O792" s="5" t="n">
        <v>22900</v>
      </c>
      <c r="P792" s="125" t="n">
        <v>29.1</v>
      </c>
      <c r="Q792" s="125" t="n">
        <v>8.1</v>
      </c>
      <c r="R792" s="5" t="n">
        <v>8390</v>
      </c>
      <c r="S792" s="5" t="n">
        <v>1310</v>
      </c>
      <c r="T792" s="5" t="n">
        <v>9490</v>
      </c>
      <c r="U792" s="5" t="n">
        <v>2020</v>
      </c>
      <c r="X792" s="129">
        <f t="array" ref="X792">_xlfn.IFS((D792/F792) &lt;= (640/SQRT($AT$32)), "Compact", L792 &lt;= ($AT$32*(0.79-(0.002*((E792-G792/2)/(2*F792))*SQRT($AT$32)))), "Non-Compact", L792 &gt; ($AT$32*(0.79-(0.002*((E792-G792/2)/(2*F792))*SQRT($AT$32)))), "Slender")</f>
        <v/>
      </c>
      <c r="Y792" s="129">
        <f t="array" ref="Y792">_xlfn.IFS(K792 &lt;= (65/SQRT($AT$32)), "Compact", K792 &lt;= (95/SQRT($AT$32)), "Non-Compact", K792 &gt; (95/SQRT($AT$32)), "Slender")</f>
        <v/>
      </c>
      <c r="Z792" s="125">
        <f>E792/F792</f>
        <v/>
      </c>
      <c r="AA792" s="125">
        <f>D792/G792</f>
        <v/>
      </c>
      <c r="AB792" s="125">
        <f t="array" ref="AB792">_xlfn.IFS(Z792 &lt;= 9, "1", Z792 &lt;= 12, "2", Z792 &lt;= 15, "3", Z792 &gt; 15, "4")</f>
        <v/>
      </c>
      <c r="AC792" s="125">
        <f t="array" ref="AC792">_xlfn.IFS(AA792 &lt;= 200, "1", L792 &lt;= 300, "2", L792 &lt;= 400, "3", L792 &gt; 400, "4")</f>
        <v/>
      </c>
      <c r="AF792" s="129">
        <f>SQRT((((VLOOKUP($AT$4,$A$4:$D$1021,4,FALSE))-D792)^2)+(((VLOOKUP($AT$4,$A$4:$E$1021,5,FALSE))-E792)^2)+(((VLOOKUP($AT$4,$A$4:$N$1021,14,FALSE))-N792)^2)+(((VLOOKUP($AT$4,$A$4:$O$1021,15,FALSE))-O792)^2))</f>
        <v/>
      </c>
      <c r="AG792" s="129" t="n"/>
      <c r="AI792" s="129">
        <f>SQRT((((VLOOKUP($AT$4,$A$4:$D$1021,4,FALSE))-D792)^2)+(((VLOOKUP($AT$4,$A$4:$E$1021,5,FALSE))-E792)^2)+(((VLOOKUP($AT$4,$A$4:$R$1021,18,FALSE))-R792)^2)+(((VLOOKUP($AT$4,$A$4:$S$1021,19,FALSE))-S792)^2))</f>
        <v/>
      </c>
      <c r="AJ792" s="125" t="inlineStr">
        <is>
          <t>HY700X273</t>
        </is>
      </c>
      <c r="AK792" s="125" t="n"/>
      <c r="AL792" s="125" t="n"/>
      <c r="AM792" s="125">
        <f>SQRT(((VLOOKUP($AT$4,$A$4:$J$1021,10,FALSE))-J792)^2)</f>
        <v/>
      </c>
      <c r="AN792" s="125" t="n"/>
      <c r="AO792" s="125" t="n"/>
      <c r="AP792" s="125">
        <f>SQRT(((VLOOKUP($AT$4,$A$4:$R$1021,18,FALSE))-R792)^2)</f>
        <v/>
      </c>
      <c r="AQ792" s="125" t="inlineStr">
        <is>
          <t>HY700X273</t>
        </is>
      </c>
      <c r="BB792" s="125">
        <f>SQRT(($J$1022-J792)^2)</f>
        <v/>
      </c>
      <c r="BC792" s="125">
        <f>SQRT(($R$1022-R792)^2)</f>
        <v/>
      </c>
      <c r="BD792" s="125" t="inlineStr">
        <is>
          <t>HY700X273</t>
        </is>
      </c>
      <c r="BI792">
        <f>SQRT(($J$1023-J792)^2)</f>
        <v/>
      </c>
      <c r="BJ792">
        <f>SQRT(($R$1023-R792)^2)</f>
        <v/>
      </c>
      <c r="BK792" s="125" t="inlineStr">
        <is>
          <t>HY700X273</t>
        </is>
      </c>
      <c r="BP792">
        <f>SQRT(($J$1024-J792)^2)</f>
        <v/>
      </c>
      <c r="BQ792">
        <f>SQRT(($R$1024-R792)^2)</f>
        <v/>
      </c>
      <c r="BR792" s="125" t="inlineStr">
        <is>
          <t>HY700X273</t>
        </is>
      </c>
      <c r="BW792">
        <f>SQRT(($J$1025-J792)^2)</f>
        <v/>
      </c>
      <c r="BX792">
        <f>SQRT(($R$1025-R792)^2)</f>
        <v/>
      </c>
      <c r="BY792" s="125" t="inlineStr">
        <is>
          <t>HY700X273</t>
        </is>
      </c>
      <c r="CD792">
        <f>SQRT(($J$1026-J792)^2)</f>
        <v/>
      </c>
      <c r="CE792">
        <f>SQRT(($R$1026-R792)^2)</f>
        <v/>
      </c>
      <c r="CF792" s="125" t="inlineStr">
        <is>
          <t>HY700X273</t>
        </is>
      </c>
    </row>
    <row r="793">
      <c r="A793" s="125" t="inlineStr">
        <is>
          <t>HY700X252</t>
        </is>
      </c>
      <c r="B793" s="129" t="inlineStr">
        <is>
          <t>HY</t>
        </is>
      </c>
      <c r="C793" s="125" t="n">
        <v>252</v>
      </c>
      <c r="D793" s="125" t="n">
        <v>700</v>
      </c>
      <c r="E793" s="125" t="n">
        <v>350</v>
      </c>
      <c r="F793" s="125" t="n">
        <v>28</v>
      </c>
      <c r="G793" s="125" t="n">
        <v>19</v>
      </c>
      <c r="H793" s="125" t="n">
        <v>18</v>
      </c>
      <c r="I793" s="125">
        <f>D793-(2*(H793+F793))</f>
        <v/>
      </c>
      <c r="J793" s="125">
        <f>(2*E793/10*F793/10)+((D793-F793-F793)/10*G793/10)+((H793/10+H793/10)^2)-(PI()*H793/10*H793/10)</f>
        <v/>
      </c>
      <c r="K793" s="125">
        <f>((E793-G793)/2)/F793</f>
        <v/>
      </c>
      <c r="L793" s="125">
        <f>I793/G793</f>
        <v/>
      </c>
      <c r="M793" s="125">
        <f>(E793*2+F793*4+((E793-G793)/2-H793)*4+2*PI()*H793+(D793-2*F793-2*H793)*2)/1000</f>
        <v/>
      </c>
      <c r="N793" s="5" t="n">
        <v>267000</v>
      </c>
      <c r="O793" s="5" t="n">
        <v>20100</v>
      </c>
      <c r="P793" s="125" t="n">
        <v>28.8</v>
      </c>
      <c r="Q793" s="125" t="n">
        <v>7.9</v>
      </c>
      <c r="R793" s="5" t="n">
        <v>7610</v>
      </c>
      <c r="S793" s="5" t="n">
        <v>1150</v>
      </c>
      <c r="T793" s="5" t="n">
        <v>8640</v>
      </c>
      <c r="U793" s="5" t="n">
        <v>1780</v>
      </c>
      <c r="X793" s="129">
        <f t="array" ref="X793">_xlfn.IFS((D793/F793) &lt;= (640/SQRT($AT$32)), "Compact", L793 &lt;= ($AT$32*(0.79-(0.002*((E793-G793/2)/(2*F793))*SQRT($AT$32)))), "Non-Compact", L793 &gt; ($AT$32*(0.79-(0.002*((E793-G793/2)/(2*F793))*SQRT($AT$32)))), "Slender")</f>
        <v/>
      </c>
      <c r="Y793" s="129">
        <f t="array" ref="Y793">_xlfn.IFS(K793 &lt;= (65/SQRT($AT$32)), "Compact", K793 &lt;= (95/SQRT($AT$32)), "Non-Compact", K793 &gt; (95/SQRT($AT$32)), "Slender")</f>
        <v/>
      </c>
      <c r="Z793" s="125">
        <f>E793/F793</f>
        <v/>
      </c>
      <c r="AA793" s="125">
        <f>D793/G793</f>
        <v/>
      </c>
      <c r="AB793" s="125">
        <f t="array" ref="AB793">_xlfn.IFS(Z793 &lt;= 9, "1", Z793 &lt;= 12, "2", Z793 &lt;= 15, "3", Z793 &gt; 15, "4")</f>
        <v/>
      </c>
      <c r="AC793" s="125">
        <f t="array" ref="AC793">_xlfn.IFS(AA793 &lt;= 200, "1", L793 &lt;= 300, "2", L793 &lt;= 400, "3", L793 &gt; 400, "4")</f>
        <v/>
      </c>
      <c r="AF793" s="129">
        <f>SQRT((((VLOOKUP($AT$4,$A$4:$D$1021,4,FALSE))-D793)^2)+(((VLOOKUP($AT$4,$A$4:$E$1021,5,FALSE))-E793)^2)+(((VLOOKUP($AT$4,$A$4:$N$1021,14,FALSE))-N793)^2)+(((VLOOKUP($AT$4,$A$4:$O$1021,15,FALSE))-O793)^2))</f>
        <v/>
      </c>
      <c r="AG793" s="129" t="n"/>
      <c r="AI793" s="129">
        <f>SQRT((((VLOOKUP($AT$4,$A$4:$D$1021,4,FALSE))-D793)^2)+(((VLOOKUP($AT$4,$A$4:$E$1021,5,FALSE))-E793)^2)+(((VLOOKUP($AT$4,$A$4:$R$1021,18,FALSE))-R793)^2)+(((VLOOKUP($AT$4,$A$4:$S$1021,19,FALSE))-S793)^2))</f>
        <v/>
      </c>
      <c r="AJ793" s="125" t="inlineStr">
        <is>
          <t>HY700X252</t>
        </is>
      </c>
      <c r="AK793" s="125" t="n"/>
      <c r="AL793" s="125" t="n"/>
      <c r="AM793" s="125">
        <f>SQRT(((VLOOKUP($AT$4,$A$4:$J$1021,10,FALSE))-J793)^2)</f>
        <v/>
      </c>
      <c r="AN793" s="125" t="n"/>
      <c r="AO793" s="125" t="n"/>
      <c r="AP793" s="125">
        <f>SQRT(((VLOOKUP($AT$4,$A$4:$R$1021,18,FALSE))-R793)^2)</f>
        <v/>
      </c>
      <c r="AQ793" s="125" t="inlineStr">
        <is>
          <t>HY700X252</t>
        </is>
      </c>
      <c r="BB793" s="125">
        <f>SQRT(($J$1022-J793)^2)</f>
        <v/>
      </c>
      <c r="BC793" s="125">
        <f>SQRT(($R$1022-R793)^2)</f>
        <v/>
      </c>
      <c r="BD793" s="125" t="inlineStr">
        <is>
          <t>HY700X252</t>
        </is>
      </c>
      <c r="BI793">
        <f>SQRT(($J$1023-J793)^2)</f>
        <v/>
      </c>
      <c r="BJ793">
        <f>SQRT(($R$1023-R793)^2)</f>
        <v/>
      </c>
      <c r="BK793" s="125" t="inlineStr">
        <is>
          <t>HY700X252</t>
        </is>
      </c>
      <c r="BP793">
        <f>SQRT(($J$1024-J793)^2)</f>
        <v/>
      </c>
      <c r="BQ793">
        <f>SQRT(($R$1024-R793)^2)</f>
        <v/>
      </c>
      <c r="BR793" s="125" t="inlineStr">
        <is>
          <t>HY700X252</t>
        </is>
      </c>
      <c r="BW793">
        <f>SQRT(($J$1025-J793)^2)</f>
        <v/>
      </c>
      <c r="BX793">
        <f>SQRT(($R$1025-R793)^2)</f>
        <v/>
      </c>
      <c r="BY793" s="125" t="inlineStr">
        <is>
          <t>HY700X252</t>
        </is>
      </c>
      <c r="CD793">
        <f>SQRT(($J$1026-J793)^2)</f>
        <v/>
      </c>
      <c r="CE793">
        <f>SQRT(($R$1026-R793)^2)</f>
        <v/>
      </c>
      <c r="CF793" s="125" t="inlineStr">
        <is>
          <t>HY700X252</t>
        </is>
      </c>
    </row>
    <row r="794">
      <c r="A794" s="125" t="inlineStr">
        <is>
          <t>HY700X279</t>
        </is>
      </c>
      <c r="B794" s="129" t="inlineStr">
        <is>
          <t>HY</t>
        </is>
      </c>
      <c r="C794" s="125" t="n">
        <v>279</v>
      </c>
      <c r="D794" s="125" t="n">
        <v>700</v>
      </c>
      <c r="E794" s="125" t="n">
        <v>350</v>
      </c>
      <c r="F794" s="125" t="n">
        <v>36</v>
      </c>
      <c r="G794" s="125" t="n">
        <v>16</v>
      </c>
      <c r="H794" s="125" t="n">
        <v>18</v>
      </c>
      <c r="I794" s="125">
        <f>D794-(2*(H794+F794))</f>
        <v/>
      </c>
      <c r="J794" s="125">
        <f>(2*E794/10*F794/10)+((D794-F794-F794)/10*G794/10)+((H794/10+H794/10)^2)-(PI()*H794/10*H794/10)</f>
        <v/>
      </c>
      <c r="K794" s="125">
        <f>((E794-G794)/2)/F794</f>
        <v/>
      </c>
      <c r="L794" s="125">
        <f>I794/G794</f>
        <v/>
      </c>
      <c r="M794" s="125">
        <f>(E794*2+F794*4+((E794-G794)/2-H794)*4+2*PI()*H794+(D794-2*F794-2*H794)*2)/1000</f>
        <v/>
      </c>
      <c r="N794" s="5" t="n">
        <v>314000</v>
      </c>
      <c r="O794" s="5" t="n">
        <v>25800</v>
      </c>
      <c r="P794" s="125" t="n">
        <v>29.7</v>
      </c>
      <c r="Q794" s="125" t="n">
        <v>8.5</v>
      </c>
      <c r="R794" s="5" t="n">
        <v>8960</v>
      </c>
      <c r="S794" s="5" t="n">
        <v>1470</v>
      </c>
      <c r="T794" s="5" t="n">
        <v>10000</v>
      </c>
      <c r="U794" s="5" t="n">
        <v>2250</v>
      </c>
      <c r="X794" s="129">
        <f t="array" ref="X794">_xlfn.IFS((D794/F794) &lt;= (640/SQRT($AT$32)), "Compact", L794 &lt;= ($AT$32*(0.79-(0.002*((E794-G794/2)/(2*F794))*SQRT($AT$32)))), "Non-Compact", L794 &gt; ($AT$32*(0.79-(0.002*((E794-G794/2)/(2*F794))*SQRT($AT$32)))), "Slender")</f>
        <v/>
      </c>
      <c r="Y794" s="129">
        <f t="array" ref="Y794">_xlfn.IFS(K794 &lt;= (65/SQRT($AT$32)), "Compact", K794 &lt;= (95/SQRT($AT$32)), "Non-Compact", K794 &gt; (95/SQRT($AT$32)), "Slender")</f>
        <v/>
      </c>
      <c r="Z794" s="125">
        <f>E794/F794</f>
        <v/>
      </c>
      <c r="AA794" s="125">
        <f>D794/G794</f>
        <v/>
      </c>
      <c r="AB794" s="125">
        <f t="array" ref="AB794">_xlfn.IFS(Z794 &lt;= 9, "1", Z794 &lt;= 12, "2", Z794 &lt;= 15, "3", Z794 &gt; 15, "4")</f>
        <v/>
      </c>
      <c r="AC794" s="125">
        <f t="array" ref="AC794">_xlfn.IFS(AA794 &lt;= 200, "1", L794 &lt;= 300, "2", L794 &lt;= 400, "3", L794 &gt; 400, "4")</f>
        <v/>
      </c>
      <c r="AF794" s="129">
        <f>SQRT((((VLOOKUP($AT$4,$A$4:$D$1021,4,FALSE))-D794)^2)+(((VLOOKUP($AT$4,$A$4:$E$1021,5,FALSE))-E794)^2)+(((VLOOKUP($AT$4,$A$4:$N$1021,14,FALSE))-N794)^2)+(((VLOOKUP($AT$4,$A$4:$O$1021,15,FALSE))-O794)^2))</f>
        <v/>
      </c>
      <c r="AG794" s="129" t="n"/>
      <c r="AI794" s="129">
        <f>SQRT((((VLOOKUP($AT$4,$A$4:$D$1021,4,FALSE))-D794)^2)+(((VLOOKUP($AT$4,$A$4:$E$1021,5,FALSE))-E794)^2)+(((VLOOKUP($AT$4,$A$4:$R$1021,18,FALSE))-R794)^2)+(((VLOOKUP($AT$4,$A$4:$S$1021,19,FALSE))-S794)^2))</f>
        <v/>
      </c>
      <c r="AJ794" s="125" t="inlineStr">
        <is>
          <t>HY700X279</t>
        </is>
      </c>
      <c r="AK794" s="125" t="n"/>
      <c r="AL794" s="125" t="n"/>
      <c r="AM794" s="125">
        <f>SQRT(((VLOOKUP($AT$4,$A$4:$J$1021,10,FALSE))-J794)^2)</f>
        <v/>
      </c>
      <c r="AN794" s="125" t="n"/>
      <c r="AO794" s="125" t="n"/>
      <c r="AP794" s="125">
        <f>SQRT(((VLOOKUP($AT$4,$A$4:$R$1021,18,FALSE))-R794)^2)</f>
        <v/>
      </c>
      <c r="AQ794" s="125" t="inlineStr">
        <is>
          <t>HY700X279</t>
        </is>
      </c>
      <c r="BB794" s="125">
        <f>SQRT(($J$1022-J794)^2)</f>
        <v/>
      </c>
      <c r="BC794" s="125">
        <f>SQRT(($R$1022-R794)^2)</f>
        <v/>
      </c>
      <c r="BD794" s="125" t="inlineStr">
        <is>
          <t>HY700X279</t>
        </is>
      </c>
      <c r="BI794">
        <f>SQRT(($J$1023-J794)^2)</f>
        <v/>
      </c>
      <c r="BJ794">
        <f>SQRT(($R$1023-R794)^2)</f>
        <v/>
      </c>
      <c r="BK794" s="125" t="inlineStr">
        <is>
          <t>HY700X279</t>
        </is>
      </c>
      <c r="BP794">
        <f>SQRT(($J$1024-J794)^2)</f>
        <v/>
      </c>
      <c r="BQ794">
        <f>SQRT(($R$1024-R794)^2)</f>
        <v/>
      </c>
      <c r="BR794" s="125" t="inlineStr">
        <is>
          <t>HY700X279</t>
        </is>
      </c>
      <c r="BW794">
        <f>SQRT(($J$1025-J794)^2)</f>
        <v/>
      </c>
      <c r="BX794">
        <f>SQRT(($R$1025-R794)^2)</f>
        <v/>
      </c>
      <c r="BY794" s="125" t="inlineStr">
        <is>
          <t>HY700X279</t>
        </is>
      </c>
      <c r="CD794">
        <f>SQRT(($J$1026-J794)^2)</f>
        <v/>
      </c>
      <c r="CE794">
        <f>SQRT(($R$1026-R794)^2)</f>
        <v/>
      </c>
      <c r="CF794" s="125" t="inlineStr">
        <is>
          <t>HY700X279</t>
        </is>
      </c>
    </row>
    <row r="795">
      <c r="A795" s="125" t="inlineStr">
        <is>
          <t>HY700X258</t>
        </is>
      </c>
      <c r="B795" s="129" t="inlineStr">
        <is>
          <t>HY</t>
        </is>
      </c>
      <c r="C795" s="125" t="n">
        <v>258</v>
      </c>
      <c r="D795" s="125" t="n">
        <v>700</v>
      </c>
      <c r="E795" s="125" t="n">
        <v>350</v>
      </c>
      <c r="F795" s="125" t="n">
        <v>32</v>
      </c>
      <c r="G795" s="125" t="n">
        <v>16</v>
      </c>
      <c r="H795" s="125" t="n">
        <v>18</v>
      </c>
      <c r="I795" s="125">
        <f>D795-(2*(H795+F795))</f>
        <v/>
      </c>
      <c r="J795" s="125">
        <f>(2*E795/10*F795/10)+((D795-F795-F795)/10*G795/10)+((H795/10+H795/10)^2)-(PI()*H795/10*H795/10)</f>
        <v/>
      </c>
      <c r="K795" s="125">
        <f>((E795-G795)/2)/F795</f>
        <v/>
      </c>
      <c r="L795" s="125">
        <f>I795/G795</f>
        <v/>
      </c>
      <c r="M795" s="125">
        <f>(E795*2+F795*4+((E795-G795)/2-H795)*4+2*PI()*H795+(D795-2*F795-2*H795)*2)/1000</f>
        <v/>
      </c>
      <c r="N795" s="5" t="n">
        <v>287000</v>
      </c>
      <c r="O795" s="5" t="n">
        <v>22900</v>
      </c>
      <c r="P795" s="125" t="n">
        <v>29.6</v>
      </c>
      <c r="Q795" s="125" t="n">
        <v>8.4</v>
      </c>
      <c r="R795" s="5" t="n">
        <v>8200</v>
      </c>
      <c r="S795" s="5" t="n">
        <v>1310</v>
      </c>
      <c r="T795" s="5" t="n">
        <v>9190</v>
      </c>
      <c r="U795" s="5" t="n">
        <v>2000</v>
      </c>
      <c r="X795" s="129">
        <f t="array" ref="X795">_xlfn.IFS((D795/F795) &lt;= (640/SQRT($AT$32)), "Compact", L795 &lt;= ($AT$32*(0.79-(0.002*((E795-G795/2)/(2*F795))*SQRT($AT$32)))), "Non-Compact", L795 &gt; ($AT$32*(0.79-(0.002*((E795-G795/2)/(2*F795))*SQRT($AT$32)))), "Slender")</f>
        <v/>
      </c>
      <c r="Y795" s="129">
        <f t="array" ref="Y795">_xlfn.IFS(K795 &lt;= (65/SQRT($AT$32)), "Compact", K795 &lt;= (95/SQRT($AT$32)), "Non-Compact", K795 &gt; (95/SQRT($AT$32)), "Slender")</f>
        <v/>
      </c>
      <c r="Z795" s="125">
        <f>E795/F795</f>
        <v/>
      </c>
      <c r="AA795" s="125">
        <f>D795/G795</f>
        <v/>
      </c>
      <c r="AB795" s="125">
        <f t="array" ref="AB795">_xlfn.IFS(Z795 &lt;= 9, "1", Z795 &lt;= 12, "2", Z795 &lt;= 15, "3", Z795 &gt; 15, "4")</f>
        <v/>
      </c>
      <c r="AC795" s="125">
        <f t="array" ref="AC795">_xlfn.IFS(AA795 &lt;= 200, "1", L795 &lt;= 300, "2", L795 &lt;= 400, "3", L795 &gt; 400, "4")</f>
        <v/>
      </c>
      <c r="AF795" s="129">
        <f>SQRT((((VLOOKUP($AT$4,$A$4:$D$1021,4,FALSE))-D795)^2)+(((VLOOKUP($AT$4,$A$4:$E$1021,5,FALSE))-E795)^2)+(((VLOOKUP($AT$4,$A$4:$N$1021,14,FALSE))-N795)^2)+(((VLOOKUP($AT$4,$A$4:$O$1021,15,FALSE))-O795)^2))</f>
        <v/>
      </c>
      <c r="AG795" s="129" t="n"/>
      <c r="AI795" s="129">
        <f>SQRT((((VLOOKUP($AT$4,$A$4:$D$1021,4,FALSE))-D795)^2)+(((VLOOKUP($AT$4,$A$4:$E$1021,5,FALSE))-E795)^2)+(((VLOOKUP($AT$4,$A$4:$R$1021,18,FALSE))-R795)^2)+(((VLOOKUP($AT$4,$A$4:$S$1021,19,FALSE))-S795)^2))</f>
        <v/>
      </c>
      <c r="AJ795" s="125" t="inlineStr">
        <is>
          <t>HY700X258</t>
        </is>
      </c>
      <c r="AK795" s="125" t="n"/>
      <c r="AL795" s="125" t="n"/>
      <c r="AM795" s="125">
        <f>SQRT(((VLOOKUP($AT$4,$A$4:$J$1021,10,FALSE))-J795)^2)</f>
        <v/>
      </c>
      <c r="AN795" s="125" t="n"/>
      <c r="AO795" s="125" t="n"/>
      <c r="AP795" s="125">
        <f>SQRT(((VLOOKUP($AT$4,$A$4:$R$1021,18,FALSE))-R795)^2)</f>
        <v/>
      </c>
      <c r="AQ795" s="125" t="inlineStr">
        <is>
          <t>HY700X258</t>
        </is>
      </c>
      <c r="BB795" s="125">
        <f>SQRT(($J$1022-J795)^2)</f>
        <v/>
      </c>
      <c r="BC795" s="125">
        <f>SQRT(($R$1022-R795)^2)</f>
        <v/>
      </c>
      <c r="BD795" s="125" t="inlineStr">
        <is>
          <t>HY700X258</t>
        </is>
      </c>
      <c r="BI795">
        <f>SQRT(($J$1023-J795)^2)</f>
        <v/>
      </c>
      <c r="BJ795">
        <f>SQRT(($R$1023-R795)^2)</f>
        <v/>
      </c>
      <c r="BK795" s="125" t="inlineStr">
        <is>
          <t>HY700X258</t>
        </is>
      </c>
      <c r="BP795">
        <f>SQRT(($J$1024-J795)^2)</f>
        <v/>
      </c>
      <c r="BQ795">
        <f>SQRT(($R$1024-R795)^2)</f>
        <v/>
      </c>
      <c r="BR795" s="125" t="inlineStr">
        <is>
          <t>HY700X258</t>
        </is>
      </c>
      <c r="BW795">
        <f>SQRT(($J$1025-J795)^2)</f>
        <v/>
      </c>
      <c r="BX795">
        <f>SQRT(($R$1025-R795)^2)</f>
        <v/>
      </c>
      <c r="BY795" s="125" t="inlineStr">
        <is>
          <t>HY700X258</t>
        </is>
      </c>
      <c r="CD795">
        <f>SQRT(($J$1026-J795)^2)</f>
        <v/>
      </c>
      <c r="CE795">
        <f>SQRT(($R$1026-R795)^2)</f>
        <v/>
      </c>
      <c r="CF795" s="125" t="inlineStr">
        <is>
          <t>HY700X258</t>
        </is>
      </c>
    </row>
    <row r="796">
      <c r="A796" s="125" t="inlineStr">
        <is>
          <t>HY700X237</t>
        </is>
      </c>
      <c r="B796" s="129" t="inlineStr">
        <is>
          <t>HY</t>
        </is>
      </c>
      <c r="C796" s="125" t="n">
        <v>237</v>
      </c>
      <c r="D796" s="125" t="n">
        <v>700</v>
      </c>
      <c r="E796" s="125" t="n">
        <v>350</v>
      </c>
      <c r="F796" s="125" t="n">
        <v>28</v>
      </c>
      <c r="G796" s="125" t="n">
        <v>16</v>
      </c>
      <c r="H796" s="125" t="n">
        <v>18</v>
      </c>
      <c r="I796" s="125">
        <f>D796-(2*(H796+F796))</f>
        <v/>
      </c>
      <c r="J796" s="125">
        <f>(2*E796/10*F796/10)+((D796-F796-F796)/10*G796/10)+((H796/10+H796/10)^2)-(PI()*H796/10*H796/10)</f>
        <v/>
      </c>
      <c r="K796" s="125">
        <f>((E796-G796)/2)/F796</f>
        <v/>
      </c>
      <c r="L796" s="125">
        <f>I796/G796</f>
        <v/>
      </c>
      <c r="M796" s="125">
        <f>(E796*2+F796*4+((E796-G796)/2-H796)*4+2*PI()*H796+(D796-2*F796-2*H796)*2)/1000</f>
        <v/>
      </c>
      <c r="N796" s="5" t="n">
        <v>260000</v>
      </c>
      <c r="O796" s="5" t="n">
        <v>20000</v>
      </c>
      <c r="P796" s="125" t="n">
        <v>29.3</v>
      </c>
      <c r="Q796" s="125" t="n">
        <v>8.199999999999999</v>
      </c>
      <c r="R796" s="5" t="n">
        <v>7420</v>
      </c>
      <c r="S796" s="5" t="n">
        <v>1140</v>
      </c>
      <c r="T796" s="5" t="n">
        <v>8330</v>
      </c>
      <c r="U796" s="5" t="n">
        <v>1760</v>
      </c>
      <c r="X796" s="129">
        <f t="array" ref="X796">_xlfn.IFS((D796/F796) &lt;= (640/SQRT($AT$32)), "Compact", L796 &lt;= ($AT$32*(0.79-(0.002*((E796-G796/2)/(2*F796))*SQRT($AT$32)))), "Non-Compact", L796 &gt; ($AT$32*(0.79-(0.002*((E796-G796/2)/(2*F796))*SQRT($AT$32)))), "Slender")</f>
        <v/>
      </c>
      <c r="Y796" s="129">
        <f t="array" ref="Y796">_xlfn.IFS(K796 &lt;= (65/SQRT($AT$32)), "Compact", K796 &lt;= (95/SQRT($AT$32)), "Non-Compact", K796 &gt; (95/SQRT($AT$32)), "Slender")</f>
        <v/>
      </c>
      <c r="Z796" s="125">
        <f>E796/F796</f>
        <v/>
      </c>
      <c r="AA796" s="125">
        <f>D796/G796</f>
        <v/>
      </c>
      <c r="AB796" s="125">
        <f t="array" ref="AB796">_xlfn.IFS(Z796 &lt;= 9, "1", Z796 &lt;= 12, "2", Z796 &lt;= 15, "3", Z796 &gt; 15, "4")</f>
        <v/>
      </c>
      <c r="AC796" s="125">
        <f t="array" ref="AC796">_xlfn.IFS(AA796 &lt;= 200, "1", L796 &lt;= 300, "2", L796 &lt;= 400, "3", L796 &gt; 400, "4")</f>
        <v/>
      </c>
      <c r="AF796" s="129">
        <f>SQRT((((VLOOKUP($AT$4,$A$4:$D$1021,4,FALSE))-D796)^2)+(((VLOOKUP($AT$4,$A$4:$E$1021,5,FALSE))-E796)^2)+(((VLOOKUP($AT$4,$A$4:$N$1021,14,FALSE))-N796)^2)+(((VLOOKUP($AT$4,$A$4:$O$1021,15,FALSE))-O796)^2))</f>
        <v/>
      </c>
      <c r="AG796" s="129" t="n"/>
      <c r="AI796" s="129">
        <f>SQRT((((VLOOKUP($AT$4,$A$4:$D$1021,4,FALSE))-D796)^2)+(((VLOOKUP($AT$4,$A$4:$E$1021,5,FALSE))-E796)^2)+(((VLOOKUP($AT$4,$A$4:$R$1021,18,FALSE))-R796)^2)+(((VLOOKUP($AT$4,$A$4:$S$1021,19,FALSE))-S796)^2))</f>
        <v/>
      </c>
      <c r="AJ796" s="125" t="inlineStr">
        <is>
          <t>HY700X237</t>
        </is>
      </c>
      <c r="AK796" s="125" t="n"/>
      <c r="AL796" s="125" t="n"/>
      <c r="AM796" s="125">
        <f>SQRT(((VLOOKUP($AT$4,$A$4:$J$1021,10,FALSE))-J796)^2)</f>
        <v/>
      </c>
      <c r="AN796" s="125" t="n"/>
      <c r="AO796" s="125" t="n"/>
      <c r="AP796" s="125">
        <f>SQRT(((VLOOKUP($AT$4,$A$4:$R$1021,18,FALSE))-R796)^2)</f>
        <v/>
      </c>
      <c r="AQ796" s="125" t="inlineStr">
        <is>
          <t>HY700X237</t>
        </is>
      </c>
      <c r="BB796" s="125">
        <f>SQRT(($J$1022-J796)^2)</f>
        <v/>
      </c>
      <c r="BC796" s="125">
        <f>SQRT(($R$1022-R796)^2)</f>
        <v/>
      </c>
      <c r="BD796" s="125" t="inlineStr">
        <is>
          <t>HY700X237</t>
        </is>
      </c>
      <c r="BI796">
        <f>SQRT(($J$1023-J796)^2)</f>
        <v/>
      </c>
      <c r="BJ796">
        <f>SQRT(($R$1023-R796)^2)</f>
        <v/>
      </c>
      <c r="BK796" s="125" t="inlineStr">
        <is>
          <t>HY700X237</t>
        </is>
      </c>
      <c r="BP796">
        <f>SQRT(($J$1024-J796)^2)</f>
        <v/>
      </c>
      <c r="BQ796">
        <f>SQRT(($R$1024-R796)^2)</f>
        <v/>
      </c>
      <c r="BR796" s="125" t="inlineStr">
        <is>
          <t>HY700X237</t>
        </is>
      </c>
      <c r="BW796">
        <f>SQRT(($J$1025-J796)^2)</f>
        <v/>
      </c>
      <c r="BX796">
        <f>SQRT(($R$1025-R796)^2)</f>
        <v/>
      </c>
      <c r="BY796" s="125" t="inlineStr">
        <is>
          <t>HY700X237</t>
        </is>
      </c>
      <c r="CD796">
        <f>SQRT(($J$1026-J796)^2)</f>
        <v/>
      </c>
      <c r="CE796">
        <f>SQRT(($R$1026-R796)^2)</f>
        <v/>
      </c>
      <c r="CF796" s="125" t="inlineStr">
        <is>
          <t>HY700X237</t>
        </is>
      </c>
    </row>
    <row r="797">
      <c r="A797" s="125" t="inlineStr">
        <is>
          <t>HY700X221</t>
        </is>
      </c>
      <c r="B797" s="129" t="inlineStr">
        <is>
          <t>HY</t>
        </is>
      </c>
      <c r="C797" s="125" t="n">
        <v>221</v>
      </c>
      <c r="D797" s="125" t="n">
        <v>700</v>
      </c>
      <c r="E797" s="125" t="n">
        <v>350</v>
      </c>
      <c r="F797" s="125" t="n">
        <v>25</v>
      </c>
      <c r="G797" s="125" t="n">
        <v>16</v>
      </c>
      <c r="H797" s="125" t="n">
        <v>18</v>
      </c>
      <c r="I797" s="125">
        <f>D797-(2*(H797+F797))</f>
        <v/>
      </c>
      <c r="J797" s="125">
        <f>(2*E797/10*F797/10)+((D797-F797-F797)/10*G797/10)+((H797/10+H797/10)^2)-(PI()*H797/10*H797/10)</f>
        <v/>
      </c>
      <c r="K797" s="125">
        <f>((E797-G797)/2)/F797</f>
        <v/>
      </c>
      <c r="L797" s="125">
        <f>I797/G797</f>
        <v/>
      </c>
      <c r="M797" s="125">
        <f>(E797*2+F797*4+((E797-G797)/2-H797)*4+2*PI()*H797+(D797-2*F797-2*H797)*2)/1000</f>
        <v/>
      </c>
      <c r="N797" s="5" t="n">
        <v>239000</v>
      </c>
      <c r="O797" s="5" t="n">
        <v>17900</v>
      </c>
      <c r="P797" s="125" t="n">
        <v>29.1</v>
      </c>
      <c r="Q797" s="125" t="n">
        <v>8</v>
      </c>
      <c r="R797" s="5" t="n">
        <v>6830</v>
      </c>
      <c r="S797" s="5" t="n">
        <v>1020</v>
      </c>
      <c r="T797" s="5" t="n">
        <v>7690</v>
      </c>
      <c r="U797" s="5" t="n">
        <v>1580</v>
      </c>
      <c r="X797" s="129">
        <f t="array" ref="X797">_xlfn.IFS((D797/F797) &lt;= (640/SQRT($AT$32)), "Compact", L797 &lt;= ($AT$32*(0.79-(0.002*((E797-G797/2)/(2*F797))*SQRT($AT$32)))), "Non-Compact", L797 &gt; ($AT$32*(0.79-(0.002*((E797-G797/2)/(2*F797))*SQRT($AT$32)))), "Slender")</f>
        <v/>
      </c>
      <c r="Y797" s="129">
        <f t="array" ref="Y797">_xlfn.IFS(K797 &lt;= (65/SQRT($AT$32)), "Compact", K797 &lt;= (95/SQRT($AT$32)), "Non-Compact", K797 &gt; (95/SQRT($AT$32)), "Slender")</f>
        <v/>
      </c>
      <c r="Z797" s="125">
        <f>E797/F797</f>
        <v/>
      </c>
      <c r="AA797" s="125">
        <f>D797/G797</f>
        <v/>
      </c>
      <c r="AB797" s="125">
        <f t="array" ref="AB797">_xlfn.IFS(Z797 &lt;= 9, "1", Z797 &lt;= 12, "2", Z797 &lt;= 15, "3", Z797 &gt; 15, "4")</f>
        <v/>
      </c>
      <c r="AC797" s="125">
        <f t="array" ref="AC797">_xlfn.IFS(AA797 &lt;= 200, "1", L797 &lt;= 300, "2", L797 &lt;= 400, "3", L797 &gt; 400, "4")</f>
        <v/>
      </c>
      <c r="AF797" s="129">
        <f>SQRT((((VLOOKUP($AT$4,$A$4:$D$1021,4,FALSE))-D797)^2)+(((VLOOKUP($AT$4,$A$4:$E$1021,5,FALSE))-E797)^2)+(((VLOOKUP($AT$4,$A$4:$N$1021,14,FALSE))-N797)^2)+(((VLOOKUP($AT$4,$A$4:$O$1021,15,FALSE))-O797)^2))</f>
        <v/>
      </c>
      <c r="AG797" s="129" t="n"/>
      <c r="AI797" s="129">
        <f>SQRT((((VLOOKUP($AT$4,$A$4:$D$1021,4,FALSE))-D797)^2)+(((VLOOKUP($AT$4,$A$4:$E$1021,5,FALSE))-E797)^2)+(((VLOOKUP($AT$4,$A$4:$R$1021,18,FALSE))-R797)^2)+(((VLOOKUP($AT$4,$A$4:$S$1021,19,FALSE))-S797)^2))</f>
        <v/>
      </c>
      <c r="AJ797" s="125" t="inlineStr">
        <is>
          <t>HY700X221</t>
        </is>
      </c>
      <c r="AK797" s="125" t="n"/>
      <c r="AL797" s="125" t="n"/>
      <c r="AM797" s="125">
        <f>SQRT(((VLOOKUP($AT$4,$A$4:$J$1021,10,FALSE))-J797)^2)</f>
        <v/>
      </c>
      <c r="AN797" s="125" t="n"/>
      <c r="AO797" s="125" t="n"/>
      <c r="AP797" s="125">
        <f>SQRT(((VLOOKUP($AT$4,$A$4:$R$1021,18,FALSE))-R797)^2)</f>
        <v/>
      </c>
      <c r="AQ797" s="125" t="inlineStr">
        <is>
          <t>HY700X221</t>
        </is>
      </c>
      <c r="BB797" s="125">
        <f>SQRT(($J$1022-J797)^2)</f>
        <v/>
      </c>
      <c r="BC797" s="125">
        <f>SQRT(($R$1022-R797)^2)</f>
        <v/>
      </c>
      <c r="BD797" s="125" t="inlineStr">
        <is>
          <t>HY700X221</t>
        </is>
      </c>
      <c r="BI797">
        <f>SQRT(($J$1023-J797)^2)</f>
        <v/>
      </c>
      <c r="BJ797">
        <f>SQRT(($R$1023-R797)^2)</f>
        <v/>
      </c>
      <c r="BK797" s="125" t="inlineStr">
        <is>
          <t>HY700X221</t>
        </is>
      </c>
      <c r="BP797">
        <f>SQRT(($J$1024-J797)^2)</f>
        <v/>
      </c>
      <c r="BQ797">
        <f>SQRT(($R$1024-R797)^2)</f>
        <v/>
      </c>
      <c r="BR797" s="125" t="inlineStr">
        <is>
          <t>HY700X221</t>
        </is>
      </c>
      <c r="BW797">
        <f>SQRT(($J$1025-J797)^2)</f>
        <v/>
      </c>
      <c r="BX797">
        <f>SQRT(($R$1025-R797)^2)</f>
        <v/>
      </c>
      <c r="BY797" s="125" t="inlineStr">
        <is>
          <t>HY700X221</t>
        </is>
      </c>
      <c r="CD797">
        <f>SQRT(($J$1026-J797)^2)</f>
        <v/>
      </c>
      <c r="CE797">
        <f>SQRT(($R$1026-R797)^2)</f>
        <v/>
      </c>
      <c r="CF797" s="125" t="inlineStr">
        <is>
          <t>HY700X221</t>
        </is>
      </c>
    </row>
    <row r="798">
      <c r="A798" s="125" t="inlineStr">
        <is>
          <t>HY700X205</t>
        </is>
      </c>
      <c r="B798" s="129" t="inlineStr">
        <is>
          <t>HY</t>
        </is>
      </c>
      <c r="C798" s="125" t="n">
        <v>205</v>
      </c>
      <c r="D798" s="125" t="n">
        <v>700</v>
      </c>
      <c r="E798" s="125" t="n">
        <v>350</v>
      </c>
      <c r="F798" s="125" t="n">
        <v>22</v>
      </c>
      <c r="G798" s="125" t="n">
        <v>16</v>
      </c>
      <c r="H798" s="125" t="n">
        <v>18</v>
      </c>
      <c r="I798" s="125">
        <f>D798-(2*(H798+F798))</f>
        <v/>
      </c>
      <c r="J798" s="125">
        <f>(2*E798/10*F798/10)+((D798-F798-F798)/10*G798/10)+((H798/10+H798/10)^2)-(PI()*H798/10*H798/10)</f>
        <v/>
      </c>
      <c r="K798" s="125">
        <f>((E798-G798)/2)/F798</f>
        <v/>
      </c>
      <c r="L798" s="125">
        <f>I798/G798</f>
        <v/>
      </c>
      <c r="M798" s="125">
        <f>(E798*2+F798*4+((E798-G798)/2-H798)*4+2*PI()*H798+(D798-2*F798-2*H798)*2)/1000</f>
        <v/>
      </c>
      <c r="N798" s="5" t="n">
        <v>218000</v>
      </c>
      <c r="O798" s="5" t="n">
        <v>15700</v>
      </c>
      <c r="P798" s="125" t="n">
        <v>28.8</v>
      </c>
      <c r="Q798" s="125" t="n">
        <v>7.8</v>
      </c>
      <c r="R798" s="5" t="n">
        <v>6220</v>
      </c>
      <c r="S798" s="125" t="n">
        <v>900</v>
      </c>
      <c r="T798" s="5" t="n">
        <v>7030</v>
      </c>
      <c r="U798" s="5" t="n">
        <v>1390</v>
      </c>
      <c r="X798" s="129">
        <f t="array" ref="X798">_xlfn.IFS((D798/F798) &lt;= (640/SQRT($AT$32)), "Compact", L798 &lt;= ($AT$32*(0.79-(0.002*((E798-G798/2)/(2*F798))*SQRT($AT$32)))), "Non-Compact", L798 &gt; ($AT$32*(0.79-(0.002*((E798-G798/2)/(2*F798))*SQRT($AT$32)))), "Slender")</f>
        <v/>
      </c>
      <c r="Y798" s="129">
        <f t="array" ref="Y798">_xlfn.IFS(K798 &lt;= (65/SQRT($AT$32)), "Compact", K798 &lt;= (95/SQRT($AT$32)), "Non-Compact", K798 &gt; (95/SQRT($AT$32)), "Slender")</f>
        <v/>
      </c>
      <c r="Z798" s="125">
        <f>E798/F798</f>
        <v/>
      </c>
      <c r="AA798" s="125">
        <f>D798/G798</f>
        <v/>
      </c>
      <c r="AB798" s="125">
        <f t="array" ref="AB798">_xlfn.IFS(Z798 &lt;= 9, "1", Z798 &lt;= 12, "2", Z798 &lt;= 15, "3", Z798 &gt; 15, "4")</f>
        <v/>
      </c>
      <c r="AC798" s="125">
        <f t="array" ref="AC798">_xlfn.IFS(AA798 &lt;= 200, "1", L798 &lt;= 300, "2", L798 &lt;= 400, "3", L798 &gt; 400, "4")</f>
        <v/>
      </c>
      <c r="AF798" s="129">
        <f>SQRT((((VLOOKUP($AT$4,$A$4:$D$1021,4,FALSE))-D798)^2)+(((VLOOKUP($AT$4,$A$4:$E$1021,5,FALSE))-E798)^2)+(((VLOOKUP($AT$4,$A$4:$N$1021,14,FALSE))-N798)^2)+(((VLOOKUP($AT$4,$A$4:$O$1021,15,FALSE))-O798)^2))</f>
        <v/>
      </c>
      <c r="AG798" s="129" t="n"/>
      <c r="AI798" s="129">
        <f>SQRT((((VLOOKUP($AT$4,$A$4:$D$1021,4,FALSE))-D798)^2)+(((VLOOKUP($AT$4,$A$4:$E$1021,5,FALSE))-E798)^2)+(((VLOOKUP($AT$4,$A$4:$R$1021,18,FALSE))-R798)^2)+(((VLOOKUP($AT$4,$A$4:$S$1021,19,FALSE))-S798)^2))</f>
        <v/>
      </c>
      <c r="AJ798" s="125" t="inlineStr">
        <is>
          <t>HY700X205</t>
        </is>
      </c>
      <c r="AK798" s="125" t="n"/>
      <c r="AL798" s="125" t="n"/>
      <c r="AM798" s="125">
        <f>SQRT(((VLOOKUP($AT$4,$A$4:$J$1021,10,FALSE))-J798)^2)</f>
        <v/>
      </c>
      <c r="AN798" s="125" t="n"/>
      <c r="AO798" s="125" t="n"/>
      <c r="AP798" s="125">
        <f>SQRT(((VLOOKUP($AT$4,$A$4:$R$1021,18,FALSE))-R798)^2)</f>
        <v/>
      </c>
      <c r="AQ798" s="125" t="inlineStr">
        <is>
          <t>HY700X205</t>
        </is>
      </c>
      <c r="BB798" s="125">
        <f>SQRT(($J$1022-J798)^2)</f>
        <v/>
      </c>
      <c r="BC798" s="125">
        <f>SQRT(($R$1022-R798)^2)</f>
        <v/>
      </c>
      <c r="BD798" s="125" t="inlineStr">
        <is>
          <t>HY700X205</t>
        </is>
      </c>
      <c r="BI798">
        <f>SQRT(($J$1023-J798)^2)</f>
        <v/>
      </c>
      <c r="BJ798">
        <f>SQRT(($R$1023-R798)^2)</f>
        <v/>
      </c>
      <c r="BK798" s="125" t="inlineStr">
        <is>
          <t>HY700X205</t>
        </is>
      </c>
      <c r="BP798">
        <f>SQRT(($J$1024-J798)^2)</f>
        <v/>
      </c>
      <c r="BQ798">
        <f>SQRT(($R$1024-R798)^2)</f>
        <v/>
      </c>
      <c r="BR798" s="125" t="inlineStr">
        <is>
          <t>HY700X205</t>
        </is>
      </c>
      <c r="BW798">
        <f>SQRT(($J$1025-J798)^2)</f>
        <v/>
      </c>
      <c r="BX798">
        <f>SQRT(($R$1025-R798)^2)</f>
        <v/>
      </c>
      <c r="BY798" s="125" t="inlineStr">
        <is>
          <t>HY700X205</t>
        </is>
      </c>
      <c r="CD798">
        <f>SQRT(($J$1026-J798)^2)</f>
        <v/>
      </c>
      <c r="CE798">
        <f>SQRT(($R$1026-R798)^2)</f>
        <v/>
      </c>
      <c r="CF798" s="125" t="inlineStr">
        <is>
          <t>HY700X205</t>
        </is>
      </c>
    </row>
    <row r="799">
      <c r="A799" s="125" t="inlineStr">
        <is>
          <t>HY700X248</t>
        </is>
      </c>
      <c r="B799" s="129" t="inlineStr">
        <is>
          <t>HY</t>
        </is>
      </c>
      <c r="C799" s="125" t="n">
        <v>248</v>
      </c>
      <c r="D799" s="125" t="n">
        <v>700</v>
      </c>
      <c r="E799" s="125" t="n">
        <v>350</v>
      </c>
      <c r="F799" s="125" t="n">
        <v>32</v>
      </c>
      <c r="G799" s="125" t="n">
        <v>14</v>
      </c>
      <c r="H799" s="125" t="n">
        <v>18</v>
      </c>
      <c r="I799" s="125">
        <f>D799-(2*(H799+F799))</f>
        <v/>
      </c>
      <c r="J799" s="125">
        <f>(2*E799/10*F799/10)+((D799-F799-F799)/10*G799/10)+((H799/10+H799/10)^2)-(PI()*H799/10*H799/10)</f>
        <v/>
      </c>
      <c r="K799" s="125">
        <f>((E799-G799)/2)/F799</f>
        <v/>
      </c>
      <c r="L799" s="125">
        <f>I799/G799</f>
        <v/>
      </c>
      <c r="M799" s="125">
        <f>(E799*2+F799*4+((E799-G799)/2-H799)*4+2*PI()*H799+(D799-2*F799-2*H799)*2)/1000</f>
        <v/>
      </c>
      <c r="N799" s="5" t="n">
        <v>283000</v>
      </c>
      <c r="O799" s="5" t="n">
        <v>22900</v>
      </c>
      <c r="P799" s="125" t="n">
        <v>29.9</v>
      </c>
      <c r="Q799" s="125" t="n">
        <v>8.5</v>
      </c>
      <c r="R799" s="5" t="n">
        <v>8080</v>
      </c>
      <c r="S799" s="5" t="n">
        <v>1310</v>
      </c>
      <c r="T799" s="5" t="n">
        <v>8980</v>
      </c>
      <c r="U799" s="5" t="n">
        <v>1990</v>
      </c>
      <c r="X799" s="129">
        <f t="array" ref="X799">_xlfn.IFS((D799/F799) &lt;= (640/SQRT($AT$32)), "Compact", L799 &lt;= ($AT$32*(0.79-(0.002*((E799-G799/2)/(2*F799))*SQRT($AT$32)))), "Non-Compact", L799 &gt; ($AT$32*(0.79-(0.002*((E799-G799/2)/(2*F799))*SQRT($AT$32)))), "Slender")</f>
        <v/>
      </c>
      <c r="Y799" s="129">
        <f t="array" ref="Y799">_xlfn.IFS(K799 &lt;= (65/SQRT($AT$32)), "Compact", K799 &lt;= (95/SQRT($AT$32)), "Non-Compact", K799 &gt; (95/SQRT($AT$32)), "Slender")</f>
        <v/>
      </c>
      <c r="Z799" s="125">
        <f>E799/F799</f>
        <v/>
      </c>
      <c r="AA799" s="125">
        <f>D799/G799</f>
        <v/>
      </c>
      <c r="AB799" s="125">
        <f t="array" ref="AB799">_xlfn.IFS(Z799 &lt;= 9, "1", Z799 &lt;= 12, "2", Z799 &lt;= 15, "3", Z799 &gt; 15, "4")</f>
        <v/>
      </c>
      <c r="AC799" s="125">
        <f t="array" ref="AC799">_xlfn.IFS(AA799 &lt;= 200, "1", L799 &lt;= 300, "2", L799 &lt;= 400, "3", L799 &gt; 400, "4")</f>
        <v/>
      </c>
      <c r="AF799" s="129">
        <f>SQRT((((VLOOKUP($AT$4,$A$4:$D$1021,4,FALSE))-D799)^2)+(((VLOOKUP($AT$4,$A$4:$E$1021,5,FALSE))-E799)^2)+(((VLOOKUP($AT$4,$A$4:$N$1021,14,FALSE))-N799)^2)+(((VLOOKUP($AT$4,$A$4:$O$1021,15,FALSE))-O799)^2))</f>
        <v/>
      </c>
      <c r="AG799" s="129" t="n"/>
      <c r="AI799" s="129">
        <f>SQRT((((VLOOKUP($AT$4,$A$4:$D$1021,4,FALSE))-D799)^2)+(((VLOOKUP($AT$4,$A$4:$E$1021,5,FALSE))-E799)^2)+(((VLOOKUP($AT$4,$A$4:$R$1021,18,FALSE))-R799)^2)+(((VLOOKUP($AT$4,$A$4:$S$1021,19,FALSE))-S799)^2))</f>
        <v/>
      </c>
      <c r="AJ799" s="125" t="inlineStr">
        <is>
          <t>HY700X248</t>
        </is>
      </c>
      <c r="AK799" s="125" t="n"/>
      <c r="AL799" s="125" t="n"/>
      <c r="AM799" s="125">
        <f>SQRT(((VLOOKUP($AT$4,$A$4:$J$1021,10,FALSE))-J799)^2)</f>
        <v/>
      </c>
      <c r="AN799" s="125" t="n"/>
      <c r="AO799" s="125" t="n"/>
      <c r="AP799" s="125">
        <f>SQRT(((VLOOKUP($AT$4,$A$4:$R$1021,18,FALSE))-R799)^2)</f>
        <v/>
      </c>
      <c r="AQ799" s="125" t="inlineStr">
        <is>
          <t>HY700X248</t>
        </is>
      </c>
      <c r="BB799" s="125">
        <f>SQRT(($J$1022-J799)^2)</f>
        <v/>
      </c>
      <c r="BC799" s="125">
        <f>SQRT(($R$1022-R799)^2)</f>
        <v/>
      </c>
      <c r="BD799" s="125" t="inlineStr">
        <is>
          <t>HY700X248</t>
        </is>
      </c>
      <c r="BI799">
        <f>SQRT(($J$1023-J799)^2)</f>
        <v/>
      </c>
      <c r="BJ799">
        <f>SQRT(($R$1023-R799)^2)</f>
        <v/>
      </c>
      <c r="BK799" s="125" t="inlineStr">
        <is>
          <t>HY700X248</t>
        </is>
      </c>
      <c r="BP799">
        <f>SQRT(($J$1024-J799)^2)</f>
        <v/>
      </c>
      <c r="BQ799">
        <f>SQRT(($R$1024-R799)^2)</f>
        <v/>
      </c>
      <c r="BR799" s="125" t="inlineStr">
        <is>
          <t>HY700X248</t>
        </is>
      </c>
      <c r="BW799">
        <f>SQRT(($J$1025-J799)^2)</f>
        <v/>
      </c>
      <c r="BX799">
        <f>SQRT(($R$1025-R799)^2)</f>
        <v/>
      </c>
      <c r="BY799" s="125" t="inlineStr">
        <is>
          <t>HY700X248</t>
        </is>
      </c>
      <c r="CD799">
        <f>SQRT(($J$1026-J799)^2)</f>
        <v/>
      </c>
      <c r="CE799">
        <f>SQRT(($R$1026-R799)^2)</f>
        <v/>
      </c>
      <c r="CF799" s="125" t="inlineStr">
        <is>
          <t>HY700X248</t>
        </is>
      </c>
    </row>
    <row r="800">
      <c r="A800" s="125" t="inlineStr">
        <is>
          <t>HY700X227</t>
        </is>
      </c>
      <c r="B800" s="129" t="inlineStr">
        <is>
          <t>HY</t>
        </is>
      </c>
      <c r="C800" s="125" t="n">
        <v>227</v>
      </c>
      <c r="D800" s="125" t="n">
        <v>700</v>
      </c>
      <c r="E800" s="125" t="n">
        <v>350</v>
      </c>
      <c r="F800" s="125" t="n">
        <v>28</v>
      </c>
      <c r="G800" s="125" t="n">
        <v>14</v>
      </c>
      <c r="H800" s="125" t="n">
        <v>18</v>
      </c>
      <c r="I800" s="125">
        <f>D800-(2*(H800+F800))</f>
        <v/>
      </c>
      <c r="J800" s="125">
        <f>(2*E800/10*F800/10)+((D800-F800-F800)/10*G800/10)+((H800/10+H800/10)^2)-(PI()*H800/10*H800/10)</f>
        <v/>
      </c>
      <c r="K800" s="125">
        <f>((E800-G800)/2)/F800</f>
        <v/>
      </c>
      <c r="L800" s="125">
        <f>I800/G800</f>
        <v/>
      </c>
      <c r="M800" s="125">
        <f>(E800*2+F800*4+((E800-G800)/2-H800)*4+2*PI()*H800+(D800-2*F800-2*H800)*2)/1000</f>
        <v/>
      </c>
      <c r="N800" s="5" t="n">
        <v>255000</v>
      </c>
      <c r="O800" s="5" t="n">
        <v>20000</v>
      </c>
      <c r="P800" s="125" t="n">
        <v>29.7</v>
      </c>
      <c r="Q800" s="125" t="n">
        <v>8.300000000000001</v>
      </c>
      <c r="R800" s="5" t="n">
        <v>7300</v>
      </c>
      <c r="S800" s="5" t="n">
        <v>1140</v>
      </c>
      <c r="T800" s="5" t="n">
        <v>8130</v>
      </c>
      <c r="U800" s="5" t="n">
        <v>1750</v>
      </c>
      <c r="X800" s="129">
        <f t="array" ref="X800">_xlfn.IFS((D800/F800) &lt;= (640/SQRT($AT$32)), "Compact", L800 &lt;= ($AT$32*(0.79-(0.002*((E800-G800/2)/(2*F800))*SQRT($AT$32)))), "Non-Compact", L800 &gt; ($AT$32*(0.79-(0.002*((E800-G800/2)/(2*F800))*SQRT($AT$32)))), "Slender")</f>
        <v/>
      </c>
      <c r="Y800" s="129">
        <f t="array" ref="Y800">_xlfn.IFS(K800 &lt;= (65/SQRT($AT$32)), "Compact", K800 &lt;= (95/SQRT($AT$32)), "Non-Compact", K800 &gt; (95/SQRT($AT$32)), "Slender")</f>
        <v/>
      </c>
      <c r="Z800" s="125">
        <f>E800/F800</f>
        <v/>
      </c>
      <c r="AA800" s="125">
        <f>D800/G800</f>
        <v/>
      </c>
      <c r="AB800" s="125">
        <f t="array" ref="AB800">_xlfn.IFS(Z800 &lt;= 9, "1", Z800 &lt;= 12, "2", Z800 &lt;= 15, "3", Z800 &gt; 15, "4")</f>
        <v/>
      </c>
      <c r="AC800" s="125">
        <f t="array" ref="AC800">_xlfn.IFS(AA800 &lt;= 200, "1", L800 &lt;= 300, "2", L800 &lt;= 400, "3", L800 &gt; 400, "4")</f>
        <v/>
      </c>
      <c r="AF800" s="129">
        <f>SQRT((((VLOOKUP($AT$4,$A$4:$D$1021,4,FALSE))-D800)^2)+(((VLOOKUP($AT$4,$A$4:$E$1021,5,FALSE))-E800)^2)+(((VLOOKUP($AT$4,$A$4:$N$1021,14,FALSE))-N800)^2)+(((VLOOKUP($AT$4,$A$4:$O$1021,15,FALSE))-O800)^2))</f>
        <v/>
      </c>
      <c r="AG800" s="129" t="n"/>
      <c r="AI800" s="129">
        <f>SQRT((((VLOOKUP($AT$4,$A$4:$D$1021,4,FALSE))-D800)^2)+(((VLOOKUP($AT$4,$A$4:$E$1021,5,FALSE))-E800)^2)+(((VLOOKUP($AT$4,$A$4:$R$1021,18,FALSE))-R800)^2)+(((VLOOKUP($AT$4,$A$4:$S$1021,19,FALSE))-S800)^2))</f>
        <v/>
      </c>
      <c r="AJ800" s="125" t="inlineStr">
        <is>
          <t>HY700X227</t>
        </is>
      </c>
      <c r="AK800" s="125" t="n"/>
      <c r="AL800" s="125" t="n"/>
      <c r="AM800" s="125">
        <f>SQRT(((VLOOKUP($AT$4,$A$4:$J$1021,10,FALSE))-J800)^2)</f>
        <v/>
      </c>
      <c r="AN800" s="125" t="n"/>
      <c r="AO800" s="125" t="n"/>
      <c r="AP800" s="125">
        <f>SQRT(((VLOOKUP($AT$4,$A$4:$R$1021,18,FALSE))-R800)^2)</f>
        <v/>
      </c>
      <c r="AQ800" s="125" t="inlineStr">
        <is>
          <t>HY700X227</t>
        </is>
      </c>
      <c r="BB800" s="125">
        <f>SQRT(($J$1022-J800)^2)</f>
        <v/>
      </c>
      <c r="BC800" s="125">
        <f>SQRT(($R$1022-R800)^2)</f>
        <v/>
      </c>
      <c r="BD800" s="125" t="inlineStr">
        <is>
          <t>HY700X227</t>
        </is>
      </c>
      <c r="BI800">
        <f>SQRT(($J$1023-J800)^2)</f>
        <v/>
      </c>
      <c r="BJ800">
        <f>SQRT(($R$1023-R800)^2)</f>
        <v/>
      </c>
      <c r="BK800" s="125" t="inlineStr">
        <is>
          <t>HY700X227</t>
        </is>
      </c>
      <c r="BP800">
        <f>SQRT(($J$1024-J800)^2)</f>
        <v/>
      </c>
      <c r="BQ800">
        <f>SQRT(($R$1024-R800)^2)</f>
        <v/>
      </c>
      <c r="BR800" s="125" t="inlineStr">
        <is>
          <t>HY700X227</t>
        </is>
      </c>
      <c r="BW800">
        <f>SQRT(($J$1025-J800)^2)</f>
        <v/>
      </c>
      <c r="BX800">
        <f>SQRT(($R$1025-R800)^2)</f>
        <v/>
      </c>
      <c r="BY800" s="125" t="inlineStr">
        <is>
          <t>HY700X227</t>
        </is>
      </c>
      <c r="CD800">
        <f>SQRT(($J$1026-J800)^2)</f>
        <v/>
      </c>
      <c r="CE800">
        <f>SQRT(($R$1026-R800)^2)</f>
        <v/>
      </c>
      <c r="CF800" s="125" t="inlineStr">
        <is>
          <t>HY700X227</t>
        </is>
      </c>
    </row>
    <row r="801">
      <c r="A801" s="125" t="inlineStr">
        <is>
          <t>HY700X211</t>
        </is>
      </c>
      <c r="B801" s="129" t="inlineStr">
        <is>
          <t>HY</t>
        </is>
      </c>
      <c r="C801" s="125" t="n">
        <v>211</v>
      </c>
      <c r="D801" s="125" t="n">
        <v>700</v>
      </c>
      <c r="E801" s="125" t="n">
        <v>350</v>
      </c>
      <c r="F801" s="125" t="n">
        <v>25</v>
      </c>
      <c r="G801" s="125" t="n">
        <v>14</v>
      </c>
      <c r="H801" s="125" t="n">
        <v>18</v>
      </c>
      <c r="I801" s="125">
        <f>D801-(2*(H801+F801))</f>
        <v/>
      </c>
      <c r="J801" s="125">
        <f>(2*E801/10*F801/10)+((D801-F801-F801)/10*G801/10)+((H801/10+H801/10)^2)-(PI()*H801/10*H801/10)</f>
        <v/>
      </c>
      <c r="K801" s="125">
        <f>((E801-G801)/2)/F801</f>
        <v/>
      </c>
      <c r="L801" s="125">
        <f>I801/G801</f>
        <v/>
      </c>
      <c r="M801" s="125">
        <f>(E801*2+F801*4+((E801-G801)/2-H801)*4+2*PI()*H801+(D801-2*F801-2*H801)*2)/1000</f>
        <v/>
      </c>
      <c r="N801" s="5" t="n">
        <v>234000</v>
      </c>
      <c r="O801" s="5" t="n">
        <v>17900</v>
      </c>
      <c r="P801" s="125" t="n">
        <v>29.5</v>
      </c>
      <c r="Q801" s="125" t="n">
        <v>8.199999999999999</v>
      </c>
      <c r="R801" s="5" t="n">
        <v>6700</v>
      </c>
      <c r="S801" s="5" t="n">
        <v>1020</v>
      </c>
      <c r="T801" s="5" t="n">
        <v>7470</v>
      </c>
      <c r="U801" s="5" t="n">
        <v>1570</v>
      </c>
      <c r="X801" s="129">
        <f t="array" ref="X801">_xlfn.IFS((D801/F801) &lt;= (640/SQRT($AT$32)), "Compact", L801 &lt;= ($AT$32*(0.79-(0.002*((E801-G801/2)/(2*F801))*SQRT($AT$32)))), "Non-Compact", L801 &gt; ($AT$32*(0.79-(0.002*((E801-G801/2)/(2*F801))*SQRT($AT$32)))), "Slender")</f>
        <v/>
      </c>
      <c r="Y801" s="129">
        <f t="array" ref="Y801">_xlfn.IFS(K801 &lt;= (65/SQRT($AT$32)), "Compact", K801 &lt;= (95/SQRT($AT$32)), "Non-Compact", K801 &gt; (95/SQRT($AT$32)), "Slender")</f>
        <v/>
      </c>
      <c r="Z801" s="125">
        <f>E801/F801</f>
        <v/>
      </c>
      <c r="AA801" s="125">
        <f>D801/G801</f>
        <v/>
      </c>
      <c r="AB801" s="125">
        <f t="array" ref="AB801">_xlfn.IFS(Z801 &lt;= 9, "1", Z801 &lt;= 12, "2", Z801 &lt;= 15, "3", Z801 &gt; 15, "4")</f>
        <v/>
      </c>
      <c r="AC801" s="125">
        <f t="array" ref="AC801">_xlfn.IFS(AA801 &lt;= 200, "1", L801 &lt;= 300, "2", L801 &lt;= 400, "3", L801 &gt; 400, "4")</f>
        <v/>
      </c>
      <c r="AF801" s="129">
        <f>SQRT((((VLOOKUP($AT$4,$A$4:$D$1021,4,FALSE))-D801)^2)+(((VLOOKUP($AT$4,$A$4:$E$1021,5,FALSE))-E801)^2)+(((VLOOKUP($AT$4,$A$4:$N$1021,14,FALSE))-N801)^2)+(((VLOOKUP($AT$4,$A$4:$O$1021,15,FALSE))-O801)^2))</f>
        <v/>
      </c>
      <c r="AG801" s="129" t="n"/>
      <c r="AI801" s="129">
        <f>SQRT((((VLOOKUP($AT$4,$A$4:$D$1021,4,FALSE))-D801)^2)+(((VLOOKUP($AT$4,$A$4:$E$1021,5,FALSE))-E801)^2)+(((VLOOKUP($AT$4,$A$4:$R$1021,18,FALSE))-R801)^2)+(((VLOOKUP($AT$4,$A$4:$S$1021,19,FALSE))-S801)^2))</f>
        <v/>
      </c>
      <c r="AJ801" s="125" t="inlineStr">
        <is>
          <t>HY700X211</t>
        </is>
      </c>
      <c r="AK801" s="125" t="n"/>
      <c r="AL801" s="125" t="n"/>
      <c r="AM801" s="125">
        <f>SQRT(((VLOOKUP($AT$4,$A$4:$J$1021,10,FALSE))-J801)^2)</f>
        <v/>
      </c>
      <c r="AN801" s="125" t="n"/>
      <c r="AO801" s="125" t="n"/>
      <c r="AP801" s="125">
        <f>SQRT(((VLOOKUP($AT$4,$A$4:$R$1021,18,FALSE))-R801)^2)</f>
        <v/>
      </c>
      <c r="AQ801" s="125" t="inlineStr">
        <is>
          <t>HY700X211</t>
        </is>
      </c>
      <c r="BB801" s="125">
        <f>SQRT(($J$1022-J801)^2)</f>
        <v/>
      </c>
      <c r="BC801" s="125">
        <f>SQRT(($R$1022-R801)^2)</f>
        <v/>
      </c>
      <c r="BD801" s="125" t="inlineStr">
        <is>
          <t>HY700X211</t>
        </is>
      </c>
      <c r="BI801">
        <f>SQRT(($J$1023-J801)^2)</f>
        <v/>
      </c>
      <c r="BJ801">
        <f>SQRT(($R$1023-R801)^2)</f>
        <v/>
      </c>
      <c r="BK801" s="125" t="inlineStr">
        <is>
          <t>HY700X211</t>
        </is>
      </c>
      <c r="BP801">
        <f>SQRT(($J$1024-J801)^2)</f>
        <v/>
      </c>
      <c r="BQ801">
        <f>SQRT(($R$1024-R801)^2)</f>
        <v/>
      </c>
      <c r="BR801" s="125" t="inlineStr">
        <is>
          <t>HY700X211</t>
        </is>
      </c>
      <c r="BW801">
        <f>SQRT(($J$1025-J801)^2)</f>
        <v/>
      </c>
      <c r="BX801">
        <f>SQRT(($R$1025-R801)^2)</f>
        <v/>
      </c>
      <c r="BY801" s="125" t="inlineStr">
        <is>
          <t>HY700X211</t>
        </is>
      </c>
      <c r="CD801">
        <f>SQRT(($J$1026-J801)^2)</f>
        <v/>
      </c>
      <c r="CE801">
        <f>SQRT(($R$1026-R801)^2)</f>
        <v/>
      </c>
      <c r="CF801" s="125" t="inlineStr">
        <is>
          <t>HY700X211</t>
        </is>
      </c>
    </row>
    <row r="802">
      <c r="A802" s="125" t="inlineStr">
        <is>
          <t>HY700X195</t>
        </is>
      </c>
      <c r="B802" s="129" t="inlineStr">
        <is>
          <t>HY</t>
        </is>
      </c>
      <c r="C802" s="125" t="n">
        <v>195</v>
      </c>
      <c r="D802" s="125" t="n">
        <v>700</v>
      </c>
      <c r="E802" s="125" t="n">
        <v>350</v>
      </c>
      <c r="F802" s="125" t="n">
        <v>22</v>
      </c>
      <c r="G802" s="125" t="n">
        <v>14</v>
      </c>
      <c r="H802" s="125" t="n">
        <v>18</v>
      </c>
      <c r="I802" s="125">
        <f>D802-(2*(H802+F802))</f>
        <v/>
      </c>
      <c r="J802" s="125">
        <f>(2*E802/10*F802/10)+((D802-F802-F802)/10*G802/10)+((H802/10+H802/10)^2)-(PI()*H802/10*H802/10)</f>
        <v/>
      </c>
      <c r="K802" s="125">
        <f>((E802-G802)/2)/F802</f>
        <v/>
      </c>
      <c r="L802" s="125">
        <f>I802/G802</f>
        <v/>
      </c>
      <c r="M802" s="125">
        <f>(E802*2+F802*4+((E802-G802)/2-H802)*4+2*PI()*H802+(D802-2*F802-2*H802)*2)/1000</f>
        <v/>
      </c>
      <c r="N802" s="5" t="n">
        <v>213000</v>
      </c>
      <c r="O802" s="5" t="n">
        <v>15700</v>
      </c>
      <c r="P802" s="125" t="n">
        <v>29.3</v>
      </c>
      <c r="Q802" s="125" t="n">
        <v>8</v>
      </c>
      <c r="R802" s="5" t="n">
        <v>6080</v>
      </c>
      <c r="S802" s="125" t="n">
        <v>899</v>
      </c>
      <c r="T802" s="5" t="n">
        <v>6820</v>
      </c>
      <c r="U802" s="5" t="n">
        <v>1380</v>
      </c>
      <c r="X802" s="129">
        <f t="array" ref="X802">_xlfn.IFS((D802/F802) &lt;= (640/SQRT($AT$32)), "Compact", L802 &lt;= ($AT$32*(0.79-(0.002*((E802-G802/2)/(2*F802))*SQRT($AT$32)))), "Non-Compact", L802 &gt; ($AT$32*(0.79-(0.002*((E802-G802/2)/(2*F802))*SQRT($AT$32)))), "Slender")</f>
        <v/>
      </c>
      <c r="Y802" s="129">
        <f t="array" ref="Y802">_xlfn.IFS(K802 &lt;= (65/SQRT($AT$32)), "Compact", K802 &lt;= (95/SQRT($AT$32)), "Non-Compact", K802 &gt; (95/SQRT($AT$32)), "Slender")</f>
        <v/>
      </c>
      <c r="Z802" s="125">
        <f>E802/F802</f>
        <v/>
      </c>
      <c r="AA802" s="125">
        <f>D802/G802</f>
        <v/>
      </c>
      <c r="AB802" s="125">
        <f t="array" ref="AB802">_xlfn.IFS(Z802 &lt;= 9, "1", Z802 &lt;= 12, "2", Z802 &lt;= 15, "3", Z802 &gt; 15, "4")</f>
        <v/>
      </c>
      <c r="AC802" s="125">
        <f t="array" ref="AC802">_xlfn.IFS(AA802 &lt;= 200, "1", L802 &lt;= 300, "2", L802 &lt;= 400, "3", L802 &gt; 400, "4")</f>
        <v/>
      </c>
      <c r="AF802" s="129">
        <f>SQRT((((VLOOKUP($AT$4,$A$4:$D$1021,4,FALSE))-D802)^2)+(((VLOOKUP($AT$4,$A$4:$E$1021,5,FALSE))-E802)^2)+(((VLOOKUP($AT$4,$A$4:$N$1021,14,FALSE))-N802)^2)+(((VLOOKUP($AT$4,$A$4:$O$1021,15,FALSE))-O802)^2))</f>
        <v/>
      </c>
      <c r="AG802" s="129" t="n"/>
      <c r="AI802" s="129">
        <f>SQRT((((VLOOKUP($AT$4,$A$4:$D$1021,4,FALSE))-D802)^2)+(((VLOOKUP($AT$4,$A$4:$E$1021,5,FALSE))-E802)^2)+(((VLOOKUP($AT$4,$A$4:$R$1021,18,FALSE))-R802)^2)+(((VLOOKUP($AT$4,$A$4:$S$1021,19,FALSE))-S802)^2))</f>
        <v/>
      </c>
      <c r="AJ802" s="125" t="inlineStr">
        <is>
          <t>HY700X195</t>
        </is>
      </c>
      <c r="AK802" s="125" t="n"/>
      <c r="AL802" s="125" t="n"/>
      <c r="AM802" s="125">
        <f>SQRT(((VLOOKUP($AT$4,$A$4:$J$1021,10,FALSE))-J802)^2)</f>
        <v/>
      </c>
      <c r="AN802" s="125" t="n"/>
      <c r="AO802" s="125" t="n"/>
      <c r="AP802" s="125">
        <f>SQRT(((VLOOKUP($AT$4,$A$4:$R$1021,18,FALSE))-R802)^2)</f>
        <v/>
      </c>
      <c r="AQ802" s="125" t="inlineStr">
        <is>
          <t>HY700X195</t>
        </is>
      </c>
      <c r="BB802" s="125">
        <f>SQRT(($J$1022-J802)^2)</f>
        <v/>
      </c>
      <c r="BC802" s="125">
        <f>SQRT(($R$1022-R802)^2)</f>
        <v/>
      </c>
      <c r="BD802" s="125" t="inlineStr">
        <is>
          <t>HY700X195</t>
        </is>
      </c>
      <c r="BI802">
        <f>SQRT(($J$1023-J802)^2)</f>
        <v/>
      </c>
      <c r="BJ802">
        <f>SQRT(($R$1023-R802)^2)</f>
        <v/>
      </c>
      <c r="BK802" s="125" t="inlineStr">
        <is>
          <t>HY700X195</t>
        </is>
      </c>
      <c r="BP802">
        <f>SQRT(($J$1024-J802)^2)</f>
        <v/>
      </c>
      <c r="BQ802">
        <f>SQRT(($R$1024-R802)^2)</f>
        <v/>
      </c>
      <c r="BR802" s="125" t="inlineStr">
        <is>
          <t>HY700X195</t>
        </is>
      </c>
      <c r="BW802">
        <f>SQRT(($J$1025-J802)^2)</f>
        <v/>
      </c>
      <c r="BX802">
        <f>SQRT(($R$1025-R802)^2)</f>
        <v/>
      </c>
      <c r="BY802" s="125" t="inlineStr">
        <is>
          <t>HY700X195</t>
        </is>
      </c>
      <c r="CD802">
        <f>SQRT(($J$1026-J802)^2)</f>
        <v/>
      </c>
      <c r="CE802">
        <f>SQRT(($R$1026-R802)^2)</f>
        <v/>
      </c>
      <c r="CF802" s="125" t="inlineStr">
        <is>
          <t>HY700X195</t>
        </is>
      </c>
    </row>
    <row r="803">
      <c r="A803" s="125" t="inlineStr">
        <is>
          <t>HY700X201</t>
        </is>
      </c>
      <c r="B803" s="129" t="inlineStr">
        <is>
          <t>HY</t>
        </is>
      </c>
      <c r="C803" s="125" t="n">
        <v>201</v>
      </c>
      <c r="D803" s="125" t="n">
        <v>700</v>
      </c>
      <c r="E803" s="125" t="n">
        <v>350</v>
      </c>
      <c r="F803" s="125" t="n">
        <v>25</v>
      </c>
      <c r="G803" s="125" t="n">
        <v>12</v>
      </c>
      <c r="H803" s="125" t="n">
        <v>18</v>
      </c>
      <c r="I803" s="125">
        <f>D803-(2*(H803+F803))</f>
        <v/>
      </c>
      <c r="J803" s="125">
        <f>(2*E803/10*F803/10)+((D803-F803-F803)/10*G803/10)+((H803/10+H803/10)^2)-(PI()*H803/10*H803/10)</f>
        <v/>
      </c>
      <c r="K803" s="125">
        <f>((E803-G803)/2)/F803</f>
        <v/>
      </c>
      <c r="L803" s="125">
        <f>I803/G803</f>
        <v/>
      </c>
      <c r="M803" s="125">
        <f>(E803*2+F803*4+((E803-G803)/2-H803)*4+2*PI()*H803+(D803-2*F803-2*H803)*2)/1000</f>
        <v/>
      </c>
      <c r="N803" s="5" t="n">
        <v>230000</v>
      </c>
      <c r="O803" s="5" t="n">
        <v>17900</v>
      </c>
      <c r="P803" s="125" t="n">
        <v>30</v>
      </c>
      <c r="Q803" s="125" t="n">
        <v>8.4</v>
      </c>
      <c r="R803" s="5" t="n">
        <v>6560</v>
      </c>
      <c r="S803" s="5" t="n">
        <v>1020</v>
      </c>
      <c r="T803" s="5" t="n">
        <v>7260</v>
      </c>
      <c r="U803" s="5" t="n">
        <v>1560</v>
      </c>
      <c r="X803" s="129">
        <f t="array" ref="X803">_xlfn.IFS((D803/F803) &lt;= (640/SQRT($AT$32)), "Compact", L803 &lt;= ($AT$32*(0.79-(0.002*((E803-G803/2)/(2*F803))*SQRT($AT$32)))), "Non-Compact", L803 &gt; ($AT$32*(0.79-(0.002*((E803-G803/2)/(2*F803))*SQRT($AT$32)))), "Slender")</f>
        <v/>
      </c>
      <c r="Y803" s="129">
        <f t="array" ref="Y803">_xlfn.IFS(K803 &lt;= (65/SQRT($AT$32)), "Compact", K803 &lt;= (95/SQRT($AT$32)), "Non-Compact", K803 &gt; (95/SQRT($AT$32)), "Slender")</f>
        <v/>
      </c>
      <c r="Z803" s="125">
        <f>E803/F803</f>
        <v/>
      </c>
      <c r="AA803" s="125">
        <f>D803/G803</f>
        <v/>
      </c>
      <c r="AB803" s="125">
        <f t="array" ref="AB803">_xlfn.IFS(Z803 &lt;= 9, "1", Z803 &lt;= 12, "2", Z803 &lt;= 15, "3", Z803 &gt; 15, "4")</f>
        <v/>
      </c>
      <c r="AC803" s="125">
        <f t="array" ref="AC803">_xlfn.IFS(AA803 &lt;= 200, "1", L803 &lt;= 300, "2", L803 &lt;= 400, "3", L803 &gt; 400, "4")</f>
        <v/>
      </c>
      <c r="AF803" s="129">
        <f>SQRT((((VLOOKUP($AT$4,$A$4:$D$1021,4,FALSE))-D803)^2)+(((VLOOKUP($AT$4,$A$4:$E$1021,5,FALSE))-E803)^2)+(((VLOOKUP($AT$4,$A$4:$N$1021,14,FALSE))-N803)^2)+(((VLOOKUP($AT$4,$A$4:$O$1021,15,FALSE))-O803)^2))</f>
        <v/>
      </c>
      <c r="AG803" s="129" t="n"/>
      <c r="AI803" s="129">
        <f>SQRT((((VLOOKUP($AT$4,$A$4:$D$1021,4,FALSE))-D803)^2)+(((VLOOKUP($AT$4,$A$4:$E$1021,5,FALSE))-E803)^2)+(((VLOOKUP($AT$4,$A$4:$R$1021,18,FALSE))-R803)^2)+(((VLOOKUP($AT$4,$A$4:$S$1021,19,FALSE))-S803)^2))</f>
        <v/>
      </c>
      <c r="AJ803" s="125" t="inlineStr">
        <is>
          <t>HY700X201</t>
        </is>
      </c>
      <c r="AK803" s="125" t="n"/>
      <c r="AL803" s="125" t="n"/>
      <c r="AM803" s="125">
        <f>SQRT(((VLOOKUP($AT$4,$A$4:$J$1021,10,FALSE))-J803)^2)</f>
        <v/>
      </c>
      <c r="AN803" s="125" t="n"/>
      <c r="AO803" s="125" t="n"/>
      <c r="AP803" s="125">
        <f>SQRT(((VLOOKUP($AT$4,$A$4:$R$1021,18,FALSE))-R803)^2)</f>
        <v/>
      </c>
      <c r="AQ803" s="125" t="inlineStr">
        <is>
          <t>HY700X201</t>
        </is>
      </c>
      <c r="BB803" s="125">
        <f>SQRT(($J$1022-J803)^2)</f>
        <v/>
      </c>
      <c r="BC803" s="125">
        <f>SQRT(($R$1022-R803)^2)</f>
        <v/>
      </c>
      <c r="BD803" s="125" t="inlineStr">
        <is>
          <t>HY700X201</t>
        </is>
      </c>
      <c r="BI803">
        <f>SQRT(($J$1023-J803)^2)</f>
        <v/>
      </c>
      <c r="BJ803">
        <f>SQRT(($R$1023-R803)^2)</f>
        <v/>
      </c>
      <c r="BK803" s="125" t="inlineStr">
        <is>
          <t>HY700X201</t>
        </is>
      </c>
      <c r="BP803">
        <f>SQRT(($J$1024-J803)^2)</f>
        <v/>
      </c>
      <c r="BQ803">
        <f>SQRT(($R$1024-R803)^2)</f>
        <v/>
      </c>
      <c r="BR803" s="125" t="inlineStr">
        <is>
          <t>HY700X201</t>
        </is>
      </c>
      <c r="BW803">
        <f>SQRT(($J$1025-J803)^2)</f>
        <v/>
      </c>
      <c r="BX803">
        <f>SQRT(($R$1025-R803)^2)</f>
        <v/>
      </c>
      <c r="BY803" s="125" t="inlineStr">
        <is>
          <t>HY700X201</t>
        </is>
      </c>
      <c r="CD803">
        <f>SQRT(($J$1026-J803)^2)</f>
        <v/>
      </c>
      <c r="CE803">
        <f>SQRT(($R$1026-R803)^2)</f>
        <v/>
      </c>
      <c r="CF803" s="125" t="inlineStr">
        <is>
          <t>HY700X201</t>
        </is>
      </c>
    </row>
    <row r="804">
      <c r="A804" s="125" t="inlineStr">
        <is>
          <t>HY700X185</t>
        </is>
      </c>
      <c r="B804" s="129" t="inlineStr">
        <is>
          <t>HY</t>
        </is>
      </c>
      <c r="C804" s="125" t="n">
        <v>185</v>
      </c>
      <c r="D804" s="125" t="n">
        <v>700</v>
      </c>
      <c r="E804" s="125" t="n">
        <v>350</v>
      </c>
      <c r="F804" s="125" t="n">
        <v>22</v>
      </c>
      <c r="G804" s="125" t="n">
        <v>12</v>
      </c>
      <c r="H804" s="125" t="n">
        <v>18</v>
      </c>
      <c r="I804" s="125">
        <f>D804-(2*(H804+F804))</f>
        <v/>
      </c>
      <c r="J804" s="125">
        <f>(2*E804/10*F804/10)+((D804-F804-F804)/10*G804/10)+((H804/10+H804/10)^2)-(PI()*H804/10*H804/10)</f>
        <v/>
      </c>
      <c r="K804" s="125">
        <f>((E804-G804)/2)/F804</f>
        <v/>
      </c>
      <c r="L804" s="125">
        <f>I804/G804</f>
        <v/>
      </c>
      <c r="M804" s="125">
        <f>(E804*2+F804*4+((E804-G804)/2-H804)*4+2*PI()*H804+(D804-2*F804-2*H804)*2)/1000</f>
        <v/>
      </c>
      <c r="N804" s="5" t="n">
        <v>208000</v>
      </c>
      <c r="O804" s="5" t="n">
        <v>15700</v>
      </c>
      <c r="P804" s="125" t="n">
        <v>29.7</v>
      </c>
      <c r="Q804" s="125" t="n">
        <v>8.199999999999999</v>
      </c>
      <c r="R804" s="5" t="n">
        <v>5950</v>
      </c>
      <c r="S804" s="125" t="n">
        <v>899</v>
      </c>
      <c r="T804" s="5" t="n">
        <v>6600</v>
      </c>
      <c r="U804" s="5" t="n">
        <v>1370</v>
      </c>
      <c r="X804" s="129">
        <f t="array" ref="X804">_xlfn.IFS((D804/F804) &lt;= (640/SQRT($AT$32)), "Compact", L804 &lt;= ($AT$32*(0.79-(0.002*((E804-G804/2)/(2*F804))*SQRT($AT$32)))), "Non-Compact", L804 &gt; ($AT$32*(0.79-(0.002*((E804-G804/2)/(2*F804))*SQRT($AT$32)))), "Slender")</f>
        <v/>
      </c>
      <c r="Y804" s="129">
        <f t="array" ref="Y804">_xlfn.IFS(K804 &lt;= (65/SQRT($AT$32)), "Compact", K804 &lt;= (95/SQRT($AT$32)), "Non-Compact", K804 &gt; (95/SQRT($AT$32)), "Slender")</f>
        <v/>
      </c>
      <c r="Z804" s="125">
        <f>E804/F804</f>
        <v/>
      </c>
      <c r="AA804" s="125">
        <f>D804/G804</f>
        <v/>
      </c>
      <c r="AB804" s="125">
        <f t="array" ref="AB804">_xlfn.IFS(Z804 &lt;= 9, "1", Z804 &lt;= 12, "2", Z804 &lt;= 15, "3", Z804 &gt; 15, "4")</f>
        <v/>
      </c>
      <c r="AC804" s="125">
        <f t="array" ref="AC804">_xlfn.IFS(AA804 &lt;= 200, "1", L804 &lt;= 300, "2", L804 &lt;= 400, "3", L804 &gt; 400, "4")</f>
        <v/>
      </c>
      <c r="AF804" s="129">
        <f>SQRT((((VLOOKUP($AT$4,$A$4:$D$1021,4,FALSE))-D804)^2)+(((VLOOKUP($AT$4,$A$4:$E$1021,5,FALSE))-E804)^2)+(((VLOOKUP($AT$4,$A$4:$N$1021,14,FALSE))-N804)^2)+(((VLOOKUP($AT$4,$A$4:$O$1021,15,FALSE))-O804)^2))</f>
        <v/>
      </c>
      <c r="AG804" s="129" t="n"/>
      <c r="AI804" s="129">
        <f>SQRT((((VLOOKUP($AT$4,$A$4:$D$1021,4,FALSE))-D804)^2)+(((VLOOKUP($AT$4,$A$4:$E$1021,5,FALSE))-E804)^2)+(((VLOOKUP($AT$4,$A$4:$R$1021,18,FALSE))-R804)^2)+(((VLOOKUP($AT$4,$A$4:$S$1021,19,FALSE))-S804)^2))</f>
        <v/>
      </c>
      <c r="AJ804" s="125" t="inlineStr">
        <is>
          <t>HY700X185</t>
        </is>
      </c>
      <c r="AK804" s="125" t="n"/>
      <c r="AL804" s="125" t="n"/>
      <c r="AM804" s="125">
        <f>SQRT(((VLOOKUP($AT$4,$A$4:$J$1021,10,FALSE))-J804)^2)</f>
        <v/>
      </c>
      <c r="AN804" s="125" t="n"/>
      <c r="AO804" s="125" t="n"/>
      <c r="AP804" s="125">
        <f>SQRT(((VLOOKUP($AT$4,$A$4:$R$1021,18,FALSE))-R804)^2)</f>
        <v/>
      </c>
      <c r="AQ804" s="125" t="inlineStr">
        <is>
          <t>HY700X185</t>
        </is>
      </c>
      <c r="BB804" s="125">
        <f>SQRT(($J$1022-J804)^2)</f>
        <v/>
      </c>
      <c r="BC804" s="125">
        <f>SQRT(($R$1022-R804)^2)</f>
        <v/>
      </c>
      <c r="BD804" s="125" t="inlineStr">
        <is>
          <t>HY700X185</t>
        </is>
      </c>
      <c r="BI804">
        <f>SQRT(($J$1023-J804)^2)</f>
        <v/>
      </c>
      <c r="BJ804">
        <f>SQRT(($R$1023-R804)^2)</f>
        <v/>
      </c>
      <c r="BK804" s="125" t="inlineStr">
        <is>
          <t>HY700X185</t>
        </is>
      </c>
      <c r="BP804">
        <f>SQRT(($J$1024-J804)^2)</f>
        <v/>
      </c>
      <c r="BQ804">
        <f>SQRT(($R$1024-R804)^2)</f>
        <v/>
      </c>
      <c r="BR804" s="125" t="inlineStr">
        <is>
          <t>HY700X185</t>
        </is>
      </c>
      <c r="BW804">
        <f>SQRT(($J$1025-J804)^2)</f>
        <v/>
      </c>
      <c r="BX804">
        <f>SQRT(($R$1025-R804)^2)</f>
        <v/>
      </c>
      <c r="BY804" s="125" t="inlineStr">
        <is>
          <t>HY700X185</t>
        </is>
      </c>
      <c r="CD804">
        <f>SQRT(($J$1026-J804)^2)</f>
        <v/>
      </c>
      <c r="CE804">
        <f>SQRT(($R$1026-R804)^2)</f>
        <v/>
      </c>
      <c r="CF804" s="125" t="inlineStr">
        <is>
          <t>HY700X185</t>
        </is>
      </c>
    </row>
    <row r="805">
      <c r="A805" s="125" t="inlineStr">
        <is>
          <t>HY700X280</t>
        </is>
      </c>
      <c r="B805" s="129" t="inlineStr">
        <is>
          <t>HY</t>
        </is>
      </c>
      <c r="C805" s="125" t="n">
        <v>280</v>
      </c>
      <c r="D805" s="125" t="n">
        <v>700</v>
      </c>
      <c r="E805" s="125" t="n">
        <v>300</v>
      </c>
      <c r="F805" s="125" t="n">
        <v>36</v>
      </c>
      <c r="G805" s="125" t="n">
        <v>22</v>
      </c>
      <c r="H805" s="125" t="n">
        <v>18</v>
      </c>
      <c r="I805" s="125">
        <f>D805-(2*(H805+F805))</f>
        <v/>
      </c>
      <c r="J805" s="125">
        <f>(2*E805/10*F805/10)+((D805-F805-F805)/10*G805/10)+((H805/10+H805/10)^2)-(PI()*H805/10*H805/10)</f>
        <v/>
      </c>
      <c r="K805" s="125">
        <f>((E805-G805)/2)/F805</f>
        <v/>
      </c>
      <c r="L805" s="125">
        <f>I805/G805</f>
        <v/>
      </c>
      <c r="M805" s="125">
        <f>(E805*2+F805*4+((E805-G805)/2-H805)*4+2*PI()*H805+(D805-2*F805-2*H805)*2)/1000</f>
        <v/>
      </c>
      <c r="N805" s="5" t="n">
        <v>286000</v>
      </c>
      <c r="O805" s="5" t="n">
        <v>16300</v>
      </c>
      <c r="P805" s="125" t="n">
        <v>28.3</v>
      </c>
      <c r="Q805" s="125" t="n">
        <v>6.8</v>
      </c>
      <c r="R805" s="5" t="n">
        <v>8180</v>
      </c>
      <c r="S805" s="5" t="n">
        <v>1080</v>
      </c>
      <c r="T805" s="5" t="n">
        <v>9430</v>
      </c>
      <c r="U805" s="5" t="n">
        <v>1700</v>
      </c>
      <c r="X805" s="129">
        <f t="array" ref="X805">_xlfn.IFS((D805/F805) &lt;= (640/SQRT($AT$32)), "Compact", L805 &lt;= ($AT$32*(0.79-(0.002*((E805-G805/2)/(2*F805))*SQRT($AT$32)))), "Non-Compact", L805 &gt; ($AT$32*(0.79-(0.002*((E805-G805/2)/(2*F805))*SQRT($AT$32)))), "Slender")</f>
        <v/>
      </c>
      <c r="Y805" s="129">
        <f t="array" ref="Y805">_xlfn.IFS(K805 &lt;= (65/SQRT($AT$32)), "Compact", K805 &lt;= (95/SQRT($AT$32)), "Non-Compact", K805 &gt; (95/SQRT($AT$32)), "Slender")</f>
        <v/>
      </c>
      <c r="Z805" s="125">
        <f>E805/F805</f>
        <v/>
      </c>
      <c r="AA805" s="125">
        <f>D805/G805</f>
        <v/>
      </c>
      <c r="AB805" s="125">
        <f t="array" ref="AB805">_xlfn.IFS(Z805 &lt;= 9, "1", Z805 &lt;= 12, "2", Z805 &lt;= 15, "3", Z805 &gt; 15, "4")</f>
        <v/>
      </c>
      <c r="AC805" s="125">
        <f t="array" ref="AC805">_xlfn.IFS(AA805 &lt;= 200, "1", L805 &lt;= 300, "2", L805 &lt;= 400, "3", L805 &gt; 400, "4")</f>
        <v/>
      </c>
      <c r="AF805" s="129">
        <f>SQRT((((VLOOKUP($AT$4,$A$4:$D$1021,4,FALSE))-D805)^2)+(((VLOOKUP($AT$4,$A$4:$E$1021,5,FALSE))-E805)^2)+(((VLOOKUP($AT$4,$A$4:$N$1021,14,FALSE))-N805)^2)+(((VLOOKUP($AT$4,$A$4:$O$1021,15,FALSE))-O805)^2))</f>
        <v/>
      </c>
      <c r="AG805" s="129" t="n"/>
      <c r="AI805" s="129">
        <f>SQRT((((VLOOKUP($AT$4,$A$4:$D$1021,4,FALSE))-D805)^2)+(((VLOOKUP($AT$4,$A$4:$E$1021,5,FALSE))-E805)^2)+(((VLOOKUP($AT$4,$A$4:$R$1021,18,FALSE))-R805)^2)+(((VLOOKUP($AT$4,$A$4:$S$1021,19,FALSE))-S805)^2))</f>
        <v/>
      </c>
      <c r="AJ805" s="125" t="inlineStr">
        <is>
          <t>HY700X280</t>
        </is>
      </c>
      <c r="AK805" s="125" t="n"/>
      <c r="AL805" s="125" t="n"/>
      <c r="AM805" s="125">
        <f>SQRT(((VLOOKUP($AT$4,$A$4:$J$1021,10,FALSE))-J805)^2)</f>
        <v/>
      </c>
      <c r="AN805" s="125" t="n"/>
      <c r="AO805" s="125" t="n"/>
      <c r="AP805" s="125">
        <f>SQRT(((VLOOKUP($AT$4,$A$4:$R$1021,18,FALSE))-R805)^2)</f>
        <v/>
      </c>
      <c r="AQ805" s="125" t="inlineStr">
        <is>
          <t>HY700X280</t>
        </is>
      </c>
      <c r="BB805" s="125">
        <f>SQRT(($J$1022-J805)^2)</f>
        <v/>
      </c>
      <c r="BC805" s="125">
        <f>SQRT(($R$1022-R805)^2)</f>
        <v/>
      </c>
      <c r="BD805" s="125" t="inlineStr">
        <is>
          <t>HY700X280</t>
        </is>
      </c>
      <c r="BI805">
        <f>SQRT(($J$1023-J805)^2)</f>
        <v/>
      </c>
      <c r="BJ805">
        <f>SQRT(($R$1023-R805)^2)</f>
        <v/>
      </c>
      <c r="BK805" s="125" t="inlineStr">
        <is>
          <t>HY700X280</t>
        </is>
      </c>
      <c r="BP805">
        <f>SQRT(($J$1024-J805)^2)</f>
        <v/>
      </c>
      <c r="BQ805">
        <f>SQRT(($R$1024-R805)^2)</f>
        <v/>
      </c>
      <c r="BR805" s="125" t="inlineStr">
        <is>
          <t>HY700X280</t>
        </is>
      </c>
      <c r="BW805">
        <f>SQRT(($J$1025-J805)^2)</f>
        <v/>
      </c>
      <c r="BX805">
        <f>SQRT(($R$1025-R805)^2)</f>
        <v/>
      </c>
      <c r="BY805" s="125" t="inlineStr">
        <is>
          <t>HY700X280</t>
        </is>
      </c>
      <c r="CD805">
        <f>SQRT(($J$1026-J805)^2)</f>
        <v/>
      </c>
      <c r="CE805">
        <f>SQRT(($R$1026-R805)^2)</f>
        <v/>
      </c>
      <c r="CF805" s="125" t="inlineStr">
        <is>
          <t>HY700X280</t>
        </is>
      </c>
    </row>
    <row r="806">
      <c r="A806" s="125" t="inlineStr">
        <is>
          <t>HY700X263</t>
        </is>
      </c>
      <c r="B806" s="129" t="inlineStr">
        <is>
          <t>HY</t>
        </is>
      </c>
      <c r="C806" s="125" t="n">
        <v>263</v>
      </c>
      <c r="D806" s="125" t="n">
        <v>700</v>
      </c>
      <c r="E806" s="125" t="n">
        <v>300</v>
      </c>
      <c r="F806" s="125" t="n">
        <v>32</v>
      </c>
      <c r="G806" s="125" t="n">
        <v>22</v>
      </c>
      <c r="H806" s="125" t="n">
        <v>18</v>
      </c>
      <c r="I806" s="125">
        <f>D806-(2*(H806+F806))</f>
        <v/>
      </c>
      <c r="J806" s="125">
        <f>(2*E806/10*F806/10)+((D806-F806-F806)/10*G806/10)+((H806/10+H806/10)^2)-(PI()*H806/10*H806/10)</f>
        <v/>
      </c>
      <c r="K806" s="125">
        <f>((E806-G806)/2)/F806</f>
        <v/>
      </c>
      <c r="L806" s="125">
        <f>I806/G806</f>
        <v/>
      </c>
      <c r="M806" s="125">
        <f>(E806*2+F806*4+((E806-G806)/2-H806)*4+2*PI()*H806+(D806-2*F806-2*H806)*2)/1000</f>
        <v/>
      </c>
      <c r="N806" s="5" t="n">
        <v>264000</v>
      </c>
      <c r="O806" s="5" t="n">
        <v>14500</v>
      </c>
      <c r="P806" s="125" t="n">
        <v>28.1</v>
      </c>
      <c r="Q806" s="125" t="n">
        <v>6.6</v>
      </c>
      <c r="R806" s="5" t="n">
        <v>7550</v>
      </c>
      <c r="S806" s="125" t="n">
        <v>964</v>
      </c>
      <c r="T806" s="5" t="n">
        <v>8720</v>
      </c>
      <c r="U806" s="5" t="n">
        <v>1520</v>
      </c>
      <c r="X806" s="129">
        <f t="array" ref="X806">_xlfn.IFS((D806/F806) &lt;= (640/SQRT($AT$32)), "Compact", L806 &lt;= ($AT$32*(0.79-(0.002*((E806-G806/2)/(2*F806))*SQRT($AT$32)))), "Non-Compact", L806 &gt; ($AT$32*(0.79-(0.002*((E806-G806/2)/(2*F806))*SQRT($AT$32)))), "Slender")</f>
        <v/>
      </c>
      <c r="Y806" s="129">
        <f t="array" ref="Y806">_xlfn.IFS(K806 &lt;= (65/SQRT($AT$32)), "Compact", K806 &lt;= (95/SQRT($AT$32)), "Non-Compact", K806 &gt; (95/SQRT($AT$32)), "Slender")</f>
        <v/>
      </c>
      <c r="Z806" s="125">
        <f>E806/F806</f>
        <v/>
      </c>
      <c r="AA806" s="125">
        <f>D806/G806</f>
        <v/>
      </c>
      <c r="AB806" s="125">
        <f t="array" ref="AB806">_xlfn.IFS(Z806 &lt;= 9, "1", Z806 &lt;= 12, "2", Z806 &lt;= 15, "3", Z806 &gt; 15, "4")</f>
        <v/>
      </c>
      <c r="AC806" s="125">
        <f t="array" ref="AC806">_xlfn.IFS(AA806 &lt;= 200, "1", L806 &lt;= 300, "2", L806 &lt;= 400, "3", L806 &gt; 400, "4")</f>
        <v/>
      </c>
      <c r="AF806" s="129">
        <f>SQRT((((VLOOKUP($AT$4,$A$4:$D$1021,4,FALSE))-D806)^2)+(((VLOOKUP($AT$4,$A$4:$E$1021,5,FALSE))-E806)^2)+(((VLOOKUP($AT$4,$A$4:$N$1021,14,FALSE))-N806)^2)+(((VLOOKUP($AT$4,$A$4:$O$1021,15,FALSE))-O806)^2))</f>
        <v/>
      </c>
      <c r="AG806" s="129" t="n"/>
      <c r="AI806" s="129">
        <f>SQRT((((VLOOKUP($AT$4,$A$4:$D$1021,4,FALSE))-D806)^2)+(((VLOOKUP($AT$4,$A$4:$E$1021,5,FALSE))-E806)^2)+(((VLOOKUP($AT$4,$A$4:$R$1021,18,FALSE))-R806)^2)+(((VLOOKUP($AT$4,$A$4:$S$1021,19,FALSE))-S806)^2))</f>
        <v/>
      </c>
      <c r="AJ806" s="125" t="inlineStr">
        <is>
          <t>HY700X263</t>
        </is>
      </c>
      <c r="AK806" s="125" t="n"/>
      <c r="AL806" s="125" t="n"/>
      <c r="AM806" s="125">
        <f>SQRT(((VLOOKUP($AT$4,$A$4:$J$1021,10,FALSE))-J806)^2)</f>
        <v/>
      </c>
      <c r="AN806" s="125" t="n"/>
      <c r="AO806" s="125" t="n"/>
      <c r="AP806" s="125">
        <f>SQRT(((VLOOKUP($AT$4,$A$4:$R$1021,18,FALSE))-R806)^2)</f>
        <v/>
      </c>
      <c r="AQ806" s="125" t="inlineStr">
        <is>
          <t>HY700X263</t>
        </is>
      </c>
      <c r="BB806" s="125">
        <f>SQRT(($J$1022-J806)^2)</f>
        <v/>
      </c>
      <c r="BC806" s="125">
        <f>SQRT(($R$1022-R806)^2)</f>
        <v/>
      </c>
      <c r="BD806" s="125" t="inlineStr">
        <is>
          <t>HY700X263</t>
        </is>
      </c>
      <c r="BI806">
        <f>SQRT(($J$1023-J806)^2)</f>
        <v/>
      </c>
      <c r="BJ806">
        <f>SQRT(($R$1023-R806)^2)</f>
        <v/>
      </c>
      <c r="BK806" s="125" t="inlineStr">
        <is>
          <t>HY700X263</t>
        </is>
      </c>
      <c r="BP806">
        <f>SQRT(($J$1024-J806)^2)</f>
        <v/>
      </c>
      <c r="BQ806">
        <f>SQRT(($R$1024-R806)^2)</f>
        <v/>
      </c>
      <c r="BR806" s="125" t="inlineStr">
        <is>
          <t>HY700X263</t>
        </is>
      </c>
      <c r="BW806">
        <f>SQRT(($J$1025-J806)^2)</f>
        <v/>
      </c>
      <c r="BX806">
        <f>SQRT(($R$1025-R806)^2)</f>
        <v/>
      </c>
      <c r="BY806" s="125" t="inlineStr">
        <is>
          <t>HY700X263</t>
        </is>
      </c>
      <c r="CD806">
        <f>SQRT(($J$1026-J806)^2)</f>
        <v/>
      </c>
      <c r="CE806">
        <f>SQRT(($R$1026-R806)^2)</f>
        <v/>
      </c>
      <c r="CF806" s="125" t="inlineStr">
        <is>
          <t>HY700X263</t>
        </is>
      </c>
    </row>
    <row r="807">
      <c r="A807" s="125" t="inlineStr">
        <is>
          <t>HY700X245</t>
        </is>
      </c>
      <c r="B807" s="129" t="inlineStr">
        <is>
          <t>HY</t>
        </is>
      </c>
      <c r="C807" s="125" t="n">
        <v>245</v>
      </c>
      <c r="D807" s="125" t="n">
        <v>700</v>
      </c>
      <c r="E807" s="125" t="n">
        <v>300</v>
      </c>
      <c r="F807" s="125" t="n">
        <v>28</v>
      </c>
      <c r="G807" s="125" t="n">
        <v>22</v>
      </c>
      <c r="H807" s="125" t="n">
        <v>18</v>
      </c>
      <c r="I807" s="125">
        <f>D807-(2*(H807+F807))</f>
        <v/>
      </c>
      <c r="J807" s="125">
        <f>(2*E807/10*F807/10)+((D807-F807-F807)/10*G807/10)+((H807/10+H807/10)^2)-(PI()*H807/10*H807/10)</f>
        <v/>
      </c>
      <c r="K807" s="125">
        <f>((E807-G807)/2)/F807</f>
        <v/>
      </c>
      <c r="L807" s="125">
        <f>I807/G807</f>
        <v/>
      </c>
      <c r="M807" s="125">
        <f>(E807*2+F807*4+((E807-G807)/2-H807)*4+2*PI()*H807+(D807-2*F807-2*H807)*2)/1000</f>
        <v/>
      </c>
      <c r="N807" s="5" t="n">
        <v>242000</v>
      </c>
      <c r="O807" s="5" t="n">
        <v>12700</v>
      </c>
      <c r="P807" s="125" t="n">
        <v>27.8</v>
      </c>
      <c r="Q807" s="125" t="n">
        <v>6.4</v>
      </c>
      <c r="R807" s="5" t="n">
        <v>6900</v>
      </c>
      <c r="S807" s="125" t="n">
        <v>844</v>
      </c>
      <c r="T807" s="5" t="n">
        <v>8010</v>
      </c>
      <c r="U807" s="5" t="n">
        <v>1340</v>
      </c>
      <c r="X807" s="129">
        <f t="array" ref="X807">_xlfn.IFS((D807/F807) &lt;= (640/SQRT($AT$32)), "Compact", L807 &lt;= ($AT$32*(0.79-(0.002*((E807-G807/2)/(2*F807))*SQRT($AT$32)))), "Non-Compact", L807 &gt; ($AT$32*(0.79-(0.002*((E807-G807/2)/(2*F807))*SQRT($AT$32)))), "Slender")</f>
        <v/>
      </c>
      <c r="Y807" s="129">
        <f t="array" ref="Y807">_xlfn.IFS(K807 &lt;= (65/SQRT($AT$32)), "Compact", K807 &lt;= (95/SQRT($AT$32)), "Non-Compact", K807 &gt; (95/SQRT($AT$32)), "Slender")</f>
        <v/>
      </c>
      <c r="Z807" s="125">
        <f>E807/F807</f>
        <v/>
      </c>
      <c r="AA807" s="125">
        <f>D807/G807</f>
        <v/>
      </c>
      <c r="AB807" s="125">
        <f t="array" ref="AB807">_xlfn.IFS(Z807 &lt;= 9, "1", Z807 &lt;= 12, "2", Z807 &lt;= 15, "3", Z807 &gt; 15, "4")</f>
        <v/>
      </c>
      <c r="AC807" s="125">
        <f t="array" ref="AC807">_xlfn.IFS(AA807 &lt;= 200, "1", L807 &lt;= 300, "2", L807 &lt;= 400, "3", L807 &gt; 400, "4")</f>
        <v/>
      </c>
      <c r="AF807" s="129">
        <f>SQRT((((VLOOKUP($AT$4,$A$4:$D$1021,4,FALSE))-D807)^2)+(((VLOOKUP($AT$4,$A$4:$E$1021,5,FALSE))-E807)^2)+(((VLOOKUP($AT$4,$A$4:$N$1021,14,FALSE))-N807)^2)+(((VLOOKUP($AT$4,$A$4:$O$1021,15,FALSE))-O807)^2))</f>
        <v/>
      </c>
      <c r="AG807" s="129" t="n"/>
      <c r="AI807" s="129">
        <f>SQRT((((VLOOKUP($AT$4,$A$4:$D$1021,4,FALSE))-D807)^2)+(((VLOOKUP($AT$4,$A$4:$E$1021,5,FALSE))-E807)^2)+(((VLOOKUP($AT$4,$A$4:$R$1021,18,FALSE))-R807)^2)+(((VLOOKUP($AT$4,$A$4:$S$1021,19,FALSE))-S807)^2))</f>
        <v/>
      </c>
      <c r="AJ807" s="125" t="inlineStr">
        <is>
          <t>HY700X245</t>
        </is>
      </c>
      <c r="AK807" s="125" t="n"/>
      <c r="AL807" s="125" t="n"/>
      <c r="AM807" s="125">
        <f>SQRT(((VLOOKUP($AT$4,$A$4:$J$1021,10,FALSE))-J807)^2)</f>
        <v/>
      </c>
      <c r="AN807" s="125" t="n"/>
      <c r="AO807" s="125" t="n"/>
      <c r="AP807" s="125">
        <f>SQRT(((VLOOKUP($AT$4,$A$4:$R$1021,18,FALSE))-R807)^2)</f>
        <v/>
      </c>
      <c r="AQ807" s="125" t="inlineStr">
        <is>
          <t>HY700X245</t>
        </is>
      </c>
      <c r="BB807" s="125">
        <f>SQRT(($J$1022-J807)^2)</f>
        <v/>
      </c>
      <c r="BC807" s="125">
        <f>SQRT(($R$1022-R807)^2)</f>
        <v/>
      </c>
      <c r="BD807" s="125" t="inlineStr">
        <is>
          <t>HY700X245</t>
        </is>
      </c>
      <c r="BI807">
        <f>SQRT(($J$1023-J807)^2)</f>
        <v/>
      </c>
      <c r="BJ807">
        <f>SQRT(($R$1023-R807)^2)</f>
        <v/>
      </c>
      <c r="BK807" s="125" t="inlineStr">
        <is>
          <t>HY700X245</t>
        </is>
      </c>
      <c r="BP807">
        <f>SQRT(($J$1024-J807)^2)</f>
        <v/>
      </c>
      <c r="BQ807">
        <f>SQRT(($R$1024-R807)^2)</f>
        <v/>
      </c>
      <c r="BR807" s="125" t="inlineStr">
        <is>
          <t>HY700X245</t>
        </is>
      </c>
      <c r="BW807">
        <f>SQRT(($J$1025-J807)^2)</f>
        <v/>
      </c>
      <c r="BX807">
        <f>SQRT(($R$1025-R807)^2)</f>
        <v/>
      </c>
      <c r="BY807" s="125" t="inlineStr">
        <is>
          <t>HY700X245</t>
        </is>
      </c>
      <c r="CD807">
        <f>SQRT(($J$1026-J807)^2)</f>
        <v/>
      </c>
      <c r="CE807">
        <f>SQRT(($R$1026-R807)^2)</f>
        <v/>
      </c>
      <c r="CF807" s="125" t="inlineStr">
        <is>
          <t>HY700X245</t>
        </is>
      </c>
    </row>
    <row r="808">
      <c r="A808" s="125" t="inlineStr">
        <is>
          <t>HY700X232</t>
        </is>
      </c>
      <c r="B808" s="129" t="inlineStr">
        <is>
          <t>HY</t>
        </is>
      </c>
      <c r="C808" s="125" t="n">
        <v>232</v>
      </c>
      <c r="D808" s="125" t="n">
        <v>700</v>
      </c>
      <c r="E808" s="125" t="n">
        <v>300</v>
      </c>
      <c r="F808" s="125" t="n">
        <v>25</v>
      </c>
      <c r="G808" s="125" t="n">
        <v>22</v>
      </c>
      <c r="H808" s="125" t="n">
        <v>18</v>
      </c>
      <c r="I808" s="125">
        <f>D808-(2*(H808+F808))</f>
        <v/>
      </c>
      <c r="J808" s="125">
        <f>(2*E808/10*F808/10)+((D808-F808-F808)/10*G808/10)+((H808/10+H808/10)^2)-(PI()*H808/10*H808/10)</f>
        <v/>
      </c>
      <c r="K808" s="125">
        <f>((E808-G808)/2)/F808</f>
        <v/>
      </c>
      <c r="L808" s="125">
        <f>I808/G808</f>
        <v/>
      </c>
      <c r="M808" s="125">
        <f>(E808*2+F808*4+((E808-G808)/2-H808)*4+2*PI()*H808+(D808-2*F808-2*H808)*2)/1000</f>
        <v/>
      </c>
      <c r="N808" s="5" t="n">
        <v>224000</v>
      </c>
      <c r="O808" s="5" t="n">
        <v>11300</v>
      </c>
      <c r="P808" s="125" t="n">
        <v>27.5</v>
      </c>
      <c r="Q808" s="125" t="n">
        <v>6.2</v>
      </c>
      <c r="R808" s="5" t="n">
        <v>6400</v>
      </c>
      <c r="S808" s="125" t="n">
        <v>754</v>
      </c>
      <c r="T808" s="5" t="n">
        <v>7480</v>
      </c>
      <c r="U808" s="5" t="n">
        <v>1210</v>
      </c>
      <c r="X808" s="129">
        <f t="array" ref="X808">_xlfn.IFS((D808/F808) &lt;= (640/SQRT($AT$32)), "Compact", L808 &lt;= ($AT$32*(0.79-(0.002*((E808-G808/2)/(2*F808))*SQRT($AT$32)))), "Non-Compact", L808 &gt; ($AT$32*(0.79-(0.002*((E808-G808/2)/(2*F808))*SQRT($AT$32)))), "Slender")</f>
        <v/>
      </c>
      <c r="Y808" s="129">
        <f t="array" ref="Y808">_xlfn.IFS(K808 &lt;= (65/SQRT($AT$32)), "Compact", K808 &lt;= (95/SQRT($AT$32)), "Non-Compact", K808 &gt; (95/SQRT($AT$32)), "Slender")</f>
        <v/>
      </c>
      <c r="Z808" s="125">
        <f>E808/F808</f>
        <v/>
      </c>
      <c r="AA808" s="125">
        <f>D808/G808</f>
        <v/>
      </c>
      <c r="AB808" s="125">
        <f t="array" ref="AB808">_xlfn.IFS(Z808 &lt;= 9, "1", Z808 &lt;= 12, "2", Z808 &lt;= 15, "3", Z808 &gt; 15, "4")</f>
        <v/>
      </c>
      <c r="AC808" s="125">
        <f t="array" ref="AC808">_xlfn.IFS(AA808 &lt;= 200, "1", L808 &lt;= 300, "2", L808 &lt;= 400, "3", L808 &gt; 400, "4")</f>
        <v/>
      </c>
      <c r="AF808" s="129">
        <f>SQRT((((VLOOKUP($AT$4,$A$4:$D$1021,4,FALSE))-D808)^2)+(((VLOOKUP($AT$4,$A$4:$E$1021,5,FALSE))-E808)^2)+(((VLOOKUP($AT$4,$A$4:$N$1021,14,FALSE))-N808)^2)+(((VLOOKUP($AT$4,$A$4:$O$1021,15,FALSE))-O808)^2))</f>
        <v/>
      </c>
      <c r="AG808" s="129" t="n"/>
      <c r="AI808" s="129">
        <f>SQRT((((VLOOKUP($AT$4,$A$4:$D$1021,4,FALSE))-D808)^2)+(((VLOOKUP($AT$4,$A$4:$E$1021,5,FALSE))-E808)^2)+(((VLOOKUP($AT$4,$A$4:$R$1021,18,FALSE))-R808)^2)+(((VLOOKUP($AT$4,$A$4:$S$1021,19,FALSE))-S808)^2))</f>
        <v/>
      </c>
      <c r="AJ808" s="125" t="inlineStr">
        <is>
          <t>HY700X232</t>
        </is>
      </c>
      <c r="AK808" s="125" t="n"/>
      <c r="AL808" s="125" t="n"/>
      <c r="AM808" s="125">
        <f>SQRT(((VLOOKUP($AT$4,$A$4:$J$1021,10,FALSE))-J808)^2)</f>
        <v/>
      </c>
      <c r="AN808" s="125" t="n"/>
      <c r="AO808" s="125" t="n"/>
      <c r="AP808" s="125">
        <f>SQRT(((VLOOKUP($AT$4,$A$4:$R$1021,18,FALSE))-R808)^2)</f>
        <v/>
      </c>
      <c r="AQ808" s="125" t="inlineStr">
        <is>
          <t>HY700X232</t>
        </is>
      </c>
      <c r="BB808" s="125">
        <f>SQRT(($J$1022-J808)^2)</f>
        <v/>
      </c>
      <c r="BC808" s="125">
        <f>SQRT(($R$1022-R808)^2)</f>
        <v/>
      </c>
      <c r="BD808" s="125" t="inlineStr">
        <is>
          <t>HY700X232</t>
        </is>
      </c>
      <c r="BI808">
        <f>SQRT(($J$1023-J808)^2)</f>
        <v/>
      </c>
      <c r="BJ808">
        <f>SQRT(($R$1023-R808)^2)</f>
        <v/>
      </c>
      <c r="BK808" s="125" t="inlineStr">
        <is>
          <t>HY700X232</t>
        </is>
      </c>
      <c r="BP808">
        <f>SQRT(($J$1024-J808)^2)</f>
        <v/>
      </c>
      <c r="BQ808">
        <f>SQRT(($R$1024-R808)^2)</f>
        <v/>
      </c>
      <c r="BR808" s="125" t="inlineStr">
        <is>
          <t>HY700X232</t>
        </is>
      </c>
      <c r="BW808">
        <f>SQRT(($J$1025-J808)^2)</f>
        <v/>
      </c>
      <c r="BX808">
        <f>SQRT(($R$1025-R808)^2)</f>
        <v/>
      </c>
      <c r="BY808" s="125" t="inlineStr">
        <is>
          <t>HY700X232</t>
        </is>
      </c>
      <c r="CD808">
        <f>SQRT(($J$1026-J808)^2)</f>
        <v/>
      </c>
      <c r="CE808">
        <f>SQRT(($R$1026-R808)^2)</f>
        <v/>
      </c>
      <c r="CF808" s="125" t="inlineStr">
        <is>
          <t>HY700X232</t>
        </is>
      </c>
    </row>
    <row r="809">
      <c r="A809" s="125" t="inlineStr">
        <is>
          <t>HY700X265</t>
        </is>
      </c>
      <c r="B809" s="129" t="inlineStr">
        <is>
          <t>HY</t>
        </is>
      </c>
      <c r="C809" s="125" t="n">
        <v>265</v>
      </c>
      <c r="D809" s="125" t="n">
        <v>700</v>
      </c>
      <c r="E809" s="125" t="n">
        <v>300</v>
      </c>
      <c r="F809" s="125" t="n">
        <v>36</v>
      </c>
      <c r="G809" s="125" t="n">
        <v>19</v>
      </c>
      <c r="H809" s="125" t="n">
        <v>18</v>
      </c>
      <c r="I809" s="125">
        <f>D809-(2*(H809+F809))</f>
        <v/>
      </c>
      <c r="J809" s="125">
        <f>(2*E809/10*F809/10)+((D809-F809-F809)/10*G809/10)+((H809/10+H809/10)^2)-(PI()*H809/10*H809/10)</f>
        <v/>
      </c>
      <c r="K809" s="125">
        <f>((E809-G809)/2)/F809</f>
        <v/>
      </c>
      <c r="L809" s="125">
        <f>I809/G809</f>
        <v/>
      </c>
      <c r="M809" s="125">
        <f>(E809*2+F809*4+((E809-G809)/2-H809)*4+2*PI()*H809+(D809-2*F809-2*H809)*2)/1000</f>
        <v/>
      </c>
      <c r="N809" s="5" t="n">
        <v>280000</v>
      </c>
      <c r="O809" s="5" t="n">
        <v>16200</v>
      </c>
      <c r="P809" s="125" t="n">
        <v>28.8</v>
      </c>
      <c r="Q809" s="125" t="n">
        <v>6.9</v>
      </c>
      <c r="R809" s="5" t="n">
        <v>8010</v>
      </c>
      <c r="S809" s="5" t="n">
        <v>1080</v>
      </c>
      <c r="T809" s="5" t="n">
        <v>9130</v>
      </c>
      <c r="U809" s="5" t="n">
        <v>1680</v>
      </c>
      <c r="X809" s="129">
        <f t="array" ref="X809">_xlfn.IFS((D809/F809) &lt;= (640/SQRT($AT$32)), "Compact", L809 &lt;= ($AT$32*(0.79-(0.002*((E809-G809/2)/(2*F809))*SQRT($AT$32)))), "Non-Compact", L809 &gt; ($AT$32*(0.79-(0.002*((E809-G809/2)/(2*F809))*SQRT($AT$32)))), "Slender")</f>
        <v/>
      </c>
      <c r="Y809" s="129">
        <f t="array" ref="Y809">_xlfn.IFS(K809 &lt;= (65/SQRT($AT$32)), "Compact", K809 &lt;= (95/SQRT($AT$32)), "Non-Compact", K809 &gt; (95/SQRT($AT$32)), "Slender")</f>
        <v/>
      </c>
      <c r="Z809" s="125">
        <f>E809/F809</f>
        <v/>
      </c>
      <c r="AA809" s="125">
        <f>D809/G809</f>
        <v/>
      </c>
      <c r="AB809" s="125">
        <f t="array" ref="AB809">_xlfn.IFS(Z809 &lt;= 9, "1", Z809 &lt;= 12, "2", Z809 &lt;= 15, "3", Z809 &gt; 15, "4")</f>
        <v/>
      </c>
      <c r="AC809" s="125">
        <f t="array" ref="AC809">_xlfn.IFS(AA809 &lt;= 200, "1", L809 &lt;= 300, "2", L809 &lt;= 400, "3", L809 &gt; 400, "4")</f>
        <v/>
      </c>
      <c r="AF809" s="129">
        <f>SQRT((((VLOOKUP($AT$4,$A$4:$D$1021,4,FALSE))-D809)^2)+(((VLOOKUP($AT$4,$A$4:$E$1021,5,FALSE))-E809)^2)+(((VLOOKUP($AT$4,$A$4:$N$1021,14,FALSE))-N809)^2)+(((VLOOKUP($AT$4,$A$4:$O$1021,15,FALSE))-O809)^2))</f>
        <v/>
      </c>
      <c r="AG809" s="129" t="n"/>
      <c r="AI809" s="129">
        <f>SQRT((((VLOOKUP($AT$4,$A$4:$D$1021,4,FALSE))-D809)^2)+(((VLOOKUP($AT$4,$A$4:$E$1021,5,FALSE))-E809)^2)+(((VLOOKUP($AT$4,$A$4:$R$1021,18,FALSE))-R809)^2)+(((VLOOKUP($AT$4,$A$4:$S$1021,19,FALSE))-S809)^2))</f>
        <v/>
      </c>
      <c r="AJ809" s="125" t="inlineStr">
        <is>
          <t>HY700X265</t>
        </is>
      </c>
      <c r="AK809" s="125" t="n"/>
      <c r="AL809" s="125" t="n"/>
      <c r="AM809" s="125">
        <f>SQRT(((VLOOKUP($AT$4,$A$4:$J$1021,10,FALSE))-J809)^2)</f>
        <v/>
      </c>
      <c r="AN809" s="125" t="n"/>
      <c r="AO809" s="125" t="n"/>
      <c r="AP809" s="125">
        <f>SQRT(((VLOOKUP($AT$4,$A$4:$R$1021,18,FALSE))-R809)^2)</f>
        <v/>
      </c>
      <c r="AQ809" s="125" t="inlineStr">
        <is>
          <t>HY700X265</t>
        </is>
      </c>
      <c r="BB809" s="125">
        <f>SQRT(($J$1022-J809)^2)</f>
        <v/>
      </c>
      <c r="BC809" s="125">
        <f>SQRT(($R$1022-R809)^2)</f>
        <v/>
      </c>
      <c r="BD809" s="125" t="inlineStr">
        <is>
          <t>HY700X265</t>
        </is>
      </c>
      <c r="BI809">
        <f>SQRT(($J$1023-J809)^2)</f>
        <v/>
      </c>
      <c r="BJ809">
        <f>SQRT(($R$1023-R809)^2)</f>
        <v/>
      </c>
      <c r="BK809" s="125" t="inlineStr">
        <is>
          <t>HY700X265</t>
        </is>
      </c>
      <c r="BP809">
        <f>SQRT(($J$1024-J809)^2)</f>
        <v/>
      </c>
      <c r="BQ809">
        <f>SQRT(($R$1024-R809)^2)</f>
        <v/>
      </c>
      <c r="BR809" s="125" t="inlineStr">
        <is>
          <t>HY700X265</t>
        </is>
      </c>
      <c r="BW809">
        <f>SQRT(($J$1025-J809)^2)</f>
        <v/>
      </c>
      <c r="BX809">
        <f>SQRT(($R$1025-R809)^2)</f>
        <v/>
      </c>
      <c r="BY809" s="125" t="inlineStr">
        <is>
          <t>HY700X265</t>
        </is>
      </c>
      <c r="CD809">
        <f>SQRT(($J$1026-J809)^2)</f>
        <v/>
      </c>
      <c r="CE809">
        <f>SQRT(($R$1026-R809)^2)</f>
        <v/>
      </c>
      <c r="CF809" s="125" t="inlineStr">
        <is>
          <t>HY700X265</t>
        </is>
      </c>
    </row>
    <row r="810">
      <c r="A810" s="125" t="inlineStr">
        <is>
          <t>HY700X248</t>
        </is>
      </c>
      <c r="B810" s="129" t="inlineStr">
        <is>
          <t>HY</t>
        </is>
      </c>
      <c r="C810" s="125" t="n">
        <v>248</v>
      </c>
      <c r="D810" s="125" t="n">
        <v>700</v>
      </c>
      <c r="E810" s="125" t="n">
        <v>300</v>
      </c>
      <c r="F810" s="125" t="n">
        <v>32</v>
      </c>
      <c r="G810" s="125" t="n">
        <v>19</v>
      </c>
      <c r="H810" s="125" t="n">
        <v>18</v>
      </c>
      <c r="I810" s="125">
        <f>D810-(2*(H810+F810))</f>
        <v/>
      </c>
      <c r="J810" s="125">
        <f>(2*E810/10*F810/10)+((D810-F810-F810)/10*G810/10)+((H810/10+H810/10)^2)-(PI()*H810/10*H810/10)</f>
        <v/>
      </c>
      <c r="K810" s="125">
        <f>((E810-G810)/2)/F810</f>
        <v/>
      </c>
      <c r="L810" s="125">
        <f>I810/G810</f>
        <v/>
      </c>
      <c r="M810" s="125">
        <f>(E810*2+F810*4+((E810-G810)/2-H810)*4+2*PI()*H810+(D810-2*F810-2*H810)*2)/1000</f>
        <v/>
      </c>
      <c r="N810" s="5" t="n">
        <v>258000</v>
      </c>
      <c r="O810" s="5" t="n">
        <v>14400</v>
      </c>
      <c r="P810" s="125" t="n">
        <v>28.6</v>
      </c>
      <c r="Q810" s="125" t="n">
        <v>6.8</v>
      </c>
      <c r="R810" s="5" t="n">
        <v>7370</v>
      </c>
      <c r="S810" s="125" t="n">
        <v>963</v>
      </c>
      <c r="T810" s="5" t="n">
        <v>8420</v>
      </c>
      <c r="U810" s="5" t="n">
        <v>1500</v>
      </c>
      <c r="X810" s="129">
        <f t="array" ref="X810">_xlfn.IFS((D810/F810) &lt;= (640/SQRT($AT$32)), "Compact", L810 &lt;= ($AT$32*(0.79-(0.002*((E810-G810/2)/(2*F810))*SQRT($AT$32)))), "Non-Compact", L810 &gt; ($AT$32*(0.79-(0.002*((E810-G810/2)/(2*F810))*SQRT($AT$32)))), "Slender")</f>
        <v/>
      </c>
      <c r="Y810" s="129">
        <f t="array" ref="Y810">_xlfn.IFS(K810 &lt;= (65/SQRT($AT$32)), "Compact", K810 &lt;= (95/SQRT($AT$32)), "Non-Compact", K810 &gt; (95/SQRT($AT$32)), "Slender")</f>
        <v/>
      </c>
      <c r="Z810" s="125">
        <f>E810/F810</f>
        <v/>
      </c>
      <c r="AA810" s="125">
        <f>D810/G810</f>
        <v/>
      </c>
      <c r="AB810" s="125">
        <f t="array" ref="AB810">_xlfn.IFS(Z810 &lt;= 9, "1", Z810 &lt;= 12, "2", Z810 &lt;= 15, "3", Z810 &gt; 15, "4")</f>
        <v/>
      </c>
      <c r="AC810" s="125">
        <f t="array" ref="AC810">_xlfn.IFS(AA810 &lt;= 200, "1", L810 &lt;= 300, "2", L810 &lt;= 400, "3", L810 &gt; 400, "4")</f>
        <v/>
      </c>
      <c r="AF810" s="129">
        <f>SQRT((((VLOOKUP($AT$4,$A$4:$D$1021,4,FALSE))-D810)^2)+(((VLOOKUP($AT$4,$A$4:$E$1021,5,FALSE))-E810)^2)+(((VLOOKUP($AT$4,$A$4:$N$1021,14,FALSE))-N810)^2)+(((VLOOKUP($AT$4,$A$4:$O$1021,15,FALSE))-O810)^2))</f>
        <v/>
      </c>
      <c r="AG810" s="129" t="n"/>
      <c r="AI810" s="129">
        <f>SQRT((((VLOOKUP($AT$4,$A$4:$D$1021,4,FALSE))-D810)^2)+(((VLOOKUP($AT$4,$A$4:$E$1021,5,FALSE))-E810)^2)+(((VLOOKUP($AT$4,$A$4:$R$1021,18,FALSE))-R810)^2)+(((VLOOKUP($AT$4,$A$4:$S$1021,19,FALSE))-S810)^2))</f>
        <v/>
      </c>
      <c r="AJ810" s="125" t="inlineStr">
        <is>
          <t>HY700X248</t>
        </is>
      </c>
      <c r="AK810" s="125" t="n"/>
      <c r="AL810" s="125" t="n"/>
      <c r="AM810" s="125">
        <f>SQRT(((VLOOKUP($AT$4,$A$4:$J$1021,10,FALSE))-J810)^2)</f>
        <v/>
      </c>
      <c r="AN810" s="125" t="n"/>
      <c r="AO810" s="125" t="n"/>
      <c r="AP810" s="125">
        <f>SQRT(((VLOOKUP($AT$4,$A$4:$R$1021,18,FALSE))-R810)^2)</f>
        <v/>
      </c>
      <c r="AQ810" s="125" t="inlineStr">
        <is>
          <t>HY700X248</t>
        </is>
      </c>
      <c r="BB810" s="125">
        <f>SQRT(($J$1022-J810)^2)</f>
        <v/>
      </c>
      <c r="BC810" s="125">
        <f>SQRT(($R$1022-R810)^2)</f>
        <v/>
      </c>
      <c r="BD810" s="125" t="inlineStr">
        <is>
          <t>HY700X248</t>
        </is>
      </c>
      <c r="BI810">
        <f>SQRT(($J$1023-J810)^2)</f>
        <v/>
      </c>
      <c r="BJ810">
        <f>SQRT(($R$1023-R810)^2)</f>
        <v/>
      </c>
      <c r="BK810" s="125" t="inlineStr">
        <is>
          <t>HY700X248</t>
        </is>
      </c>
      <c r="BP810">
        <f>SQRT(($J$1024-J810)^2)</f>
        <v/>
      </c>
      <c r="BQ810">
        <f>SQRT(($R$1024-R810)^2)</f>
        <v/>
      </c>
      <c r="BR810" s="125" t="inlineStr">
        <is>
          <t>HY700X248</t>
        </is>
      </c>
      <c r="BW810">
        <f>SQRT(($J$1025-J810)^2)</f>
        <v/>
      </c>
      <c r="BX810">
        <f>SQRT(($R$1025-R810)^2)</f>
        <v/>
      </c>
      <c r="BY810" s="125" t="inlineStr">
        <is>
          <t>HY700X248</t>
        </is>
      </c>
      <c r="CD810">
        <f>SQRT(($J$1026-J810)^2)</f>
        <v/>
      </c>
      <c r="CE810">
        <f>SQRT(($R$1026-R810)^2)</f>
        <v/>
      </c>
      <c r="CF810" s="125" t="inlineStr">
        <is>
          <t>HY700X248</t>
        </is>
      </c>
    </row>
    <row r="811">
      <c r="A811" s="125" t="inlineStr">
        <is>
          <t>HY700X230</t>
        </is>
      </c>
      <c r="B811" s="129" t="inlineStr">
        <is>
          <t>HY</t>
        </is>
      </c>
      <c r="C811" s="125" t="n">
        <v>230</v>
      </c>
      <c r="D811" s="125" t="n">
        <v>700</v>
      </c>
      <c r="E811" s="125" t="n">
        <v>300</v>
      </c>
      <c r="F811" s="125" t="n">
        <v>28</v>
      </c>
      <c r="G811" s="125" t="n">
        <v>19</v>
      </c>
      <c r="H811" s="125" t="n">
        <v>18</v>
      </c>
      <c r="I811" s="125">
        <f>D811-(2*(H811+F811))</f>
        <v/>
      </c>
      <c r="J811" s="125">
        <f>(2*E811/10*F811/10)+((D811-F811-F811)/10*G811/10)+((H811/10+H811/10)^2)-(PI()*H811/10*H811/10)</f>
        <v/>
      </c>
      <c r="K811" s="125">
        <f>((E811-G811)/2)/F811</f>
        <v/>
      </c>
      <c r="L811" s="125">
        <f>I811/G811</f>
        <v/>
      </c>
      <c r="M811" s="125">
        <f>(E811*2+F811*4+((E811-G811)/2-H811)*4+2*PI()*H811+(D811-2*F811-2*H811)*2)/1000</f>
        <v/>
      </c>
      <c r="N811" s="5" t="n">
        <v>235000</v>
      </c>
      <c r="O811" s="5" t="n">
        <v>12600</v>
      </c>
      <c r="P811" s="125" t="n">
        <v>28.3</v>
      </c>
      <c r="Q811" s="125" t="n">
        <v>6.6</v>
      </c>
      <c r="R811" s="5" t="n">
        <v>6710</v>
      </c>
      <c r="S811" s="125" t="n">
        <v>843</v>
      </c>
      <c r="T811" s="5" t="n">
        <v>7700</v>
      </c>
      <c r="U811" s="5" t="n">
        <v>1320</v>
      </c>
      <c r="X811" s="129">
        <f t="array" ref="X811">_xlfn.IFS((D811/F811) &lt;= (640/SQRT($AT$32)), "Compact", L811 &lt;= ($AT$32*(0.79-(0.002*((E811-G811/2)/(2*F811))*SQRT($AT$32)))), "Non-Compact", L811 &gt; ($AT$32*(0.79-(0.002*((E811-G811/2)/(2*F811))*SQRT($AT$32)))), "Slender")</f>
        <v/>
      </c>
      <c r="Y811" s="129">
        <f t="array" ref="Y811">_xlfn.IFS(K811 &lt;= (65/SQRT($AT$32)), "Compact", K811 &lt;= (95/SQRT($AT$32)), "Non-Compact", K811 &gt; (95/SQRT($AT$32)), "Slender")</f>
        <v/>
      </c>
      <c r="Z811" s="125">
        <f>E811/F811</f>
        <v/>
      </c>
      <c r="AA811" s="125">
        <f>D811/G811</f>
        <v/>
      </c>
      <c r="AB811" s="125">
        <f t="array" ref="AB811">_xlfn.IFS(Z811 &lt;= 9, "1", Z811 &lt;= 12, "2", Z811 &lt;= 15, "3", Z811 &gt; 15, "4")</f>
        <v/>
      </c>
      <c r="AC811" s="125">
        <f t="array" ref="AC811">_xlfn.IFS(AA811 &lt;= 200, "1", L811 &lt;= 300, "2", L811 &lt;= 400, "3", L811 &gt; 400, "4")</f>
        <v/>
      </c>
      <c r="AF811" s="129">
        <f>SQRT((((VLOOKUP($AT$4,$A$4:$D$1021,4,FALSE))-D811)^2)+(((VLOOKUP($AT$4,$A$4:$E$1021,5,FALSE))-E811)^2)+(((VLOOKUP($AT$4,$A$4:$N$1021,14,FALSE))-N811)^2)+(((VLOOKUP($AT$4,$A$4:$O$1021,15,FALSE))-O811)^2))</f>
        <v/>
      </c>
      <c r="AG811" s="129" t="n"/>
      <c r="AI811" s="129">
        <f>SQRT((((VLOOKUP($AT$4,$A$4:$D$1021,4,FALSE))-D811)^2)+(((VLOOKUP($AT$4,$A$4:$E$1021,5,FALSE))-E811)^2)+(((VLOOKUP($AT$4,$A$4:$R$1021,18,FALSE))-R811)^2)+(((VLOOKUP($AT$4,$A$4:$S$1021,19,FALSE))-S811)^2))</f>
        <v/>
      </c>
      <c r="AJ811" s="125" t="inlineStr">
        <is>
          <t>HY700X230</t>
        </is>
      </c>
      <c r="AK811" s="125" t="n"/>
      <c r="AL811" s="125" t="n"/>
      <c r="AM811" s="125">
        <f>SQRT(((VLOOKUP($AT$4,$A$4:$J$1021,10,FALSE))-J811)^2)</f>
        <v/>
      </c>
      <c r="AN811" s="125" t="n"/>
      <c r="AO811" s="125" t="n"/>
      <c r="AP811" s="125">
        <f>SQRT(((VLOOKUP($AT$4,$A$4:$R$1021,18,FALSE))-R811)^2)</f>
        <v/>
      </c>
      <c r="AQ811" s="125" t="inlineStr">
        <is>
          <t>HY700X230</t>
        </is>
      </c>
      <c r="BB811" s="125">
        <f>SQRT(($J$1022-J811)^2)</f>
        <v/>
      </c>
      <c r="BC811" s="125">
        <f>SQRT(($R$1022-R811)^2)</f>
        <v/>
      </c>
      <c r="BD811" s="125" t="inlineStr">
        <is>
          <t>HY700X230</t>
        </is>
      </c>
      <c r="BI811">
        <f>SQRT(($J$1023-J811)^2)</f>
        <v/>
      </c>
      <c r="BJ811">
        <f>SQRT(($R$1023-R811)^2)</f>
        <v/>
      </c>
      <c r="BK811" s="125" t="inlineStr">
        <is>
          <t>HY700X230</t>
        </is>
      </c>
      <c r="BP811">
        <f>SQRT(($J$1024-J811)^2)</f>
        <v/>
      </c>
      <c r="BQ811">
        <f>SQRT(($R$1024-R811)^2)</f>
        <v/>
      </c>
      <c r="BR811" s="125" t="inlineStr">
        <is>
          <t>HY700X230</t>
        </is>
      </c>
      <c r="BW811">
        <f>SQRT(($J$1025-J811)^2)</f>
        <v/>
      </c>
      <c r="BX811">
        <f>SQRT(($R$1025-R811)^2)</f>
        <v/>
      </c>
      <c r="BY811" s="125" t="inlineStr">
        <is>
          <t>HY700X230</t>
        </is>
      </c>
      <c r="CD811">
        <f>SQRT(($J$1026-J811)^2)</f>
        <v/>
      </c>
      <c r="CE811">
        <f>SQRT(($R$1026-R811)^2)</f>
        <v/>
      </c>
      <c r="CF811" s="125" t="inlineStr">
        <is>
          <t>HY700X230</t>
        </is>
      </c>
    </row>
    <row r="812">
      <c r="A812" s="125" t="inlineStr">
        <is>
          <t>HY700X217</t>
        </is>
      </c>
      <c r="B812" s="129" t="inlineStr">
        <is>
          <t>HY</t>
        </is>
      </c>
      <c r="C812" s="125" t="n">
        <v>217</v>
      </c>
      <c r="D812" s="125" t="n">
        <v>700</v>
      </c>
      <c r="E812" s="125" t="n">
        <v>300</v>
      </c>
      <c r="F812" s="125" t="n">
        <v>25</v>
      </c>
      <c r="G812" s="125" t="n">
        <v>19</v>
      </c>
      <c r="H812" s="125" t="n">
        <v>18</v>
      </c>
      <c r="I812" s="125">
        <f>D812-(2*(H812+F812))</f>
        <v/>
      </c>
      <c r="J812" s="125">
        <f>(2*E812/10*F812/10)+((D812-F812-F812)/10*G812/10)+((H812/10+H812/10)^2)-(PI()*H812/10*H812/10)</f>
        <v/>
      </c>
      <c r="K812" s="125">
        <f>((E812-G812)/2)/F812</f>
        <v/>
      </c>
      <c r="L812" s="125">
        <f>I812/G812</f>
        <v/>
      </c>
      <c r="M812" s="125">
        <f>(E812*2+F812*4+((E812-G812)/2-H812)*4+2*PI()*H812+(D812-2*F812-2*H812)*2)/1000</f>
        <v/>
      </c>
      <c r="N812" s="5" t="n">
        <v>217000</v>
      </c>
      <c r="O812" s="5" t="n">
        <v>11300</v>
      </c>
      <c r="P812" s="125" t="n">
        <v>28</v>
      </c>
      <c r="Q812" s="125" t="n">
        <v>6.4</v>
      </c>
      <c r="R812" s="5" t="n">
        <v>6210</v>
      </c>
      <c r="S812" s="125" t="n">
        <v>753</v>
      </c>
      <c r="T812" s="5" t="n">
        <v>7160</v>
      </c>
      <c r="U812" s="5" t="n">
        <v>1190</v>
      </c>
      <c r="X812" s="129">
        <f t="array" ref="X812">_xlfn.IFS((D812/F812) &lt;= (640/SQRT($AT$32)), "Compact", L812 &lt;= ($AT$32*(0.79-(0.002*((E812-G812/2)/(2*F812))*SQRT($AT$32)))), "Non-Compact", L812 &gt; ($AT$32*(0.79-(0.002*((E812-G812/2)/(2*F812))*SQRT($AT$32)))), "Slender")</f>
        <v/>
      </c>
      <c r="Y812" s="129">
        <f t="array" ref="Y812">_xlfn.IFS(K812 &lt;= (65/SQRT($AT$32)), "Compact", K812 &lt;= (95/SQRT($AT$32)), "Non-Compact", K812 &gt; (95/SQRT($AT$32)), "Slender")</f>
        <v/>
      </c>
      <c r="Z812" s="125">
        <f>E812/F812</f>
        <v/>
      </c>
      <c r="AA812" s="125">
        <f>D812/G812</f>
        <v/>
      </c>
      <c r="AB812" s="125">
        <f t="array" ref="AB812">_xlfn.IFS(Z812 &lt;= 9, "1", Z812 &lt;= 12, "2", Z812 &lt;= 15, "3", Z812 &gt; 15, "4")</f>
        <v/>
      </c>
      <c r="AC812" s="125">
        <f t="array" ref="AC812">_xlfn.IFS(AA812 &lt;= 200, "1", L812 &lt;= 300, "2", L812 &lt;= 400, "3", L812 &gt; 400, "4")</f>
        <v/>
      </c>
      <c r="AF812" s="129">
        <f>SQRT((((VLOOKUP($AT$4,$A$4:$D$1021,4,FALSE))-D812)^2)+(((VLOOKUP($AT$4,$A$4:$E$1021,5,FALSE))-E812)^2)+(((VLOOKUP($AT$4,$A$4:$N$1021,14,FALSE))-N812)^2)+(((VLOOKUP($AT$4,$A$4:$O$1021,15,FALSE))-O812)^2))</f>
        <v/>
      </c>
      <c r="AG812" s="129" t="n"/>
      <c r="AI812" s="129">
        <f>SQRT((((VLOOKUP($AT$4,$A$4:$D$1021,4,FALSE))-D812)^2)+(((VLOOKUP($AT$4,$A$4:$E$1021,5,FALSE))-E812)^2)+(((VLOOKUP($AT$4,$A$4:$R$1021,18,FALSE))-R812)^2)+(((VLOOKUP($AT$4,$A$4:$S$1021,19,FALSE))-S812)^2))</f>
        <v/>
      </c>
      <c r="AJ812" s="125" t="inlineStr">
        <is>
          <t>HY700X217</t>
        </is>
      </c>
      <c r="AK812" s="125" t="n"/>
      <c r="AL812" s="125" t="n"/>
      <c r="AM812" s="125">
        <f>SQRT(((VLOOKUP($AT$4,$A$4:$J$1021,10,FALSE))-J812)^2)</f>
        <v/>
      </c>
      <c r="AN812" s="125" t="n"/>
      <c r="AO812" s="125" t="n"/>
      <c r="AP812" s="125">
        <f>SQRT(((VLOOKUP($AT$4,$A$4:$R$1021,18,FALSE))-R812)^2)</f>
        <v/>
      </c>
      <c r="AQ812" s="125" t="inlineStr">
        <is>
          <t>HY700X217</t>
        </is>
      </c>
      <c r="BB812" s="125">
        <f>SQRT(($J$1022-J812)^2)</f>
        <v/>
      </c>
      <c r="BC812" s="125">
        <f>SQRT(($R$1022-R812)^2)</f>
        <v/>
      </c>
      <c r="BD812" s="125" t="inlineStr">
        <is>
          <t>HY700X217</t>
        </is>
      </c>
      <c r="BI812">
        <f>SQRT(($J$1023-J812)^2)</f>
        <v/>
      </c>
      <c r="BJ812">
        <f>SQRT(($R$1023-R812)^2)</f>
        <v/>
      </c>
      <c r="BK812" s="125" t="inlineStr">
        <is>
          <t>HY700X217</t>
        </is>
      </c>
      <c r="BP812">
        <f>SQRT(($J$1024-J812)^2)</f>
        <v/>
      </c>
      <c r="BQ812">
        <f>SQRT(($R$1024-R812)^2)</f>
        <v/>
      </c>
      <c r="BR812" s="125" t="inlineStr">
        <is>
          <t>HY700X217</t>
        </is>
      </c>
      <c r="BW812">
        <f>SQRT(($J$1025-J812)^2)</f>
        <v/>
      </c>
      <c r="BX812">
        <f>SQRT(($R$1025-R812)^2)</f>
        <v/>
      </c>
      <c r="BY812" s="125" t="inlineStr">
        <is>
          <t>HY700X217</t>
        </is>
      </c>
      <c r="CD812">
        <f>SQRT(($J$1026-J812)^2)</f>
        <v/>
      </c>
      <c r="CE812">
        <f>SQRT(($R$1026-R812)^2)</f>
        <v/>
      </c>
      <c r="CF812" s="125" t="inlineStr">
        <is>
          <t>HY700X217</t>
        </is>
      </c>
    </row>
    <row r="813">
      <c r="A813" s="125" t="inlineStr">
        <is>
          <t>HY700X251</t>
        </is>
      </c>
      <c r="B813" s="129" t="inlineStr">
        <is>
          <t>HY</t>
        </is>
      </c>
      <c r="C813" s="125" t="n">
        <v>251</v>
      </c>
      <c r="D813" s="125" t="n">
        <v>700</v>
      </c>
      <c r="E813" s="125" t="n">
        <v>300</v>
      </c>
      <c r="F813" s="125" t="n">
        <v>36</v>
      </c>
      <c r="G813" s="125" t="n">
        <v>16</v>
      </c>
      <c r="H813" s="125" t="n">
        <v>18</v>
      </c>
      <c r="I813" s="125">
        <f>D813-(2*(H813+F813))</f>
        <v/>
      </c>
      <c r="J813" s="125">
        <f>(2*E813/10*F813/10)+((D813-F813-F813)/10*G813/10)+((H813/10+H813/10)^2)-(PI()*H813/10*H813/10)</f>
        <v/>
      </c>
      <c r="K813" s="125">
        <f>((E813-G813)/2)/F813</f>
        <v/>
      </c>
      <c r="L813" s="125">
        <f>I813/G813</f>
        <v/>
      </c>
      <c r="M813" s="125">
        <f>(E813*2+F813*4+((E813-G813)/2-H813)*4+2*PI()*H813+(D813-2*F813-2*H813)*2)/1000</f>
        <v/>
      </c>
      <c r="N813" s="5" t="n">
        <v>274000</v>
      </c>
      <c r="O813" s="5" t="n">
        <v>16200</v>
      </c>
      <c r="P813" s="125" t="n">
        <v>29.3</v>
      </c>
      <c r="Q813" s="125" t="n">
        <v>7.1</v>
      </c>
      <c r="R813" s="5" t="n">
        <v>7830</v>
      </c>
      <c r="S813" s="5" t="n">
        <v>1080</v>
      </c>
      <c r="T813" s="5" t="n">
        <v>8830</v>
      </c>
      <c r="U813" s="5" t="n">
        <v>1660</v>
      </c>
      <c r="X813" s="129">
        <f t="array" ref="X813">_xlfn.IFS((D813/F813) &lt;= (640/SQRT($AT$32)), "Compact", L813 &lt;= ($AT$32*(0.79-(0.002*((E813-G813/2)/(2*F813))*SQRT($AT$32)))), "Non-Compact", L813 &gt; ($AT$32*(0.79-(0.002*((E813-G813/2)/(2*F813))*SQRT($AT$32)))), "Slender")</f>
        <v/>
      </c>
      <c r="Y813" s="129">
        <f t="array" ref="Y813">_xlfn.IFS(K813 &lt;= (65/SQRT($AT$32)), "Compact", K813 &lt;= (95/SQRT($AT$32)), "Non-Compact", K813 &gt; (95/SQRT($AT$32)), "Slender")</f>
        <v/>
      </c>
      <c r="Z813" s="125">
        <f>E813/F813</f>
        <v/>
      </c>
      <c r="AA813" s="125">
        <f>D813/G813</f>
        <v/>
      </c>
      <c r="AB813" s="125">
        <f t="array" ref="AB813">_xlfn.IFS(Z813 &lt;= 9, "1", Z813 &lt;= 12, "2", Z813 &lt;= 15, "3", Z813 &gt; 15, "4")</f>
        <v/>
      </c>
      <c r="AC813" s="125">
        <f t="array" ref="AC813">_xlfn.IFS(AA813 &lt;= 200, "1", L813 &lt;= 300, "2", L813 &lt;= 400, "3", L813 &gt; 400, "4")</f>
        <v/>
      </c>
      <c r="AF813" s="129">
        <f>SQRT((((VLOOKUP($AT$4,$A$4:$D$1021,4,FALSE))-D813)^2)+(((VLOOKUP($AT$4,$A$4:$E$1021,5,FALSE))-E813)^2)+(((VLOOKUP($AT$4,$A$4:$N$1021,14,FALSE))-N813)^2)+(((VLOOKUP($AT$4,$A$4:$O$1021,15,FALSE))-O813)^2))</f>
        <v/>
      </c>
      <c r="AG813" s="129" t="n"/>
      <c r="AI813" s="129">
        <f>SQRT((((VLOOKUP($AT$4,$A$4:$D$1021,4,FALSE))-D813)^2)+(((VLOOKUP($AT$4,$A$4:$E$1021,5,FALSE))-E813)^2)+(((VLOOKUP($AT$4,$A$4:$R$1021,18,FALSE))-R813)^2)+(((VLOOKUP($AT$4,$A$4:$S$1021,19,FALSE))-S813)^2))</f>
        <v/>
      </c>
      <c r="AJ813" s="125" t="inlineStr">
        <is>
          <t>HY700X251</t>
        </is>
      </c>
      <c r="AK813" s="125" t="n"/>
      <c r="AL813" s="125" t="n"/>
      <c r="AM813" s="125">
        <f>SQRT(((VLOOKUP($AT$4,$A$4:$J$1021,10,FALSE))-J813)^2)</f>
        <v/>
      </c>
      <c r="AN813" s="125" t="n"/>
      <c r="AO813" s="125" t="n"/>
      <c r="AP813" s="125">
        <f>SQRT(((VLOOKUP($AT$4,$A$4:$R$1021,18,FALSE))-R813)^2)</f>
        <v/>
      </c>
      <c r="AQ813" s="125" t="inlineStr">
        <is>
          <t>HY700X251</t>
        </is>
      </c>
      <c r="BB813" s="125">
        <f>SQRT(($J$1022-J813)^2)</f>
        <v/>
      </c>
      <c r="BC813" s="125">
        <f>SQRT(($R$1022-R813)^2)</f>
        <v/>
      </c>
      <c r="BD813" s="125" t="inlineStr">
        <is>
          <t>HY700X251</t>
        </is>
      </c>
      <c r="BI813">
        <f>SQRT(($J$1023-J813)^2)</f>
        <v/>
      </c>
      <c r="BJ813">
        <f>SQRT(($R$1023-R813)^2)</f>
        <v/>
      </c>
      <c r="BK813" s="125" t="inlineStr">
        <is>
          <t>HY700X251</t>
        </is>
      </c>
      <c r="BP813">
        <f>SQRT(($J$1024-J813)^2)</f>
        <v/>
      </c>
      <c r="BQ813">
        <f>SQRT(($R$1024-R813)^2)</f>
        <v/>
      </c>
      <c r="BR813" s="125" t="inlineStr">
        <is>
          <t>HY700X251</t>
        </is>
      </c>
      <c r="BW813">
        <f>SQRT(($J$1025-J813)^2)</f>
        <v/>
      </c>
      <c r="BX813">
        <f>SQRT(($R$1025-R813)^2)</f>
        <v/>
      </c>
      <c r="BY813" s="125" t="inlineStr">
        <is>
          <t>HY700X251</t>
        </is>
      </c>
      <c r="CD813">
        <f>SQRT(($J$1026-J813)^2)</f>
        <v/>
      </c>
      <c r="CE813">
        <f>SQRT(($R$1026-R813)^2)</f>
        <v/>
      </c>
      <c r="CF813" s="125" t="inlineStr">
        <is>
          <t>HY700X251</t>
        </is>
      </c>
    </row>
    <row r="814">
      <c r="A814" s="125" t="inlineStr">
        <is>
          <t>HY700X233</t>
        </is>
      </c>
      <c r="B814" s="129" t="inlineStr">
        <is>
          <t>HY</t>
        </is>
      </c>
      <c r="C814" s="125" t="n">
        <v>233</v>
      </c>
      <c r="D814" s="125" t="n">
        <v>700</v>
      </c>
      <c r="E814" s="125" t="n">
        <v>300</v>
      </c>
      <c r="F814" s="125" t="n">
        <v>32</v>
      </c>
      <c r="G814" s="125" t="n">
        <v>16</v>
      </c>
      <c r="H814" s="125" t="n">
        <v>18</v>
      </c>
      <c r="I814" s="125">
        <f>D814-(2*(H814+F814))</f>
        <v/>
      </c>
      <c r="J814" s="125">
        <f>(2*E814/10*F814/10)+((D814-F814-F814)/10*G814/10)+((H814/10+H814/10)^2)-(PI()*H814/10*H814/10)</f>
        <v/>
      </c>
      <c r="K814" s="125">
        <f>((E814-G814)/2)/F814</f>
        <v/>
      </c>
      <c r="L814" s="125">
        <f>I814/G814</f>
        <v/>
      </c>
      <c r="M814" s="125">
        <f>(E814*2+F814*4+((E814-G814)/2-H814)*4+2*PI()*H814+(D814-2*F814-2*H814)*2)/1000</f>
        <v/>
      </c>
      <c r="N814" s="5" t="n">
        <v>251000</v>
      </c>
      <c r="O814" s="5" t="n">
        <v>14400</v>
      </c>
      <c r="P814" s="125" t="n">
        <v>29.1</v>
      </c>
      <c r="Q814" s="125" t="n">
        <v>7</v>
      </c>
      <c r="R814" s="5" t="n">
        <v>7180</v>
      </c>
      <c r="S814" s="125" t="n">
        <v>962</v>
      </c>
      <c r="T814" s="5" t="n">
        <v>8120</v>
      </c>
      <c r="U814" s="5" t="n">
        <v>1480</v>
      </c>
      <c r="X814" s="129">
        <f t="array" ref="X814">_xlfn.IFS((D814/F814) &lt;= (640/SQRT($AT$32)), "Compact", L814 &lt;= ($AT$32*(0.79-(0.002*((E814-G814/2)/(2*F814))*SQRT($AT$32)))), "Non-Compact", L814 &gt; ($AT$32*(0.79-(0.002*((E814-G814/2)/(2*F814))*SQRT($AT$32)))), "Slender")</f>
        <v/>
      </c>
      <c r="Y814" s="129">
        <f t="array" ref="Y814">_xlfn.IFS(K814 &lt;= (65/SQRT($AT$32)), "Compact", K814 &lt;= (95/SQRT($AT$32)), "Non-Compact", K814 &gt; (95/SQRT($AT$32)), "Slender")</f>
        <v/>
      </c>
      <c r="Z814" s="125">
        <f>E814/F814</f>
        <v/>
      </c>
      <c r="AA814" s="125">
        <f>D814/G814</f>
        <v/>
      </c>
      <c r="AB814" s="125">
        <f t="array" ref="AB814">_xlfn.IFS(Z814 &lt;= 9, "1", Z814 &lt;= 12, "2", Z814 &lt;= 15, "3", Z814 &gt; 15, "4")</f>
        <v/>
      </c>
      <c r="AC814" s="125">
        <f t="array" ref="AC814">_xlfn.IFS(AA814 &lt;= 200, "1", L814 &lt;= 300, "2", L814 &lt;= 400, "3", L814 &gt; 400, "4")</f>
        <v/>
      </c>
      <c r="AF814" s="129">
        <f>SQRT((((VLOOKUP($AT$4,$A$4:$D$1021,4,FALSE))-D814)^2)+(((VLOOKUP($AT$4,$A$4:$E$1021,5,FALSE))-E814)^2)+(((VLOOKUP($AT$4,$A$4:$N$1021,14,FALSE))-N814)^2)+(((VLOOKUP($AT$4,$A$4:$O$1021,15,FALSE))-O814)^2))</f>
        <v/>
      </c>
      <c r="AG814" s="129" t="n"/>
      <c r="AI814" s="129">
        <f>SQRT((((VLOOKUP($AT$4,$A$4:$D$1021,4,FALSE))-D814)^2)+(((VLOOKUP($AT$4,$A$4:$E$1021,5,FALSE))-E814)^2)+(((VLOOKUP($AT$4,$A$4:$R$1021,18,FALSE))-R814)^2)+(((VLOOKUP($AT$4,$A$4:$S$1021,19,FALSE))-S814)^2))</f>
        <v/>
      </c>
      <c r="AJ814" s="125" t="inlineStr">
        <is>
          <t>HY700X233</t>
        </is>
      </c>
      <c r="AK814" s="125" t="n"/>
      <c r="AL814" s="125" t="n"/>
      <c r="AM814" s="125">
        <f>SQRT(((VLOOKUP($AT$4,$A$4:$J$1021,10,FALSE))-J814)^2)</f>
        <v/>
      </c>
      <c r="AN814" s="125" t="n"/>
      <c r="AO814" s="125" t="n"/>
      <c r="AP814" s="125">
        <f>SQRT(((VLOOKUP($AT$4,$A$4:$R$1021,18,FALSE))-R814)^2)</f>
        <v/>
      </c>
      <c r="AQ814" s="125" t="inlineStr">
        <is>
          <t>HY700X233</t>
        </is>
      </c>
      <c r="BB814" s="125">
        <f>SQRT(($J$1022-J814)^2)</f>
        <v/>
      </c>
      <c r="BC814" s="125">
        <f>SQRT(($R$1022-R814)^2)</f>
        <v/>
      </c>
      <c r="BD814" s="125" t="inlineStr">
        <is>
          <t>HY700X233</t>
        </is>
      </c>
      <c r="BI814">
        <f>SQRT(($J$1023-J814)^2)</f>
        <v/>
      </c>
      <c r="BJ814">
        <f>SQRT(($R$1023-R814)^2)</f>
        <v/>
      </c>
      <c r="BK814" s="125" t="inlineStr">
        <is>
          <t>HY700X233</t>
        </is>
      </c>
      <c r="BP814">
        <f>SQRT(($J$1024-J814)^2)</f>
        <v/>
      </c>
      <c r="BQ814">
        <f>SQRT(($R$1024-R814)^2)</f>
        <v/>
      </c>
      <c r="BR814" s="125" t="inlineStr">
        <is>
          <t>HY700X233</t>
        </is>
      </c>
      <c r="BW814">
        <f>SQRT(($J$1025-J814)^2)</f>
        <v/>
      </c>
      <c r="BX814">
        <f>SQRT(($R$1025-R814)^2)</f>
        <v/>
      </c>
      <c r="BY814" s="125" t="inlineStr">
        <is>
          <t>HY700X233</t>
        </is>
      </c>
      <c r="CD814">
        <f>SQRT(($J$1026-J814)^2)</f>
        <v/>
      </c>
      <c r="CE814">
        <f>SQRT(($R$1026-R814)^2)</f>
        <v/>
      </c>
      <c r="CF814" s="125" t="inlineStr">
        <is>
          <t>HY700X233</t>
        </is>
      </c>
    </row>
    <row r="815">
      <c r="A815" s="125" t="inlineStr">
        <is>
          <t>HY700X215</t>
        </is>
      </c>
      <c r="B815" s="129" t="inlineStr">
        <is>
          <t>HY</t>
        </is>
      </c>
      <c r="C815" s="125" t="n">
        <v>215</v>
      </c>
      <c r="D815" s="125" t="n">
        <v>700</v>
      </c>
      <c r="E815" s="125" t="n">
        <v>300</v>
      </c>
      <c r="F815" s="125" t="n">
        <v>28</v>
      </c>
      <c r="G815" s="125" t="n">
        <v>16</v>
      </c>
      <c r="H815" s="125" t="n">
        <v>18</v>
      </c>
      <c r="I815" s="125">
        <f>D815-(2*(H815+F815))</f>
        <v/>
      </c>
      <c r="J815" s="125">
        <f>(2*E815/10*F815/10)+((D815-F815-F815)/10*G815/10)+((H815/10+H815/10)^2)-(PI()*H815/10*H815/10)</f>
        <v/>
      </c>
      <c r="K815" s="125">
        <f>((E815-G815)/2)/F815</f>
        <v/>
      </c>
      <c r="L815" s="125">
        <f>I815/G815</f>
        <v/>
      </c>
      <c r="M815" s="125">
        <f>(E815*2+F815*4+((E815-G815)/2-H815)*4+2*PI()*H815+(D815-2*F815-2*H815)*2)/1000</f>
        <v/>
      </c>
      <c r="N815" s="5" t="n">
        <v>228000</v>
      </c>
      <c r="O815" s="5" t="n">
        <v>12600</v>
      </c>
      <c r="P815" s="125" t="n">
        <v>28.9</v>
      </c>
      <c r="Q815" s="125" t="n">
        <v>6.8</v>
      </c>
      <c r="R815" s="5" t="n">
        <v>6520</v>
      </c>
      <c r="S815" s="125" t="n">
        <v>842</v>
      </c>
      <c r="T815" s="5" t="n">
        <v>7390</v>
      </c>
      <c r="U815" s="5" t="n">
        <v>1300</v>
      </c>
      <c r="X815" s="129">
        <f t="array" ref="X815">_xlfn.IFS((D815/F815) &lt;= (640/SQRT($AT$32)), "Compact", L815 &lt;= ($AT$32*(0.79-(0.002*((E815-G815/2)/(2*F815))*SQRT($AT$32)))), "Non-Compact", L815 &gt; ($AT$32*(0.79-(0.002*((E815-G815/2)/(2*F815))*SQRT($AT$32)))), "Slender")</f>
        <v/>
      </c>
      <c r="Y815" s="129">
        <f t="array" ref="Y815">_xlfn.IFS(K815 &lt;= (65/SQRT($AT$32)), "Compact", K815 &lt;= (95/SQRT($AT$32)), "Non-Compact", K815 &gt; (95/SQRT($AT$32)), "Slender")</f>
        <v/>
      </c>
      <c r="Z815" s="125">
        <f>E815/F815</f>
        <v/>
      </c>
      <c r="AA815" s="125">
        <f>D815/G815</f>
        <v/>
      </c>
      <c r="AB815" s="125">
        <f t="array" ref="AB815">_xlfn.IFS(Z815 &lt;= 9, "1", Z815 &lt;= 12, "2", Z815 &lt;= 15, "3", Z815 &gt; 15, "4")</f>
        <v/>
      </c>
      <c r="AC815" s="125">
        <f t="array" ref="AC815">_xlfn.IFS(AA815 &lt;= 200, "1", L815 &lt;= 300, "2", L815 &lt;= 400, "3", L815 &gt; 400, "4")</f>
        <v/>
      </c>
      <c r="AF815" s="129">
        <f>SQRT((((VLOOKUP($AT$4,$A$4:$D$1021,4,FALSE))-D815)^2)+(((VLOOKUP($AT$4,$A$4:$E$1021,5,FALSE))-E815)^2)+(((VLOOKUP($AT$4,$A$4:$N$1021,14,FALSE))-N815)^2)+(((VLOOKUP($AT$4,$A$4:$O$1021,15,FALSE))-O815)^2))</f>
        <v/>
      </c>
      <c r="AG815" s="129" t="n"/>
      <c r="AI815" s="129">
        <f>SQRT((((VLOOKUP($AT$4,$A$4:$D$1021,4,FALSE))-D815)^2)+(((VLOOKUP($AT$4,$A$4:$E$1021,5,FALSE))-E815)^2)+(((VLOOKUP($AT$4,$A$4:$R$1021,18,FALSE))-R815)^2)+(((VLOOKUP($AT$4,$A$4:$S$1021,19,FALSE))-S815)^2))</f>
        <v/>
      </c>
      <c r="AJ815" s="125" t="inlineStr">
        <is>
          <t>HY700X215</t>
        </is>
      </c>
      <c r="AK815" s="125" t="n"/>
      <c r="AL815" s="125" t="n"/>
      <c r="AM815" s="125">
        <f>SQRT(((VLOOKUP($AT$4,$A$4:$J$1021,10,FALSE))-J815)^2)</f>
        <v/>
      </c>
      <c r="AN815" s="125" t="n"/>
      <c r="AO815" s="125" t="n"/>
      <c r="AP815" s="125">
        <f>SQRT(((VLOOKUP($AT$4,$A$4:$R$1021,18,FALSE))-R815)^2)</f>
        <v/>
      </c>
      <c r="AQ815" s="125" t="inlineStr">
        <is>
          <t>HY700X215</t>
        </is>
      </c>
      <c r="BB815" s="125">
        <f>SQRT(($J$1022-J815)^2)</f>
        <v/>
      </c>
      <c r="BC815" s="125">
        <f>SQRT(($R$1022-R815)^2)</f>
        <v/>
      </c>
      <c r="BD815" s="125" t="inlineStr">
        <is>
          <t>HY700X215</t>
        </is>
      </c>
      <c r="BI815">
        <f>SQRT(($J$1023-J815)^2)</f>
        <v/>
      </c>
      <c r="BJ815">
        <f>SQRT(($R$1023-R815)^2)</f>
        <v/>
      </c>
      <c r="BK815" s="125" t="inlineStr">
        <is>
          <t>HY700X215</t>
        </is>
      </c>
      <c r="BP815">
        <f>SQRT(($J$1024-J815)^2)</f>
        <v/>
      </c>
      <c r="BQ815">
        <f>SQRT(($R$1024-R815)^2)</f>
        <v/>
      </c>
      <c r="BR815" s="125" t="inlineStr">
        <is>
          <t>HY700X215</t>
        </is>
      </c>
      <c r="BW815">
        <f>SQRT(($J$1025-J815)^2)</f>
        <v/>
      </c>
      <c r="BX815">
        <f>SQRT(($R$1025-R815)^2)</f>
        <v/>
      </c>
      <c r="BY815" s="125" t="inlineStr">
        <is>
          <t>HY700X215</t>
        </is>
      </c>
      <c r="CD815">
        <f>SQRT(($J$1026-J815)^2)</f>
        <v/>
      </c>
      <c r="CE815">
        <f>SQRT(($R$1026-R815)^2)</f>
        <v/>
      </c>
      <c r="CF815" s="125" t="inlineStr">
        <is>
          <t>HY700X215</t>
        </is>
      </c>
    </row>
    <row r="816">
      <c r="A816" s="125" t="inlineStr">
        <is>
          <t>HY700X202</t>
        </is>
      </c>
      <c r="B816" s="129" t="inlineStr">
        <is>
          <t>HY</t>
        </is>
      </c>
      <c r="C816" s="125" t="n">
        <v>202</v>
      </c>
      <c r="D816" s="125" t="n">
        <v>700</v>
      </c>
      <c r="E816" s="125" t="n">
        <v>300</v>
      </c>
      <c r="F816" s="125" t="n">
        <v>25</v>
      </c>
      <c r="G816" s="125" t="n">
        <v>16</v>
      </c>
      <c r="H816" s="125" t="n">
        <v>18</v>
      </c>
      <c r="I816" s="125">
        <f>D816-(2*(H816+F816))</f>
        <v/>
      </c>
      <c r="J816" s="125">
        <f>(2*E816/10*F816/10)+((D816-F816-F816)/10*G816/10)+((H816/10+H816/10)^2)-(PI()*H816/10*H816/10)</f>
        <v/>
      </c>
      <c r="K816" s="125">
        <f>((E816-G816)/2)/F816</f>
        <v/>
      </c>
      <c r="L816" s="125">
        <f>I816/G816</f>
        <v/>
      </c>
      <c r="M816" s="125">
        <f>(E816*2+F816*4+((E816-G816)/2-H816)*4+2*PI()*H816+(D816-2*F816-2*H816)*2)/1000</f>
        <v/>
      </c>
      <c r="N816" s="5" t="n">
        <v>210000</v>
      </c>
      <c r="O816" s="5" t="n">
        <v>11300</v>
      </c>
      <c r="P816" s="125" t="n">
        <v>28.6</v>
      </c>
      <c r="Q816" s="125" t="n">
        <v>6.6</v>
      </c>
      <c r="R816" s="5" t="n">
        <v>6010</v>
      </c>
      <c r="S816" s="125" t="n">
        <v>752</v>
      </c>
      <c r="T816" s="5" t="n">
        <v>6840</v>
      </c>
      <c r="U816" s="5" t="n">
        <v>1170</v>
      </c>
      <c r="X816" s="129">
        <f t="array" ref="X816">_xlfn.IFS((D816/F816) &lt;= (640/SQRT($AT$32)), "Compact", L816 &lt;= ($AT$32*(0.79-(0.002*((E816-G816/2)/(2*F816))*SQRT($AT$32)))), "Non-Compact", L816 &gt; ($AT$32*(0.79-(0.002*((E816-G816/2)/(2*F816))*SQRT($AT$32)))), "Slender")</f>
        <v/>
      </c>
      <c r="Y816" s="129">
        <f t="array" ref="Y816">_xlfn.IFS(K816 &lt;= (65/SQRT($AT$32)), "Compact", K816 &lt;= (95/SQRT($AT$32)), "Non-Compact", K816 &gt; (95/SQRT($AT$32)), "Slender")</f>
        <v/>
      </c>
      <c r="Z816" s="125">
        <f>E816/F816</f>
        <v/>
      </c>
      <c r="AA816" s="125">
        <f>D816/G816</f>
        <v/>
      </c>
      <c r="AB816" s="125">
        <f t="array" ref="AB816">_xlfn.IFS(Z816 &lt;= 9, "1", Z816 &lt;= 12, "2", Z816 &lt;= 15, "3", Z816 &gt; 15, "4")</f>
        <v/>
      </c>
      <c r="AC816" s="125">
        <f t="array" ref="AC816">_xlfn.IFS(AA816 &lt;= 200, "1", L816 &lt;= 300, "2", L816 &lt;= 400, "3", L816 &gt; 400, "4")</f>
        <v/>
      </c>
      <c r="AF816" s="129">
        <f>SQRT((((VLOOKUP($AT$4,$A$4:$D$1021,4,FALSE))-D816)^2)+(((VLOOKUP($AT$4,$A$4:$E$1021,5,FALSE))-E816)^2)+(((VLOOKUP($AT$4,$A$4:$N$1021,14,FALSE))-N816)^2)+(((VLOOKUP($AT$4,$A$4:$O$1021,15,FALSE))-O816)^2))</f>
        <v/>
      </c>
      <c r="AG816" s="129" t="n"/>
      <c r="AI816" s="129">
        <f>SQRT((((VLOOKUP($AT$4,$A$4:$D$1021,4,FALSE))-D816)^2)+(((VLOOKUP($AT$4,$A$4:$E$1021,5,FALSE))-E816)^2)+(((VLOOKUP($AT$4,$A$4:$R$1021,18,FALSE))-R816)^2)+(((VLOOKUP($AT$4,$A$4:$S$1021,19,FALSE))-S816)^2))</f>
        <v/>
      </c>
      <c r="AJ816" s="125" t="inlineStr">
        <is>
          <t>HY700X202</t>
        </is>
      </c>
      <c r="AK816" s="125" t="n"/>
      <c r="AL816" s="125" t="n"/>
      <c r="AM816" s="125">
        <f>SQRT(((VLOOKUP($AT$4,$A$4:$J$1021,10,FALSE))-J816)^2)</f>
        <v/>
      </c>
      <c r="AN816" s="125" t="n"/>
      <c r="AO816" s="125" t="n"/>
      <c r="AP816" s="125">
        <f>SQRT(((VLOOKUP($AT$4,$A$4:$R$1021,18,FALSE))-R816)^2)</f>
        <v/>
      </c>
      <c r="AQ816" s="125" t="inlineStr">
        <is>
          <t>HY700X202</t>
        </is>
      </c>
      <c r="BB816" s="125">
        <f>SQRT(($J$1022-J816)^2)</f>
        <v/>
      </c>
      <c r="BC816" s="125">
        <f>SQRT(($R$1022-R816)^2)</f>
        <v/>
      </c>
      <c r="BD816" s="125" t="inlineStr">
        <is>
          <t>HY700X202</t>
        </is>
      </c>
      <c r="BI816">
        <f>SQRT(($J$1023-J816)^2)</f>
        <v/>
      </c>
      <c r="BJ816">
        <f>SQRT(($R$1023-R816)^2)</f>
        <v/>
      </c>
      <c r="BK816" s="125" t="inlineStr">
        <is>
          <t>HY700X202</t>
        </is>
      </c>
      <c r="BP816">
        <f>SQRT(($J$1024-J816)^2)</f>
        <v/>
      </c>
      <c r="BQ816">
        <f>SQRT(($R$1024-R816)^2)</f>
        <v/>
      </c>
      <c r="BR816" s="125" t="inlineStr">
        <is>
          <t>HY700X202</t>
        </is>
      </c>
      <c r="BW816">
        <f>SQRT(($J$1025-J816)^2)</f>
        <v/>
      </c>
      <c r="BX816">
        <f>SQRT(($R$1025-R816)^2)</f>
        <v/>
      </c>
      <c r="BY816" s="125" t="inlineStr">
        <is>
          <t>HY700X202</t>
        </is>
      </c>
      <c r="CD816">
        <f>SQRT(($J$1026-J816)^2)</f>
        <v/>
      </c>
      <c r="CE816">
        <f>SQRT(($R$1026-R816)^2)</f>
        <v/>
      </c>
      <c r="CF816" s="125" t="inlineStr">
        <is>
          <t>HY700X202</t>
        </is>
      </c>
    </row>
    <row r="817">
      <c r="A817" s="125" t="inlineStr">
        <is>
          <t>HY700X188</t>
        </is>
      </c>
      <c r="B817" s="129" t="inlineStr">
        <is>
          <t>HY</t>
        </is>
      </c>
      <c r="C817" s="125" t="n">
        <v>188</v>
      </c>
      <c r="D817" s="125" t="n">
        <v>700</v>
      </c>
      <c r="E817" s="125" t="n">
        <v>300</v>
      </c>
      <c r="F817" s="125" t="n">
        <v>22</v>
      </c>
      <c r="G817" s="125" t="n">
        <v>16</v>
      </c>
      <c r="H817" s="125" t="n">
        <v>18</v>
      </c>
      <c r="I817" s="125">
        <f>D817-(2*(H817+F817))</f>
        <v/>
      </c>
      <c r="J817" s="125">
        <f>(2*E817/10*F817/10)+((D817-F817-F817)/10*G817/10)+((H817/10+H817/10)^2)-(PI()*H817/10*H817/10)</f>
        <v/>
      </c>
      <c r="K817" s="125">
        <f>((E817-G817)/2)/F817</f>
        <v/>
      </c>
      <c r="L817" s="125">
        <f>I817/G817</f>
        <v/>
      </c>
      <c r="M817" s="125">
        <f>(E817*2+F817*4+((E817-G817)/2-H817)*4+2*PI()*H817+(D817-2*F817-2*H817)*2)/1000</f>
        <v/>
      </c>
      <c r="N817" s="5" t="n">
        <v>192000</v>
      </c>
      <c r="O817" s="5" t="n">
        <v>9930</v>
      </c>
      <c r="P817" s="125" t="n">
        <v>28.3</v>
      </c>
      <c r="Q817" s="125" t="n">
        <v>6.4</v>
      </c>
      <c r="R817" s="5" t="n">
        <v>5490</v>
      </c>
      <c r="S817" s="125" t="n">
        <v>662</v>
      </c>
      <c r="T817" s="5" t="n">
        <v>6290</v>
      </c>
      <c r="U817" s="5" t="n">
        <v>1040</v>
      </c>
      <c r="X817" s="129">
        <f t="array" ref="X817">_xlfn.IFS((D817/F817) &lt;= (640/SQRT($AT$32)), "Compact", L817 &lt;= ($AT$32*(0.79-(0.002*((E817-G817/2)/(2*F817))*SQRT($AT$32)))), "Non-Compact", L817 &gt; ($AT$32*(0.79-(0.002*((E817-G817/2)/(2*F817))*SQRT($AT$32)))), "Slender")</f>
        <v/>
      </c>
      <c r="Y817" s="129">
        <f t="array" ref="Y817">_xlfn.IFS(K817 &lt;= (65/SQRT($AT$32)), "Compact", K817 &lt;= (95/SQRT($AT$32)), "Non-Compact", K817 &gt; (95/SQRT($AT$32)), "Slender")</f>
        <v/>
      </c>
      <c r="Z817" s="125">
        <f>E817/F817</f>
        <v/>
      </c>
      <c r="AA817" s="125">
        <f>D817/G817</f>
        <v/>
      </c>
      <c r="AB817" s="125">
        <f t="array" ref="AB817">_xlfn.IFS(Z817 &lt;= 9, "1", Z817 &lt;= 12, "2", Z817 &lt;= 15, "3", Z817 &gt; 15, "4")</f>
        <v/>
      </c>
      <c r="AC817" s="125">
        <f t="array" ref="AC817">_xlfn.IFS(AA817 &lt;= 200, "1", L817 &lt;= 300, "2", L817 &lt;= 400, "3", L817 &gt; 400, "4")</f>
        <v/>
      </c>
      <c r="AF817" s="129">
        <f>SQRT((((VLOOKUP($AT$4,$A$4:$D$1021,4,FALSE))-D817)^2)+(((VLOOKUP($AT$4,$A$4:$E$1021,5,FALSE))-E817)^2)+(((VLOOKUP($AT$4,$A$4:$N$1021,14,FALSE))-N817)^2)+(((VLOOKUP($AT$4,$A$4:$O$1021,15,FALSE))-O817)^2))</f>
        <v/>
      </c>
      <c r="AG817" s="129" t="n"/>
      <c r="AI817" s="129">
        <f>SQRT((((VLOOKUP($AT$4,$A$4:$D$1021,4,FALSE))-D817)^2)+(((VLOOKUP($AT$4,$A$4:$E$1021,5,FALSE))-E817)^2)+(((VLOOKUP($AT$4,$A$4:$R$1021,18,FALSE))-R817)^2)+(((VLOOKUP($AT$4,$A$4:$S$1021,19,FALSE))-S817)^2))</f>
        <v/>
      </c>
      <c r="AJ817" s="125" t="inlineStr">
        <is>
          <t>HY700X188</t>
        </is>
      </c>
      <c r="AK817" s="125" t="n"/>
      <c r="AL817" s="125" t="n"/>
      <c r="AM817" s="125">
        <f>SQRT(((VLOOKUP($AT$4,$A$4:$J$1021,10,FALSE))-J817)^2)</f>
        <v/>
      </c>
      <c r="AN817" s="125" t="n"/>
      <c r="AO817" s="125" t="n"/>
      <c r="AP817" s="125">
        <f>SQRT(((VLOOKUP($AT$4,$A$4:$R$1021,18,FALSE))-R817)^2)</f>
        <v/>
      </c>
      <c r="AQ817" s="125" t="inlineStr">
        <is>
          <t>HY700X188</t>
        </is>
      </c>
      <c r="BB817" s="125">
        <f>SQRT(($J$1022-J817)^2)</f>
        <v/>
      </c>
      <c r="BC817" s="125">
        <f>SQRT(($R$1022-R817)^2)</f>
        <v/>
      </c>
      <c r="BD817" s="125" t="inlineStr">
        <is>
          <t>HY700X188</t>
        </is>
      </c>
      <c r="BI817">
        <f>SQRT(($J$1023-J817)^2)</f>
        <v/>
      </c>
      <c r="BJ817">
        <f>SQRT(($R$1023-R817)^2)</f>
        <v/>
      </c>
      <c r="BK817" s="125" t="inlineStr">
        <is>
          <t>HY700X188</t>
        </is>
      </c>
      <c r="BP817">
        <f>SQRT(($J$1024-J817)^2)</f>
        <v/>
      </c>
      <c r="BQ817">
        <f>SQRT(($R$1024-R817)^2)</f>
        <v/>
      </c>
      <c r="BR817" s="125" t="inlineStr">
        <is>
          <t>HY700X188</t>
        </is>
      </c>
      <c r="BW817">
        <f>SQRT(($J$1025-J817)^2)</f>
        <v/>
      </c>
      <c r="BX817">
        <f>SQRT(($R$1025-R817)^2)</f>
        <v/>
      </c>
      <c r="BY817" s="125" t="inlineStr">
        <is>
          <t>HY700X188</t>
        </is>
      </c>
      <c r="CD817">
        <f>SQRT(($J$1026-J817)^2)</f>
        <v/>
      </c>
      <c r="CE817">
        <f>SQRT(($R$1026-R817)^2)</f>
        <v/>
      </c>
      <c r="CF817" s="125" t="inlineStr">
        <is>
          <t>HY700X188</t>
        </is>
      </c>
    </row>
    <row r="818">
      <c r="A818" s="125" t="inlineStr">
        <is>
          <t>HY700X223</t>
        </is>
      </c>
      <c r="B818" s="129" t="inlineStr">
        <is>
          <t>HY</t>
        </is>
      </c>
      <c r="C818" s="125" t="n">
        <v>223</v>
      </c>
      <c r="D818" s="125" t="n">
        <v>700</v>
      </c>
      <c r="E818" s="125" t="n">
        <v>300</v>
      </c>
      <c r="F818" s="125" t="n">
        <v>32</v>
      </c>
      <c r="G818" s="125" t="n">
        <v>14</v>
      </c>
      <c r="H818" s="125" t="n">
        <v>18</v>
      </c>
      <c r="I818" s="125">
        <f>D818-(2*(H818+F818))</f>
        <v/>
      </c>
      <c r="J818" s="125">
        <f>(2*E818/10*F818/10)+((D818-F818-F818)/10*G818/10)+((H818/10+H818/10)^2)-(PI()*H818/10*H818/10)</f>
        <v/>
      </c>
      <c r="K818" s="125">
        <f>((E818-G818)/2)/F818</f>
        <v/>
      </c>
      <c r="L818" s="125">
        <f>I818/G818</f>
        <v/>
      </c>
      <c r="M818" s="125">
        <f>(E818*2+F818*4+((E818-G818)/2-H818)*4+2*PI()*H818+(D818-2*F818-2*H818)*2)/1000</f>
        <v/>
      </c>
      <c r="N818" s="5" t="n">
        <v>247000</v>
      </c>
      <c r="O818" s="5" t="n">
        <v>14400</v>
      </c>
      <c r="P818" s="125" t="n">
        <v>29.5</v>
      </c>
      <c r="Q818" s="125" t="n">
        <v>7.1</v>
      </c>
      <c r="R818" s="5" t="n">
        <v>7060</v>
      </c>
      <c r="S818" s="125" t="n">
        <v>961</v>
      </c>
      <c r="T818" s="5" t="n">
        <v>7920</v>
      </c>
      <c r="U818" s="5" t="n">
        <v>1470</v>
      </c>
      <c r="X818" s="129">
        <f t="array" ref="X818">_xlfn.IFS((D818/F818) &lt;= (640/SQRT($AT$32)), "Compact", L818 &lt;= ($AT$32*(0.79-(0.002*((E818-G818/2)/(2*F818))*SQRT($AT$32)))), "Non-Compact", L818 &gt; ($AT$32*(0.79-(0.002*((E818-G818/2)/(2*F818))*SQRT($AT$32)))), "Slender")</f>
        <v/>
      </c>
      <c r="Y818" s="129">
        <f t="array" ref="Y818">_xlfn.IFS(K818 &lt;= (65/SQRT($AT$32)), "Compact", K818 &lt;= (95/SQRT($AT$32)), "Non-Compact", K818 &gt; (95/SQRT($AT$32)), "Slender")</f>
        <v/>
      </c>
      <c r="Z818" s="125">
        <f>E818/F818</f>
        <v/>
      </c>
      <c r="AA818" s="125">
        <f>D818/G818</f>
        <v/>
      </c>
      <c r="AB818" s="125">
        <f t="array" ref="AB818">_xlfn.IFS(Z818 &lt;= 9, "1", Z818 &lt;= 12, "2", Z818 &lt;= 15, "3", Z818 &gt; 15, "4")</f>
        <v/>
      </c>
      <c r="AC818" s="125">
        <f t="array" ref="AC818">_xlfn.IFS(AA818 &lt;= 200, "1", L818 &lt;= 300, "2", L818 &lt;= 400, "3", L818 &gt; 400, "4")</f>
        <v/>
      </c>
      <c r="AF818" s="129">
        <f>SQRT((((VLOOKUP($AT$4,$A$4:$D$1021,4,FALSE))-D818)^2)+(((VLOOKUP($AT$4,$A$4:$E$1021,5,FALSE))-E818)^2)+(((VLOOKUP($AT$4,$A$4:$N$1021,14,FALSE))-N818)^2)+(((VLOOKUP($AT$4,$A$4:$O$1021,15,FALSE))-O818)^2))</f>
        <v/>
      </c>
      <c r="AG818" s="129" t="n"/>
      <c r="AI818" s="129">
        <f>SQRT((((VLOOKUP($AT$4,$A$4:$D$1021,4,FALSE))-D818)^2)+(((VLOOKUP($AT$4,$A$4:$E$1021,5,FALSE))-E818)^2)+(((VLOOKUP($AT$4,$A$4:$R$1021,18,FALSE))-R818)^2)+(((VLOOKUP($AT$4,$A$4:$S$1021,19,FALSE))-S818)^2))</f>
        <v/>
      </c>
      <c r="AJ818" s="125" t="inlineStr">
        <is>
          <t>HY700X223</t>
        </is>
      </c>
      <c r="AK818" s="125" t="n"/>
      <c r="AL818" s="125" t="n"/>
      <c r="AM818" s="125">
        <f>SQRT(((VLOOKUP($AT$4,$A$4:$J$1021,10,FALSE))-J818)^2)</f>
        <v/>
      </c>
      <c r="AN818" s="125" t="n"/>
      <c r="AO818" s="125" t="n"/>
      <c r="AP818" s="125">
        <f>SQRT(((VLOOKUP($AT$4,$A$4:$R$1021,18,FALSE))-R818)^2)</f>
        <v/>
      </c>
      <c r="AQ818" s="125" t="inlineStr">
        <is>
          <t>HY700X223</t>
        </is>
      </c>
      <c r="BB818" s="125">
        <f>SQRT(($J$1022-J818)^2)</f>
        <v/>
      </c>
      <c r="BC818" s="125">
        <f>SQRT(($R$1022-R818)^2)</f>
        <v/>
      </c>
      <c r="BD818" s="125" t="inlineStr">
        <is>
          <t>HY700X223</t>
        </is>
      </c>
      <c r="BI818">
        <f>SQRT(($J$1023-J818)^2)</f>
        <v/>
      </c>
      <c r="BJ818">
        <f>SQRT(($R$1023-R818)^2)</f>
        <v/>
      </c>
      <c r="BK818" s="125" t="inlineStr">
        <is>
          <t>HY700X223</t>
        </is>
      </c>
      <c r="BP818">
        <f>SQRT(($J$1024-J818)^2)</f>
        <v/>
      </c>
      <c r="BQ818">
        <f>SQRT(($R$1024-R818)^2)</f>
        <v/>
      </c>
      <c r="BR818" s="125" t="inlineStr">
        <is>
          <t>HY700X223</t>
        </is>
      </c>
      <c r="BW818">
        <f>SQRT(($J$1025-J818)^2)</f>
        <v/>
      </c>
      <c r="BX818">
        <f>SQRT(($R$1025-R818)^2)</f>
        <v/>
      </c>
      <c r="BY818" s="125" t="inlineStr">
        <is>
          <t>HY700X223</t>
        </is>
      </c>
      <c r="CD818">
        <f>SQRT(($J$1026-J818)^2)</f>
        <v/>
      </c>
      <c r="CE818">
        <f>SQRT(($R$1026-R818)^2)</f>
        <v/>
      </c>
      <c r="CF818" s="125" t="inlineStr">
        <is>
          <t>HY700X223</t>
        </is>
      </c>
    </row>
    <row r="819">
      <c r="A819" s="125" t="inlineStr">
        <is>
          <t>HY700X205</t>
        </is>
      </c>
      <c r="B819" s="129" t="inlineStr">
        <is>
          <t>HY</t>
        </is>
      </c>
      <c r="C819" s="125" t="n">
        <v>205</v>
      </c>
      <c r="D819" s="125" t="n">
        <v>700</v>
      </c>
      <c r="E819" s="125" t="n">
        <v>300</v>
      </c>
      <c r="F819" s="125" t="n">
        <v>28</v>
      </c>
      <c r="G819" s="125" t="n">
        <v>14</v>
      </c>
      <c r="H819" s="125" t="n">
        <v>18</v>
      </c>
      <c r="I819" s="125">
        <f>D819-(2*(H819+F819))</f>
        <v/>
      </c>
      <c r="J819" s="125">
        <f>(2*E819/10*F819/10)+((D819-F819-F819)/10*G819/10)+((H819/10+H819/10)^2)-(PI()*H819/10*H819/10)</f>
        <v/>
      </c>
      <c r="K819" s="125">
        <f>((E819-G819)/2)/F819</f>
        <v/>
      </c>
      <c r="L819" s="125">
        <f>I819/G819</f>
        <v/>
      </c>
      <c r="M819" s="125">
        <f>(E819*2+F819*4+((E819-G819)/2-H819)*4+2*PI()*H819+(D819-2*F819-2*H819)*2)/1000</f>
        <v/>
      </c>
      <c r="N819" s="5" t="n">
        <v>224000</v>
      </c>
      <c r="O819" s="5" t="n">
        <v>12600</v>
      </c>
      <c r="P819" s="125" t="n">
        <v>29.3</v>
      </c>
      <c r="Q819" s="125" t="n">
        <v>7</v>
      </c>
      <c r="R819" s="5" t="n">
        <v>6390</v>
      </c>
      <c r="S819" s="125" t="n">
        <v>841</v>
      </c>
      <c r="T819" s="5" t="n">
        <v>7180</v>
      </c>
      <c r="U819" s="5" t="n">
        <v>1290</v>
      </c>
      <c r="X819" s="129">
        <f t="array" ref="X819">_xlfn.IFS((D819/F819) &lt;= (640/SQRT($AT$32)), "Compact", L819 &lt;= ($AT$32*(0.79-(0.002*((E819-G819/2)/(2*F819))*SQRT($AT$32)))), "Non-Compact", L819 &gt; ($AT$32*(0.79-(0.002*((E819-G819/2)/(2*F819))*SQRT($AT$32)))), "Slender")</f>
        <v/>
      </c>
      <c r="Y819" s="129">
        <f t="array" ref="Y819">_xlfn.IFS(K819 &lt;= (65/SQRT($AT$32)), "Compact", K819 &lt;= (95/SQRT($AT$32)), "Non-Compact", K819 &gt; (95/SQRT($AT$32)), "Slender")</f>
        <v/>
      </c>
      <c r="Z819" s="125">
        <f>E819/F819</f>
        <v/>
      </c>
      <c r="AA819" s="125">
        <f>D819/G819</f>
        <v/>
      </c>
      <c r="AB819" s="125">
        <f t="array" ref="AB819">_xlfn.IFS(Z819 &lt;= 9, "1", Z819 &lt;= 12, "2", Z819 &lt;= 15, "3", Z819 &gt; 15, "4")</f>
        <v/>
      </c>
      <c r="AC819" s="125">
        <f t="array" ref="AC819">_xlfn.IFS(AA819 &lt;= 200, "1", L819 &lt;= 300, "2", L819 &lt;= 400, "3", L819 &gt; 400, "4")</f>
        <v/>
      </c>
      <c r="AF819" s="129">
        <f>SQRT((((VLOOKUP($AT$4,$A$4:$D$1021,4,FALSE))-D819)^2)+(((VLOOKUP($AT$4,$A$4:$E$1021,5,FALSE))-E819)^2)+(((VLOOKUP($AT$4,$A$4:$N$1021,14,FALSE))-N819)^2)+(((VLOOKUP($AT$4,$A$4:$O$1021,15,FALSE))-O819)^2))</f>
        <v/>
      </c>
      <c r="AG819" s="129" t="n"/>
      <c r="AI819" s="129">
        <f>SQRT((((VLOOKUP($AT$4,$A$4:$D$1021,4,FALSE))-D819)^2)+(((VLOOKUP($AT$4,$A$4:$E$1021,5,FALSE))-E819)^2)+(((VLOOKUP($AT$4,$A$4:$R$1021,18,FALSE))-R819)^2)+(((VLOOKUP($AT$4,$A$4:$S$1021,19,FALSE))-S819)^2))</f>
        <v/>
      </c>
      <c r="AJ819" s="125" t="inlineStr">
        <is>
          <t>HY700X205</t>
        </is>
      </c>
      <c r="AK819" s="125" t="n"/>
      <c r="AL819" s="125" t="n"/>
      <c r="AM819" s="125">
        <f>SQRT(((VLOOKUP($AT$4,$A$4:$J$1021,10,FALSE))-J819)^2)</f>
        <v/>
      </c>
      <c r="AN819" s="125" t="n"/>
      <c r="AO819" s="125" t="n"/>
      <c r="AP819" s="125">
        <f>SQRT(((VLOOKUP($AT$4,$A$4:$R$1021,18,FALSE))-R819)^2)</f>
        <v/>
      </c>
      <c r="AQ819" s="125" t="inlineStr">
        <is>
          <t>HY700X205</t>
        </is>
      </c>
      <c r="BB819" s="125">
        <f>SQRT(($J$1022-J819)^2)</f>
        <v/>
      </c>
      <c r="BC819" s="125">
        <f>SQRT(($R$1022-R819)^2)</f>
        <v/>
      </c>
      <c r="BD819" s="125" t="inlineStr">
        <is>
          <t>HY700X205</t>
        </is>
      </c>
      <c r="BI819">
        <f>SQRT(($J$1023-J819)^2)</f>
        <v/>
      </c>
      <c r="BJ819">
        <f>SQRT(($R$1023-R819)^2)</f>
        <v/>
      </c>
      <c r="BK819" s="125" t="inlineStr">
        <is>
          <t>HY700X205</t>
        </is>
      </c>
      <c r="BP819">
        <f>SQRT(($J$1024-J819)^2)</f>
        <v/>
      </c>
      <c r="BQ819">
        <f>SQRT(($R$1024-R819)^2)</f>
        <v/>
      </c>
      <c r="BR819" s="125" t="inlineStr">
        <is>
          <t>HY700X205</t>
        </is>
      </c>
      <c r="BW819">
        <f>SQRT(($J$1025-J819)^2)</f>
        <v/>
      </c>
      <c r="BX819">
        <f>SQRT(($R$1025-R819)^2)</f>
        <v/>
      </c>
      <c r="BY819" s="125" t="inlineStr">
        <is>
          <t>HY700X205</t>
        </is>
      </c>
      <c r="CD819">
        <f>SQRT(($J$1026-J819)^2)</f>
        <v/>
      </c>
      <c r="CE819">
        <f>SQRT(($R$1026-R819)^2)</f>
        <v/>
      </c>
      <c r="CF819" s="125" t="inlineStr">
        <is>
          <t>HY700X205</t>
        </is>
      </c>
    </row>
    <row r="820">
      <c r="A820" s="125" t="inlineStr">
        <is>
          <t>HY700X191</t>
        </is>
      </c>
      <c r="B820" s="129" t="inlineStr">
        <is>
          <t>HY</t>
        </is>
      </c>
      <c r="C820" s="125" t="n">
        <v>191</v>
      </c>
      <c r="D820" s="125" t="n">
        <v>700</v>
      </c>
      <c r="E820" s="125" t="n">
        <v>300</v>
      </c>
      <c r="F820" s="125" t="n">
        <v>25</v>
      </c>
      <c r="G820" s="125" t="n">
        <v>14</v>
      </c>
      <c r="H820" s="125" t="n">
        <v>18</v>
      </c>
      <c r="I820" s="125">
        <f>D820-(2*(H820+F820))</f>
        <v/>
      </c>
      <c r="J820" s="125">
        <f>(2*E820/10*F820/10)+((D820-F820-F820)/10*G820/10)+((H820/10+H820/10)^2)-(PI()*H820/10*H820/10)</f>
        <v/>
      </c>
      <c r="K820" s="125">
        <f>((E820-G820)/2)/F820</f>
        <v/>
      </c>
      <c r="L820" s="125">
        <f>I820/G820</f>
        <v/>
      </c>
      <c r="M820" s="125">
        <f>(E820*2+F820*4+((E820-G820)/2-H820)*4+2*PI()*H820+(D820-2*F820-2*H820)*2)/1000</f>
        <v/>
      </c>
      <c r="N820" s="5" t="n">
        <v>206000</v>
      </c>
      <c r="O820" s="5" t="n">
        <v>11300</v>
      </c>
      <c r="P820" s="125" t="n">
        <v>29.1</v>
      </c>
      <c r="Q820" s="125" t="n">
        <v>6.8</v>
      </c>
      <c r="R820" s="5" t="n">
        <v>5880</v>
      </c>
      <c r="S820" s="125" t="n">
        <v>751</v>
      </c>
      <c r="T820" s="5" t="n">
        <v>6630</v>
      </c>
      <c r="U820" s="5" t="n">
        <v>1160</v>
      </c>
      <c r="X820" s="129">
        <f t="array" ref="X820">_xlfn.IFS((D820/F820) &lt;= (640/SQRT($AT$32)), "Compact", L820 &lt;= ($AT$32*(0.79-(0.002*((E820-G820/2)/(2*F820))*SQRT($AT$32)))), "Non-Compact", L820 &gt; ($AT$32*(0.79-(0.002*((E820-G820/2)/(2*F820))*SQRT($AT$32)))), "Slender")</f>
        <v/>
      </c>
      <c r="Y820" s="129">
        <f t="array" ref="Y820">_xlfn.IFS(K820 &lt;= (65/SQRT($AT$32)), "Compact", K820 &lt;= (95/SQRT($AT$32)), "Non-Compact", K820 &gt; (95/SQRT($AT$32)), "Slender")</f>
        <v/>
      </c>
      <c r="Z820" s="125">
        <f>E820/F820</f>
        <v/>
      </c>
      <c r="AA820" s="125">
        <f>D820/G820</f>
        <v/>
      </c>
      <c r="AB820" s="125">
        <f t="array" ref="AB820">_xlfn.IFS(Z820 &lt;= 9, "1", Z820 &lt;= 12, "2", Z820 &lt;= 15, "3", Z820 &gt; 15, "4")</f>
        <v/>
      </c>
      <c r="AC820" s="125">
        <f t="array" ref="AC820">_xlfn.IFS(AA820 &lt;= 200, "1", L820 &lt;= 300, "2", L820 &lt;= 400, "3", L820 &gt; 400, "4")</f>
        <v/>
      </c>
      <c r="AF820" s="129">
        <f>SQRT((((VLOOKUP($AT$4,$A$4:$D$1021,4,FALSE))-D820)^2)+(((VLOOKUP($AT$4,$A$4:$E$1021,5,FALSE))-E820)^2)+(((VLOOKUP($AT$4,$A$4:$N$1021,14,FALSE))-N820)^2)+(((VLOOKUP($AT$4,$A$4:$O$1021,15,FALSE))-O820)^2))</f>
        <v/>
      </c>
      <c r="AG820" s="129" t="n"/>
      <c r="AI820" s="129">
        <f>SQRT((((VLOOKUP($AT$4,$A$4:$D$1021,4,FALSE))-D820)^2)+(((VLOOKUP($AT$4,$A$4:$E$1021,5,FALSE))-E820)^2)+(((VLOOKUP($AT$4,$A$4:$R$1021,18,FALSE))-R820)^2)+(((VLOOKUP($AT$4,$A$4:$S$1021,19,FALSE))-S820)^2))</f>
        <v/>
      </c>
      <c r="AJ820" s="125" t="inlineStr">
        <is>
          <t>HY700X191</t>
        </is>
      </c>
      <c r="AK820" s="125" t="n"/>
      <c r="AL820" s="125" t="n"/>
      <c r="AM820" s="125">
        <f>SQRT(((VLOOKUP($AT$4,$A$4:$J$1021,10,FALSE))-J820)^2)</f>
        <v/>
      </c>
      <c r="AN820" s="125" t="n"/>
      <c r="AO820" s="125" t="n"/>
      <c r="AP820" s="125">
        <f>SQRT(((VLOOKUP($AT$4,$A$4:$R$1021,18,FALSE))-R820)^2)</f>
        <v/>
      </c>
      <c r="AQ820" s="125" t="inlineStr">
        <is>
          <t>HY700X191</t>
        </is>
      </c>
      <c r="BB820" s="125">
        <f>SQRT(($J$1022-J820)^2)</f>
        <v/>
      </c>
      <c r="BC820" s="125">
        <f>SQRT(($R$1022-R820)^2)</f>
        <v/>
      </c>
      <c r="BD820" s="125" t="inlineStr">
        <is>
          <t>HY700X191</t>
        </is>
      </c>
      <c r="BI820">
        <f>SQRT(($J$1023-J820)^2)</f>
        <v/>
      </c>
      <c r="BJ820">
        <f>SQRT(($R$1023-R820)^2)</f>
        <v/>
      </c>
      <c r="BK820" s="125" t="inlineStr">
        <is>
          <t>HY700X191</t>
        </is>
      </c>
      <c r="BP820">
        <f>SQRT(($J$1024-J820)^2)</f>
        <v/>
      </c>
      <c r="BQ820">
        <f>SQRT(($R$1024-R820)^2)</f>
        <v/>
      </c>
      <c r="BR820" s="125" t="inlineStr">
        <is>
          <t>HY700X191</t>
        </is>
      </c>
      <c r="BW820">
        <f>SQRT(($J$1025-J820)^2)</f>
        <v/>
      </c>
      <c r="BX820">
        <f>SQRT(($R$1025-R820)^2)</f>
        <v/>
      </c>
      <c r="BY820" s="125" t="inlineStr">
        <is>
          <t>HY700X191</t>
        </is>
      </c>
      <c r="CD820">
        <f>SQRT(($J$1026-J820)^2)</f>
        <v/>
      </c>
      <c r="CE820">
        <f>SQRT(($R$1026-R820)^2)</f>
        <v/>
      </c>
      <c r="CF820" s="125" t="inlineStr">
        <is>
          <t>HY700X191</t>
        </is>
      </c>
    </row>
    <row r="821">
      <c r="A821" s="125" t="inlineStr">
        <is>
          <t>HY700X178</t>
        </is>
      </c>
      <c r="B821" s="129" t="inlineStr">
        <is>
          <t>HY</t>
        </is>
      </c>
      <c r="C821" s="125" t="n">
        <v>178</v>
      </c>
      <c r="D821" s="125" t="n">
        <v>700</v>
      </c>
      <c r="E821" s="125" t="n">
        <v>300</v>
      </c>
      <c r="F821" s="125" t="n">
        <v>22</v>
      </c>
      <c r="G821" s="125" t="n">
        <v>14</v>
      </c>
      <c r="H821" s="125" t="n">
        <v>18</v>
      </c>
      <c r="I821" s="125">
        <f>D821-(2*(H821+F821))</f>
        <v/>
      </c>
      <c r="J821" s="125">
        <f>(2*E821/10*F821/10)+((D821-F821-F821)/10*G821/10)+((H821/10+H821/10)^2)-(PI()*H821/10*H821/10)</f>
        <v/>
      </c>
      <c r="K821" s="125">
        <f>((E821-G821)/2)/F821</f>
        <v/>
      </c>
      <c r="L821" s="125">
        <f>I821/G821</f>
        <v/>
      </c>
      <c r="M821" s="125">
        <f>(E821*2+F821*4+((E821-G821)/2-H821)*4+2*PI()*H821+(D821-2*F821-2*H821)*2)/1000</f>
        <v/>
      </c>
      <c r="N821" s="5" t="n">
        <v>188000</v>
      </c>
      <c r="O821" s="5" t="n">
        <v>9920</v>
      </c>
      <c r="P821" s="125" t="n">
        <v>28.8</v>
      </c>
      <c r="Q821" s="125" t="n">
        <v>6.6</v>
      </c>
      <c r="R821" s="5" t="n">
        <v>5360</v>
      </c>
      <c r="S821" s="125" t="n">
        <v>661</v>
      </c>
      <c r="T821" s="5" t="n">
        <v>6070</v>
      </c>
      <c r="U821" s="5" t="n">
        <v>1030</v>
      </c>
      <c r="X821" s="129">
        <f t="array" ref="X821">_xlfn.IFS((D821/F821) &lt;= (640/SQRT($AT$32)), "Compact", L821 &lt;= ($AT$32*(0.79-(0.002*((E821-G821/2)/(2*F821))*SQRT($AT$32)))), "Non-Compact", L821 &gt; ($AT$32*(0.79-(0.002*((E821-G821/2)/(2*F821))*SQRT($AT$32)))), "Slender")</f>
        <v/>
      </c>
      <c r="Y821" s="129">
        <f t="array" ref="Y821">_xlfn.IFS(K821 &lt;= (65/SQRT($AT$32)), "Compact", K821 &lt;= (95/SQRT($AT$32)), "Non-Compact", K821 &gt; (95/SQRT($AT$32)), "Slender")</f>
        <v/>
      </c>
      <c r="Z821" s="125">
        <f>E821/F821</f>
        <v/>
      </c>
      <c r="AA821" s="125">
        <f>D821/G821</f>
        <v/>
      </c>
      <c r="AB821" s="125">
        <f t="array" ref="AB821">_xlfn.IFS(Z821 &lt;= 9, "1", Z821 &lt;= 12, "2", Z821 &lt;= 15, "3", Z821 &gt; 15, "4")</f>
        <v/>
      </c>
      <c r="AC821" s="125">
        <f t="array" ref="AC821">_xlfn.IFS(AA821 &lt;= 200, "1", L821 &lt;= 300, "2", L821 &lt;= 400, "3", L821 &gt; 400, "4")</f>
        <v/>
      </c>
      <c r="AF821" s="129">
        <f>SQRT((((VLOOKUP($AT$4,$A$4:$D$1021,4,FALSE))-D821)^2)+(((VLOOKUP($AT$4,$A$4:$E$1021,5,FALSE))-E821)^2)+(((VLOOKUP($AT$4,$A$4:$N$1021,14,FALSE))-N821)^2)+(((VLOOKUP($AT$4,$A$4:$O$1021,15,FALSE))-O821)^2))</f>
        <v/>
      </c>
      <c r="AG821" s="129" t="n"/>
      <c r="AI821" s="129">
        <f>SQRT((((VLOOKUP($AT$4,$A$4:$D$1021,4,FALSE))-D821)^2)+(((VLOOKUP($AT$4,$A$4:$E$1021,5,FALSE))-E821)^2)+(((VLOOKUP($AT$4,$A$4:$R$1021,18,FALSE))-R821)^2)+(((VLOOKUP($AT$4,$A$4:$S$1021,19,FALSE))-S821)^2))</f>
        <v/>
      </c>
      <c r="AJ821" s="125" t="inlineStr">
        <is>
          <t>HY700X178</t>
        </is>
      </c>
      <c r="AK821" s="125" t="n"/>
      <c r="AL821" s="125" t="n"/>
      <c r="AM821" s="125">
        <f>SQRT(((VLOOKUP($AT$4,$A$4:$J$1021,10,FALSE))-J821)^2)</f>
        <v/>
      </c>
      <c r="AN821" s="125" t="n"/>
      <c r="AO821" s="125" t="n"/>
      <c r="AP821" s="125">
        <f>SQRT(((VLOOKUP($AT$4,$A$4:$R$1021,18,FALSE))-R821)^2)</f>
        <v/>
      </c>
      <c r="AQ821" s="125" t="inlineStr">
        <is>
          <t>HY700X178</t>
        </is>
      </c>
      <c r="BB821" s="125">
        <f>SQRT(($J$1022-J821)^2)</f>
        <v/>
      </c>
      <c r="BC821" s="125">
        <f>SQRT(($R$1022-R821)^2)</f>
        <v/>
      </c>
      <c r="BD821" s="125" t="inlineStr">
        <is>
          <t>HY700X178</t>
        </is>
      </c>
      <c r="BI821">
        <f>SQRT(($J$1023-J821)^2)</f>
        <v/>
      </c>
      <c r="BJ821">
        <f>SQRT(($R$1023-R821)^2)</f>
        <v/>
      </c>
      <c r="BK821" s="125" t="inlineStr">
        <is>
          <t>HY700X178</t>
        </is>
      </c>
      <c r="BP821">
        <f>SQRT(($J$1024-J821)^2)</f>
        <v/>
      </c>
      <c r="BQ821">
        <f>SQRT(($R$1024-R821)^2)</f>
        <v/>
      </c>
      <c r="BR821" s="125" t="inlineStr">
        <is>
          <t>HY700X178</t>
        </is>
      </c>
      <c r="BW821">
        <f>SQRT(($J$1025-J821)^2)</f>
        <v/>
      </c>
      <c r="BX821">
        <f>SQRT(($R$1025-R821)^2)</f>
        <v/>
      </c>
      <c r="BY821" s="125" t="inlineStr">
        <is>
          <t>HY700X178</t>
        </is>
      </c>
      <c r="CD821">
        <f>SQRT(($J$1026-J821)^2)</f>
        <v/>
      </c>
      <c r="CE821">
        <f>SQRT(($R$1026-R821)^2)</f>
        <v/>
      </c>
      <c r="CF821" s="125" t="inlineStr">
        <is>
          <t>HY700X178</t>
        </is>
      </c>
    </row>
    <row r="822">
      <c r="A822" s="125" t="inlineStr">
        <is>
          <t>HY700X164</t>
        </is>
      </c>
      <c r="B822" s="129" t="inlineStr">
        <is>
          <t>HY</t>
        </is>
      </c>
      <c r="C822" s="125" t="n">
        <v>164</v>
      </c>
      <c r="D822" s="125" t="n">
        <v>700</v>
      </c>
      <c r="E822" s="125" t="n">
        <v>300</v>
      </c>
      <c r="F822" s="125" t="n">
        <v>19</v>
      </c>
      <c r="G822" s="125" t="n">
        <v>14</v>
      </c>
      <c r="H822" s="125" t="n">
        <v>18</v>
      </c>
      <c r="I822" s="125">
        <f>D822-(2*(H822+F822))</f>
        <v/>
      </c>
      <c r="J822" s="125">
        <f>(2*E822/10*F822/10)+((D822-F822-F822)/10*G822/10)+((H822/10+H822/10)^2)-(PI()*H822/10*H822/10)</f>
        <v/>
      </c>
      <c r="K822" s="125">
        <f>((E822-G822)/2)/F822</f>
        <v/>
      </c>
      <c r="L822" s="125">
        <f>I822/G822</f>
        <v/>
      </c>
      <c r="M822" s="125">
        <f>(E822*2+F822*4+((E822-G822)/2-H822)*4+2*PI()*H822+(D822-2*F822-2*H822)*2)/1000</f>
        <v/>
      </c>
      <c r="N822" s="5" t="n">
        <v>169000</v>
      </c>
      <c r="O822" s="5" t="n">
        <v>8570</v>
      </c>
      <c r="P822" s="125" t="n">
        <v>28.4</v>
      </c>
      <c r="Q822" s="125" t="n">
        <v>6.4</v>
      </c>
      <c r="R822" s="5" t="n">
        <v>4830</v>
      </c>
      <c r="S822" s="125" t="n">
        <v>571</v>
      </c>
      <c r="T822" s="5" t="n">
        <v>5510</v>
      </c>
      <c r="U822" s="125" t="n">
        <v>891</v>
      </c>
      <c r="X822" s="129">
        <f t="array" ref="X822">_xlfn.IFS((D822/F822) &lt;= (640/SQRT($AT$32)), "Compact", L822 &lt;= ($AT$32*(0.79-(0.002*((E822-G822/2)/(2*F822))*SQRT($AT$32)))), "Non-Compact", L822 &gt; ($AT$32*(0.79-(0.002*((E822-G822/2)/(2*F822))*SQRT($AT$32)))), "Slender")</f>
        <v/>
      </c>
      <c r="Y822" s="129">
        <f t="array" ref="Y822">_xlfn.IFS(K822 &lt;= (65/SQRT($AT$32)), "Compact", K822 &lt;= (95/SQRT($AT$32)), "Non-Compact", K822 &gt; (95/SQRT($AT$32)), "Slender")</f>
        <v/>
      </c>
      <c r="Z822" s="125">
        <f>E822/F822</f>
        <v/>
      </c>
      <c r="AA822" s="125">
        <f>D822/G822</f>
        <v/>
      </c>
      <c r="AB822" s="125">
        <f t="array" ref="AB822">_xlfn.IFS(Z822 &lt;= 9, "1", Z822 &lt;= 12, "2", Z822 &lt;= 15, "3", Z822 &gt; 15, "4")</f>
        <v/>
      </c>
      <c r="AC822" s="125">
        <f t="array" ref="AC822">_xlfn.IFS(AA822 &lt;= 200, "1", L822 &lt;= 300, "2", L822 &lt;= 400, "3", L822 &gt; 400, "4")</f>
        <v/>
      </c>
      <c r="AF822" s="129">
        <f>SQRT((((VLOOKUP($AT$4,$A$4:$D$1021,4,FALSE))-D822)^2)+(((VLOOKUP($AT$4,$A$4:$E$1021,5,FALSE))-E822)^2)+(((VLOOKUP($AT$4,$A$4:$N$1021,14,FALSE))-N822)^2)+(((VLOOKUP($AT$4,$A$4:$O$1021,15,FALSE))-O822)^2))</f>
        <v/>
      </c>
      <c r="AG822" s="129" t="n"/>
      <c r="AI822" s="129">
        <f>SQRT((((VLOOKUP($AT$4,$A$4:$D$1021,4,FALSE))-D822)^2)+(((VLOOKUP($AT$4,$A$4:$E$1021,5,FALSE))-E822)^2)+(((VLOOKUP($AT$4,$A$4:$R$1021,18,FALSE))-R822)^2)+(((VLOOKUP($AT$4,$A$4:$S$1021,19,FALSE))-S822)^2))</f>
        <v/>
      </c>
      <c r="AJ822" s="125" t="inlineStr">
        <is>
          <t>HY700X164</t>
        </is>
      </c>
      <c r="AK822" s="125" t="n"/>
      <c r="AL822" s="125" t="n"/>
      <c r="AM822" s="125">
        <f>SQRT(((VLOOKUP($AT$4,$A$4:$J$1021,10,FALSE))-J822)^2)</f>
        <v/>
      </c>
      <c r="AN822" s="125" t="n"/>
      <c r="AO822" s="125" t="n"/>
      <c r="AP822" s="125">
        <f>SQRT(((VLOOKUP($AT$4,$A$4:$R$1021,18,FALSE))-R822)^2)</f>
        <v/>
      </c>
      <c r="AQ822" s="125" t="inlineStr">
        <is>
          <t>HY700X164</t>
        </is>
      </c>
      <c r="BB822" s="125">
        <f>SQRT(($J$1022-J822)^2)</f>
        <v/>
      </c>
      <c r="BC822" s="125">
        <f>SQRT(($R$1022-R822)^2)</f>
        <v/>
      </c>
      <c r="BD822" s="125" t="inlineStr">
        <is>
          <t>HY700X164</t>
        </is>
      </c>
      <c r="BI822">
        <f>SQRT(($J$1023-J822)^2)</f>
        <v/>
      </c>
      <c r="BJ822">
        <f>SQRT(($R$1023-R822)^2)</f>
        <v/>
      </c>
      <c r="BK822" s="125" t="inlineStr">
        <is>
          <t>HY700X164</t>
        </is>
      </c>
      <c r="BP822">
        <f>SQRT(($J$1024-J822)^2)</f>
        <v/>
      </c>
      <c r="BQ822">
        <f>SQRT(($R$1024-R822)^2)</f>
        <v/>
      </c>
      <c r="BR822" s="125" t="inlineStr">
        <is>
          <t>HY700X164</t>
        </is>
      </c>
      <c r="BW822">
        <f>SQRT(($J$1025-J822)^2)</f>
        <v/>
      </c>
      <c r="BX822">
        <f>SQRT(($R$1025-R822)^2)</f>
        <v/>
      </c>
      <c r="BY822" s="125" t="inlineStr">
        <is>
          <t>HY700X164</t>
        </is>
      </c>
      <c r="CD822">
        <f>SQRT(($J$1026-J822)^2)</f>
        <v/>
      </c>
      <c r="CE822">
        <f>SQRT(($R$1026-R822)^2)</f>
        <v/>
      </c>
      <c r="CF822" s="125" t="inlineStr">
        <is>
          <t>HY700X164</t>
        </is>
      </c>
    </row>
    <row r="823">
      <c r="A823" s="125" t="inlineStr">
        <is>
          <t>HY700X195</t>
        </is>
      </c>
      <c r="B823" s="129" t="inlineStr">
        <is>
          <t>HY</t>
        </is>
      </c>
      <c r="C823" s="125" t="n">
        <v>195</v>
      </c>
      <c r="D823" s="125" t="n">
        <v>700</v>
      </c>
      <c r="E823" s="125" t="n">
        <v>300</v>
      </c>
      <c r="F823" s="125" t="n">
        <v>28</v>
      </c>
      <c r="G823" s="125" t="n">
        <v>12</v>
      </c>
      <c r="H823" s="125" t="n">
        <v>18</v>
      </c>
      <c r="I823" s="125">
        <f>D823-(2*(H823+F823))</f>
        <v/>
      </c>
      <c r="J823" s="125">
        <f>(2*E823/10*F823/10)+((D823-F823-F823)/10*G823/10)+((H823/10+H823/10)^2)-(PI()*H823/10*H823/10)</f>
        <v/>
      </c>
      <c r="K823" s="125">
        <f>((E823-G823)/2)/F823</f>
        <v/>
      </c>
      <c r="L823" s="125">
        <f>I823/G823</f>
        <v/>
      </c>
      <c r="M823" s="125">
        <f>(E823*2+F823*4+((E823-G823)/2-H823)*4+2*PI()*H823+(D823-2*F823-2*H823)*2)/1000</f>
        <v/>
      </c>
      <c r="N823" s="5" t="n">
        <v>219000</v>
      </c>
      <c r="O823" s="5" t="n">
        <v>12600</v>
      </c>
      <c r="P823" s="125" t="n">
        <v>29.7</v>
      </c>
      <c r="Q823" s="125" t="n">
        <v>7.1</v>
      </c>
      <c r="R823" s="5" t="n">
        <v>6270</v>
      </c>
      <c r="S823" s="125" t="n">
        <v>841</v>
      </c>
      <c r="T823" s="5" t="n">
        <v>6980</v>
      </c>
      <c r="U823" s="5" t="n">
        <v>1290</v>
      </c>
      <c r="X823" s="129">
        <f t="array" ref="X823">_xlfn.IFS((D823/F823) &lt;= (640/SQRT($AT$32)), "Compact", L823 &lt;= ($AT$32*(0.79-(0.002*((E823-G823/2)/(2*F823))*SQRT($AT$32)))), "Non-Compact", L823 &gt; ($AT$32*(0.79-(0.002*((E823-G823/2)/(2*F823))*SQRT($AT$32)))), "Slender")</f>
        <v/>
      </c>
      <c r="Y823" s="129">
        <f t="array" ref="Y823">_xlfn.IFS(K823 &lt;= (65/SQRT($AT$32)), "Compact", K823 &lt;= (95/SQRT($AT$32)), "Non-Compact", K823 &gt; (95/SQRT($AT$32)), "Slender")</f>
        <v/>
      </c>
      <c r="Z823" s="125">
        <f>E823/F823</f>
        <v/>
      </c>
      <c r="AA823" s="125">
        <f>D823/G823</f>
        <v/>
      </c>
      <c r="AB823" s="125">
        <f t="array" ref="AB823">_xlfn.IFS(Z823 &lt;= 9, "1", Z823 &lt;= 12, "2", Z823 &lt;= 15, "3", Z823 &gt; 15, "4")</f>
        <v/>
      </c>
      <c r="AC823" s="125">
        <f t="array" ref="AC823">_xlfn.IFS(AA823 &lt;= 200, "1", L823 &lt;= 300, "2", L823 &lt;= 400, "3", L823 &gt; 400, "4")</f>
        <v/>
      </c>
      <c r="AF823" s="129">
        <f>SQRT((((VLOOKUP($AT$4,$A$4:$D$1021,4,FALSE))-D823)^2)+(((VLOOKUP($AT$4,$A$4:$E$1021,5,FALSE))-E823)^2)+(((VLOOKUP($AT$4,$A$4:$N$1021,14,FALSE))-N823)^2)+(((VLOOKUP($AT$4,$A$4:$O$1021,15,FALSE))-O823)^2))</f>
        <v/>
      </c>
      <c r="AG823" s="129" t="n"/>
      <c r="AI823" s="129">
        <f>SQRT((((VLOOKUP($AT$4,$A$4:$D$1021,4,FALSE))-D823)^2)+(((VLOOKUP($AT$4,$A$4:$E$1021,5,FALSE))-E823)^2)+(((VLOOKUP($AT$4,$A$4:$R$1021,18,FALSE))-R823)^2)+(((VLOOKUP($AT$4,$A$4:$S$1021,19,FALSE))-S823)^2))</f>
        <v/>
      </c>
      <c r="AJ823" s="125" t="inlineStr">
        <is>
          <t>HY700X195</t>
        </is>
      </c>
      <c r="AK823" s="125" t="n"/>
      <c r="AL823" s="125" t="n"/>
      <c r="AM823" s="125">
        <f>SQRT(((VLOOKUP($AT$4,$A$4:$J$1021,10,FALSE))-J823)^2)</f>
        <v/>
      </c>
      <c r="AN823" s="125" t="n"/>
      <c r="AO823" s="125" t="n"/>
      <c r="AP823" s="125">
        <f>SQRT(((VLOOKUP($AT$4,$A$4:$R$1021,18,FALSE))-R823)^2)</f>
        <v/>
      </c>
      <c r="AQ823" s="125" t="inlineStr">
        <is>
          <t>HY700X195</t>
        </is>
      </c>
      <c r="BB823" s="125">
        <f>SQRT(($J$1022-J823)^2)</f>
        <v/>
      </c>
      <c r="BC823" s="125">
        <f>SQRT(($R$1022-R823)^2)</f>
        <v/>
      </c>
      <c r="BD823" s="125" t="inlineStr">
        <is>
          <t>HY700X195</t>
        </is>
      </c>
      <c r="BI823">
        <f>SQRT(($J$1023-J823)^2)</f>
        <v/>
      </c>
      <c r="BJ823">
        <f>SQRT(($R$1023-R823)^2)</f>
        <v/>
      </c>
      <c r="BK823" s="125" t="inlineStr">
        <is>
          <t>HY700X195</t>
        </is>
      </c>
      <c r="BP823">
        <f>SQRT(($J$1024-J823)^2)</f>
        <v/>
      </c>
      <c r="BQ823">
        <f>SQRT(($R$1024-R823)^2)</f>
        <v/>
      </c>
      <c r="BR823" s="125" t="inlineStr">
        <is>
          <t>HY700X195</t>
        </is>
      </c>
      <c r="BW823">
        <f>SQRT(($J$1025-J823)^2)</f>
        <v/>
      </c>
      <c r="BX823">
        <f>SQRT(($R$1025-R823)^2)</f>
        <v/>
      </c>
      <c r="BY823" s="125" t="inlineStr">
        <is>
          <t>HY700X195</t>
        </is>
      </c>
      <c r="CD823">
        <f>SQRT(($J$1026-J823)^2)</f>
        <v/>
      </c>
      <c r="CE823">
        <f>SQRT(($R$1026-R823)^2)</f>
        <v/>
      </c>
      <c r="CF823" s="125" t="inlineStr">
        <is>
          <t>HY700X195</t>
        </is>
      </c>
    </row>
    <row r="824">
      <c r="A824" s="125" t="inlineStr">
        <is>
          <t>HY700X181</t>
        </is>
      </c>
      <c r="B824" s="129" t="inlineStr">
        <is>
          <t>HY</t>
        </is>
      </c>
      <c r="C824" s="125" t="n">
        <v>181</v>
      </c>
      <c r="D824" s="125" t="n">
        <v>700</v>
      </c>
      <c r="E824" s="125" t="n">
        <v>300</v>
      </c>
      <c r="F824" s="125" t="n">
        <v>25</v>
      </c>
      <c r="G824" s="125" t="n">
        <v>12</v>
      </c>
      <c r="H824" s="125" t="n">
        <v>18</v>
      </c>
      <c r="I824" s="125">
        <f>D824-(2*(H824+F824))</f>
        <v/>
      </c>
      <c r="J824" s="125">
        <f>(2*E824/10*F824/10)+((D824-F824-F824)/10*G824/10)+((H824/10+H824/10)^2)-(PI()*H824/10*H824/10)</f>
        <v/>
      </c>
      <c r="K824" s="125">
        <f>((E824-G824)/2)/F824</f>
        <v/>
      </c>
      <c r="L824" s="125">
        <f>I824/G824</f>
        <v/>
      </c>
      <c r="M824" s="125">
        <f>(E824*2+F824*4+((E824-G824)/2-H824)*4+2*PI()*H824+(D824-2*F824-2*H824)*2)/1000</f>
        <v/>
      </c>
      <c r="N824" s="5" t="n">
        <v>201000</v>
      </c>
      <c r="O824" s="5" t="n">
        <v>11300</v>
      </c>
      <c r="P824" s="125" t="n">
        <v>29.5</v>
      </c>
      <c r="Q824" s="125" t="n">
        <v>7</v>
      </c>
      <c r="R824" s="5" t="n">
        <v>5750</v>
      </c>
      <c r="S824" s="125" t="n">
        <v>751</v>
      </c>
      <c r="T824" s="5" t="n">
        <v>6420</v>
      </c>
      <c r="U824" s="5" t="n">
        <v>1150</v>
      </c>
      <c r="X824" s="129">
        <f t="array" ref="X824">_xlfn.IFS((D824/F824) &lt;= (640/SQRT($AT$32)), "Compact", L824 &lt;= ($AT$32*(0.79-(0.002*((E824-G824/2)/(2*F824))*SQRT($AT$32)))), "Non-Compact", L824 &gt; ($AT$32*(0.79-(0.002*((E824-G824/2)/(2*F824))*SQRT($AT$32)))), "Slender")</f>
        <v/>
      </c>
      <c r="Y824" s="129">
        <f t="array" ref="Y824">_xlfn.IFS(K824 &lt;= (65/SQRT($AT$32)), "Compact", K824 &lt;= (95/SQRT($AT$32)), "Non-Compact", K824 &gt; (95/SQRT($AT$32)), "Slender")</f>
        <v/>
      </c>
      <c r="Z824" s="125">
        <f>E824/F824</f>
        <v/>
      </c>
      <c r="AA824" s="125">
        <f>D824/G824</f>
        <v/>
      </c>
      <c r="AB824" s="125">
        <f t="array" ref="AB824">_xlfn.IFS(Z824 &lt;= 9, "1", Z824 &lt;= 12, "2", Z824 &lt;= 15, "3", Z824 &gt; 15, "4")</f>
        <v/>
      </c>
      <c r="AC824" s="125">
        <f t="array" ref="AC824">_xlfn.IFS(AA824 &lt;= 200, "1", L824 &lt;= 300, "2", L824 &lt;= 400, "3", L824 &gt; 400, "4")</f>
        <v/>
      </c>
      <c r="AF824" s="129">
        <f>SQRT((((VLOOKUP($AT$4,$A$4:$D$1021,4,FALSE))-D824)^2)+(((VLOOKUP($AT$4,$A$4:$E$1021,5,FALSE))-E824)^2)+(((VLOOKUP($AT$4,$A$4:$N$1021,14,FALSE))-N824)^2)+(((VLOOKUP($AT$4,$A$4:$O$1021,15,FALSE))-O824)^2))</f>
        <v/>
      </c>
      <c r="AG824" s="129" t="n"/>
      <c r="AI824" s="129">
        <f>SQRT((((VLOOKUP($AT$4,$A$4:$D$1021,4,FALSE))-D824)^2)+(((VLOOKUP($AT$4,$A$4:$E$1021,5,FALSE))-E824)^2)+(((VLOOKUP($AT$4,$A$4:$R$1021,18,FALSE))-R824)^2)+(((VLOOKUP($AT$4,$A$4:$S$1021,19,FALSE))-S824)^2))</f>
        <v/>
      </c>
      <c r="AJ824" s="125" t="inlineStr">
        <is>
          <t>HY700X181</t>
        </is>
      </c>
      <c r="AK824" s="125" t="n"/>
      <c r="AL824" s="125" t="n"/>
      <c r="AM824" s="125">
        <f>SQRT(((VLOOKUP($AT$4,$A$4:$J$1021,10,FALSE))-J824)^2)</f>
        <v/>
      </c>
      <c r="AN824" s="125" t="n"/>
      <c r="AO824" s="125" t="n"/>
      <c r="AP824" s="125">
        <f>SQRT(((VLOOKUP($AT$4,$A$4:$R$1021,18,FALSE))-R824)^2)</f>
        <v/>
      </c>
      <c r="AQ824" s="125" t="inlineStr">
        <is>
          <t>HY700X181</t>
        </is>
      </c>
      <c r="BB824" s="125">
        <f>SQRT(($J$1022-J824)^2)</f>
        <v/>
      </c>
      <c r="BC824" s="125">
        <f>SQRT(($R$1022-R824)^2)</f>
        <v/>
      </c>
      <c r="BD824" s="125" t="inlineStr">
        <is>
          <t>HY700X181</t>
        </is>
      </c>
      <c r="BI824">
        <f>SQRT(($J$1023-J824)^2)</f>
        <v/>
      </c>
      <c r="BJ824">
        <f>SQRT(($R$1023-R824)^2)</f>
        <v/>
      </c>
      <c r="BK824" s="125" t="inlineStr">
        <is>
          <t>HY700X181</t>
        </is>
      </c>
      <c r="BP824">
        <f>SQRT(($J$1024-J824)^2)</f>
        <v/>
      </c>
      <c r="BQ824">
        <f>SQRT(($R$1024-R824)^2)</f>
        <v/>
      </c>
      <c r="BR824" s="125" t="inlineStr">
        <is>
          <t>HY700X181</t>
        </is>
      </c>
      <c r="BW824">
        <f>SQRT(($J$1025-J824)^2)</f>
        <v/>
      </c>
      <c r="BX824">
        <f>SQRT(($R$1025-R824)^2)</f>
        <v/>
      </c>
      <c r="BY824" s="125" t="inlineStr">
        <is>
          <t>HY700X181</t>
        </is>
      </c>
      <c r="CD824">
        <f>SQRT(($J$1026-J824)^2)</f>
        <v/>
      </c>
      <c r="CE824">
        <f>SQRT(($R$1026-R824)^2)</f>
        <v/>
      </c>
      <c r="CF824" s="125" t="inlineStr">
        <is>
          <t>HY700X181</t>
        </is>
      </c>
    </row>
    <row r="825">
      <c r="A825" s="125" t="inlineStr">
        <is>
          <t>HY700X168</t>
        </is>
      </c>
      <c r="B825" s="129" t="inlineStr">
        <is>
          <t>HY</t>
        </is>
      </c>
      <c r="C825" s="125" t="n">
        <v>168</v>
      </c>
      <c r="D825" s="125" t="n">
        <v>700</v>
      </c>
      <c r="E825" s="125" t="n">
        <v>300</v>
      </c>
      <c r="F825" s="125" t="n">
        <v>22</v>
      </c>
      <c r="G825" s="125" t="n">
        <v>12</v>
      </c>
      <c r="H825" s="125" t="n">
        <v>18</v>
      </c>
      <c r="I825" s="125">
        <f>D825-(2*(H825+F825))</f>
        <v/>
      </c>
      <c r="J825" s="125">
        <f>(2*E825/10*F825/10)+((D825-F825-F825)/10*G825/10)+((H825/10+H825/10)^2)-(PI()*H825/10*H825/10)</f>
        <v/>
      </c>
      <c r="K825" s="125">
        <f>((E825-G825)/2)/F825</f>
        <v/>
      </c>
      <c r="L825" s="125">
        <f>I825/G825</f>
        <v/>
      </c>
      <c r="M825" s="125">
        <f>(E825*2+F825*4+((E825-G825)/2-H825)*4+2*PI()*H825+(D825-2*F825-2*H825)*2)/1000</f>
        <v/>
      </c>
      <c r="N825" s="5" t="n">
        <v>183000</v>
      </c>
      <c r="O825" s="5" t="n">
        <v>9910</v>
      </c>
      <c r="P825" s="125" t="n">
        <v>29.3</v>
      </c>
      <c r="Q825" s="125" t="n">
        <v>6.8</v>
      </c>
      <c r="R825" s="5" t="n">
        <v>5230</v>
      </c>
      <c r="S825" s="125" t="n">
        <v>661</v>
      </c>
      <c r="T825" s="5" t="n">
        <v>5860</v>
      </c>
      <c r="U825" s="5" t="n">
        <v>1020</v>
      </c>
      <c r="X825" s="129">
        <f t="array" ref="X825">_xlfn.IFS((D825/F825) &lt;= (640/SQRT($AT$32)), "Compact", L825 &lt;= ($AT$32*(0.79-(0.002*((E825-G825/2)/(2*F825))*SQRT($AT$32)))), "Non-Compact", L825 &gt; ($AT$32*(0.79-(0.002*((E825-G825/2)/(2*F825))*SQRT($AT$32)))), "Slender")</f>
        <v/>
      </c>
      <c r="Y825" s="129">
        <f t="array" ref="Y825">_xlfn.IFS(K825 &lt;= (65/SQRT($AT$32)), "Compact", K825 &lt;= (95/SQRT($AT$32)), "Non-Compact", K825 &gt; (95/SQRT($AT$32)), "Slender")</f>
        <v/>
      </c>
      <c r="Z825" s="125">
        <f>E825/F825</f>
        <v/>
      </c>
      <c r="AA825" s="125">
        <f>D825/G825</f>
        <v/>
      </c>
      <c r="AB825" s="125">
        <f t="array" ref="AB825">_xlfn.IFS(Z825 &lt;= 9, "1", Z825 &lt;= 12, "2", Z825 &lt;= 15, "3", Z825 &gt; 15, "4")</f>
        <v/>
      </c>
      <c r="AC825" s="125">
        <f t="array" ref="AC825">_xlfn.IFS(AA825 &lt;= 200, "1", L825 &lt;= 300, "2", L825 &lt;= 400, "3", L825 &gt; 400, "4")</f>
        <v/>
      </c>
      <c r="AF825" s="129">
        <f>SQRT((((VLOOKUP($AT$4,$A$4:$D$1021,4,FALSE))-D825)^2)+(((VLOOKUP($AT$4,$A$4:$E$1021,5,FALSE))-E825)^2)+(((VLOOKUP($AT$4,$A$4:$N$1021,14,FALSE))-N825)^2)+(((VLOOKUP($AT$4,$A$4:$O$1021,15,FALSE))-O825)^2))</f>
        <v/>
      </c>
      <c r="AG825" s="129" t="n"/>
      <c r="AI825" s="129">
        <f>SQRT((((VLOOKUP($AT$4,$A$4:$D$1021,4,FALSE))-D825)^2)+(((VLOOKUP($AT$4,$A$4:$E$1021,5,FALSE))-E825)^2)+(((VLOOKUP($AT$4,$A$4:$R$1021,18,FALSE))-R825)^2)+(((VLOOKUP($AT$4,$A$4:$S$1021,19,FALSE))-S825)^2))</f>
        <v/>
      </c>
      <c r="AJ825" s="125" t="inlineStr">
        <is>
          <t>HY700X168</t>
        </is>
      </c>
      <c r="AK825" s="125" t="n"/>
      <c r="AL825" s="125" t="n"/>
      <c r="AM825" s="125">
        <f>SQRT(((VLOOKUP($AT$4,$A$4:$J$1021,10,FALSE))-J825)^2)</f>
        <v/>
      </c>
      <c r="AN825" s="125" t="n"/>
      <c r="AO825" s="125" t="n"/>
      <c r="AP825" s="125">
        <f>SQRT(((VLOOKUP($AT$4,$A$4:$R$1021,18,FALSE))-R825)^2)</f>
        <v/>
      </c>
      <c r="AQ825" s="125" t="inlineStr">
        <is>
          <t>HY700X168</t>
        </is>
      </c>
      <c r="BB825" s="125">
        <f>SQRT(($J$1022-J825)^2)</f>
        <v/>
      </c>
      <c r="BC825" s="125">
        <f>SQRT(($R$1022-R825)^2)</f>
        <v/>
      </c>
      <c r="BD825" s="125" t="inlineStr">
        <is>
          <t>HY700X168</t>
        </is>
      </c>
      <c r="BI825">
        <f>SQRT(($J$1023-J825)^2)</f>
        <v/>
      </c>
      <c r="BJ825">
        <f>SQRT(($R$1023-R825)^2)</f>
        <v/>
      </c>
      <c r="BK825" s="125" t="inlineStr">
        <is>
          <t>HY700X168</t>
        </is>
      </c>
      <c r="BP825">
        <f>SQRT(($J$1024-J825)^2)</f>
        <v/>
      </c>
      <c r="BQ825">
        <f>SQRT(($R$1024-R825)^2)</f>
        <v/>
      </c>
      <c r="BR825" s="125" t="inlineStr">
        <is>
          <t>HY700X168</t>
        </is>
      </c>
      <c r="BW825">
        <f>SQRT(($J$1025-J825)^2)</f>
        <v/>
      </c>
      <c r="BX825">
        <f>SQRT(($R$1025-R825)^2)</f>
        <v/>
      </c>
      <c r="BY825" s="125" t="inlineStr">
        <is>
          <t>HY700X168</t>
        </is>
      </c>
      <c r="CD825">
        <f>SQRT(($J$1026-J825)^2)</f>
        <v/>
      </c>
      <c r="CE825">
        <f>SQRT(($R$1026-R825)^2)</f>
        <v/>
      </c>
      <c r="CF825" s="125" t="inlineStr">
        <is>
          <t>HY700X168</t>
        </is>
      </c>
    </row>
    <row r="826">
      <c r="A826" s="125" t="inlineStr">
        <is>
          <t>HY700X154</t>
        </is>
      </c>
      <c r="B826" s="129" t="inlineStr">
        <is>
          <t>HY</t>
        </is>
      </c>
      <c r="C826" s="125" t="n">
        <v>154</v>
      </c>
      <c r="D826" s="125" t="n">
        <v>700</v>
      </c>
      <c r="E826" s="125" t="n">
        <v>300</v>
      </c>
      <c r="F826" s="125" t="n">
        <v>19</v>
      </c>
      <c r="G826" s="125" t="n">
        <v>12</v>
      </c>
      <c r="H826" s="125" t="n">
        <v>18</v>
      </c>
      <c r="I826" s="125">
        <f>D826-(2*(H826+F826))</f>
        <v/>
      </c>
      <c r="J826" s="125">
        <f>(2*E826/10*F826/10)+((D826-F826-F826)/10*G826/10)+((H826/10+H826/10)^2)-(PI()*H826/10*H826/10)</f>
        <v/>
      </c>
      <c r="K826" s="125">
        <f>((E826-G826)/2)/F826</f>
        <v/>
      </c>
      <c r="L826" s="125">
        <f>I826/G826</f>
        <v/>
      </c>
      <c r="M826" s="125">
        <f>(E826*2+F826*4+((E826-G826)/2-H826)*4+2*PI()*H826+(D826-2*F826-2*H826)*2)/1000</f>
        <v/>
      </c>
      <c r="N826" s="5" t="n">
        <v>164000</v>
      </c>
      <c r="O826" s="5" t="n">
        <v>8560</v>
      </c>
      <c r="P826" s="125" t="n">
        <v>28.9</v>
      </c>
      <c r="Q826" s="125" t="n">
        <v>6.6</v>
      </c>
      <c r="R826" s="5" t="n">
        <v>4690</v>
      </c>
      <c r="S826" s="125" t="n">
        <v>571</v>
      </c>
      <c r="T826" s="5" t="n">
        <v>5290</v>
      </c>
      <c r="U826" s="125" t="n">
        <v>882</v>
      </c>
      <c r="X826" s="129">
        <f t="array" ref="X826">_xlfn.IFS((D826/F826) &lt;= (640/SQRT($AT$32)), "Compact", L826 &lt;= ($AT$32*(0.79-(0.002*((E826-G826/2)/(2*F826))*SQRT($AT$32)))), "Non-Compact", L826 &gt; ($AT$32*(0.79-(0.002*((E826-G826/2)/(2*F826))*SQRT($AT$32)))), "Slender")</f>
        <v/>
      </c>
      <c r="Y826" s="129">
        <f t="array" ref="Y826">_xlfn.IFS(K826 &lt;= (65/SQRT($AT$32)), "Compact", K826 &lt;= (95/SQRT($AT$32)), "Non-Compact", K826 &gt; (95/SQRT($AT$32)), "Slender")</f>
        <v/>
      </c>
      <c r="Z826" s="125">
        <f>E826/F826</f>
        <v/>
      </c>
      <c r="AA826" s="125">
        <f>D826/G826</f>
        <v/>
      </c>
      <c r="AB826" s="125">
        <f t="array" ref="AB826">_xlfn.IFS(Z826 &lt;= 9, "1", Z826 &lt;= 12, "2", Z826 &lt;= 15, "3", Z826 &gt; 15, "4")</f>
        <v/>
      </c>
      <c r="AC826" s="125">
        <f t="array" ref="AC826">_xlfn.IFS(AA826 &lt;= 200, "1", L826 &lt;= 300, "2", L826 &lt;= 400, "3", L826 &gt; 400, "4")</f>
        <v/>
      </c>
      <c r="AF826" s="129">
        <f>SQRT((((VLOOKUP($AT$4,$A$4:$D$1021,4,FALSE))-D826)^2)+(((VLOOKUP($AT$4,$A$4:$E$1021,5,FALSE))-E826)^2)+(((VLOOKUP($AT$4,$A$4:$N$1021,14,FALSE))-N826)^2)+(((VLOOKUP($AT$4,$A$4:$O$1021,15,FALSE))-O826)^2))</f>
        <v/>
      </c>
      <c r="AG826" s="129" t="n"/>
      <c r="AI826" s="129">
        <f>SQRT((((VLOOKUP($AT$4,$A$4:$D$1021,4,FALSE))-D826)^2)+(((VLOOKUP($AT$4,$A$4:$E$1021,5,FALSE))-E826)^2)+(((VLOOKUP($AT$4,$A$4:$R$1021,18,FALSE))-R826)^2)+(((VLOOKUP($AT$4,$A$4:$S$1021,19,FALSE))-S826)^2))</f>
        <v/>
      </c>
      <c r="AJ826" s="125" t="inlineStr">
        <is>
          <t>HY700X154</t>
        </is>
      </c>
      <c r="AK826" s="125" t="n"/>
      <c r="AL826" s="125" t="n"/>
      <c r="AM826" s="125">
        <f>SQRT(((VLOOKUP($AT$4,$A$4:$J$1021,10,FALSE))-J826)^2)</f>
        <v/>
      </c>
      <c r="AN826" s="125" t="n"/>
      <c r="AO826" s="125" t="n"/>
      <c r="AP826" s="125">
        <f>SQRT(((VLOOKUP($AT$4,$A$4:$R$1021,18,FALSE))-R826)^2)</f>
        <v/>
      </c>
      <c r="AQ826" s="125" t="inlineStr">
        <is>
          <t>HY700X154</t>
        </is>
      </c>
      <c r="BB826" s="125">
        <f>SQRT(($J$1022-J826)^2)</f>
        <v/>
      </c>
      <c r="BC826" s="125">
        <f>SQRT(($R$1022-R826)^2)</f>
        <v/>
      </c>
      <c r="BD826" s="125" t="inlineStr">
        <is>
          <t>HY700X154</t>
        </is>
      </c>
      <c r="BI826">
        <f>SQRT(($J$1023-J826)^2)</f>
        <v/>
      </c>
      <c r="BJ826">
        <f>SQRT(($R$1023-R826)^2)</f>
        <v/>
      </c>
      <c r="BK826" s="125" t="inlineStr">
        <is>
          <t>HY700X154</t>
        </is>
      </c>
      <c r="BP826">
        <f>SQRT(($J$1024-J826)^2)</f>
        <v/>
      </c>
      <c r="BQ826">
        <f>SQRT(($R$1024-R826)^2)</f>
        <v/>
      </c>
      <c r="BR826" s="125" t="inlineStr">
        <is>
          <t>HY700X154</t>
        </is>
      </c>
      <c r="BW826">
        <f>SQRT(($J$1025-J826)^2)</f>
        <v/>
      </c>
      <c r="BX826">
        <f>SQRT(($R$1025-R826)^2)</f>
        <v/>
      </c>
      <c r="BY826" s="125" t="inlineStr">
        <is>
          <t>HY700X154</t>
        </is>
      </c>
      <c r="CD826">
        <f>SQRT(($J$1026-J826)^2)</f>
        <v/>
      </c>
      <c r="CE826">
        <f>SQRT(($R$1026-R826)^2)</f>
        <v/>
      </c>
      <c r="CF826" s="125" t="inlineStr">
        <is>
          <t>HY700X154</t>
        </is>
      </c>
    </row>
    <row r="827">
      <c r="A827" s="125" t="inlineStr">
        <is>
          <t>HY700X140</t>
        </is>
      </c>
      <c r="B827" s="129" t="inlineStr">
        <is>
          <t>HY</t>
        </is>
      </c>
      <c r="C827" s="125" t="n">
        <v>140</v>
      </c>
      <c r="D827" s="125" t="n">
        <v>700</v>
      </c>
      <c r="E827" s="125" t="n">
        <v>300</v>
      </c>
      <c r="F827" s="125" t="n">
        <v>16</v>
      </c>
      <c r="G827" s="125" t="n">
        <v>12</v>
      </c>
      <c r="H827" s="125" t="n">
        <v>18</v>
      </c>
      <c r="I827" s="125">
        <f>D827-(2*(H827+F827))</f>
        <v/>
      </c>
      <c r="J827" s="125">
        <f>(2*E827/10*F827/10)+((D827-F827-F827)/10*G827/10)+((H827/10+H827/10)^2)-(PI()*H827/10*H827/10)</f>
        <v/>
      </c>
      <c r="K827" s="125">
        <f>((E827-G827)/2)/F827</f>
        <v/>
      </c>
      <c r="L827" s="125">
        <f>I827/G827</f>
        <v/>
      </c>
      <c r="M827" s="125">
        <f>(E827*2+F827*4+((E827-G827)/2-H827)*4+2*PI()*H827+(D827-2*F827-2*H827)*2)/1000</f>
        <v/>
      </c>
      <c r="N827" s="5" t="n">
        <v>145000</v>
      </c>
      <c r="O827" s="5" t="n">
        <v>7210</v>
      </c>
      <c r="P827" s="125" t="n">
        <v>28.5</v>
      </c>
      <c r="Q827" s="125" t="n">
        <v>6.4</v>
      </c>
      <c r="R827" s="5" t="n">
        <v>4150</v>
      </c>
      <c r="S827" s="125" t="n">
        <v>481</v>
      </c>
      <c r="T827" s="5" t="n">
        <v>4710</v>
      </c>
      <c r="U827" s="125" t="n">
        <v>747</v>
      </c>
      <c r="X827" s="129">
        <f t="array" ref="X827">_xlfn.IFS((D827/F827) &lt;= (640/SQRT($AT$32)), "Compact", L827 &lt;= ($AT$32*(0.79-(0.002*((E827-G827/2)/(2*F827))*SQRT($AT$32)))), "Non-Compact", L827 &gt; ($AT$32*(0.79-(0.002*((E827-G827/2)/(2*F827))*SQRT($AT$32)))), "Slender")</f>
        <v/>
      </c>
      <c r="Y827" s="129">
        <f t="array" ref="Y827">_xlfn.IFS(K827 &lt;= (65/SQRT($AT$32)), "Compact", K827 &lt;= (95/SQRT($AT$32)), "Non-Compact", K827 &gt; (95/SQRT($AT$32)), "Slender")</f>
        <v/>
      </c>
      <c r="Z827" s="125">
        <f>E827/F827</f>
        <v/>
      </c>
      <c r="AA827" s="125">
        <f>D827/G827</f>
        <v/>
      </c>
      <c r="AB827" s="125">
        <f t="array" ref="AB827">_xlfn.IFS(Z827 &lt;= 9, "1", Z827 &lt;= 12, "2", Z827 &lt;= 15, "3", Z827 &gt; 15, "4")</f>
        <v/>
      </c>
      <c r="AC827" s="125">
        <f t="array" ref="AC827">_xlfn.IFS(AA827 &lt;= 200, "1", L827 &lt;= 300, "2", L827 &lt;= 400, "3", L827 &gt; 400, "4")</f>
        <v/>
      </c>
      <c r="AF827" s="129">
        <f>SQRT((((VLOOKUP($AT$4,$A$4:$D$1021,4,FALSE))-D827)^2)+(((VLOOKUP($AT$4,$A$4:$E$1021,5,FALSE))-E827)^2)+(((VLOOKUP($AT$4,$A$4:$N$1021,14,FALSE))-N827)^2)+(((VLOOKUP($AT$4,$A$4:$O$1021,15,FALSE))-O827)^2))</f>
        <v/>
      </c>
      <c r="AG827" s="129" t="n"/>
      <c r="AI827" s="129">
        <f>SQRT((((VLOOKUP($AT$4,$A$4:$D$1021,4,FALSE))-D827)^2)+(((VLOOKUP($AT$4,$A$4:$E$1021,5,FALSE))-E827)^2)+(((VLOOKUP($AT$4,$A$4:$R$1021,18,FALSE))-R827)^2)+(((VLOOKUP($AT$4,$A$4:$S$1021,19,FALSE))-S827)^2))</f>
        <v/>
      </c>
      <c r="AJ827" s="125" t="inlineStr">
        <is>
          <t>HY700X140</t>
        </is>
      </c>
      <c r="AK827" s="125" t="n"/>
      <c r="AL827" s="125" t="n"/>
      <c r="AM827" s="125">
        <f>SQRT(((VLOOKUP($AT$4,$A$4:$J$1021,10,FALSE))-J827)^2)</f>
        <v/>
      </c>
      <c r="AN827" s="125" t="n"/>
      <c r="AO827" s="125" t="n"/>
      <c r="AP827" s="125">
        <f>SQRT(((VLOOKUP($AT$4,$A$4:$R$1021,18,FALSE))-R827)^2)</f>
        <v/>
      </c>
      <c r="AQ827" s="125" t="inlineStr">
        <is>
          <t>HY700X140</t>
        </is>
      </c>
      <c r="BB827" s="125">
        <f>SQRT(($J$1022-J827)^2)</f>
        <v/>
      </c>
      <c r="BC827" s="125">
        <f>SQRT(($R$1022-R827)^2)</f>
        <v/>
      </c>
      <c r="BD827" s="125" t="inlineStr">
        <is>
          <t>HY700X140</t>
        </is>
      </c>
      <c r="BI827">
        <f>SQRT(($J$1023-J827)^2)</f>
        <v/>
      </c>
      <c r="BJ827">
        <f>SQRT(($R$1023-R827)^2)</f>
        <v/>
      </c>
      <c r="BK827" s="125" t="inlineStr">
        <is>
          <t>HY700X140</t>
        </is>
      </c>
      <c r="BP827">
        <f>SQRT(($J$1024-J827)^2)</f>
        <v/>
      </c>
      <c r="BQ827">
        <f>SQRT(($R$1024-R827)^2)</f>
        <v/>
      </c>
      <c r="BR827" s="125" t="inlineStr">
        <is>
          <t>HY700X140</t>
        </is>
      </c>
      <c r="BW827">
        <f>SQRT(($J$1025-J827)^2)</f>
        <v/>
      </c>
      <c r="BX827">
        <f>SQRT(($R$1025-R827)^2)</f>
        <v/>
      </c>
      <c r="BY827" s="125" t="inlineStr">
        <is>
          <t>HY700X140</t>
        </is>
      </c>
      <c r="CD827">
        <f>SQRT(($J$1026-J827)^2)</f>
        <v/>
      </c>
      <c r="CE827">
        <f>SQRT(($R$1026-R827)^2)</f>
        <v/>
      </c>
      <c r="CF827" s="125" t="inlineStr">
        <is>
          <t>HY700X140</t>
        </is>
      </c>
    </row>
    <row r="828">
      <c r="A828" s="125" t="inlineStr">
        <is>
          <t>HY700X213</t>
        </is>
      </c>
      <c r="B828" s="129" t="inlineStr">
        <is>
          <t>HY</t>
        </is>
      </c>
      <c r="C828" s="125" t="n">
        <v>213</v>
      </c>
      <c r="D828" s="125" t="n">
        <v>700</v>
      </c>
      <c r="E828" s="125" t="n">
        <v>250</v>
      </c>
      <c r="F828" s="125" t="n">
        <v>25</v>
      </c>
      <c r="G828" s="125" t="n">
        <v>22</v>
      </c>
      <c r="H828" s="125" t="n">
        <v>18</v>
      </c>
      <c r="I828" s="125">
        <f>D828-(2*(H828+F828))</f>
        <v/>
      </c>
      <c r="J828" s="125">
        <f>(2*E828/10*F828/10)+((D828-F828-F828)/10*G828/10)+((H828/10+H828/10)^2)-(PI()*H828/10*H828/10)</f>
        <v/>
      </c>
      <c r="K828" s="125">
        <f>((E828-G828)/2)/F828</f>
        <v/>
      </c>
      <c r="L828" s="125">
        <f>I828/G828</f>
        <v/>
      </c>
      <c r="M828" s="125">
        <f>(E828*2+F828*4+((E828-G828)/2-H828)*4+2*PI()*H828+(D828-2*F828-2*H828)*2)/1000</f>
        <v/>
      </c>
      <c r="N828" s="5" t="n">
        <v>196000</v>
      </c>
      <c r="O828" s="5" t="n">
        <v>6570</v>
      </c>
      <c r="P828" s="125" t="n">
        <v>26.9</v>
      </c>
      <c r="Q828" s="125" t="n">
        <v>4.9</v>
      </c>
      <c r="R828" s="5" t="n">
        <v>5590</v>
      </c>
      <c r="S828" s="125" t="n">
        <v>526</v>
      </c>
      <c r="T828" s="5" t="n">
        <v>6630</v>
      </c>
      <c r="U828" s="125" t="n">
        <v>864</v>
      </c>
      <c r="X828" s="129">
        <f t="array" ref="X828">_xlfn.IFS((D828/F828) &lt;= (640/SQRT($AT$32)), "Compact", L828 &lt;= ($AT$32*(0.79-(0.002*((E828-G828/2)/(2*F828))*SQRT($AT$32)))), "Non-Compact", L828 &gt; ($AT$32*(0.79-(0.002*((E828-G828/2)/(2*F828))*SQRT($AT$32)))), "Slender")</f>
        <v/>
      </c>
      <c r="Y828" s="129">
        <f t="array" ref="Y828">_xlfn.IFS(K828 &lt;= (65/SQRT($AT$32)), "Compact", K828 &lt;= (95/SQRT($AT$32)), "Non-Compact", K828 &gt; (95/SQRT($AT$32)), "Slender")</f>
        <v/>
      </c>
      <c r="Z828" s="125">
        <f>E828/F828</f>
        <v/>
      </c>
      <c r="AA828" s="125">
        <f>D828/G828</f>
        <v/>
      </c>
      <c r="AB828" s="125">
        <f t="array" ref="AB828">_xlfn.IFS(Z828 &lt;= 9, "1", Z828 &lt;= 12, "2", Z828 &lt;= 15, "3", Z828 &gt; 15, "4")</f>
        <v/>
      </c>
      <c r="AC828" s="125">
        <f t="array" ref="AC828">_xlfn.IFS(AA828 &lt;= 200, "1", L828 &lt;= 300, "2", L828 &lt;= 400, "3", L828 &gt; 400, "4")</f>
        <v/>
      </c>
      <c r="AF828" s="129">
        <f>SQRT((((VLOOKUP($AT$4,$A$4:$D$1021,4,FALSE))-D828)^2)+(((VLOOKUP($AT$4,$A$4:$E$1021,5,FALSE))-E828)^2)+(((VLOOKUP($AT$4,$A$4:$N$1021,14,FALSE))-N828)^2)+(((VLOOKUP($AT$4,$A$4:$O$1021,15,FALSE))-O828)^2))</f>
        <v/>
      </c>
      <c r="AG828" s="129" t="n"/>
      <c r="AI828" s="129">
        <f>SQRT((((VLOOKUP($AT$4,$A$4:$D$1021,4,FALSE))-D828)^2)+(((VLOOKUP($AT$4,$A$4:$E$1021,5,FALSE))-E828)^2)+(((VLOOKUP($AT$4,$A$4:$R$1021,18,FALSE))-R828)^2)+(((VLOOKUP($AT$4,$A$4:$S$1021,19,FALSE))-S828)^2))</f>
        <v/>
      </c>
      <c r="AJ828" s="125" t="inlineStr">
        <is>
          <t>HY700X213</t>
        </is>
      </c>
      <c r="AK828" s="125" t="n"/>
      <c r="AL828" s="125" t="n"/>
      <c r="AM828" s="125">
        <f>SQRT(((VLOOKUP($AT$4,$A$4:$J$1021,10,FALSE))-J828)^2)</f>
        <v/>
      </c>
      <c r="AN828" s="125" t="n"/>
      <c r="AO828" s="125" t="n"/>
      <c r="AP828" s="125">
        <f>SQRT(((VLOOKUP($AT$4,$A$4:$R$1021,18,FALSE))-R828)^2)</f>
        <v/>
      </c>
      <c r="AQ828" s="125" t="inlineStr">
        <is>
          <t>HY700X213</t>
        </is>
      </c>
      <c r="BB828" s="125">
        <f>SQRT(($J$1022-J828)^2)</f>
        <v/>
      </c>
      <c r="BC828" s="125">
        <f>SQRT(($R$1022-R828)^2)</f>
        <v/>
      </c>
      <c r="BD828" s="125" t="inlineStr">
        <is>
          <t>HY700X213</t>
        </is>
      </c>
      <c r="BI828">
        <f>SQRT(($J$1023-J828)^2)</f>
        <v/>
      </c>
      <c r="BJ828">
        <f>SQRT(($R$1023-R828)^2)</f>
        <v/>
      </c>
      <c r="BK828" s="125" t="inlineStr">
        <is>
          <t>HY700X213</t>
        </is>
      </c>
      <c r="BP828">
        <f>SQRT(($J$1024-J828)^2)</f>
        <v/>
      </c>
      <c r="BQ828">
        <f>SQRT(($R$1024-R828)^2)</f>
        <v/>
      </c>
      <c r="BR828" s="125" t="inlineStr">
        <is>
          <t>HY700X213</t>
        </is>
      </c>
      <c r="BW828">
        <f>SQRT(($J$1025-J828)^2)</f>
        <v/>
      </c>
      <c r="BX828">
        <f>SQRT(($R$1025-R828)^2)</f>
        <v/>
      </c>
      <c r="BY828" s="125" t="inlineStr">
        <is>
          <t>HY700X213</t>
        </is>
      </c>
      <c r="CD828">
        <f>SQRT(($J$1026-J828)^2)</f>
        <v/>
      </c>
      <c r="CE828">
        <f>SQRT(($R$1026-R828)^2)</f>
        <v/>
      </c>
      <c r="CF828" s="125" t="inlineStr">
        <is>
          <t>HY700X213</t>
        </is>
      </c>
    </row>
    <row r="829">
      <c r="A829" s="125" t="inlineStr">
        <is>
          <t>HY700X223</t>
        </is>
      </c>
      <c r="B829" s="129" t="inlineStr">
        <is>
          <t>HY</t>
        </is>
      </c>
      <c r="C829" s="125" t="n">
        <v>223</v>
      </c>
      <c r="D829" s="125" t="n">
        <v>700</v>
      </c>
      <c r="E829" s="125" t="n">
        <v>250</v>
      </c>
      <c r="F829" s="125" t="n">
        <v>32</v>
      </c>
      <c r="G829" s="125" t="n">
        <v>19</v>
      </c>
      <c r="H829" s="125" t="n">
        <v>18</v>
      </c>
      <c r="I829" s="125">
        <f>D829-(2*(H829+F829))</f>
        <v/>
      </c>
      <c r="J829" s="125">
        <f>(2*E829/10*F829/10)+((D829-F829-F829)/10*G829/10)+((H829/10+H829/10)^2)-(PI()*H829/10*H829/10)</f>
        <v/>
      </c>
      <c r="K829" s="125">
        <f>((E829-G829)/2)/F829</f>
        <v/>
      </c>
      <c r="L829" s="125">
        <f>I829/G829</f>
        <v/>
      </c>
      <c r="M829" s="125">
        <f>(E829*2+F829*4+((E829-G829)/2-H829)*4+2*PI()*H829+(D829-2*F829-2*H829)*2)/1000</f>
        <v/>
      </c>
      <c r="N829" s="5" t="n">
        <v>222000</v>
      </c>
      <c r="O829" s="5" t="n">
        <v>8380</v>
      </c>
      <c r="P829" s="125" t="n">
        <v>28</v>
      </c>
      <c r="Q829" s="125" t="n">
        <v>5.4</v>
      </c>
      <c r="R829" s="5" t="n">
        <v>6350</v>
      </c>
      <c r="S829" s="125" t="n">
        <v>670</v>
      </c>
      <c r="T829" s="5" t="n">
        <v>7350</v>
      </c>
      <c r="U829" s="5" t="n">
        <v>1060</v>
      </c>
      <c r="X829" s="129">
        <f t="array" ref="X829">_xlfn.IFS((D829/F829) &lt;= (640/SQRT($AT$32)), "Compact", L829 &lt;= ($AT$32*(0.79-(0.002*((E829-G829/2)/(2*F829))*SQRT($AT$32)))), "Non-Compact", L829 &gt; ($AT$32*(0.79-(0.002*((E829-G829/2)/(2*F829))*SQRT($AT$32)))), "Slender")</f>
        <v/>
      </c>
      <c r="Y829" s="129">
        <f t="array" ref="Y829">_xlfn.IFS(K829 &lt;= (65/SQRT($AT$32)), "Compact", K829 &lt;= (95/SQRT($AT$32)), "Non-Compact", K829 &gt; (95/SQRT($AT$32)), "Slender")</f>
        <v/>
      </c>
      <c r="Z829" s="125">
        <f>E829/F829</f>
        <v/>
      </c>
      <c r="AA829" s="125">
        <f>D829/G829</f>
        <v/>
      </c>
      <c r="AB829" s="125">
        <f t="array" ref="AB829">_xlfn.IFS(Z829 &lt;= 9, "1", Z829 &lt;= 12, "2", Z829 &lt;= 15, "3", Z829 &gt; 15, "4")</f>
        <v/>
      </c>
      <c r="AC829" s="125">
        <f t="array" ref="AC829">_xlfn.IFS(AA829 &lt;= 200, "1", L829 &lt;= 300, "2", L829 &lt;= 400, "3", L829 &gt; 400, "4")</f>
        <v/>
      </c>
      <c r="AF829" s="129">
        <f>SQRT((((VLOOKUP($AT$4,$A$4:$D$1021,4,FALSE))-D829)^2)+(((VLOOKUP($AT$4,$A$4:$E$1021,5,FALSE))-E829)^2)+(((VLOOKUP($AT$4,$A$4:$N$1021,14,FALSE))-N829)^2)+(((VLOOKUP($AT$4,$A$4:$O$1021,15,FALSE))-O829)^2))</f>
        <v/>
      </c>
      <c r="AG829" s="129" t="n"/>
      <c r="AI829" s="129">
        <f>SQRT((((VLOOKUP($AT$4,$A$4:$D$1021,4,FALSE))-D829)^2)+(((VLOOKUP($AT$4,$A$4:$E$1021,5,FALSE))-E829)^2)+(((VLOOKUP($AT$4,$A$4:$R$1021,18,FALSE))-R829)^2)+(((VLOOKUP($AT$4,$A$4:$S$1021,19,FALSE))-S829)^2))</f>
        <v/>
      </c>
      <c r="AJ829" s="125" t="inlineStr">
        <is>
          <t>HY700X223</t>
        </is>
      </c>
      <c r="AK829" s="125" t="n"/>
      <c r="AL829" s="125" t="n"/>
      <c r="AM829" s="125">
        <f>SQRT(((VLOOKUP($AT$4,$A$4:$J$1021,10,FALSE))-J829)^2)</f>
        <v/>
      </c>
      <c r="AN829" s="125" t="n"/>
      <c r="AO829" s="125" t="n"/>
      <c r="AP829" s="125">
        <f>SQRT(((VLOOKUP($AT$4,$A$4:$R$1021,18,FALSE))-R829)^2)</f>
        <v/>
      </c>
      <c r="AQ829" s="125" t="inlineStr">
        <is>
          <t>HY700X223</t>
        </is>
      </c>
      <c r="BB829" s="125">
        <f>SQRT(($J$1022-J829)^2)</f>
        <v/>
      </c>
      <c r="BC829" s="125">
        <f>SQRT(($R$1022-R829)^2)</f>
        <v/>
      </c>
      <c r="BD829" s="125" t="inlineStr">
        <is>
          <t>HY700X223</t>
        </is>
      </c>
      <c r="BI829">
        <f>SQRT(($J$1023-J829)^2)</f>
        <v/>
      </c>
      <c r="BJ829">
        <f>SQRT(($R$1023-R829)^2)</f>
        <v/>
      </c>
      <c r="BK829" s="125" t="inlineStr">
        <is>
          <t>HY700X223</t>
        </is>
      </c>
      <c r="BP829">
        <f>SQRT(($J$1024-J829)^2)</f>
        <v/>
      </c>
      <c r="BQ829">
        <f>SQRT(($R$1024-R829)^2)</f>
        <v/>
      </c>
      <c r="BR829" s="125" t="inlineStr">
        <is>
          <t>HY700X223</t>
        </is>
      </c>
      <c r="BW829">
        <f>SQRT(($J$1025-J829)^2)</f>
        <v/>
      </c>
      <c r="BX829">
        <f>SQRT(($R$1025-R829)^2)</f>
        <v/>
      </c>
      <c r="BY829" s="125" t="inlineStr">
        <is>
          <t>HY700X223</t>
        </is>
      </c>
      <c r="CD829">
        <f>SQRT(($J$1026-J829)^2)</f>
        <v/>
      </c>
      <c r="CE829">
        <f>SQRT(($R$1026-R829)^2)</f>
        <v/>
      </c>
      <c r="CF829" s="125" t="inlineStr">
        <is>
          <t>HY700X223</t>
        </is>
      </c>
    </row>
    <row r="830">
      <c r="A830" s="125" t="inlineStr">
        <is>
          <t>HY700X208</t>
        </is>
      </c>
      <c r="B830" s="129" t="inlineStr">
        <is>
          <t>HY</t>
        </is>
      </c>
      <c r="C830" s="125" t="n">
        <v>208</v>
      </c>
      <c r="D830" s="125" t="n">
        <v>700</v>
      </c>
      <c r="E830" s="125" t="n">
        <v>250</v>
      </c>
      <c r="F830" s="125" t="n">
        <v>28</v>
      </c>
      <c r="G830" s="125" t="n">
        <v>19</v>
      </c>
      <c r="H830" s="125" t="n">
        <v>18</v>
      </c>
      <c r="I830" s="125">
        <f>D830-(2*(H830+F830))</f>
        <v/>
      </c>
      <c r="J830" s="125">
        <f>(2*E830/10*F830/10)+((D830-F830-F830)/10*G830/10)+((H830/10+H830/10)^2)-(PI()*H830/10*H830/10)</f>
        <v/>
      </c>
      <c r="K830" s="125">
        <f>((E830-G830)/2)/F830</f>
        <v/>
      </c>
      <c r="L830" s="125">
        <f>I830/G830</f>
        <v/>
      </c>
      <c r="M830" s="125">
        <f>(E830*2+F830*4+((E830-G830)/2-H830)*4+2*PI()*H830+(D830-2*F830-2*H830)*2)/1000</f>
        <v/>
      </c>
      <c r="N830" s="5" t="n">
        <v>203000</v>
      </c>
      <c r="O830" s="5" t="n">
        <v>7330</v>
      </c>
      <c r="P830" s="125" t="n">
        <v>27.7</v>
      </c>
      <c r="Q830" s="125" t="n">
        <v>5.3</v>
      </c>
      <c r="R830" s="5" t="n">
        <v>5810</v>
      </c>
      <c r="S830" s="125" t="n">
        <v>587</v>
      </c>
      <c r="T830" s="5" t="n">
        <v>6760</v>
      </c>
      <c r="U830" s="125" t="n">
        <v>937</v>
      </c>
      <c r="X830" s="129">
        <f t="array" ref="X830">_xlfn.IFS((D830/F830) &lt;= (640/SQRT($AT$32)), "Compact", L830 &lt;= ($AT$32*(0.79-(0.002*((E830-G830/2)/(2*F830))*SQRT($AT$32)))), "Non-Compact", L830 &gt; ($AT$32*(0.79-(0.002*((E830-G830/2)/(2*F830))*SQRT($AT$32)))), "Slender")</f>
        <v/>
      </c>
      <c r="Y830" s="129">
        <f t="array" ref="Y830">_xlfn.IFS(K830 &lt;= (65/SQRT($AT$32)), "Compact", K830 &lt;= (95/SQRT($AT$32)), "Non-Compact", K830 &gt; (95/SQRT($AT$32)), "Slender")</f>
        <v/>
      </c>
      <c r="Z830" s="125">
        <f>E830/F830</f>
        <v/>
      </c>
      <c r="AA830" s="125">
        <f>D830/G830</f>
        <v/>
      </c>
      <c r="AB830" s="125">
        <f t="array" ref="AB830">_xlfn.IFS(Z830 &lt;= 9, "1", Z830 &lt;= 12, "2", Z830 &lt;= 15, "3", Z830 &gt; 15, "4")</f>
        <v/>
      </c>
      <c r="AC830" s="125">
        <f t="array" ref="AC830">_xlfn.IFS(AA830 &lt;= 200, "1", L830 &lt;= 300, "2", L830 &lt;= 400, "3", L830 &gt; 400, "4")</f>
        <v/>
      </c>
      <c r="AF830" s="129">
        <f>SQRT((((VLOOKUP($AT$4,$A$4:$D$1021,4,FALSE))-D830)^2)+(((VLOOKUP($AT$4,$A$4:$E$1021,5,FALSE))-E830)^2)+(((VLOOKUP($AT$4,$A$4:$N$1021,14,FALSE))-N830)^2)+(((VLOOKUP($AT$4,$A$4:$O$1021,15,FALSE))-O830)^2))</f>
        <v/>
      </c>
      <c r="AG830" s="129" t="n"/>
      <c r="AI830" s="129">
        <f>SQRT((((VLOOKUP($AT$4,$A$4:$D$1021,4,FALSE))-D830)^2)+(((VLOOKUP($AT$4,$A$4:$E$1021,5,FALSE))-E830)^2)+(((VLOOKUP($AT$4,$A$4:$R$1021,18,FALSE))-R830)^2)+(((VLOOKUP($AT$4,$A$4:$S$1021,19,FALSE))-S830)^2))</f>
        <v/>
      </c>
      <c r="AJ830" s="125" t="inlineStr">
        <is>
          <t>HY700X208</t>
        </is>
      </c>
      <c r="AK830" s="125" t="n"/>
      <c r="AL830" s="125" t="n"/>
      <c r="AM830" s="125">
        <f>SQRT(((VLOOKUP($AT$4,$A$4:$J$1021,10,FALSE))-J830)^2)</f>
        <v/>
      </c>
      <c r="AN830" s="125" t="n"/>
      <c r="AO830" s="125" t="n"/>
      <c r="AP830" s="125">
        <f>SQRT(((VLOOKUP($AT$4,$A$4:$R$1021,18,FALSE))-R830)^2)</f>
        <v/>
      </c>
      <c r="AQ830" s="125" t="inlineStr">
        <is>
          <t>HY700X208</t>
        </is>
      </c>
      <c r="BB830" s="125">
        <f>SQRT(($J$1022-J830)^2)</f>
        <v/>
      </c>
      <c r="BC830" s="125">
        <f>SQRT(($R$1022-R830)^2)</f>
        <v/>
      </c>
      <c r="BD830" s="125" t="inlineStr">
        <is>
          <t>HY700X208</t>
        </is>
      </c>
      <c r="BI830">
        <f>SQRT(($J$1023-J830)^2)</f>
        <v/>
      </c>
      <c r="BJ830">
        <f>SQRT(($R$1023-R830)^2)</f>
        <v/>
      </c>
      <c r="BK830" s="125" t="inlineStr">
        <is>
          <t>HY700X208</t>
        </is>
      </c>
      <c r="BP830">
        <f>SQRT(($J$1024-J830)^2)</f>
        <v/>
      </c>
      <c r="BQ830">
        <f>SQRT(($R$1024-R830)^2)</f>
        <v/>
      </c>
      <c r="BR830" s="125" t="inlineStr">
        <is>
          <t>HY700X208</t>
        </is>
      </c>
      <c r="BW830">
        <f>SQRT(($J$1025-J830)^2)</f>
        <v/>
      </c>
      <c r="BX830">
        <f>SQRT(($R$1025-R830)^2)</f>
        <v/>
      </c>
      <c r="BY830" s="125" t="inlineStr">
        <is>
          <t>HY700X208</t>
        </is>
      </c>
      <c r="CD830">
        <f>SQRT(($J$1026-J830)^2)</f>
        <v/>
      </c>
      <c r="CE830">
        <f>SQRT(($R$1026-R830)^2)</f>
        <v/>
      </c>
      <c r="CF830" s="125" t="inlineStr">
        <is>
          <t>HY700X208</t>
        </is>
      </c>
    </row>
    <row r="831">
      <c r="A831" s="125" t="inlineStr">
        <is>
          <t>HY700X197</t>
        </is>
      </c>
      <c r="B831" s="129" t="inlineStr">
        <is>
          <t>HY</t>
        </is>
      </c>
      <c r="C831" s="125" t="n">
        <v>197</v>
      </c>
      <c r="D831" s="125" t="n">
        <v>700</v>
      </c>
      <c r="E831" s="125" t="n">
        <v>250</v>
      </c>
      <c r="F831" s="125" t="n">
        <v>25</v>
      </c>
      <c r="G831" s="125" t="n">
        <v>19</v>
      </c>
      <c r="H831" s="125" t="n">
        <v>18</v>
      </c>
      <c r="I831" s="125">
        <f>D831-(2*(H831+F831))</f>
        <v/>
      </c>
      <c r="J831" s="125">
        <f>(2*E831/10*F831/10)+((D831-F831-F831)/10*G831/10)+((H831/10+H831/10)^2)-(PI()*H831/10*H831/10)</f>
        <v/>
      </c>
      <c r="K831" s="125">
        <f>((E831-G831)/2)/F831</f>
        <v/>
      </c>
      <c r="L831" s="125">
        <f>I831/G831</f>
        <v/>
      </c>
      <c r="M831" s="125">
        <f>(E831*2+F831*4+((E831-G831)/2-H831)*4+2*PI()*H831+(D831-2*F831-2*H831)*2)/1000</f>
        <v/>
      </c>
      <c r="N831" s="5" t="n">
        <v>189000</v>
      </c>
      <c r="O831" s="5" t="n">
        <v>6550</v>
      </c>
      <c r="P831" s="125" t="n">
        <v>27.4</v>
      </c>
      <c r="Q831" s="125" t="n">
        <v>5.1</v>
      </c>
      <c r="R831" s="5" t="n">
        <v>5390</v>
      </c>
      <c r="S831" s="125" t="n">
        <v>524</v>
      </c>
      <c r="T831" s="5" t="n">
        <v>6310</v>
      </c>
      <c r="U831" s="125" t="n">
        <v>844</v>
      </c>
      <c r="X831" s="129">
        <f t="array" ref="X831">_xlfn.IFS((D831/F831) &lt;= (640/SQRT($AT$32)), "Compact", L831 &lt;= ($AT$32*(0.79-(0.002*((E831-G831/2)/(2*F831))*SQRT($AT$32)))), "Non-Compact", L831 &gt; ($AT$32*(0.79-(0.002*((E831-G831/2)/(2*F831))*SQRT($AT$32)))), "Slender")</f>
        <v/>
      </c>
      <c r="Y831" s="129">
        <f t="array" ref="Y831">_xlfn.IFS(K831 &lt;= (65/SQRT($AT$32)), "Compact", K831 &lt;= (95/SQRT($AT$32)), "Non-Compact", K831 &gt; (95/SQRT($AT$32)), "Slender")</f>
        <v/>
      </c>
      <c r="Z831" s="125">
        <f>E831/F831</f>
        <v/>
      </c>
      <c r="AA831" s="125">
        <f>D831/G831</f>
        <v/>
      </c>
      <c r="AB831" s="125">
        <f t="array" ref="AB831">_xlfn.IFS(Z831 &lt;= 9, "1", Z831 &lt;= 12, "2", Z831 &lt;= 15, "3", Z831 &gt; 15, "4")</f>
        <v/>
      </c>
      <c r="AC831" s="125">
        <f t="array" ref="AC831">_xlfn.IFS(AA831 &lt;= 200, "1", L831 &lt;= 300, "2", L831 &lt;= 400, "3", L831 &gt; 400, "4")</f>
        <v/>
      </c>
      <c r="AF831" s="129">
        <f>SQRT((((VLOOKUP($AT$4,$A$4:$D$1021,4,FALSE))-D831)^2)+(((VLOOKUP($AT$4,$A$4:$E$1021,5,FALSE))-E831)^2)+(((VLOOKUP($AT$4,$A$4:$N$1021,14,FALSE))-N831)^2)+(((VLOOKUP($AT$4,$A$4:$O$1021,15,FALSE))-O831)^2))</f>
        <v/>
      </c>
      <c r="AG831" s="129" t="n"/>
      <c r="AI831" s="129">
        <f>SQRT((((VLOOKUP($AT$4,$A$4:$D$1021,4,FALSE))-D831)^2)+(((VLOOKUP($AT$4,$A$4:$E$1021,5,FALSE))-E831)^2)+(((VLOOKUP($AT$4,$A$4:$R$1021,18,FALSE))-R831)^2)+(((VLOOKUP($AT$4,$A$4:$S$1021,19,FALSE))-S831)^2))</f>
        <v/>
      </c>
      <c r="AJ831" s="125" t="inlineStr">
        <is>
          <t>HY700X197</t>
        </is>
      </c>
      <c r="AK831" s="125" t="n"/>
      <c r="AL831" s="125" t="n"/>
      <c r="AM831" s="125">
        <f>SQRT(((VLOOKUP($AT$4,$A$4:$J$1021,10,FALSE))-J831)^2)</f>
        <v/>
      </c>
      <c r="AN831" s="125" t="n"/>
      <c r="AO831" s="125" t="n"/>
      <c r="AP831" s="125">
        <f>SQRT(((VLOOKUP($AT$4,$A$4:$R$1021,18,FALSE))-R831)^2)</f>
        <v/>
      </c>
      <c r="AQ831" s="125" t="inlineStr">
        <is>
          <t>HY700X197</t>
        </is>
      </c>
      <c r="BB831" s="125">
        <f>SQRT(($J$1022-J831)^2)</f>
        <v/>
      </c>
      <c r="BC831" s="125">
        <f>SQRT(($R$1022-R831)^2)</f>
        <v/>
      </c>
      <c r="BD831" s="125" t="inlineStr">
        <is>
          <t>HY700X197</t>
        </is>
      </c>
      <c r="BI831">
        <f>SQRT(($J$1023-J831)^2)</f>
        <v/>
      </c>
      <c r="BJ831">
        <f>SQRT(($R$1023-R831)^2)</f>
        <v/>
      </c>
      <c r="BK831" s="125" t="inlineStr">
        <is>
          <t>HY700X197</t>
        </is>
      </c>
      <c r="BP831">
        <f>SQRT(($J$1024-J831)^2)</f>
        <v/>
      </c>
      <c r="BQ831">
        <f>SQRT(($R$1024-R831)^2)</f>
        <v/>
      </c>
      <c r="BR831" s="125" t="inlineStr">
        <is>
          <t>HY700X197</t>
        </is>
      </c>
      <c r="BW831">
        <f>SQRT(($J$1025-J831)^2)</f>
        <v/>
      </c>
      <c r="BX831">
        <f>SQRT(($R$1025-R831)^2)</f>
        <v/>
      </c>
      <c r="BY831" s="125" t="inlineStr">
        <is>
          <t>HY700X197</t>
        </is>
      </c>
      <c r="CD831">
        <f>SQRT(($J$1026-J831)^2)</f>
        <v/>
      </c>
      <c r="CE831">
        <f>SQRT(($R$1026-R831)^2)</f>
        <v/>
      </c>
      <c r="CF831" s="125" t="inlineStr">
        <is>
          <t>HY700X197</t>
        </is>
      </c>
    </row>
    <row r="832">
      <c r="A832" s="125" t="inlineStr">
        <is>
          <t>HY700X222</t>
        </is>
      </c>
      <c r="B832" s="129" t="inlineStr">
        <is>
          <t>HY</t>
        </is>
      </c>
      <c r="C832" s="125" t="n">
        <v>222</v>
      </c>
      <c r="D832" s="125" t="n">
        <v>700</v>
      </c>
      <c r="E832" s="125" t="n">
        <v>250</v>
      </c>
      <c r="F832" s="125" t="n">
        <v>36</v>
      </c>
      <c r="G832" s="125" t="n">
        <v>16</v>
      </c>
      <c r="H832" s="125" t="n">
        <v>18</v>
      </c>
      <c r="I832" s="125">
        <f>D832-(2*(H832+F832))</f>
        <v/>
      </c>
      <c r="J832" s="125">
        <f>(2*E832/10*F832/10)+((D832-F832-F832)/10*G832/10)+((H832/10+H832/10)^2)-(PI()*H832/10*H832/10)</f>
        <v/>
      </c>
      <c r="K832" s="125">
        <f>((E832-G832)/2)/F832</f>
        <v/>
      </c>
      <c r="L832" s="125">
        <f>I832/G832</f>
        <v/>
      </c>
      <c r="M832" s="125">
        <f>(E832*2+F832*4+((E832-G832)/2-H832)*4+2*PI()*H832+(D832-2*F832-2*H832)*2)/1000</f>
        <v/>
      </c>
      <c r="N832" s="5" t="n">
        <v>234000</v>
      </c>
      <c r="O832" s="5" t="n">
        <v>9400</v>
      </c>
      <c r="P832" s="125" t="n">
        <v>28.8</v>
      </c>
      <c r="Q832" s="125" t="n">
        <v>5.8</v>
      </c>
      <c r="R832" s="5" t="n">
        <v>6690</v>
      </c>
      <c r="S832" s="125" t="n">
        <v>752</v>
      </c>
      <c r="T832" s="5" t="n">
        <v>7640</v>
      </c>
      <c r="U832" s="5" t="n">
        <v>1170</v>
      </c>
      <c r="X832" s="129">
        <f t="array" ref="X832">_xlfn.IFS((D832/F832) &lt;= (640/SQRT($AT$32)), "Compact", L832 &lt;= ($AT$32*(0.79-(0.002*((E832-G832/2)/(2*F832))*SQRT($AT$32)))), "Non-Compact", L832 &gt; ($AT$32*(0.79-(0.002*((E832-G832/2)/(2*F832))*SQRT($AT$32)))), "Slender")</f>
        <v/>
      </c>
      <c r="Y832" s="129">
        <f t="array" ref="Y832">_xlfn.IFS(K832 &lt;= (65/SQRT($AT$32)), "Compact", K832 &lt;= (95/SQRT($AT$32)), "Non-Compact", K832 &gt; (95/SQRT($AT$32)), "Slender")</f>
        <v/>
      </c>
      <c r="Z832" s="125">
        <f>E832/F832</f>
        <v/>
      </c>
      <c r="AA832" s="125">
        <f>D832/G832</f>
        <v/>
      </c>
      <c r="AB832" s="125">
        <f t="array" ref="AB832">_xlfn.IFS(Z832 &lt;= 9, "1", Z832 &lt;= 12, "2", Z832 &lt;= 15, "3", Z832 &gt; 15, "4")</f>
        <v/>
      </c>
      <c r="AC832" s="125">
        <f t="array" ref="AC832">_xlfn.IFS(AA832 &lt;= 200, "1", L832 &lt;= 300, "2", L832 &lt;= 400, "3", L832 &gt; 400, "4")</f>
        <v/>
      </c>
      <c r="AF832" s="129">
        <f>SQRT((((VLOOKUP($AT$4,$A$4:$D$1021,4,FALSE))-D832)^2)+(((VLOOKUP($AT$4,$A$4:$E$1021,5,FALSE))-E832)^2)+(((VLOOKUP($AT$4,$A$4:$N$1021,14,FALSE))-N832)^2)+(((VLOOKUP($AT$4,$A$4:$O$1021,15,FALSE))-O832)^2))</f>
        <v/>
      </c>
      <c r="AG832" s="129" t="n"/>
      <c r="AI832" s="129">
        <f>SQRT((((VLOOKUP($AT$4,$A$4:$D$1021,4,FALSE))-D832)^2)+(((VLOOKUP($AT$4,$A$4:$E$1021,5,FALSE))-E832)^2)+(((VLOOKUP($AT$4,$A$4:$R$1021,18,FALSE))-R832)^2)+(((VLOOKUP($AT$4,$A$4:$S$1021,19,FALSE))-S832)^2))</f>
        <v/>
      </c>
      <c r="AJ832" s="125" t="inlineStr">
        <is>
          <t>HY700X222</t>
        </is>
      </c>
      <c r="AK832" s="125" t="n"/>
      <c r="AL832" s="125" t="n"/>
      <c r="AM832" s="125">
        <f>SQRT(((VLOOKUP($AT$4,$A$4:$J$1021,10,FALSE))-J832)^2)</f>
        <v/>
      </c>
      <c r="AN832" s="125" t="n"/>
      <c r="AO832" s="125" t="n"/>
      <c r="AP832" s="125">
        <f>SQRT(((VLOOKUP($AT$4,$A$4:$R$1021,18,FALSE))-R832)^2)</f>
        <v/>
      </c>
      <c r="AQ832" s="125" t="inlineStr">
        <is>
          <t>HY700X222</t>
        </is>
      </c>
      <c r="BB832" s="125">
        <f>SQRT(($J$1022-J832)^2)</f>
        <v/>
      </c>
      <c r="BC832" s="125">
        <f>SQRT(($R$1022-R832)^2)</f>
        <v/>
      </c>
      <c r="BD832" s="125" t="inlineStr">
        <is>
          <t>HY700X222</t>
        </is>
      </c>
      <c r="BI832">
        <f>SQRT(($J$1023-J832)^2)</f>
        <v/>
      </c>
      <c r="BJ832">
        <f>SQRT(($R$1023-R832)^2)</f>
        <v/>
      </c>
      <c r="BK832" s="125" t="inlineStr">
        <is>
          <t>HY700X222</t>
        </is>
      </c>
      <c r="BP832">
        <f>SQRT(($J$1024-J832)^2)</f>
        <v/>
      </c>
      <c r="BQ832">
        <f>SQRT(($R$1024-R832)^2)</f>
        <v/>
      </c>
      <c r="BR832" s="125" t="inlineStr">
        <is>
          <t>HY700X222</t>
        </is>
      </c>
      <c r="BW832">
        <f>SQRT(($J$1025-J832)^2)</f>
        <v/>
      </c>
      <c r="BX832">
        <f>SQRT(($R$1025-R832)^2)</f>
        <v/>
      </c>
      <c r="BY832" s="125" t="inlineStr">
        <is>
          <t>HY700X222</t>
        </is>
      </c>
      <c r="CD832">
        <f>SQRT(($J$1026-J832)^2)</f>
        <v/>
      </c>
      <c r="CE832">
        <f>SQRT(($R$1026-R832)^2)</f>
        <v/>
      </c>
      <c r="CF832" s="125" t="inlineStr">
        <is>
          <t>HY700X222</t>
        </is>
      </c>
    </row>
    <row r="833">
      <c r="A833" s="125" t="inlineStr">
        <is>
          <t>HY700X208</t>
        </is>
      </c>
      <c r="B833" s="129" t="inlineStr">
        <is>
          <t>HY</t>
        </is>
      </c>
      <c r="C833" s="125" t="n">
        <v>208</v>
      </c>
      <c r="D833" s="125" t="n">
        <v>700</v>
      </c>
      <c r="E833" s="125" t="n">
        <v>250</v>
      </c>
      <c r="F833" s="125" t="n">
        <v>32</v>
      </c>
      <c r="G833" s="125" t="n">
        <v>16</v>
      </c>
      <c r="H833" s="125" t="n">
        <v>18</v>
      </c>
      <c r="I833" s="125">
        <f>D833-(2*(H833+F833))</f>
        <v/>
      </c>
      <c r="J833" s="125">
        <f>(2*E833/10*F833/10)+((D833-F833-F833)/10*G833/10)+((H833/10+H833/10)^2)-(PI()*H833/10*H833/10)</f>
        <v/>
      </c>
      <c r="K833" s="125">
        <f>((E833-G833)/2)/F833</f>
        <v/>
      </c>
      <c r="L833" s="125">
        <f>I833/G833</f>
        <v/>
      </c>
      <c r="M833" s="125">
        <f>(E833*2+F833*4+((E833-G833)/2-H833)*4+2*PI()*H833+(D833-2*F833-2*H833)*2)/1000</f>
        <v/>
      </c>
      <c r="N833" s="5" t="n">
        <v>216000</v>
      </c>
      <c r="O833" s="5" t="n">
        <v>8360</v>
      </c>
      <c r="P833" s="125" t="n">
        <v>28.6</v>
      </c>
      <c r="Q833" s="125" t="n">
        <v>5.6</v>
      </c>
      <c r="R833" s="5" t="n">
        <v>6160</v>
      </c>
      <c r="S833" s="125" t="n">
        <v>669</v>
      </c>
      <c r="T833" s="5" t="n">
        <v>7050</v>
      </c>
      <c r="U833" s="5" t="n">
        <v>1040</v>
      </c>
      <c r="X833" s="129">
        <f t="array" ref="X833">_xlfn.IFS((D833/F833) &lt;= (640/SQRT($AT$32)), "Compact", L833 &lt;= ($AT$32*(0.79-(0.002*((E833-G833/2)/(2*F833))*SQRT($AT$32)))), "Non-Compact", L833 &gt; ($AT$32*(0.79-(0.002*((E833-G833/2)/(2*F833))*SQRT($AT$32)))), "Slender")</f>
        <v/>
      </c>
      <c r="Y833" s="129">
        <f t="array" ref="Y833">_xlfn.IFS(K833 &lt;= (65/SQRT($AT$32)), "Compact", K833 &lt;= (95/SQRT($AT$32)), "Non-Compact", K833 &gt; (95/SQRT($AT$32)), "Slender")</f>
        <v/>
      </c>
      <c r="Z833" s="125">
        <f>E833/F833</f>
        <v/>
      </c>
      <c r="AA833" s="125">
        <f>D833/G833</f>
        <v/>
      </c>
      <c r="AB833" s="125">
        <f t="array" ref="AB833">_xlfn.IFS(Z833 &lt;= 9, "1", Z833 &lt;= 12, "2", Z833 &lt;= 15, "3", Z833 &gt; 15, "4")</f>
        <v/>
      </c>
      <c r="AC833" s="125">
        <f t="array" ref="AC833">_xlfn.IFS(AA833 &lt;= 200, "1", L833 &lt;= 300, "2", L833 &lt;= 400, "3", L833 &gt; 400, "4")</f>
        <v/>
      </c>
      <c r="AF833" s="129">
        <f>SQRT((((VLOOKUP($AT$4,$A$4:$D$1021,4,FALSE))-D833)^2)+(((VLOOKUP($AT$4,$A$4:$E$1021,5,FALSE))-E833)^2)+(((VLOOKUP($AT$4,$A$4:$N$1021,14,FALSE))-N833)^2)+(((VLOOKUP($AT$4,$A$4:$O$1021,15,FALSE))-O833)^2))</f>
        <v/>
      </c>
      <c r="AG833" s="129" t="n"/>
      <c r="AI833" s="129">
        <f>SQRT((((VLOOKUP($AT$4,$A$4:$D$1021,4,FALSE))-D833)^2)+(((VLOOKUP($AT$4,$A$4:$E$1021,5,FALSE))-E833)^2)+(((VLOOKUP($AT$4,$A$4:$R$1021,18,FALSE))-R833)^2)+(((VLOOKUP($AT$4,$A$4:$S$1021,19,FALSE))-S833)^2))</f>
        <v/>
      </c>
      <c r="AJ833" s="125" t="inlineStr">
        <is>
          <t>HY700X208</t>
        </is>
      </c>
      <c r="AK833" s="125" t="n"/>
      <c r="AL833" s="125" t="n"/>
      <c r="AM833" s="125">
        <f>SQRT(((VLOOKUP($AT$4,$A$4:$J$1021,10,FALSE))-J833)^2)</f>
        <v/>
      </c>
      <c r="AN833" s="125" t="n"/>
      <c r="AO833" s="125" t="n"/>
      <c r="AP833" s="125">
        <f>SQRT(((VLOOKUP($AT$4,$A$4:$R$1021,18,FALSE))-R833)^2)</f>
        <v/>
      </c>
      <c r="AQ833" s="125" t="inlineStr">
        <is>
          <t>HY700X208</t>
        </is>
      </c>
      <c r="BB833" s="125">
        <f>SQRT(($J$1022-J833)^2)</f>
        <v/>
      </c>
      <c r="BC833" s="125">
        <f>SQRT(($R$1022-R833)^2)</f>
        <v/>
      </c>
      <c r="BD833" s="125" t="inlineStr">
        <is>
          <t>HY700X208</t>
        </is>
      </c>
      <c r="BI833">
        <f>SQRT(($J$1023-J833)^2)</f>
        <v/>
      </c>
      <c r="BJ833">
        <f>SQRT(($R$1023-R833)^2)</f>
        <v/>
      </c>
      <c r="BK833" s="125" t="inlineStr">
        <is>
          <t>HY700X208</t>
        </is>
      </c>
      <c r="BP833">
        <f>SQRT(($J$1024-J833)^2)</f>
        <v/>
      </c>
      <c r="BQ833">
        <f>SQRT(($R$1024-R833)^2)</f>
        <v/>
      </c>
      <c r="BR833" s="125" t="inlineStr">
        <is>
          <t>HY700X208</t>
        </is>
      </c>
      <c r="BW833">
        <f>SQRT(($J$1025-J833)^2)</f>
        <v/>
      </c>
      <c r="BX833">
        <f>SQRT(($R$1025-R833)^2)</f>
        <v/>
      </c>
      <c r="BY833" s="125" t="inlineStr">
        <is>
          <t>HY700X208</t>
        </is>
      </c>
      <c r="CD833">
        <f>SQRT(($J$1026-J833)^2)</f>
        <v/>
      </c>
      <c r="CE833">
        <f>SQRT(($R$1026-R833)^2)</f>
        <v/>
      </c>
      <c r="CF833" s="125" t="inlineStr">
        <is>
          <t>HY700X208</t>
        </is>
      </c>
    </row>
    <row r="834">
      <c r="A834" s="125" t="inlineStr">
        <is>
          <t>HY700X193</t>
        </is>
      </c>
      <c r="B834" s="129" t="inlineStr">
        <is>
          <t>HY</t>
        </is>
      </c>
      <c r="C834" s="125" t="n">
        <v>193</v>
      </c>
      <c r="D834" s="125" t="n">
        <v>700</v>
      </c>
      <c r="E834" s="125" t="n">
        <v>250</v>
      </c>
      <c r="F834" s="125" t="n">
        <v>28</v>
      </c>
      <c r="G834" s="125" t="n">
        <v>16</v>
      </c>
      <c r="H834" s="125" t="n">
        <v>18</v>
      </c>
      <c r="I834" s="125">
        <f>D834-(2*(H834+F834))</f>
        <v/>
      </c>
      <c r="J834" s="125">
        <f>(2*E834/10*F834/10)+((D834-F834-F834)/10*G834/10)+((H834/10+H834/10)^2)-(PI()*H834/10*H834/10)</f>
        <v/>
      </c>
      <c r="K834" s="125">
        <f>((E834-G834)/2)/F834</f>
        <v/>
      </c>
      <c r="L834" s="125">
        <f>I834/G834</f>
        <v/>
      </c>
      <c r="M834" s="125">
        <f>(E834*2+F834*4+((E834-G834)/2-H834)*4+2*PI()*H834+(D834-2*F834-2*H834)*2)/1000</f>
        <v/>
      </c>
      <c r="N834" s="5" t="n">
        <v>197000</v>
      </c>
      <c r="O834" s="5" t="n">
        <v>7320</v>
      </c>
      <c r="P834" s="125" t="n">
        <v>28.3</v>
      </c>
      <c r="Q834" s="125" t="n">
        <v>5.5</v>
      </c>
      <c r="R834" s="5" t="n">
        <v>5620</v>
      </c>
      <c r="S834" s="125" t="n">
        <v>585</v>
      </c>
      <c r="T834" s="5" t="n">
        <v>6450</v>
      </c>
      <c r="U834" s="125" t="n">
        <v>920</v>
      </c>
      <c r="X834" s="129">
        <f t="array" ref="X834">_xlfn.IFS((D834/F834) &lt;= (640/SQRT($AT$32)), "Compact", L834 &lt;= ($AT$32*(0.79-(0.002*((E834-G834/2)/(2*F834))*SQRT($AT$32)))), "Non-Compact", L834 &gt; ($AT$32*(0.79-(0.002*((E834-G834/2)/(2*F834))*SQRT($AT$32)))), "Slender")</f>
        <v/>
      </c>
      <c r="Y834" s="129">
        <f t="array" ref="Y834">_xlfn.IFS(K834 &lt;= (65/SQRT($AT$32)), "Compact", K834 &lt;= (95/SQRT($AT$32)), "Non-Compact", K834 &gt; (95/SQRT($AT$32)), "Slender")</f>
        <v/>
      </c>
      <c r="Z834" s="125">
        <f>E834/F834</f>
        <v/>
      </c>
      <c r="AA834" s="125">
        <f>D834/G834</f>
        <v/>
      </c>
      <c r="AB834" s="125">
        <f t="array" ref="AB834">_xlfn.IFS(Z834 &lt;= 9, "1", Z834 &lt;= 12, "2", Z834 &lt;= 15, "3", Z834 &gt; 15, "4")</f>
        <v/>
      </c>
      <c r="AC834" s="125">
        <f t="array" ref="AC834">_xlfn.IFS(AA834 &lt;= 200, "1", L834 &lt;= 300, "2", L834 &lt;= 400, "3", L834 &gt; 400, "4")</f>
        <v/>
      </c>
      <c r="AF834" s="129">
        <f>SQRT((((VLOOKUP($AT$4,$A$4:$D$1021,4,FALSE))-D834)^2)+(((VLOOKUP($AT$4,$A$4:$E$1021,5,FALSE))-E834)^2)+(((VLOOKUP($AT$4,$A$4:$N$1021,14,FALSE))-N834)^2)+(((VLOOKUP($AT$4,$A$4:$O$1021,15,FALSE))-O834)^2))</f>
        <v/>
      </c>
      <c r="AG834" s="129" t="n"/>
      <c r="AI834" s="129">
        <f>SQRT((((VLOOKUP($AT$4,$A$4:$D$1021,4,FALSE))-D834)^2)+(((VLOOKUP($AT$4,$A$4:$E$1021,5,FALSE))-E834)^2)+(((VLOOKUP($AT$4,$A$4:$R$1021,18,FALSE))-R834)^2)+(((VLOOKUP($AT$4,$A$4:$S$1021,19,FALSE))-S834)^2))</f>
        <v/>
      </c>
      <c r="AJ834" s="125" t="inlineStr">
        <is>
          <t>HY700X193</t>
        </is>
      </c>
      <c r="AK834" s="125" t="n"/>
      <c r="AL834" s="125" t="n"/>
      <c r="AM834" s="125">
        <f>SQRT(((VLOOKUP($AT$4,$A$4:$J$1021,10,FALSE))-J834)^2)</f>
        <v/>
      </c>
      <c r="AN834" s="125" t="n"/>
      <c r="AO834" s="125" t="n"/>
      <c r="AP834" s="125">
        <f>SQRT(((VLOOKUP($AT$4,$A$4:$R$1021,18,FALSE))-R834)^2)</f>
        <v/>
      </c>
      <c r="AQ834" s="125" t="inlineStr">
        <is>
          <t>HY700X193</t>
        </is>
      </c>
      <c r="BB834" s="125">
        <f>SQRT(($J$1022-J834)^2)</f>
        <v/>
      </c>
      <c r="BC834" s="125">
        <f>SQRT(($R$1022-R834)^2)</f>
        <v/>
      </c>
      <c r="BD834" s="125" t="inlineStr">
        <is>
          <t>HY700X193</t>
        </is>
      </c>
      <c r="BI834">
        <f>SQRT(($J$1023-J834)^2)</f>
        <v/>
      </c>
      <c r="BJ834">
        <f>SQRT(($R$1023-R834)^2)</f>
        <v/>
      </c>
      <c r="BK834" s="125" t="inlineStr">
        <is>
          <t>HY700X193</t>
        </is>
      </c>
      <c r="BP834">
        <f>SQRT(($J$1024-J834)^2)</f>
        <v/>
      </c>
      <c r="BQ834">
        <f>SQRT(($R$1024-R834)^2)</f>
        <v/>
      </c>
      <c r="BR834" s="125" t="inlineStr">
        <is>
          <t>HY700X193</t>
        </is>
      </c>
      <c r="BW834">
        <f>SQRT(($J$1025-J834)^2)</f>
        <v/>
      </c>
      <c r="BX834">
        <f>SQRT(($R$1025-R834)^2)</f>
        <v/>
      </c>
      <c r="BY834" s="125" t="inlineStr">
        <is>
          <t>HY700X193</t>
        </is>
      </c>
      <c r="CD834">
        <f>SQRT(($J$1026-J834)^2)</f>
        <v/>
      </c>
      <c r="CE834">
        <f>SQRT(($R$1026-R834)^2)</f>
        <v/>
      </c>
      <c r="CF834" s="125" t="inlineStr">
        <is>
          <t>HY700X193</t>
        </is>
      </c>
    </row>
    <row r="835">
      <c r="A835" s="125" t="inlineStr">
        <is>
          <t>HY700X182</t>
        </is>
      </c>
      <c r="B835" s="129" t="inlineStr">
        <is>
          <t>HY</t>
        </is>
      </c>
      <c r="C835" s="125" t="n">
        <v>182</v>
      </c>
      <c r="D835" s="125" t="n">
        <v>700</v>
      </c>
      <c r="E835" s="125" t="n">
        <v>250</v>
      </c>
      <c r="F835" s="125" t="n">
        <v>25</v>
      </c>
      <c r="G835" s="125" t="n">
        <v>16</v>
      </c>
      <c r="H835" s="125" t="n">
        <v>18</v>
      </c>
      <c r="I835" s="125">
        <f>D835-(2*(H835+F835))</f>
        <v/>
      </c>
      <c r="J835" s="125">
        <f>(2*E835/10*F835/10)+((D835-F835-F835)/10*G835/10)+((H835/10+H835/10)^2)-(PI()*H835/10*H835/10)</f>
        <v/>
      </c>
      <c r="K835" s="125">
        <f>((E835-G835)/2)/F835</f>
        <v/>
      </c>
      <c r="L835" s="125">
        <f>I835/G835</f>
        <v/>
      </c>
      <c r="M835" s="125">
        <f>(E835*2+F835*4+((E835-G835)/2-H835)*4+2*PI()*H835+(D835-2*F835-2*H835)*2)/1000</f>
        <v/>
      </c>
      <c r="N835" s="5" t="n">
        <v>182000</v>
      </c>
      <c r="O835" s="5" t="n">
        <v>6540</v>
      </c>
      <c r="P835" s="125" t="n">
        <v>28</v>
      </c>
      <c r="Q835" s="125" t="n">
        <v>5.3</v>
      </c>
      <c r="R835" s="5" t="n">
        <v>5200</v>
      </c>
      <c r="S835" s="125" t="n">
        <v>523</v>
      </c>
      <c r="T835" s="5" t="n">
        <v>6000</v>
      </c>
      <c r="U835" s="125" t="n">
        <v>826</v>
      </c>
      <c r="X835" s="129">
        <f t="array" ref="X835">_xlfn.IFS((D835/F835) &lt;= (640/SQRT($AT$32)), "Compact", L835 &lt;= ($AT$32*(0.79-(0.002*((E835-G835/2)/(2*F835))*SQRT($AT$32)))), "Non-Compact", L835 &gt; ($AT$32*(0.79-(0.002*((E835-G835/2)/(2*F835))*SQRT($AT$32)))), "Slender")</f>
        <v/>
      </c>
      <c r="Y835" s="129">
        <f t="array" ref="Y835">_xlfn.IFS(K835 &lt;= (65/SQRT($AT$32)), "Compact", K835 &lt;= (95/SQRT($AT$32)), "Non-Compact", K835 &gt; (95/SQRT($AT$32)), "Slender")</f>
        <v/>
      </c>
      <c r="Z835" s="125">
        <f>E835/F835</f>
        <v/>
      </c>
      <c r="AA835" s="125">
        <f>D835/G835</f>
        <v/>
      </c>
      <c r="AB835" s="125">
        <f t="array" ref="AB835">_xlfn.IFS(Z835 &lt;= 9, "1", Z835 &lt;= 12, "2", Z835 &lt;= 15, "3", Z835 &gt; 15, "4")</f>
        <v/>
      </c>
      <c r="AC835" s="125">
        <f t="array" ref="AC835">_xlfn.IFS(AA835 &lt;= 200, "1", L835 &lt;= 300, "2", L835 &lt;= 400, "3", L835 &gt; 400, "4")</f>
        <v/>
      </c>
      <c r="AF835" s="129">
        <f>SQRT((((VLOOKUP($AT$4,$A$4:$D$1021,4,FALSE))-D835)^2)+(((VLOOKUP($AT$4,$A$4:$E$1021,5,FALSE))-E835)^2)+(((VLOOKUP($AT$4,$A$4:$N$1021,14,FALSE))-N835)^2)+(((VLOOKUP($AT$4,$A$4:$O$1021,15,FALSE))-O835)^2))</f>
        <v/>
      </c>
      <c r="AG835" s="129" t="n"/>
      <c r="AI835" s="129">
        <f>SQRT((((VLOOKUP($AT$4,$A$4:$D$1021,4,FALSE))-D835)^2)+(((VLOOKUP($AT$4,$A$4:$E$1021,5,FALSE))-E835)^2)+(((VLOOKUP($AT$4,$A$4:$R$1021,18,FALSE))-R835)^2)+(((VLOOKUP($AT$4,$A$4:$S$1021,19,FALSE))-S835)^2))</f>
        <v/>
      </c>
      <c r="AJ835" s="125" t="inlineStr">
        <is>
          <t>HY700X182</t>
        </is>
      </c>
      <c r="AK835" s="125" t="n"/>
      <c r="AL835" s="125" t="n"/>
      <c r="AM835" s="125">
        <f>SQRT(((VLOOKUP($AT$4,$A$4:$J$1021,10,FALSE))-J835)^2)</f>
        <v/>
      </c>
      <c r="AN835" s="125" t="n"/>
      <c r="AO835" s="125" t="n"/>
      <c r="AP835" s="125">
        <f>SQRT(((VLOOKUP($AT$4,$A$4:$R$1021,18,FALSE))-R835)^2)</f>
        <v/>
      </c>
      <c r="AQ835" s="125" t="inlineStr">
        <is>
          <t>HY700X182</t>
        </is>
      </c>
      <c r="BB835" s="125">
        <f>SQRT(($J$1022-J835)^2)</f>
        <v/>
      </c>
      <c r="BC835" s="125">
        <f>SQRT(($R$1022-R835)^2)</f>
        <v/>
      </c>
      <c r="BD835" s="125" t="inlineStr">
        <is>
          <t>HY700X182</t>
        </is>
      </c>
      <c r="BI835">
        <f>SQRT(($J$1023-J835)^2)</f>
        <v/>
      </c>
      <c r="BJ835">
        <f>SQRT(($R$1023-R835)^2)</f>
        <v/>
      </c>
      <c r="BK835" s="125" t="inlineStr">
        <is>
          <t>HY700X182</t>
        </is>
      </c>
      <c r="BP835">
        <f>SQRT(($J$1024-J835)^2)</f>
        <v/>
      </c>
      <c r="BQ835">
        <f>SQRT(($R$1024-R835)^2)</f>
        <v/>
      </c>
      <c r="BR835" s="125" t="inlineStr">
        <is>
          <t>HY700X182</t>
        </is>
      </c>
      <c r="BW835">
        <f>SQRT(($J$1025-J835)^2)</f>
        <v/>
      </c>
      <c r="BX835">
        <f>SQRT(($R$1025-R835)^2)</f>
        <v/>
      </c>
      <c r="BY835" s="125" t="inlineStr">
        <is>
          <t>HY700X182</t>
        </is>
      </c>
      <c r="CD835">
        <f>SQRT(($J$1026-J835)^2)</f>
        <v/>
      </c>
      <c r="CE835">
        <f>SQRT(($R$1026-R835)^2)</f>
        <v/>
      </c>
      <c r="CF835" s="125" t="inlineStr">
        <is>
          <t>HY700X182</t>
        </is>
      </c>
    </row>
    <row r="836">
      <c r="A836" s="125" t="inlineStr">
        <is>
          <t>HY700X171</t>
        </is>
      </c>
      <c r="B836" s="129" t="inlineStr">
        <is>
          <t>HY</t>
        </is>
      </c>
      <c r="C836" s="125" t="n">
        <v>171</v>
      </c>
      <c r="D836" s="125" t="n">
        <v>700</v>
      </c>
      <c r="E836" s="125" t="n">
        <v>250</v>
      </c>
      <c r="F836" s="125" t="n">
        <v>22</v>
      </c>
      <c r="G836" s="125" t="n">
        <v>16</v>
      </c>
      <c r="H836" s="125" t="n">
        <v>18</v>
      </c>
      <c r="I836" s="125">
        <f>D836-(2*(H836+F836))</f>
        <v/>
      </c>
      <c r="J836" s="125">
        <f>(2*E836/10*F836/10)+((D836-F836-F836)/10*G836/10)+((H836/10+H836/10)^2)-(PI()*H836/10*H836/10)</f>
        <v/>
      </c>
      <c r="K836" s="125">
        <f>((E836-G836)/2)/F836</f>
        <v/>
      </c>
      <c r="L836" s="125">
        <f>I836/G836</f>
        <v/>
      </c>
      <c r="M836" s="125">
        <f>(E836*2+F836*4+((E836-G836)/2-H836)*4+2*PI()*H836+(D836-2*F836-2*H836)*2)/1000</f>
        <v/>
      </c>
      <c r="N836" s="5" t="n">
        <v>167000</v>
      </c>
      <c r="O836" s="5" t="n">
        <v>5760</v>
      </c>
      <c r="P836" s="125" t="n">
        <v>27.7</v>
      </c>
      <c r="Q836" s="125" t="n">
        <v>5.1</v>
      </c>
      <c r="R836" s="5" t="n">
        <v>4770</v>
      </c>
      <c r="S836" s="125" t="n">
        <v>460</v>
      </c>
      <c r="T836" s="5" t="n">
        <v>5540</v>
      </c>
      <c r="U836" s="125" t="n">
        <v>733</v>
      </c>
      <c r="X836" s="129">
        <f t="array" ref="X836">_xlfn.IFS((D836/F836) &lt;= (640/SQRT($AT$32)), "Compact", L836 &lt;= ($AT$32*(0.79-(0.002*((E836-G836/2)/(2*F836))*SQRT($AT$32)))), "Non-Compact", L836 &gt; ($AT$32*(0.79-(0.002*((E836-G836/2)/(2*F836))*SQRT($AT$32)))), "Slender")</f>
        <v/>
      </c>
      <c r="Y836" s="129">
        <f t="array" ref="Y836">_xlfn.IFS(K836 &lt;= (65/SQRT($AT$32)), "Compact", K836 &lt;= (95/SQRT($AT$32)), "Non-Compact", K836 &gt; (95/SQRT($AT$32)), "Slender")</f>
        <v/>
      </c>
      <c r="Z836" s="125">
        <f>E836/F836</f>
        <v/>
      </c>
      <c r="AA836" s="125">
        <f>D836/G836</f>
        <v/>
      </c>
      <c r="AB836" s="125">
        <f t="array" ref="AB836">_xlfn.IFS(Z836 &lt;= 9, "1", Z836 &lt;= 12, "2", Z836 &lt;= 15, "3", Z836 &gt; 15, "4")</f>
        <v/>
      </c>
      <c r="AC836" s="125">
        <f t="array" ref="AC836">_xlfn.IFS(AA836 &lt;= 200, "1", L836 &lt;= 300, "2", L836 &lt;= 400, "3", L836 &gt; 400, "4")</f>
        <v/>
      </c>
      <c r="AF836" s="129">
        <f>SQRT((((VLOOKUP($AT$4,$A$4:$D$1021,4,FALSE))-D836)^2)+(((VLOOKUP($AT$4,$A$4:$E$1021,5,FALSE))-E836)^2)+(((VLOOKUP($AT$4,$A$4:$N$1021,14,FALSE))-N836)^2)+(((VLOOKUP($AT$4,$A$4:$O$1021,15,FALSE))-O836)^2))</f>
        <v/>
      </c>
      <c r="AG836" s="129" t="n"/>
      <c r="AI836" s="129">
        <f>SQRT((((VLOOKUP($AT$4,$A$4:$D$1021,4,FALSE))-D836)^2)+(((VLOOKUP($AT$4,$A$4:$E$1021,5,FALSE))-E836)^2)+(((VLOOKUP($AT$4,$A$4:$R$1021,18,FALSE))-R836)^2)+(((VLOOKUP($AT$4,$A$4:$S$1021,19,FALSE))-S836)^2))</f>
        <v/>
      </c>
      <c r="AJ836" s="125" t="inlineStr">
        <is>
          <t>HY700X171</t>
        </is>
      </c>
      <c r="AK836" s="125" t="n"/>
      <c r="AL836" s="125" t="n"/>
      <c r="AM836" s="125">
        <f>SQRT(((VLOOKUP($AT$4,$A$4:$J$1021,10,FALSE))-J836)^2)</f>
        <v/>
      </c>
      <c r="AN836" s="125" t="n"/>
      <c r="AO836" s="125" t="n"/>
      <c r="AP836" s="125">
        <f>SQRT(((VLOOKUP($AT$4,$A$4:$R$1021,18,FALSE))-R836)^2)</f>
        <v/>
      </c>
      <c r="AQ836" s="125" t="inlineStr">
        <is>
          <t>HY700X171</t>
        </is>
      </c>
      <c r="BB836" s="125">
        <f>SQRT(($J$1022-J836)^2)</f>
        <v/>
      </c>
      <c r="BC836" s="125">
        <f>SQRT(($R$1022-R836)^2)</f>
        <v/>
      </c>
      <c r="BD836" s="125" t="inlineStr">
        <is>
          <t>HY700X171</t>
        </is>
      </c>
      <c r="BI836">
        <f>SQRT(($J$1023-J836)^2)</f>
        <v/>
      </c>
      <c r="BJ836">
        <f>SQRT(($R$1023-R836)^2)</f>
        <v/>
      </c>
      <c r="BK836" s="125" t="inlineStr">
        <is>
          <t>HY700X171</t>
        </is>
      </c>
      <c r="BP836">
        <f>SQRT(($J$1024-J836)^2)</f>
        <v/>
      </c>
      <c r="BQ836">
        <f>SQRT(($R$1024-R836)^2)</f>
        <v/>
      </c>
      <c r="BR836" s="125" t="inlineStr">
        <is>
          <t>HY700X171</t>
        </is>
      </c>
      <c r="BW836">
        <f>SQRT(($J$1025-J836)^2)</f>
        <v/>
      </c>
      <c r="BX836">
        <f>SQRT(($R$1025-R836)^2)</f>
        <v/>
      </c>
      <c r="BY836" s="125" t="inlineStr">
        <is>
          <t>HY700X171</t>
        </is>
      </c>
      <c r="CD836">
        <f>SQRT(($J$1026-J836)^2)</f>
        <v/>
      </c>
      <c r="CE836">
        <f>SQRT(($R$1026-R836)^2)</f>
        <v/>
      </c>
      <c r="CF836" s="125" t="inlineStr">
        <is>
          <t>HY700X171</t>
        </is>
      </c>
    </row>
    <row r="837">
      <c r="A837" s="125" t="inlineStr">
        <is>
          <t>HY700X198</t>
        </is>
      </c>
      <c r="B837" s="129" t="inlineStr">
        <is>
          <t>HY</t>
        </is>
      </c>
      <c r="C837" s="125" t="n">
        <v>198</v>
      </c>
      <c r="D837" s="125" t="n">
        <v>700</v>
      </c>
      <c r="E837" s="125" t="n">
        <v>250</v>
      </c>
      <c r="F837" s="125" t="n">
        <v>32</v>
      </c>
      <c r="G837" s="125" t="n">
        <v>14</v>
      </c>
      <c r="H837" s="125" t="n">
        <v>18</v>
      </c>
      <c r="I837" s="125">
        <f>D837-(2*(H837+F837))</f>
        <v/>
      </c>
      <c r="J837" s="125">
        <f>(2*E837/10*F837/10)+((D837-F837-F837)/10*G837/10)+((H837/10+H837/10)^2)-(PI()*H837/10*H837/10)</f>
        <v/>
      </c>
      <c r="K837" s="125">
        <f>((E837-G837)/2)/F837</f>
        <v/>
      </c>
      <c r="L837" s="125">
        <f>I837/G837</f>
        <v/>
      </c>
      <c r="M837" s="125">
        <f>(E837*2+F837*4+((E837-G837)/2-H837)*4+2*PI()*H837+(D837-2*F837-2*H837)*2)/1000</f>
        <v/>
      </c>
      <c r="N837" s="5" t="n">
        <v>211000</v>
      </c>
      <c r="O837" s="5" t="n">
        <v>8350</v>
      </c>
      <c r="P837" s="125" t="n">
        <v>29</v>
      </c>
      <c r="Q837" s="125" t="n">
        <v>5.8</v>
      </c>
      <c r="R837" s="5" t="n">
        <v>6040</v>
      </c>
      <c r="S837" s="125" t="n">
        <v>668</v>
      </c>
      <c r="T837" s="5" t="n">
        <v>6850</v>
      </c>
      <c r="U837" s="5" t="n">
        <v>1030</v>
      </c>
      <c r="X837" s="129">
        <f t="array" ref="X837">_xlfn.IFS((D837/F837) &lt;= (640/SQRT($AT$32)), "Compact", L837 &lt;= ($AT$32*(0.79-(0.002*((E837-G837/2)/(2*F837))*SQRT($AT$32)))), "Non-Compact", L837 &gt; ($AT$32*(0.79-(0.002*((E837-G837/2)/(2*F837))*SQRT($AT$32)))), "Slender")</f>
        <v/>
      </c>
      <c r="Y837" s="129">
        <f t="array" ref="Y837">_xlfn.IFS(K837 &lt;= (65/SQRT($AT$32)), "Compact", K837 &lt;= (95/SQRT($AT$32)), "Non-Compact", K837 &gt; (95/SQRT($AT$32)), "Slender")</f>
        <v/>
      </c>
      <c r="Z837" s="125">
        <f>E837/F837</f>
        <v/>
      </c>
      <c r="AA837" s="125">
        <f>D837/G837</f>
        <v/>
      </c>
      <c r="AB837" s="125">
        <f t="array" ref="AB837">_xlfn.IFS(Z837 &lt;= 9, "1", Z837 &lt;= 12, "2", Z837 &lt;= 15, "3", Z837 &gt; 15, "4")</f>
        <v/>
      </c>
      <c r="AC837" s="125">
        <f t="array" ref="AC837">_xlfn.IFS(AA837 &lt;= 200, "1", L837 &lt;= 300, "2", L837 &lt;= 400, "3", L837 &gt; 400, "4")</f>
        <v/>
      </c>
      <c r="AF837" s="129">
        <f>SQRT((((VLOOKUP($AT$4,$A$4:$D$1021,4,FALSE))-D837)^2)+(((VLOOKUP($AT$4,$A$4:$E$1021,5,FALSE))-E837)^2)+(((VLOOKUP($AT$4,$A$4:$N$1021,14,FALSE))-N837)^2)+(((VLOOKUP($AT$4,$A$4:$O$1021,15,FALSE))-O837)^2))</f>
        <v/>
      </c>
      <c r="AG837" s="129" t="n"/>
      <c r="AI837" s="129">
        <f>SQRT((((VLOOKUP($AT$4,$A$4:$D$1021,4,FALSE))-D837)^2)+(((VLOOKUP($AT$4,$A$4:$E$1021,5,FALSE))-E837)^2)+(((VLOOKUP($AT$4,$A$4:$R$1021,18,FALSE))-R837)^2)+(((VLOOKUP($AT$4,$A$4:$S$1021,19,FALSE))-S837)^2))</f>
        <v/>
      </c>
      <c r="AJ837" s="125" t="inlineStr">
        <is>
          <t>HY700X198</t>
        </is>
      </c>
      <c r="AK837" s="125" t="n"/>
      <c r="AL837" s="125" t="n"/>
      <c r="AM837" s="125">
        <f>SQRT(((VLOOKUP($AT$4,$A$4:$J$1021,10,FALSE))-J837)^2)</f>
        <v/>
      </c>
      <c r="AN837" s="125" t="n"/>
      <c r="AO837" s="125" t="n"/>
      <c r="AP837" s="125">
        <f>SQRT(((VLOOKUP($AT$4,$A$4:$R$1021,18,FALSE))-R837)^2)</f>
        <v/>
      </c>
      <c r="AQ837" s="125" t="inlineStr">
        <is>
          <t>HY700X198</t>
        </is>
      </c>
      <c r="BB837" s="125">
        <f>SQRT(($J$1022-J837)^2)</f>
        <v/>
      </c>
      <c r="BC837" s="125">
        <f>SQRT(($R$1022-R837)^2)</f>
        <v/>
      </c>
      <c r="BD837" s="125" t="inlineStr">
        <is>
          <t>HY700X198</t>
        </is>
      </c>
      <c r="BI837">
        <f>SQRT(($J$1023-J837)^2)</f>
        <v/>
      </c>
      <c r="BJ837">
        <f>SQRT(($R$1023-R837)^2)</f>
        <v/>
      </c>
      <c r="BK837" s="125" t="inlineStr">
        <is>
          <t>HY700X198</t>
        </is>
      </c>
      <c r="BP837">
        <f>SQRT(($J$1024-J837)^2)</f>
        <v/>
      </c>
      <c r="BQ837">
        <f>SQRT(($R$1024-R837)^2)</f>
        <v/>
      </c>
      <c r="BR837" s="125" t="inlineStr">
        <is>
          <t>HY700X198</t>
        </is>
      </c>
      <c r="BW837">
        <f>SQRT(($J$1025-J837)^2)</f>
        <v/>
      </c>
      <c r="BX837">
        <f>SQRT(($R$1025-R837)^2)</f>
        <v/>
      </c>
      <c r="BY837" s="125" t="inlineStr">
        <is>
          <t>HY700X198</t>
        </is>
      </c>
      <c r="CD837">
        <f>SQRT(($J$1026-J837)^2)</f>
        <v/>
      </c>
      <c r="CE837">
        <f>SQRT(($R$1026-R837)^2)</f>
        <v/>
      </c>
      <c r="CF837" s="125" t="inlineStr">
        <is>
          <t>HY700X198</t>
        </is>
      </c>
    </row>
    <row r="838">
      <c r="A838" s="125" t="inlineStr">
        <is>
          <t>HY700X183</t>
        </is>
      </c>
      <c r="B838" s="129" t="inlineStr">
        <is>
          <t>HY</t>
        </is>
      </c>
      <c r="C838" s="125" t="n">
        <v>183</v>
      </c>
      <c r="D838" s="125" t="n">
        <v>700</v>
      </c>
      <c r="E838" s="125" t="n">
        <v>250</v>
      </c>
      <c r="F838" s="125" t="n">
        <v>28</v>
      </c>
      <c r="G838" s="125" t="n">
        <v>14</v>
      </c>
      <c r="H838" s="125" t="n">
        <v>18</v>
      </c>
      <c r="I838" s="125">
        <f>D838-(2*(H838+F838))</f>
        <v/>
      </c>
      <c r="J838" s="125">
        <f>(2*E838/10*F838/10)+((D838-F838-F838)/10*G838/10)+((H838/10+H838/10)^2)-(PI()*H838/10*H838/10)</f>
        <v/>
      </c>
      <c r="K838" s="125">
        <f>((E838-G838)/2)/F838</f>
        <v/>
      </c>
      <c r="L838" s="125">
        <f>I838/G838</f>
        <v/>
      </c>
      <c r="M838" s="125">
        <f>(E838*2+F838*4+((E838-G838)/2-H838)*4+2*PI()*H838+(D838-2*F838-2*H838)*2)/1000</f>
        <v/>
      </c>
      <c r="N838" s="5" t="n">
        <v>192000</v>
      </c>
      <c r="O838" s="5" t="n">
        <v>7310</v>
      </c>
      <c r="P838" s="125" t="n">
        <v>28.7</v>
      </c>
      <c r="Q838" s="125" t="n">
        <v>5.6</v>
      </c>
      <c r="R838" s="5" t="n">
        <v>5490</v>
      </c>
      <c r="S838" s="125" t="n">
        <v>585</v>
      </c>
      <c r="T838" s="5" t="n">
        <v>6240</v>
      </c>
      <c r="U838" s="125" t="n">
        <v>910</v>
      </c>
      <c r="X838" s="129">
        <f t="array" ref="X838">_xlfn.IFS((D838/F838) &lt;= (640/SQRT($AT$32)), "Compact", L838 &lt;= ($AT$32*(0.79-(0.002*((E838-G838/2)/(2*F838))*SQRT($AT$32)))), "Non-Compact", L838 &gt; ($AT$32*(0.79-(0.002*((E838-G838/2)/(2*F838))*SQRT($AT$32)))), "Slender")</f>
        <v/>
      </c>
      <c r="Y838" s="129">
        <f t="array" ref="Y838">_xlfn.IFS(K838 &lt;= (65/SQRT($AT$32)), "Compact", K838 &lt;= (95/SQRT($AT$32)), "Non-Compact", K838 &gt; (95/SQRT($AT$32)), "Slender")</f>
        <v/>
      </c>
      <c r="Z838" s="125">
        <f>E838/F838</f>
        <v/>
      </c>
      <c r="AA838" s="125">
        <f>D838/G838</f>
        <v/>
      </c>
      <c r="AB838" s="125">
        <f t="array" ref="AB838">_xlfn.IFS(Z838 &lt;= 9, "1", Z838 &lt;= 12, "2", Z838 &lt;= 15, "3", Z838 &gt; 15, "4")</f>
        <v/>
      </c>
      <c r="AC838" s="125">
        <f t="array" ref="AC838">_xlfn.IFS(AA838 &lt;= 200, "1", L838 &lt;= 300, "2", L838 &lt;= 400, "3", L838 &gt; 400, "4")</f>
        <v/>
      </c>
      <c r="AF838" s="129">
        <f>SQRT((((VLOOKUP($AT$4,$A$4:$D$1021,4,FALSE))-D838)^2)+(((VLOOKUP($AT$4,$A$4:$E$1021,5,FALSE))-E838)^2)+(((VLOOKUP($AT$4,$A$4:$N$1021,14,FALSE))-N838)^2)+(((VLOOKUP($AT$4,$A$4:$O$1021,15,FALSE))-O838)^2))</f>
        <v/>
      </c>
      <c r="AG838" s="129" t="n"/>
      <c r="AI838" s="129">
        <f>SQRT((((VLOOKUP($AT$4,$A$4:$D$1021,4,FALSE))-D838)^2)+(((VLOOKUP($AT$4,$A$4:$E$1021,5,FALSE))-E838)^2)+(((VLOOKUP($AT$4,$A$4:$R$1021,18,FALSE))-R838)^2)+(((VLOOKUP($AT$4,$A$4:$S$1021,19,FALSE))-S838)^2))</f>
        <v/>
      </c>
      <c r="AJ838" s="125" t="inlineStr">
        <is>
          <t>HY700X183</t>
        </is>
      </c>
      <c r="AK838" s="125" t="n"/>
      <c r="AL838" s="125" t="n"/>
      <c r="AM838" s="125">
        <f>SQRT(((VLOOKUP($AT$4,$A$4:$J$1021,10,FALSE))-J838)^2)</f>
        <v/>
      </c>
      <c r="AN838" s="125" t="n"/>
      <c r="AO838" s="125" t="n"/>
      <c r="AP838" s="125">
        <f>SQRT(((VLOOKUP($AT$4,$A$4:$R$1021,18,FALSE))-R838)^2)</f>
        <v/>
      </c>
      <c r="AQ838" s="125" t="inlineStr">
        <is>
          <t>HY700X183</t>
        </is>
      </c>
      <c r="BB838" s="125">
        <f>SQRT(($J$1022-J838)^2)</f>
        <v/>
      </c>
      <c r="BC838" s="125">
        <f>SQRT(($R$1022-R838)^2)</f>
        <v/>
      </c>
      <c r="BD838" s="125" t="inlineStr">
        <is>
          <t>HY700X183</t>
        </is>
      </c>
      <c r="BI838">
        <f>SQRT(($J$1023-J838)^2)</f>
        <v/>
      </c>
      <c r="BJ838">
        <f>SQRT(($R$1023-R838)^2)</f>
        <v/>
      </c>
      <c r="BK838" s="125" t="inlineStr">
        <is>
          <t>HY700X183</t>
        </is>
      </c>
      <c r="BP838">
        <f>SQRT(($J$1024-J838)^2)</f>
        <v/>
      </c>
      <c r="BQ838">
        <f>SQRT(($R$1024-R838)^2)</f>
        <v/>
      </c>
      <c r="BR838" s="125" t="inlineStr">
        <is>
          <t>HY700X183</t>
        </is>
      </c>
      <c r="BW838">
        <f>SQRT(($J$1025-J838)^2)</f>
        <v/>
      </c>
      <c r="BX838">
        <f>SQRT(($R$1025-R838)^2)</f>
        <v/>
      </c>
      <c r="BY838" s="125" t="inlineStr">
        <is>
          <t>HY700X183</t>
        </is>
      </c>
      <c r="CD838">
        <f>SQRT(($J$1026-J838)^2)</f>
        <v/>
      </c>
      <c r="CE838">
        <f>SQRT(($R$1026-R838)^2)</f>
        <v/>
      </c>
      <c r="CF838" s="125" t="inlineStr">
        <is>
          <t>HY700X183</t>
        </is>
      </c>
    </row>
    <row r="839">
      <c r="A839" s="125" t="inlineStr">
        <is>
          <t>HY700X172</t>
        </is>
      </c>
      <c r="B839" s="129" t="inlineStr">
        <is>
          <t>HY</t>
        </is>
      </c>
      <c r="C839" s="125" t="n">
        <v>172</v>
      </c>
      <c r="D839" s="125" t="n">
        <v>700</v>
      </c>
      <c r="E839" s="125" t="n">
        <v>250</v>
      </c>
      <c r="F839" s="125" t="n">
        <v>25</v>
      </c>
      <c r="G839" s="125" t="n">
        <v>14</v>
      </c>
      <c r="H839" s="125" t="n">
        <v>18</v>
      </c>
      <c r="I839" s="125">
        <f>D839-(2*(H839+F839))</f>
        <v/>
      </c>
      <c r="J839" s="125">
        <f>(2*E839/10*F839/10)+((D839-F839-F839)/10*G839/10)+((H839/10+H839/10)^2)-(PI()*H839/10*H839/10)</f>
        <v/>
      </c>
      <c r="K839" s="125">
        <f>((E839-G839)/2)/F839</f>
        <v/>
      </c>
      <c r="L839" s="125">
        <f>I839/G839</f>
        <v/>
      </c>
      <c r="M839" s="125">
        <f>(E839*2+F839*4+((E839-G839)/2-H839)*4+2*PI()*H839+(D839-2*F839-2*H839)*2)/1000</f>
        <v/>
      </c>
      <c r="N839" s="5" t="n">
        <v>177000</v>
      </c>
      <c r="O839" s="5" t="n">
        <v>6530</v>
      </c>
      <c r="P839" s="125" t="n">
        <v>28.5</v>
      </c>
      <c r="Q839" s="125" t="n">
        <v>5.5</v>
      </c>
      <c r="R839" s="5" t="n">
        <v>5070</v>
      </c>
      <c r="S839" s="125" t="n">
        <v>522</v>
      </c>
      <c r="T839" s="5" t="n">
        <v>5790</v>
      </c>
      <c r="U839" s="125" t="n">
        <v>816</v>
      </c>
      <c r="X839" s="129">
        <f t="array" ref="X839">_xlfn.IFS((D839/F839) &lt;= (640/SQRT($AT$32)), "Compact", L839 &lt;= ($AT$32*(0.79-(0.002*((E839-G839/2)/(2*F839))*SQRT($AT$32)))), "Non-Compact", L839 &gt; ($AT$32*(0.79-(0.002*((E839-G839/2)/(2*F839))*SQRT($AT$32)))), "Slender")</f>
        <v/>
      </c>
      <c r="Y839" s="129">
        <f t="array" ref="Y839">_xlfn.IFS(K839 &lt;= (65/SQRT($AT$32)), "Compact", K839 &lt;= (95/SQRT($AT$32)), "Non-Compact", K839 &gt; (95/SQRT($AT$32)), "Slender")</f>
        <v/>
      </c>
      <c r="Z839" s="125">
        <f>E839/F839</f>
        <v/>
      </c>
      <c r="AA839" s="125">
        <f>D839/G839</f>
        <v/>
      </c>
      <c r="AB839" s="125">
        <f t="array" ref="AB839">_xlfn.IFS(Z839 &lt;= 9, "1", Z839 &lt;= 12, "2", Z839 &lt;= 15, "3", Z839 &gt; 15, "4")</f>
        <v/>
      </c>
      <c r="AC839" s="125">
        <f t="array" ref="AC839">_xlfn.IFS(AA839 &lt;= 200, "1", L839 &lt;= 300, "2", L839 &lt;= 400, "3", L839 &gt; 400, "4")</f>
        <v/>
      </c>
      <c r="AF839" s="129">
        <f>SQRT((((VLOOKUP($AT$4,$A$4:$D$1021,4,FALSE))-D839)^2)+(((VLOOKUP($AT$4,$A$4:$E$1021,5,FALSE))-E839)^2)+(((VLOOKUP($AT$4,$A$4:$N$1021,14,FALSE))-N839)^2)+(((VLOOKUP($AT$4,$A$4:$O$1021,15,FALSE))-O839)^2))</f>
        <v/>
      </c>
      <c r="AG839" s="129" t="n"/>
      <c r="AI839" s="129">
        <f>SQRT((((VLOOKUP($AT$4,$A$4:$D$1021,4,FALSE))-D839)^2)+(((VLOOKUP($AT$4,$A$4:$E$1021,5,FALSE))-E839)^2)+(((VLOOKUP($AT$4,$A$4:$R$1021,18,FALSE))-R839)^2)+(((VLOOKUP($AT$4,$A$4:$S$1021,19,FALSE))-S839)^2))</f>
        <v/>
      </c>
      <c r="AJ839" s="125" t="inlineStr">
        <is>
          <t>HY700X172</t>
        </is>
      </c>
      <c r="AK839" s="125" t="n"/>
      <c r="AL839" s="125" t="n"/>
      <c r="AM839" s="125">
        <f>SQRT(((VLOOKUP($AT$4,$A$4:$J$1021,10,FALSE))-J839)^2)</f>
        <v/>
      </c>
      <c r="AN839" s="125" t="n"/>
      <c r="AO839" s="125" t="n"/>
      <c r="AP839" s="125">
        <f>SQRT(((VLOOKUP($AT$4,$A$4:$R$1021,18,FALSE))-R839)^2)</f>
        <v/>
      </c>
      <c r="AQ839" s="125" t="inlineStr">
        <is>
          <t>HY700X172</t>
        </is>
      </c>
      <c r="BB839" s="125">
        <f>SQRT(($J$1022-J839)^2)</f>
        <v/>
      </c>
      <c r="BC839" s="125">
        <f>SQRT(($R$1022-R839)^2)</f>
        <v/>
      </c>
      <c r="BD839" s="125" t="inlineStr">
        <is>
          <t>HY700X172</t>
        </is>
      </c>
      <c r="BI839">
        <f>SQRT(($J$1023-J839)^2)</f>
        <v/>
      </c>
      <c r="BJ839">
        <f>SQRT(($R$1023-R839)^2)</f>
        <v/>
      </c>
      <c r="BK839" s="125" t="inlineStr">
        <is>
          <t>HY700X172</t>
        </is>
      </c>
      <c r="BP839">
        <f>SQRT(($J$1024-J839)^2)</f>
        <v/>
      </c>
      <c r="BQ839">
        <f>SQRT(($R$1024-R839)^2)</f>
        <v/>
      </c>
      <c r="BR839" s="125" t="inlineStr">
        <is>
          <t>HY700X172</t>
        </is>
      </c>
      <c r="BW839">
        <f>SQRT(($J$1025-J839)^2)</f>
        <v/>
      </c>
      <c r="BX839">
        <f>SQRT(($R$1025-R839)^2)</f>
        <v/>
      </c>
      <c r="BY839" s="125" t="inlineStr">
        <is>
          <t>HY700X172</t>
        </is>
      </c>
      <c r="CD839">
        <f>SQRT(($J$1026-J839)^2)</f>
        <v/>
      </c>
      <c r="CE839">
        <f>SQRT(($R$1026-R839)^2)</f>
        <v/>
      </c>
      <c r="CF839" s="125" t="inlineStr">
        <is>
          <t>HY700X172</t>
        </is>
      </c>
    </row>
    <row r="840">
      <c r="A840" s="125" t="inlineStr">
        <is>
          <t>HY700X161</t>
        </is>
      </c>
      <c r="B840" s="129" t="inlineStr">
        <is>
          <t>HY</t>
        </is>
      </c>
      <c r="C840" s="125" t="n">
        <v>161</v>
      </c>
      <c r="D840" s="125" t="n">
        <v>700</v>
      </c>
      <c r="E840" s="125" t="n">
        <v>250</v>
      </c>
      <c r="F840" s="125" t="n">
        <v>22</v>
      </c>
      <c r="G840" s="125" t="n">
        <v>14</v>
      </c>
      <c r="H840" s="125" t="n">
        <v>18</v>
      </c>
      <c r="I840" s="125">
        <f>D840-(2*(H840+F840))</f>
        <v/>
      </c>
      <c r="J840" s="125">
        <f>(2*E840/10*F840/10)+((D840-F840-F840)/10*G840/10)+((H840/10+H840/10)^2)-(PI()*H840/10*H840/10)</f>
        <v/>
      </c>
      <c r="K840" s="125">
        <f>((E840-G840)/2)/F840</f>
        <v/>
      </c>
      <c r="L840" s="125">
        <f>I840/G840</f>
        <v/>
      </c>
      <c r="M840" s="125">
        <f>(E840*2+F840*4+((E840-G840)/2-H840)*4+2*PI()*H840+(D840-2*F840-2*H840)*2)/1000</f>
        <v/>
      </c>
      <c r="N840" s="5" t="n">
        <v>162000</v>
      </c>
      <c r="O840" s="5" t="n">
        <v>5750</v>
      </c>
      <c r="P840" s="125" t="n">
        <v>28.2</v>
      </c>
      <c r="Q840" s="125" t="n">
        <v>5.3</v>
      </c>
      <c r="R840" s="5" t="n">
        <v>4640</v>
      </c>
      <c r="S840" s="125" t="n">
        <v>460</v>
      </c>
      <c r="T840" s="5" t="n">
        <v>5330</v>
      </c>
      <c r="U840" s="125" t="n">
        <v>723</v>
      </c>
      <c r="X840" s="129">
        <f t="array" ref="X840">_xlfn.IFS((D840/F840) &lt;= (640/SQRT($AT$32)), "Compact", L840 &lt;= ($AT$32*(0.79-(0.002*((E840-G840/2)/(2*F840))*SQRT($AT$32)))), "Non-Compact", L840 &gt; ($AT$32*(0.79-(0.002*((E840-G840/2)/(2*F840))*SQRT($AT$32)))), "Slender")</f>
        <v/>
      </c>
      <c r="Y840" s="129">
        <f t="array" ref="Y840">_xlfn.IFS(K840 &lt;= (65/SQRT($AT$32)), "Compact", K840 &lt;= (95/SQRT($AT$32)), "Non-Compact", K840 &gt; (95/SQRT($AT$32)), "Slender")</f>
        <v/>
      </c>
      <c r="Z840" s="125">
        <f>E840/F840</f>
        <v/>
      </c>
      <c r="AA840" s="125">
        <f>D840/G840</f>
        <v/>
      </c>
      <c r="AB840" s="125">
        <f t="array" ref="AB840">_xlfn.IFS(Z840 &lt;= 9, "1", Z840 &lt;= 12, "2", Z840 &lt;= 15, "3", Z840 &gt; 15, "4")</f>
        <v/>
      </c>
      <c r="AC840" s="125">
        <f t="array" ref="AC840">_xlfn.IFS(AA840 &lt;= 200, "1", L840 &lt;= 300, "2", L840 &lt;= 400, "3", L840 &gt; 400, "4")</f>
        <v/>
      </c>
      <c r="AF840" s="129">
        <f>SQRT((((VLOOKUP($AT$4,$A$4:$D$1021,4,FALSE))-D840)^2)+(((VLOOKUP($AT$4,$A$4:$E$1021,5,FALSE))-E840)^2)+(((VLOOKUP($AT$4,$A$4:$N$1021,14,FALSE))-N840)^2)+(((VLOOKUP($AT$4,$A$4:$O$1021,15,FALSE))-O840)^2))</f>
        <v/>
      </c>
      <c r="AG840" s="129" t="n"/>
      <c r="AI840" s="129">
        <f>SQRT((((VLOOKUP($AT$4,$A$4:$D$1021,4,FALSE))-D840)^2)+(((VLOOKUP($AT$4,$A$4:$E$1021,5,FALSE))-E840)^2)+(((VLOOKUP($AT$4,$A$4:$R$1021,18,FALSE))-R840)^2)+(((VLOOKUP($AT$4,$A$4:$S$1021,19,FALSE))-S840)^2))</f>
        <v/>
      </c>
      <c r="AJ840" s="125" t="inlineStr">
        <is>
          <t>HY700X161</t>
        </is>
      </c>
      <c r="AK840" s="125" t="n"/>
      <c r="AL840" s="125" t="n"/>
      <c r="AM840" s="125">
        <f>SQRT(((VLOOKUP($AT$4,$A$4:$J$1021,10,FALSE))-J840)^2)</f>
        <v/>
      </c>
      <c r="AN840" s="125" t="n"/>
      <c r="AO840" s="125" t="n"/>
      <c r="AP840" s="125">
        <f>SQRT(((VLOOKUP($AT$4,$A$4:$R$1021,18,FALSE))-R840)^2)</f>
        <v/>
      </c>
      <c r="AQ840" s="125" t="inlineStr">
        <is>
          <t>HY700X161</t>
        </is>
      </c>
      <c r="BB840" s="125">
        <f>SQRT(($J$1022-J840)^2)</f>
        <v/>
      </c>
      <c r="BC840" s="125">
        <f>SQRT(($R$1022-R840)^2)</f>
        <v/>
      </c>
      <c r="BD840" s="125" t="inlineStr">
        <is>
          <t>HY700X161</t>
        </is>
      </c>
      <c r="BI840">
        <f>SQRT(($J$1023-J840)^2)</f>
        <v/>
      </c>
      <c r="BJ840">
        <f>SQRT(($R$1023-R840)^2)</f>
        <v/>
      </c>
      <c r="BK840" s="125" t="inlineStr">
        <is>
          <t>HY700X161</t>
        </is>
      </c>
      <c r="BP840">
        <f>SQRT(($J$1024-J840)^2)</f>
        <v/>
      </c>
      <c r="BQ840">
        <f>SQRT(($R$1024-R840)^2)</f>
        <v/>
      </c>
      <c r="BR840" s="125" t="inlineStr">
        <is>
          <t>HY700X161</t>
        </is>
      </c>
      <c r="BW840">
        <f>SQRT(($J$1025-J840)^2)</f>
        <v/>
      </c>
      <c r="BX840">
        <f>SQRT(($R$1025-R840)^2)</f>
        <v/>
      </c>
      <c r="BY840" s="125" t="inlineStr">
        <is>
          <t>HY700X161</t>
        </is>
      </c>
      <c r="CD840">
        <f>SQRT(($J$1026-J840)^2)</f>
        <v/>
      </c>
      <c r="CE840">
        <f>SQRT(($R$1026-R840)^2)</f>
        <v/>
      </c>
      <c r="CF840" s="125" t="inlineStr">
        <is>
          <t>HY700X161</t>
        </is>
      </c>
    </row>
    <row r="841">
      <c r="A841" s="125" t="inlineStr">
        <is>
          <t>HY700X150</t>
        </is>
      </c>
      <c r="B841" s="129" t="inlineStr">
        <is>
          <t>HY</t>
        </is>
      </c>
      <c r="C841" s="125" t="n">
        <v>150</v>
      </c>
      <c r="D841" s="125" t="n">
        <v>700</v>
      </c>
      <c r="E841" s="125" t="n">
        <v>250</v>
      </c>
      <c r="F841" s="125" t="n">
        <v>19</v>
      </c>
      <c r="G841" s="125" t="n">
        <v>14</v>
      </c>
      <c r="H841" s="125" t="n">
        <v>18</v>
      </c>
      <c r="I841" s="125">
        <f>D841-(2*(H841+F841))</f>
        <v/>
      </c>
      <c r="J841" s="125">
        <f>(2*E841/10*F841/10)+((D841-F841-F841)/10*G841/10)+((H841/10+H841/10)^2)-(PI()*H841/10*H841/10)</f>
        <v/>
      </c>
      <c r="K841" s="125">
        <f>((E841-G841)/2)/F841</f>
        <v/>
      </c>
      <c r="L841" s="125">
        <f>I841/G841</f>
        <v/>
      </c>
      <c r="M841" s="125">
        <f>(E841*2+F841*4+((E841-G841)/2-H841)*4+2*PI()*H841+(D841-2*F841-2*H841)*2)/1000</f>
        <v/>
      </c>
      <c r="N841" s="5" t="n">
        <v>147000</v>
      </c>
      <c r="O841" s="5" t="n">
        <v>4970</v>
      </c>
      <c r="P841" s="125" t="n">
        <v>27.8</v>
      </c>
      <c r="Q841" s="125" t="n">
        <v>5.1</v>
      </c>
      <c r="R841" s="5" t="n">
        <v>4200</v>
      </c>
      <c r="S841" s="125" t="n">
        <v>397</v>
      </c>
      <c r="T841" s="5" t="n">
        <v>4860</v>
      </c>
      <c r="U841" s="125" t="n">
        <v>629</v>
      </c>
      <c r="X841" s="129">
        <f t="array" ref="X841">_xlfn.IFS((D841/F841) &lt;= (640/SQRT($AT$32)), "Compact", L841 &lt;= ($AT$32*(0.79-(0.002*((E841-G841/2)/(2*F841))*SQRT($AT$32)))), "Non-Compact", L841 &gt; ($AT$32*(0.79-(0.002*((E841-G841/2)/(2*F841))*SQRT($AT$32)))), "Slender")</f>
        <v/>
      </c>
      <c r="Y841" s="129">
        <f t="array" ref="Y841">_xlfn.IFS(K841 &lt;= (65/SQRT($AT$32)), "Compact", K841 &lt;= (95/SQRT($AT$32)), "Non-Compact", K841 &gt; (95/SQRT($AT$32)), "Slender")</f>
        <v/>
      </c>
      <c r="Z841" s="125">
        <f>E841/F841</f>
        <v/>
      </c>
      <c r="AA841" s="125">
        <f>D841/G841</f>
        <v/>
      </c>
      <c r="AB841" s="125">
        <f t="array" ref="AB841">_xlfn.IFS(Z841 &lt;= 9, "1", Z841 &lt;= 12, "2", Z841 &lt;= 15, "3", Z841 &gt; 15, "4")</f>
        <v/>
      </c>
      <c r="AC841" s="125">
        <f t="array" ref="AC841">_xlfn.IFS(AA841 &lt;= 200, "1", L841 &lt;= 300, "2", L841 &lt;= 400, "3", L841 &gt; 400, "4")</f>
        <v/>
      </c>
      <c r="AF841" s="129">
        <f>SQRT((((VLOOKUP($AT$4,$A$4:$D$1021,4,FALSE))-D841)^2)+(((VLOOKUP($AT$4,$A$4:$E$1021,5,FALSE))-E841)^2)+(((VLOOKUP($AT$4,$A$4:$N$1021,14,FALSE))-N841)^2)+(((VLOOKUP($AT$4,$A$4:$O$1021,15,FALSE))-O841)^2))</f>
        <v/>
      </c>
      <c r="AG841" s="129" t="n"/>
      <c r="AI841" s="129">
        <f>SQRT((((VLOOKUP($AT$4,$A$4:$D$1021,4,FALSE))-D841)^2)+(((VLOOKUP($AT$4,$A$4:$E$1021,5,FALSE))-E841)^2)+(((VLOOKUP($AT$4,$A$4:$R$1021,18,FALSE))-R841)^2)+(((VLOOKUP($AT$4,$A$4:$S$1021,19,FALSE))-S841)^2))</f>
        <v/>
      </c>
      <c r="AJ841" s="125" t="inlineStr">
        <is>
          <t>HY700X150</t>
        </is>
      </c>
      <c r="AK841" s="125" t="n"/>
      <c r="AL841" s="125" t="n"/>
      <c r="AM841" s="125">
        <f>SQRT(((VLOOKUP($AT$4,$A$4:$J$1021,10,FALSE))-J841)^2)</f>
        <v/>
      </c>
      <c r="AN841" s="125" t="n"/>
      <c r="AO841" s="125" t="n"/>
      <c r="AP841" s="125">
        <f>SQRT(((VLOOKUP($AT$4,$A$4:$R$1021,18,FALSE))-R841)^2)</f>
        <v/>
      </c>
      <c r="AQ841" s="125" t="inlineStr">
        <is>
          <t>HY700X150</t>
        </is>
      </c>
      <c r="BB841" s="125">
        <f>SQRT(($J$1022-J841)^2)</f>
        <v/>
      </c>
      <c r="BC841" s="125">
        <f>SQRT(($R$1022-R841)^2)</f>
        <v/>
      </c>
      <c r="BD841" s="125" t="inlineStr">
        <is>
          <t>HY700X150</t>
        </is>
      </c>
      <c r="BI841">
        <f>SQRT(($J$1023-J841)^2)</f>
        <v/>
      </c>
      <c r="BJ841">
        <f>SQRT(($R$1023-R841)^2)</f>
        <v/>
      </c>
      <c r="BK841" s="125" t="inlineStr">
        <is>
          <t>HY700X150</t>
        </is>
      </c>
      <c r="BP841">
        <f>SQRT(($J$1024-J841)^2)</f>
        <v/>
      </c>
      <c r="BQ841">
        <f>SQRT(($R$1024-R841)^2)</f>
        <v/>
      </c>
      <c r="BR841" s="125" t="inlineStr">
        <is>
          <t>HY700X150</t>
        </is>
      </c>
      <c r="BW841">
        <f>SQRT(($J$1025-J841)^2)</f>
        <v/>
      </c>
      <c r="BX841">
        <f>SQRT(($R$1025-R841)^2)</f>
        <v/>
      </c>
      <c r="BY841" s="125" t="inlineStr">
        <is>
          <t>HY700X150</t>
        </is>
      </c>
      <c r="CD841">
        <f>SQRT(($J$1026-J841)^2)</f>
        <v/>
      </c>
      <c r="CE841">
        <f>SQRT(($R$1026-R841)^2)</f>
        <v/>
      </c>
      <c r="CF841" s="125" t="inlineStr">
        <is>
          <t>HY700X150</t>
        </is>
      </c>
    </row>
    <row r="842">
      <c r="A842" s="125" t="inlineStr">
        <is>
          <t>HY700X173</t>
        </is>
      </c>
      <c r="B842" s="129" t="inlineStr">
        <is>
          <t>HY</t>
        </is>
      </c>
      <c r="C842" s="125" t="n">
        <v>173</v>
      </c>
      <c r="D842" s="125" t="n">
        <v>700</v>
      </c>
      <c r="E842" s="125" t="n">
        <v>250</v>
      </c>
      <c r="F842" s="125" t="n">
        <v>28</v>
      </c>
      <c r="G842" s="125" t="n">
        <v>12</v>
      </c>
      <c r="H842" s="125" t="n">
        <v>18</v>
      </c>
      <c r="I842" s="125">
        <f>D842-(2*(H842+F842))</f>
        <v/>
      </c>
      <c r="J842" s="125">
        <f>(2*E842/10*F842/10)+((D842-F842-F842)/10*G842/10)+((H842/10+H842/10)^2)-(PI()*H842/10*H842/10)</f>
        <v/>
      </c>
      <c r="K842" s="125">
        <f>((E842-G842)/2)/F842</f>
        <v/>
      </c>
      <c r="L842" s="125">
        <f>I842/G842</f>
        <v/>
      </c>
      <c r="M842" s="125">
        <f>(E842*2+F842*4+((E842-G842)/2-H842)*4+2*PI()*H842+(D842-2*F842-2*H842)*2)/1000</f>
        <v/>
      </c>
      <c r="N842" s="5" t="n">
        <v>188000</v>
      </c>
      <c r="O842" s="5" t="n">
        <v>7300</v>
      </c>
      <c r="P842" s="125" t="n">
        <v>29.2</v>
      </c>
      <c r="Q842" s="125" t="n">
        <v>5.8</v>
      </c>
      <c r="R842" s="5" t="n">
        <v>5360</v>
      </c>
      <c r="S842" s="125" t="n">
        <v>584</v>
      </c>
      <c r="T842" s="5" t="n">
        <v>6040</v>
      </c>
      <c r="U842" s="125" t="n">
        <v>901</v>
      </c>
      <c r="X842" s="129">
        <f t="array" ref="X842">_xlfn.IFS((D842/F842) &lt;= (640/SQRT($AT$32)), "Compact", L842 &lt;= ($AT$32*(0.79-(0.002*((E842-G842/2)/(2*F842))*SQRT($AT$32)))), "Non-Compact", L842 &gt; ($AT$32*(0.79-(0.002*((E842-G842/2)/(2*F842))*SQRT($AT$32)))), "Slender")</f>
        <v/>
      </c>
      <c r="Y842" s="129">
        <f t="array" ref="Y842">_xlfn.IFS(K842 &lt;= (65/SQRT($AT$32)), "Compact", K842 &lt;= (95/SQRT($AT$32)), "Non-Compact", K842 &gt; (95/SQRT($AT$32)), "Slender")</f>
        <v/>
      </c>
      <c r="Z842" s="125">
        <f>E842/F842</f>
        <v/>
      </c>
      <c r="AA842" s="125">
        <f>D842/G842</f>
        <v/>
      </c>
      <c r="AB842" s="125">
        <f t="array" ref="AB842">_xlfn.IFS(Z842 &lt;= 9, "1", Z842 &lt;= 12, "2", Z842 &lt;= 15, "3", Z842 &gt; 15, "4")</f>
        <v/>
      </c>
      <c r="AC842" s="125">
        <f t="array" ref="AC842">_xlfn.IFS(AA842 &lt;= 200, "1", L842 &lt;= 300, "2", L842 &lt;= 400, "3", L842 &gt; 400, "4")</f>
        <v/>
      </c>
      <c r="AF842" s="129">
        <f>SQRT((((VLOOKUP($AT$4,$A$4:$D$1021,4,FALSE))-D842)^2)+(((VLOOKUP($AT$4,$A$4:$E$1021,5,FALSE))-E842)^2)+(((VLOOKUP($AT$4,$A$4:$N$1021,14,FALSE))-N842)^2)+(((VLOOKUP($AT$4,$A$4:$O$1021,15,FALSE))-O842)^2))</f>
        <v/>
      </c>
      <c r="AG842" s="129" t="n"/>
      <c r="AI842" s="129">
        <f>SQRT((((VLOOKUP($AT$4,$A$4:$D$1021,4,FALSE))-D842)^2)+(((VLOOKUP($AT$4,$A$4:$E$1021,5,FALSE))-E842)^2)+(((VLOOKUP($AT$4,$A$4:$R$1021,18,FALSE))-R842)^2)+(((VLOOKUP($AT$4,$A$4:$S$1021,19,FALSE))-S842)^2))</f>
        <v/>
      </c>
      <c r="AJ842" s="125" t="inlineStr">
        <is>
          <t>HY700X173</t>
        </is>
      </c>
      <c r="AK842" s="125" t="n"/>
      <c r="AL842" s="125" t="n"/>
      <c r="AM842" s="125">
        <f>SQRT(((VLOOKUP($AT$4,$A$4:$J$1021,10,FALSE))-J842)^2)</f>
        <v/>
      </c>
      <c r="AN842" s="125" t="n"/>
      <c r="AO842" s="125" t="n"/>
      <c r="AP842" s="125">
        <f>SQRT(((VLOOKUP($AT$4,$A$4:$R$1021,18,FALSE))-R842)^2)</f>
        <v/>
      </c>
      <c r="AQ842" s="125" t="inlineStr">
        <is>
          <t>HY700X173</t>
        </is>
      </c>
      <c r="BB842" s="125">
        <f>SQRT(($J$1022-J842)^2)</f>
        <v/>
      </c>
      <c r="BC842" s="125">
        <f>SQRT(($R$1022-R842)^2)</f>
        <v/>
      </c>
      <c r="BD842" s="125" t="inlineStr">
        <is>
          <t>HY700X173</t>
        </is>
      </c>
      <c r="BI842">
        <f>SQRT(($J$1023-J842)^2)</f>
        <v/>
      </c>
      <c r="BJ842">
        <f>SQRT(($R$1023-R842)^2)</f>
        <v/>
      </c>
      <c r="BK842" s="125" t="inlineStr">
        <is>
          <t>HY700X173</t>
        </is>
      </c>
      <c r="BP842">
        <f>SQRT(($J$1024-J842)^2)</f>
        <v/>
      </c>
      <c r="BQ842">
        <f>SQRT(($R$1024-R842)^2)</f>
        <v/>
      </c>
      <c r="BR842" s="125" t="inlineStr">
        <is>
          <t>HY700X173</t>
        </is>
      </c>
      <c r="BW842">
        <f>SQRT(($J$1025-J842)^2)</f>
        <v/>
      </c>
      <c r="BX842">
        <f>SQRT(($R$1025-R842)^2)</f>
        <v/>
      </c>
      <c r="BY842" s="125" t="inlineStr">
        <is>
          <t>HY700X173</t>
        </is>
      </c>
      <c r="CD842">
        <f>SQRT(($J$1026-J842)^2)</f>
        <v/>
      </c>
      <c r="CE842">
        <f>SQRT(($R$1026-R842)^2)</f>
        <v/>
      </c>
      <c r="CF842" s="125" t="inlineStr">
        <is>
          <t>HY700X173</t>
        </is>
      </c>
    </row>
    <row r="843">
      <c r="A843" s="125" t="inlineStr">
        <is>
          <t>HY700X162</t>
        </is>
      </c>
      <c r="B843" s="129" t="inlineStr">
        <is>
          <t>HY</t>
        </is>
      </c>
      <c r="C843" s="125" t="n">
        <v>162</v>
      </c>
      <c r="D843" s="125" t="n">
        <v>700</v>
      </c>
      <c r="E843" s="125" t="n">
        <v>250</v>
      </c>
      <c r="F843" s="125" t="n">
        <v>25</v>
      </c>
      <c r="G843" s="125" t="n">
        <v>12</v>
      </c>
      <c r="H843" s="125" t="n">
        <v>18</v>
      </c>
      <c r="I843" s="125">
        <f>D843-(2*(H843+F843))</f>
        <v/>
      </c>
      <c r="J843" s="125">
        <f>(2*E843/10*F843/10)+((D843-F843-F843)/10*G843/10)+((H843/10+H843/10)^2)-(PI()*H843/10*H843/10)</f>
        <v/>
      </c>
      <c r="K843" s="125">
        <f>((E843-G843)/2)/F843</f>
        <v/>
      </c>
      <c r="L843" s="125">
        <f>I843/G843</f>
        <v/>
      </c>
      <c r="M843" s="125">
        <f>(E843*2+F843*4+((E843-G843)/2-H843)*4+2*PI()*H843+(D843-2*F843-2*H843)*2)/1000</f>
        <v/>
      </c>
      <c r="N843" s="5" t="n">
        <v>173000</v>
      </c>
      <c r="O843" s="5" t="n">
        <v>6520</v>
      </c>
      <c r="P843" s="125" t="n">
        <v>29</v>
      </c>
      <c r="Q843" s="125" t="n">
        <v>5.6</v>
      </c>
      <c r="R843" s="5" t="n">
        <v>4940</v>
      </c>
      <c r="S843" s="125" t="n">
        <v>522</v>
      </c>
      <c r="T843" s="5" t="n">
        <v>5580</v>
      </c>
      <c r="U843" s="125" t="n">
        <v>807</v>
      </c>
      <c r="X843" s="129">
        <f t="array" ref="X843">_xlfn.IFS((D843/F843) &lt;= (640/SQRT($AT$32)), "Compact", L843 &lt;= ($AT$32*(0.79-(0.002*((E843-G843/2)/(2*F843))*SQRT($AT$32)))), "Non-Compact", L843 &gt; ($AT$32*(0.79-(0.002*((E843-G843/2)/(2*F843))*SQRT($AT$32)))), "Slender")</f>
        <v/>
      </c>
      <c r="Y843" s="129">
        <f t="array" ref="Y843">_xlfn.IFS(K843 &lt;= (65/SQRT($AT$32)), "Compact", K843 &lt;= (95/SQRT($AT$32)), "Non-Compact", K843 &gt; (95/SQRT($AT$32)), "Slender")</f>
        <v/>
      </c>
      <c r="Z843" s="125">
        <f>E843/F843</f>
        <v/>
      </c>
      <c r="AA843" s="125">
        <f>D843/G843</f>
        <v/>
      </c>
      <c r="AB843" s="125">
        <f t="array" ref="AB843">_xlfn.IFS(Z843 &lt;= 9, "1", Z843 &lt;= 12, "2", Z843 &lt;= 15, "3", Z843 &gt; 15, "4")</f>
        <v/>
      </c>
      <c r="AC843" s="125">
        <f t="array" ref="AC843">_xlfn.IFS(AA843 &lt;= 200, "1", L843 &lt;= 300, "2", L843 &lt;= 400, "3", L843 &gt; 400, "4")</f>
        <v/>
      </c>
      <c r="AF843" s="129">
        <f>SQRT((((VLOOKUP($AT$4,$A$4:$D$1021,4,FALSE))-D843)^2)+(((VLOOKUP($AT$4,$A$4:$E$1021,5,FALSE))-E843)^2)+(((VLOOKUP($AT$4,$A$4:$N$1021,14,FALSE))-N843)^2)+(((VLOOKUP($AT$4,$A$4:$O$1021,15,FALSE))-O843)^2))</f>
        <v/>
      </c>
      <c r="AG843" s="129" t="n"/>
      <c r="AI843" s="129">
        <f>SQRT((((VLOOKUP($AT$4,$A$4:$D$1021,4,FALSE))-D843)^2)+(((VLOOKUP($AT$4,$A$4:$E$1021,5,FALSE))-E843)^2)+(((VLOOKUP($AT$4,$A$4:$R$1021,18,FALSE))-R843)^2)+(((VLOOKUP($AT$4,$A$4:$S$1021,19,FALSE))-S843)^2))</f>
        <v/>
      </c>
      <c r="AJ843" s="125" t="inlineStr">
        <is>
          <t>HY700X162</t>
        </is>
      </c>
      <c r="AK843" s="125" t="n"/>
      <c r="AL843" s="125" t="n"/>
      <c r="AM843" s="125">
        <f>SQRT(((VLOOKUP($AT$4,$A$4:$J$1021,10,FALSE))-J843)^2)</f>
        <v/>
      </c>
      <c r="AN843" s="125" t="n"/>
      <c r="AO843" s="125" t="n"/>
      <c r="AP843" s="125">
        <f>SQRT(((VLOOKUP($AT$4,$A$4:$R$1021,18,FALSE))-R843)^2)</f>
        <v/>
      </c>
      <c r="AQ843" s="125" t="inlineStr">
        <is>
          <t>HY700X162</t>
        </is>
      </c>
      <c r="BB843" s="125">
        <f>SQRT(($J$1022-J843)^2)</f>
        <v/>
      </c>
      <c r="BC843" s="125">
        <f>SQRT(($R$1022-R843)^2)</f>
        <v/>
      </c>
      <c r="BD843" s="125" t="inlineStr">
        <is>
          <t>HY700X162</t>
        </is>
      </c>
      <c r="BI843">
        <f>SQRT(($J$1023-J843)^2)</f>
        <v/>
      </c>
      <c r="BJ843">
        <f>SQRT(($R$1023-R843)^2)</f>
        <v/>
      </c>
      <c r="BK843" s="125" t="inlineStr">
        <is>
          <t>HY700X162</t>
        </is>
      </c>
      <c r="BP843">
        <f>SQRT(($J$1024-J843)^2)</f>
        <v/>
      </c>
      <c r="BQ843">
        <f>SQRT(($R$1024-R843)^2)</f>
        <v/>
      </c>
      <c r="BR843" s="125" t="inlineStr">
        <is>
          <t>HY700X162</t>
        </is>
      </c>
      <c r="BW843">
        <f>SQRT(($J$1025-J843)^2)</f>
        <v/>
      </c>
      <c r="BX843">
        <f>SQRT(($R$1025-R843)^2)</f>
        <v/>
      </c>
      <c r="BY843" s="125" t="inlineStr">
        <is>
          <t>HY700X162</t>
        </is>
      </c>
      <c r="CD843">
        <f>SQRT(($J$1026-J843)^2)</f>
        <v/>
      </c>
      <c r="CE843">
        <f>SQRT(($R$1026-R843)^2)</f>
        <v/>
      </c>
      <c r="CF843" s="125" t="inlineStr">
        <is>
          <t>HY700X162</t>
        </is>
      </c>
    </row>
    <row r="844">
      <c r="A844" s="125" t="inlineStr">
        <is>
          <t>HY700X150</t>
        </is>
      </c>
      <c r="B844" s="129" t="inlineStr">
        <is>
          <t>HY</t>
        </is>
      </c>
      <c r="C844" s="125" t="n">
        <v>150</v>
      </c>
      <c r="D844" s="125" t="n">
        <v>700</v>
      </c>
      <c r="E844" s="125" t="n">
        <v>250</v>
      </c>
      <c r="F844" s="125" t="n">
        <v>22</v>
      </c>
      <c r="G844" s="125" t="n">
        <v>12</v>
      </c>
      <c r="H844" s="125" t="n">
        <v>18</v>
      </c>
      <c r="I844" s="125">
        <f>D844-(2*(H844+F844))</f>
        <v/>
      </c>
      <c r="J844" s="125">
        <f>(2*E844/10*F844/10)+((D844-F844-F844)/10*G844/10)+((H844/10+H844/10)^2)-(PI()*H844/10*H844/10)</f>
        <v/>
      </c>
      <c r="K844" s="125">
        <f>((E844-G844)/2)/F844</f>
        <v/>
      </c>
      <c r="L844" s="125">
        <f>I844/G844</f>
        <v/>
      </c>
      <c r="M844" s="125">
        <f>(E844*2+F844*4+((E844-G844)/2-H844)*4+2*PI()*H844+(D844-2*F844-2*H844)*2)/1000</f>
        <v/>
      </c>
      <c r="N844" s="5" t="n">
        <v>158000</v>
      </c>
      <c r="O844" s="5" t="n">
        <v>5740</v>
      </c>
      <c r="P844" s="125" t="n">
        <v>28.7</v>
      </c>
      <c r="Q844" s="125" t="n">
        <v>5.5</v>
      </c>
      <c r="R844" s="5" t="n">
        <v>4500</v>
      </c>
      <c r="S844" s="125" t="n">
        <v>459</v>
      </c>
      <c r="T844" s="5" t="n">
        <v>5110</v>
      </c>
      <c r="U844" s="125" t="n">
        <v>714</v>
      </c>
      <c r="X844" s="129">
        <f t="array" ref="X844">_xlfn.IFS((D844/F844) &lt;= (640/SQRT($AT$32)), "Compact", L844 &lt;= ($AT$32*(0.79-(0.002*((E844-G844/2)/(2*F844))*SQRT($AT$32)))), "Non-Compact", L844 &gt; ($AT$32*(0.79-(0.002*((E844-G844/2)/(2*F844))*SQRT($AT$32)))), "Slender")</f>
        <v/>
      </c>
      <c r="Y844" s="129">
        <f t="array" ref="Y844">_xlfn.IFS(K844 &lt;= (65/SQRT($AT$32)), "Compact", K844 &lt;= (95/SQRT($AT$32)), "Non-Compact", K844 &gt; (95/SQRT($AT$32)), "Slender")</f>
        <v/>
      </c>
      <c r="Z844" s="125">
        <f>E844/F844</f>
        <v/>
      </c>
      <c r="AA844" s="125">
        <f>D844/G844</f>
        <v/>
      </c>
      <c r="AB844" s="125">
        <f t="array" ref="AB844">_xlfn.IFS(Z844 &lt;= 9, "1", Z844 &lt;= 12, "2", Z844 &lt;= 15, "3", Z844 &gt; 15, "4")</f>
        <v/>
      </c>
      <c r="AC844" s="125">
        <f t="array" ref="AC844">_xlfn.IFS(AA844 &lt;= 200, "1", L844 &lt;= 300, "2", L844 &lt;= 400, "3", L844 &gt; 400, "4")</f>
        <v/>
      </c>
      <c r="AF844" s="129">
        <f>SQRT((((VLOOKUP($AT$4,$A$4:$D$1021,4,FALSE))-D844)^2)+(((VLOOKUP($AT$4,$A$4:$E$1021,5,FALSE))-E844)^2)+(((VLOOKUP($AT$4,$A$4:$N$1021,14,FALSE))-N844)^2)+(((VLOOKUP($AT$4,$A$4:$O$1021,15,FALSE))-O844)^2))</f>
        <v/>
      </c>
      <c r="AG844" s="129" t="n"/>
      <c r="AI844" s="129">
        <f>SQRT((((VLOOKUP($AT$4,$A$4:$D$1021,4,FALSE))-D844)^2)+(((VLOOKUP($AT$4,$A$4:$E$1021,5,FALSE))-E844)^2)+(((VLOOKUP($AT$4,$A$4:$R$1021,18,FALSE))-R844)^2)+(((VLOOKUP($AT$4,$A$4:$S$1021,19,FALSE))-S844)^2))</f>
        <v/>
      </c>
      <c r="AJ844" s="125" t="inlineStr">
        <is>
          <t>HY700X150</t>
        </is>
      </c>
      <c r="AK844" s="125" t="n"/>
      <c r="AL844" s="125" t="n"/>
      <c r="AM844" s="125">
        <f>SQRT(((VLOOKUP($AT$4,$A$4:$J$1021,10,FALSE))-J844)^2)</f>
        <v/>
      </c>
      <c r="AN844" s="125" t="n"/>
      <c r="AO844" s="125" t="n"/>
      <c r="AP844" s="125">
        <f>SQRT(((VLOOKUP($AT$4,$A$4:$R$1021,18,FALSE))-R844)^2)</f>
        <v/>
      </c>
      <c r="AQ844" s="125" t="inlineStr">
        <is>
          <t>HY700X150</t>
        </is>
      </c>
      <c r="BB844" s="125">
        <f>SQRT(($J$1022-J844)^2)</f>
        <v/>
      </c>
      <c r="BC844" s="125">
        <f>SQRT(($R$1022-R844)^2)</f>
        <v/>
      </c>
      <c r="BD844" s="125" t="inlineStr">
        <is>
          <t>HY700X150</t>
        </is>
      </c>
      <c r="BI844">
        <f>SQRT(($J$1023-J844)^2)</f>
        <v/>
      </c>
      <c r="BJ844">
        <f>SQRT(($R$1023-R844)^2)</f>
        <v/>
      </c>
      <c r="BK844" s="125" t="inlineStr">
        <is>
          <t>HY700X150</t>
        </is>
      </c>
      <c r="BP844">
        <f>SQRT(($J$1024-J844)^2)</f>
        <v/>
      </c>
      <c r="BQ844">
        <f>SQRT(($R$1024-R844)^2)</f>
        <v/>
      </c>
      <c r="BR844" s="125" t="inlineStr">
        <is>
          <t>HY700X150</t>
        </is>
      </c>
      <c r="BW844">
        <f>SQRT(($J$1025-J844)^2)</f>
        <v/>
      </c>
      <c r="BX844">
        <f>SQRT(($R$1025-R844)^2)</f>
        <v/>
      </c>
      <c r="BY844" s="125" t="inlineStr">
        <is>
          <t>HY700X150</t>
        </is>
      </c>
      <c r="CD844">
        <f>SQRT(($J$1026-J844)^2)</f>
        <v/>
      </c>
      <c r="CE844">
        <f>SQRT(($R$1026-R844)^2)</f>
        <v/>
      </c>
      <c r="CF844" s="125" t="inlineStr">
        <is>
          <t>HY700X150</t>
        </is>
      </c>
    </row>
    <row r="845">
      <c r="A845" s="125" t="inlineStr">
        <is>
          <t>HY700X139</t>
        </is>
      </c>
      <c r="B845" s="129" t="inlineStr">
        <is>
          <t>HY</t>
        </is>
      </c>
      <c r="C845" s="125" t="n">
        <v>139</v>
      </c>
      <c r="D845" s="125" t="n">
        <v>700</v>
      </c>
      <c r="E845" s="125" t="n">
        <v>250</v>
      </c>
      <c r="F845" s="125" t="n">
        <v>19</v>
      </c>
      <c r="G845" s="125" t="n">
        <v>12</v>
      </c>
      <c r="H845" s="125" t="n">
        <v>18</v>
      </c>
      <c r="I845" s="125">
        <f>D845-(2*(H845+F845))</f>
        <v/>
      </c>
      <c r="J845" s="125">
        <f>(2*E845/10*F845/10)+((D845-F845-F845)/10*G845/10)+((H845/10+H845/10)^2)-(PI()*H845/10*H845/10)</f>
        <v/>
      </c>
      <c r="K845" s="125">
        <f>((E845-G845)/2)/F845</f>
        <v/>
      </c>
      <c r="L845" s="125">
        <f>I845/G845</f>
        <v/>
      </c>
      <c r="M845" s="125">
        <f>(E845*2+F845*4+((E845-G845)/2-H845)*4+2*PI()*H845+(D845-2*F845-2*H845)*2)/1000</f>
        <v/>
      </c>
      <c r="N845" s="5" t="n">
        <v>142000</v>
      </c>
      <c r="O845" s="5" t="n">
        <v>4960</v>
      </c>
      <c r="P845" s="125" t="n">
        <v>28.3</v>
      </c>
      <c r="Q845" s="125" t="n">
        <v>5.3</v>
      </c>
      <c r="R845" s="5" t="n">
        <v>4060</v>
      </c>
      <c r="S845" s="125" t="n">
        <v>397</v>
      </c>
      <c r="T845" s="5" t="n">
        <v>4640</v>
      </c>
      <c r="U845" s="125" t="n">
        <v>620</v>
      </c>
      <c r="X845" s="129">
        <f t="array" ref="X845">_xlfn.IFS((D845/F845) &lt;= (640/SQRT($AT$32)), "Compact", L845 &lt;= ($AT$32*(0.79-(0.002*((E845-G845/2)/(2*F845))*SQRT($AT$32)))), "Non-Compact", L845 &gt; ($AT$32*(0.79-(0.002*((E845-G845/2)/(2*F845))*SQRT($AT$32)))), "Slender")</f>
        <v/>
      </c>
      <c r="Y845" s="129">
        <f t="array" ref="Y845">_xlfn.IFS(K845 &lt;= (65/SQRT($AT$32)), "Compact", K845 &lt;= (95/SQRT($AT$32)), "Non-Compact", K845 &gt; (95/SQRT($AT$32)), "Slender")</f>
        <v/>
      </c>
      <c r="Z845" s="125">
        <f>E845/F845</f>
        <v/>
      </c>
      <c r="AA845" s="125">
        <f>D845/G845</f>
        <v/>
      </c>
      <c r="AB845" s="125">
        <f t="array" ref="AB845">_xlfn.IFS(Z845 &lt;= 9, "1", Z845 &lt;= 12, "2", Z845 &lt;= 15, "3", Z845 &gt; 15, "4")</f>
        <v/>
      </c>
      <c r="AC845" s="125">
        <f t="array" ref="AC845">_xlfn.IFS(AA845 &lt;= 200, "1", L845 &lt;= 300, "2", L845 &lt;= 400, "3", L845 &gt; 400, "4")</f>
        <v/>
      </c>
      <c r="AF845" s="129">
        <f>SQRT((((VLOOKUP($AT$4,$A$4:$D$1021,4,FALSE))-D845)^2)+(((VLOOKUP($AT$4,$A$4:$E$1021,5,FALSE))-E845)^2)+(((VLOOKUP($AT$4,$A$4:$N$1021,14,FALSE))-N845)^2)+(((VLOOKUP($AT$4,$A$4:$O$1021,15,FALSE))-O845)^2))</f>
        <v/>
      </c>
      <c r="AG845" s="129" t="n"/>
      <c r="AI845" s="129">
        <f>SQRT((((VLOOKUP($AT$4,$A$4:$D$1021,4,FALSE))-D845)^2)+(((VLOOKUP($AT$4,$A$4:$E$1021,5,FALSE))-E845)^2)+(((VLOOKUP($AT$4,$A$4:$R$1021,18,FALSE))-R845)^2)+(((VLOOKUP($AT$4,$A$4:$S$1021,19,FALSE))-S845)^2))</f>
        <v/>
      </c>
      <c r="AJ845" s="125" t="inlineStr">
        <is>
          <t>HY700X139</t>
        </is>
      </c>
      <c r="AK845" s="125" t="n"/>
      <c r="AL845" s="125" t="n"/>
      <c r="AM845" s="125">
        <f>SQRT(((VLOOKUP($AT$4,$A$4:$J$1021,10,FALSE))-J845)^2)</f>
        <v/>
      </c>
      <c r="AN845" s="125" t="n"/>
      <c r="AO845" s="125" t="n"/>
      <c r="AP845" s="125">
        <f>SQRT(((VLOOKUP($AT$4,$A$4:$R$1021,18,FALSE))-R845)^2)</f>
        <v/>
      </c>
      <c r="AQ845" s="125" t="inlineStr">
        <is>
          <t>HY700X139</t>
        </is>
      </c>
      <c r="BB845" s="125">
        <f>SQRT(($J$1022-J845)^2)</f>
        <v/>
      </c>
      <c r="BC845" s="125">
        <f>SQRT(($R$1022-R845)^2)</f>
        <v/>
      </c>
      <c r="BD845" s="125" t="inlineStr">
        <is>
          <t>HY700X139</t>
        </is>
      </c>
      <c r="BI845">
        <f>SQRT(($J$1023-J845)^2)</f>
        <v/>
      </c>
      <c r="BJ845">
        <f>SQRT(($R$1023-R845)^2)</f>
        <v/>
      </c>
      <c r="BK845" s="125" t="inlineStr">
        <is>
          <t>HY700X139</t>
        </is>
      </c>
      <c r="BP845">
        <f>SQRT(($J$1024-J845)^2)</f>
        <v/>
      </c>
      <c r="BQ845">
        <f>SQRT(($R$1024-R845)^2)</f>
        <v/>
      </c>
      <c r="BR845" s="125" t="inlineStr">
        <is>
          <t>HY700X139</t>
        </is>
      </c>
      <c r="BW845">
        <f>SQRT(($J$1025-J845)^2)</f>
        <v/>
      </c>
      <c r="BX845">
        <f>SQRT(($R$1025-R845)^2)</f>
        <v/>
      </c>
      <c r="BY845" s="125" t="inlineStr">
        <is>
          <t>HY700X139</t>
        </is>
      </c>
      <c r="CD845">
        <f>SQRT(($J$1026-J845)^2)</f>
        <v/>
      </c>
      <c r="CE845">
        <f>SQRT(($R$1026-R845)^2)</f>
        <v/>
      </c>
      <c r="CF845" s="125" t="inlineStr">
        <is>
          <t>HY700X139</t>
        </is>
      </c>
    </row>
    <row r="846">
      <c r="A846" s="125" t="inlineStr">
        <is>
          <t>HY700X128</t>
        </is>
      </c>
      <c r="B846" s="129" t="inlineStr">
        <is>
          <t>HY</t>
        </is>
      </c>
      <c r="C846" s="125" t="n">
        <v>128</v>
      </c>
      <c r="D846" s="125" t="n">
        <v>700</v>
      </c>
      <c r="E846" s="125" t="n">
        <v>250</v>
      </c>
      <c r="F846" s="125" t="n">
        <v>16</v>
      </c>
      <c r="G846" s="125" t="n">
        <v>12</v>
      </c>
      <c r="H846" s="125" t="n">
        <v>18</v>
      </c>
      <c r="I846" s="125">
        <f>D846-(2*(H846+F846))</f>
        <v/>
      </c>
      <c r="J846" s="125">
        <f>(2*E846/10*F846/10)+((D846-F846-F846)/10*G846/10)+((H846/10+H846/10)^2)-(PI()*H846/10*H846/10)</f>
        <v/>
      </c>
      <c r="K846" s="125">
        <f>((E846-G846)/2)/F846</f>
        <v/>
      </c>
      <c r="L846" s="125">
        <f>I846/G846</f>
        <v/>
      </c>
      <c r="M846" s="125">
        <f>(E846*2+F846*4+((E846-G846)/2-H846)*4+2*PI()*H846+(D846-2*F846-2*H846)*2)/1000</f>
        <v/>
      </c>
      <c r="N846" s="5" t="n">
        <v>126000</v>
      </c>
      <c r="O846" s="5" t="n">
        <v>4180</v>
      </c>
      <c r="P846" s="125" t="n">
        <v>27.9</v>
      </c>
      <c r="Q846" s="125" t="n">
        <v>5.1</v>
      </c>
      <c r="R846" s="5" t="n">
        <v>3610</v>
      </c>
      <c r="S846" s="125" t="n">
        <v>334</v>
      </c>
      <c r="T846" s="5" t="n">
        <v>4170</v>
      </c>
      <c r="U846" s="125" t="n">
        <v>527</v>
      </c>
      <c r="X846" s="129">
        <f t="array" ref="X846">_xlfn.IFS((D846/F846) &lt;= (640/SQRT($AT$32)), "Compact", L846 &lt;= ($AT$32*(0.79-(0.002*((E846-G846/2)/(2*F846))*SQRT($AT$32)))), "Non-Compact", L846 &gt; ($AT$32*(0.79-(0.002*((E846-G846/2)/(2*F846))*SQRT($AT$32)))), "Slender")</f>
        <v/>
      </c>
      <c r="Y846" s="129">
        <f t="array" ref="Y846">_xlfn.IFS(K846 &lt;= (65/SQRT($AT$32)), "Compact", K846 &lt;= (95/SQRT($AT$32)), "Non-Compact", K846 &gt; (95/SQRT($AT$32)), "Slender")</f>
        <v/>
      </c>
      <c r="Z846" s="125">
        <f>E846/F846</f>
        <v/>
      </c>
      <c r="AA846" s="125">
        <f>D846/G846</f>
        <v/>
      </c>
      <c r="AB846" s="125">
        <f t="array" ref="AB846">_xlfn.IFS(Z846 &lt;= 9, "1", Z846 &lt;= 12, "2", Z846 &lt;= 15, "3", Z846 &gt; 15, "4")</f>
        <v/>
      </c>
      <c r="AC846" s="125">
        <f t="array" ref="AC846">_xlfn.IFS(AA846 &lt;= 200, "1", L846 &lt;= 300, "2", L846 &lt;= 400, "3", L846 &gt; 400, "4")</f>
        <v/>
      </c>
      <c r="AF846" s="129">
        <f>SQRT((((VLOOKUP($AT$4,$A$4:$D$1021,4,FALSE))-D846)^2)+(((VLOOKUP($AT$4,$A$4:$E$1021,5,FALSE))-E846)^2)+(((VLOOKUP($AT$4,$A$4:$N$1021,14,FALSE))-N846)^2)+(((VLOOKUP($AT$4,$A$4:$O$1021,15,FALSE))-O846)^2))</f>
        <v/>
      </c>
      <c r="AG846" s="129" t="n"/>
      <c r="AI846" s="129">
        <f>SQRT((((VLOOKUP($AT$4,$A$4:$D$1021,4,FALSE))-D846)^2)+(((VLOOKUP($AT$4,$A$4:$E$1021,5,FALSE))-E846)^2)+(((VLOOKUP($AT$4,$A$4:$R$1021,18,FALSE))-R846)^2)+(((VLOOKUP($AT$4,$A$4:$S$1021,19,FALSE))-S846)^2))</f>
        <v/>
      </c>
      <c r="AJ846" s="125" t="inlineStr">
        <is>
          <t>HY700X128</t>
        </is>
      </c>
      <c r="AK846" s="125" t="n"/>
      <c r="AL846" s="125" t="n"/>
      <c r="AM846" s="125">
        <f>SQRT(((VLOOKUP($AT$4,$A$4:$J$1021,10,FALSE))-J846)^2)</f>
        <v/>
      </c>
      <c r="AN846" s="125" t="n"/>
      <c r="AO846" s="125" t="n"/>
      <c r="AP846" s="125">
        <f>SQRT(((VLOOKUP($AT$4,$A$4:$R$1021,18,FALSE))-R846)^2)</f>
        <v/>
      </c>
      <c r="AQ846" s="125" t="inlineStr">
        <is>
          <t>HY700X128</t>
        </is>
      </c>
      <c r="BB846" s="125">
        <f>SQRT(($J$1022-J846)^2)</f>
        <v/>
      </c>
      <c r="BC846" s="125">
        <f>SQRT(($R$1022-R846)^2)</f>
        <v/>
      </c>
      <c r="BD846" s="125" t="inlineStr">
        <is>
          <t>HY700X128</t>
        </is>
      </c>
      <c r="BI846">
        <f>SQRT(($J$1023-J846)^2)</f>
        <v/>
      </c>
      <c r="BJ846">
        <f>SQRT(($R$1023-R846)^2)</f>
        <v/>
      </c>
      <c r="BK846" s="125" t="inlineStr">
        <is>
          <t>HY700X128</t>
        </is>
      </c>
      <c r="BP846">
        <f>SQRT(($J$1024-J846)^2)</f>
        <v/>
      </c>
      <c r="BQ846">
        <f>SQRT(($R$1024-R846)^2)</f>
        <v/>
      </c>
      <c r="BR846" s="125" t="inlineStr">
        <is>
          <t>HY700X128</t>
        </is>
      </c>
      <c r="BW846">
        <f>SQRT(($J$1025-J846)^2)</f>
        <v/>
      </c>
      <c r="BX846">
        <f>SQRT(($R$1025-R846)^2)</f>
        <v/>
      </c>
      <c r="BY846" s="125" t="inlineStr">
        <is>
          <t>HY700X128</t>
        </is>
      </c>
      <c r="CD846">
        <f>SQRT(($J$1026-J846)^2)</f>
        <v/>
      </c>
      <c r="CE846">
        <f>SQRT(($R$1026-R846)^2)</f>
        <v/>
      </c>
      <c r="CF846" s="125" t="inlineStr">
        <is>
          <t>HY700X128</t>
        </is>
      </c>
    </row>
    <row r="847">
      <c r="A847" s="125" t="inlineStr">
        <is>
          <t>HY700X124</t>
        </is>
      </c>
      <c r="B847" s="129" t="inlineStr">
        <is>
          <t>HY</t>
        </is>
      </c>
      <c r="C847" s="125" t="n">
        <v>124</v>
      </c>
      <c r="D847" s="125" t="n">
        <v>700</v>
      </c>
      <c r="E847" s="125" t="n">
        <v>250</v>
      </c>
      <c r="F847" s="125" t="n">
        <v>19</v>
      </c>
      <c r="G847" s="125" t="n">
        <v>9</v>
      </c>
      <c r="H847" s="125" t="n">
        <v>18</v>
      </c>
      <c r="I847" s="125">
        <f>D847-(2*(H847+F847))</f>
        <v/>
      </c>
      <c r="J847" s="125">
        <f>(2*E847/10*F847/10)+((D847-F847-F847)/10*G847/10)+((H847/10+H847/10)^2)-(PI()*H847/10*H847/10)</f>
        <v/>
      </c>
      <c r="K847" s="125">
        <f>((E847-G847)/2)/F847</f>
        <v/>
      </c>
      <c r="L847" s="125">
        <f>I847/G847</f>
        <v/>
      </c>
      <c r="M847" s="125">
        <f>(E847*2+F847*4+((E847-G847)/2-H847)*4+2*PI()*H847+(D847-2*F847-2*H847)*2)/1000</f>
        <v/>
      </c>
      <c r="N847" s="5" t="n">
        <v>135000</v>
      </c>
      <c r="O847" s="5" t="n">
        <v>4950</v>
      </c>
      <c r="P847" s="125" t="n">
        <v>29.3</v>
      </c>
      <c r="Q847" s="125" t="n">
        <v>5.6</v>
      </c>
      <c r="R847" s="5" t="n">
        <v>3850</v>
      </c>
      <c r="S847" s="125" t="n">
        <v>396</v>
      </c>
      <c r="T847" s="5" t="n">
        <v>4310</v>
      </c>
      <c r="U847" s="125" t="n">
        <v>610</v>
      </c>
      <c r="X847" s="129">
        <f t="array" ref="X847">_xlfn.IFS((D847/F847) &lt;= (640/SQRT($AT$32)), "Compact", L847 &lt;= ($AT$32*(0.79-(0.002*((E847-G847/2)/(2*F847))*SQRT($AT$32)))), "Non-Compact", L847 &gt; ($AT$32*(0.79-(0.002*((E847-G847/2)/(2*F847))*SQRT($AT$32)))), "Slender")</f>
        <v/>
      </c>
      <c r="Y847" s="129">
        <f t="array" ref="Y847">_xlfn.IFS(K847 &lt;= (65/SQRT($AT$32)), "Compact", K847 &lt;= (95/SQRT($AT$32)), "Non-Compact", K847 &gt; (95/SQRT($AT$32)), "Slender")</f>
        <v/>
      </c>
      <c r="Z847" s="125">
        <f>E847/F847</f>
        <v/>
      </c>
      <c r="AA847" s="125">
        <f>D847/G847</f>
        <v/>
      </c>
      <c r="AB847" s="125">
        <f t="array" ref="AB847">_xlfn.IFS(Z847 &lt;= 9, "1", Z847 &lt;= 12, "2", Z847 &lt;= 15, "3", Z847 &gt; 15, "4")</f>
        <v/>
      </c>
      <c r="AC847" s="125">
        <f t="array" ref="AC847">_xlfn.IFS(AA847 &lt;= 200, "1", L847 &lt;= 300, "2", L847 &lt;= 400, "3", L847 &gt; 400, "4")</f>
        <v/>
      </c>
      <c r="AF847" s="129">
        <f>SQRT((((VLOOKUP($AT$4,$A$4:$D$1021,4,FALSE))-D847)^2)+(((VLOOKUP($AT$4,$A$4:$E$1021,5,FALSE))-E847)^2)+(((VLOOKUP($AT$4,$A$4:$N$1021,14,FALSE))-N847)^2)+(((VLOOKUP($AT$4,$A$4:$O$1021,15,FALSE))-O847)^2))</f>
        <v/>
      </c>
      <c r="AG847" s="129" t="n"/>
      <c r="AI847" s="129">
        <f>SQRT((((VLOOKUP($AT$4,$A$4:$D$1021,4,FALSE))-D847)^2)+(((VLOOKUP($AT$4,$A$4:$E$1021,5,FALSE))-E847)^2)+(((VLOOKUP($AT$4,$A$4:$R$1021,18,FALSE))-R847)^2)+(((VLOOKUP($AT$4,$A$4:$S$1021,19,FALSE))-S847)^2))</f>
        <v/>
      </c>
      <c r="AJ847" s="125" t="inlineStr">
        <is>
          <t>HY700X124</t>
        </is>
      </c>
      <c r="AK847" s="125" t="n"/>
      <c r="AL847" s="125" t="n"/>
      <c r="AM847" s="125">
        <f>SQRT(((VLOOKUP($AT$4,$A$4:$J$1021,10,FALSE))-J847)^2)</f>
        <v/>
      </c>
      <c r="AN847" s="125" t="n"/>
      <c r="AO847" s="125" t="n"/>
      <c r="AP847" s="125">
        <f>SQRT(((VLOOKUP($AT$4,$A$4:$R$1021,18,FALSE))-R847)^2)</f>
        <v/>
      </c>
      <c r="AQ847" s="125" t="inlineStr">
        <is>
          <t>HY700X124</t>
        </is>
      </c>
      <c r="BB847" s="125">
        <f>SQRT(($J$1022-J847)^2)</f>
        <v/>
      </c>
      <c r="BC847" s="125">
        <f>SQRT(($R$1022-R847)^2)</f>
        <v/>
      </c>
      <c r="BD847" s="125" t="inlineStr">
        <is>
          <t>HY700X124</t>
        </is>
      </c>
      <c r="BI847">
        <f>SQRT(($J$1023-J847)^2)</f>
        <v/>
      </c>
      <c r="BJ847">
        <f>SQRT(($R$1023-R847)^2)</f>
        <v/>
      </c>
      <c r="BK847" s="125" t="inlineStr">
        <is>
          <t>HY700X124</t>
        </is>
      </c>
      <c r="BP847">
        <f>SQRT(($J$1024-J847)^2)</f>
        <v/>
      </c>
      <c r="BQ847">
        <f>SQRT(($R$1024-R847)^2)</f>
        <v/>
      </c>
      <c r="BR847" s="125" t="inlineStr">
        <is>
          <t>HY700X124</t>
        </is>
      </c>
      <c r="BW847">
        <f>SQRT(($J$1025-J847)^2)</f>
        <v/>
      </c>
      <c r="BX847">
        <f>SQRT(($R$1025-R847)^2)</f>
        <v/>
      </c>
      <c r="BY847" s="125" t="inlineStr">
        <is>
          <t>HY700X124</t>
        </is>
      </c>
      <c r="CD847">
        <f>SQRT(($J$1026-J847)^2)</f>
        <v/>
      </c>
      <c r="CE847">
        <f>SQRT(($R$1026-R847)^2)</f>
        <v/>
      </c>
      <c r="CF847" s="125" t="inlineStr">
        <is>
          <t>HY700X124</t>
        </is>
      </c>
    </row>
    <row r="848">
      <c r="A848" s="125" t="inlineStr">
        <is>
          <t>HY700X112</t>
        </is>
      </c>
      <c r="B848" s="129" t="inlineStr">
        <is>
          <t>HY</t>
        </is>
      </c>
      <c r="C848" s="125" t="n">
        <v>112</v>
      </c>
      <c r="D848" s="125" t="n">
        <v>700</v>
      </c>
      <c r="E848" s="125" t="n">
        <v>250</v>
      </c>
      <c r="F848" s="125" t="n">
        <v>16</v>
      </c>
      <c r="G848" s="125" t="n">
        <v>9</v>
      </c>
      <c r="H848" s="125" t="n">
        <v>18</v>
      </c>
      <c r="I848" s="125">
        <f>D848-(2*(H848+F848))</f>
        <v/>
      </c>
      <c r="J848" s="125">
        <f>(2*E848/10*F848/10)+((D848-F848-F848)/10*G848/10)+((H848/10+H848/10)^2)-(PI()*H848/10*H848/10)</f>
        <v/>
      </c>
      <c r="K848" s="125">
        <f>((E848-G848)/2)/F848</f>
        <v/>
      </c>
      <c r="L848" s="125">
        <f>I848/G848</f>
        <v/>
      </c>
      <c r="M848" s="125">
        <f>(E848*2+F848*4+((E848-G848)/2-H848)*4+2*PI()*H848+(D848-2*F848-2*H848)*2)/1000</f>
        <v/>
      </c>
      <c r="N848" s="5" t="n">
        <v>119000</v>
      </c>
      <c r="O848" s="5" t="n">
        <v>4170</v>
      </c>
      <c r="P848" s="125" t="n">
        <v>28.9</v>
      </c>
      <c r="Q848" s="125" t="n">
        <v>5.4</v>
      </c>
      <c r="R848" s="5" t="n">
        <v>3400</v>
      </c>
      <c r="S848" s="125" t="n">
        <v>334</v>
      </c>
      <c r="T848" s="5" t="n">
        <v>3830</v>
      </c>
      <c r="U848" s="125" t="n">
        <v>516</v>
      </c>
      <c r="X848" s="129">
        <f t="array" ref="X848">_xlfn.IFS((D848/F848) &lt;= (640/SQRT($AT$32)), "Compact", L848 &lt;= ($AT$32*(0.79-(0.002*((E848-G848/2)/(2*F848))*SQRT($AT$32)))), "Non-Compact", L848 &gt; ($AT$32*(0.79-(0.002*((E848-G848/2)/(2*F848))*SQRT($AT$32)))), "Slender")</f>
        <v/>
      </c>
      <c r="Y848" s="129">
        <f t="array" ref="Y848">_xlfn.IFS(K848 &lt;= (65/SQRT($AT$32)), "Compact", K848 &lt;= (95/SQRT($AT$32)), "Non-Compact", K848 &gt; (95/SQRT($AT$32)), "Slender")</f>
        <v/>
      </c>
      <c r="Z848" s="125">
        <f>E848/F848</f>
        <v/>
      </c>
      <c r="AA848" s="125">
        <f>D848/G848</f>
        <v/>
      </c>
      <c r="AB848" s="125">
        <f t="array" ref="AB848">_xlfn.IFS(Z848 &lt;= 9, "1", Z848 &lt;= 12, "2", Z848 &lt;= 15, "3", Z848 &gt; 15, "4")</f>
        <v/>
      </c>
      <c r="AC848" s="125">
        <f t="array" ref="AC848">_xlfn.IFS(AA848 &lt;= 200, "1", L848 &lt;= 300, "2", L848 &lt;= 400, "3", L848 &gt; 400, "4")</f>
        <v/>
      </c>
      <c r="AF848" s="129">
        <f>SQRT((((VLOOKUP($AT$4,$A$4:$D$1021,4,FALSE))-D848)^2)+(((VLOOKUP($AT$4,$A$4:$E$1021,5,FALSE))-E848)^2)+(((VLOOKUP($AT$4,$A$4:$N$1021,14,FALSE))-N848)^2)+(((VLOOKUP($AT$4,$A$4:$O$1021,15,FALSE))-O848)^2))</f>
        <v/>
      </c>
      <c r="AG848" s="129" t="n"/>
      <c r="AI848" s="129">
        <f>SQRT((((VLOOKUP($AT$4,$A$4:$D$1021,4,FALSE))-D848)^2)+(((VLOOKUP($AT$4,$A$4:$E$1021,5,FALSE))-E848)^2)+(((VLOOKUP($AT$4,$A$4:$R$1021,18,FALSE))-R848)^2)+(((VLOOKUP($AT$4,$A$4:$S$1021,19,FALSE))-S848)^2))</f>
        <v/>
      </c>
      <c r="AJ848" s="125" t="inlineStr">
        <is>
          <t>HY700X112</t>
        </is>
      </c>
      <c r="AK848" s="125" t="n"/>
      <c r="AL848" s="125" t="n"/>
      <c r="AM848" s="125">
        <f>SQRT(((VLOOKUP($AT$4,$A$4:$J$1021,10,FALSE))-J848)^2)</f>
        <v/>
      </c>
      <c r="AN848" s="125" t="n"/>
      <c r="AO848" s="125" t="n"/>
      <c r="AP848" s="125">
        <f>SQRT(((VLOOKUP($AT$4,$A$4:$R$1021,18,FALSE))-R848)^2)</f>
        <v/>
      </c>
      <c r="AQ848" s="125" t="inlineStr">
        <is>
          <t>HY700X112</t>
        </is>
      </c>
      <c r="BB848" s="125">
        <f>SQRT(($J$1022-J848)^2)</f>
        <v/>
      </c>
      <c r="BC848" s="125">
        <f>SQRT(($R$1022-R848)^2)</f>
        <v/>
      </c>
      <c r="BD848" s="125" t="inlineStr">
        <is>
          <t>HY700X112</t>
        </is>
      </c>
      <c r="BI848">
        <f>SQRT(($J$1023-J848)^2)</f>
        <v/>
      </c>
      <c r="BJ848">
        <f>SQRT(($R$1023-R848)^2)</f>
        <v/>
      </c>
      <c r="BK848" s="125" t="inlineStr">
        <is>
          <t>HY700X112</t>
        </is>
      </c>
      <c r="BP848">
        <f>SQRT(($J$1024-J848)^2)</f>
        <v/>
      </c>
      <c r="BQ848">
        <f>SQRT(($R$1024-R848)^2)</f>
        <v/>
      </c>
      <c r="BR848" s="125" t="inlineStr">
        <is>
          <t>HY700X112</t>
        </is>
      </c>
      <c r="BW848">
        <f>SQRT(($J$1025-J848)^2)</f>
        <v/>
      </c>
      <c r="BX848">
        <f>SQRT(($R$1025-R848)^2)</f>
        <v/>
      </c>
      <c r="BY848" s="125" t="inlineStr">
        <is>
          <t>HY700X112</t>
        </is>
      </c>
      <c r="CD848">
        <f>SQRT(($J$1026-J848)^2)</f>
        <v/>
      </c>
      <c r="CE848">
        <f>SQRT(($R$1026-R848)^2)</f>
        <v/>
      </c>
      <c r="CF848" s="125" t="inlineStr">
        <is>
          <t>HY700X112</t>
        </is>
      </c>
    </row>
    <row r="849">
      <c r="A849" s="125" t="inlineStr">
        <is>
          <t>HY700X161</t>
        </is>
      </c>
      <c r="B849" s="129" t="inlineStr">
        <is>
          <t>HY</t>
        </is>
      </c>
      <c r="C849" s="125" t="n">
        <v>161</v>
      </c>
      <c r="D849" s="125" t="n">
        <v>700</v>
      </c>
      <c r="E849" s="125" t="n">
        <v>200</v>
      </c>
      <c r="F849" s="125" t="n">
        <v>28</v>
      </c>
      <c r="G849" s="125" t="n">
        <v>14</v>
      </c>
      <c r="H849" s="125" t="n">
        <v>18</v>
      </c>
      <c r="I849" s="125">
        <f>D849-(2*(H849+F849))</f>
        <v/>
      </c>
      <c r="J849" s="125">
        <f>(2*E849/10*F849/10)+((D849-F849-F849)/10*G849/10)+((H849/10+H849/10)^2)-(PI()*H849/10*H849/10)</f>
        <v/>
      </c>
      <c r="K849" s="125">
        <f>((E849-G849)/2)/F849</f>
        <v/>
      </c>
      <c r="L849" s="125">
        <f>I849/G849</f>
        <v/>
      </c>
      <c r="M849" s="125">
        <f>(E849*2+F849*4+((E849-G849)/2-H849)*4+2*PI()*H849+(D849-2*F849-2*H849)*2)/1000</f>
        <v/>
      </c>
      <c r="N849" s="5" t="n">
        <v>160000</v>
      </c>
      <c r="O849" s="5" t="n">
        <v>3750</v>
      </c>
      <c r="P849" s="125" t="n">
        <v>28</v>
      </c>
      <c r="Q849" s="125" t="n">
        <v>4.3</v>
      </c>
      <c r="R849" s="5" t="n">
        <v>4590</v>
      </c>
      <c r="S849" s="125" t="n">
        <v>375</v>
      </c>
      <c r="T849" s="5" t="n">
        <v>5300</v>
      </c>
      <c r="U849" s="125" t="n">
        <v>595</v>
      </c>
      <c r="X849" s="129">
        <f t="array" ref="X849">_xlfn.IFS((D849/F849) &lt;= (640/SQRT($AT$32)), "Compact", L849 &lt;= ($AT$32*(0.79-(0.002*((E849-G849/2)/(2*F849))*SQRT($AT$32)))), "Non-Compact", L849 &gt; ($AT$32*(0.79-(0.002*((E849-G849/2)/(2*F849))*SQRT($AT$32)))), "Slender")</f>
        <v/>
      </c>
      <c r="Y849" s="129">
        <f t="array" ref="Y849">_xlfn.IFS(K849 &lt;= (65/SQRT($AT$32)), "Compact", K849 &lt;= (95/SQRT($AT$32)), "Non-Compact", K849 &gt; (95/SQRT($AT$32)), "Slender")</f>
        <v/>
      </c>
      <c r="Z849" s="125">
        <f>E849/F849</f>
        <v/>
      </c>
      <c r="AA849" s="125">
        <f>D849/G849</f>
        <v/>
      </c>
      <c r="AB849" s="125">
        <f t="array" ref="AB849">_xlfn.IFS(Z849 &lt;= 9, "1", Z849 &lt;= 12, "2", Z849 &lt;= 15, "3", Z849 &gt; 15, "4")</f>
        <v/>
      </c>
      <c r="AC849" s="125">
        <f t="array" ref="AC849">_xlfn.IFS(AA849 &lt;= 200, "1", L849 &lt;= 300, "2", L849 &lt;= 400, "3", L849 &gt; 400, "4")</f>
        <v/>
      </c>
      <c r="AF849" s="129">
        <f>SQRT((((VLOOKUP($AT$4,$A$4:$D$1021,4,FALSE))-D849)^2)+(((VLOOKUP($AT$4,$A$4:$E$1021,5,FALSE))-E849)^2)+(((VLOOKUP($AT$4,$A$4:$N$1021,14,FALSE))-N849)^2)+(((VLOOKUP($AT$4,$A$4:$O$1021,15,FALSE))-O849)^2))</f>
        <v/>
      </c>
      <c r="AG849" s="129" t="n"/>
      <c r="AI849" s="129">
        <f>SQRT((((VLOOKUP($AT$4,$A$4:$D$1021,4,FALSE))-D849)^2)+(((VLOOKUP($AT$4,$A$4:$E$1021,5,FALSE))-E849)^2)+(((VLOOKUP($AT$4,$A$4:$R$1021,18,FALSE))-R849)^2)+(((VLOOKUP($AT$4,$A$4:$S$1021,19,FALSE))-S849)^2))</f>
        <v/>
      </c>
      <c r="AJ849" s="125" t="inlineStr">
        <is>
          <t>HY700X161</t>
        </is>
      </c>
      <c r="AK849" s="125" t="n"/>
      <c r="AL849" s="125" t="n"/>
      <c r="AM849" s="125">
        <f>SQRT(((VLOOKUP($AT$4,$A$4:$J$1021,10,FALSE))-J849)^2)</f>
        <v/>
      </c>
      <c r="AN849" s="125" t="n"/>
      <c r="AO849" s="125" t="n"/>
      <c r="AP849" s="125">
        <f>SQRT(((VLOOKUP($AT$4,$A$4:$R$1021,18,FALSE))-R849)^2)</f>
        <v/>
      </c>
      <c r="AQ849" s="125" t="inlineStr">
        <is>
          <t>HY700X161</t>
        </is>
      </c>
      <c r="BB849" s="125">
        <f>SQRT(($J$1022-J849)^2)</f>
        <v/>
      </c>
      <c r="BC849" s="125">
        <f>SQRT(($R$1022-R849)^2)</f>
        <v/>
      </c>
      <c r="BD849" s="125" t="inlineStr">
        <is>
          <t>HY700X161</t>
        </is>
      </c>
      <c r="BI849">
        <f>SQRT(($J$1023-J849)^2)</f>
        <v/>
      </c>
      <c r="BJ849">
        <f>SQRT(($R$1023-R849)^2)</f>
        <v/>
      </c>
      <c r="BK849" s="125" t="inlineStr">
        <is>
          <t>HY700X161</t>
        </is>
      </c>
      <c r="BP849">
        <f>SQRT(($J$1024-J849)^2)</f>
        <v/>
      </c>
      <c r="BQ849">
        <f>SQRT(($R$1024-R849)^2)</f>
        <v/>
      </c>
      <c r="BR849" s="125" t="inlineStr">
        <is>
          <t>HY700X161</t>
        </is>
      </c>
      <c r="BW849">
        <f>SQRT(($J$1025-J849)^2)</f>
        <v/>
      </c>
      <c r="BX849">
        <f>SQRT(($R$1025-R849)^2)</f>
        <v/>
      </c>
      <c r="BY849" s="125" t="inlineStr">
        <is>
          <t>HY700X161</t>
        </is>
      </c>
      <c r="CD849">
        <f>SQRT(($J$1026-J849)^2)</f>
        <v/>
      </c>
      <c r="CE849">
        <f>SQRT(($R$1026-R849)^2)</f>
        <v/>
      </c>
      <c r="CF849" s="125" t="inlineStr">
        <is>
          <t>HY700X161</t>
        </is>
      </c>
    </row>
    <row r="850">
      <c r="A850" s="125" t="inlineStr">
        <is>
          <t>HY700X152</t>
        </is>
      </c>
      <c r="B850" s="129" t="inlineStr">
        <is>
          <t>HY</t>
        </is>
      </c>
      <c r="C850" s="125" t="n">
        <v>152</v>
      </c>
      <c r="D850" s="125" t="n">
        <v>700</v>
      </c>
      <c r="E850" s="125" t="n">
        <v>200</v>
      </c>
      <c r="F850" s="125" t="n">
        <v>25</v>
      </c>
      <c r="G850" s="125" t="n">
        <v>14</v>
      </c>
      <c r="H850" s="125" t="n">
        <v>18</v>
      </c>
      <c r="I850" s="125">
        <f>D850-(2*(H850+F850))</f>
        <v/>
      </c>
      <c r="J850" s="125">
        <f>(2*E850/10*F850/10)+((D850-F850-F850)/10*G850/10)+((H850/10+H850/10)^2)-(PI()*H850/10*H850/10)</f>
        <v/>
      </c>
      <c r="K850" s="125">
        <f>((E850-G850)/2)/F850</f>
        <v/>
      </c>
      <c r="L850" s="125">
        <f>I850/G850</f>
        <v/>
      </c>
      <c r="M850" s="125">
        <f>(E850*2+F850*4+((E850-G850)/2-H850)*4+2*PI()*H850+(D850-2*F850-2*H850)*2)/1000</f>
        <v/>
      </c>
      <c r="N850" s="5" t="n">
        <v>149000</v>
      </c>
      <c r="O850" s="5" t="n">
        <v>3350</v>
      </c>
      <c r="P850" s="125" t="n">
        <v>27.7</v>
      </c>
      <c r="Q850" s="125" t="n">
        <v>4.2</v>
      </c>
      <c r="R850" s="5" t="n">
        <v>4250</v>
      </c>
      <c r="S850" s="125" t="n">
        <v>335</v>
      </c>
      <c r="T850" s="5" t="n">
        <v>4940</v>
      </c>
      <c r="U850" s="125" t="n">
        <v>535</v>
      </c>
      <c r="X850" s="129">
        <f t="array" ref="X850">_xlfn.IFS((D850/F850) &lt;= (640/SQRT($AT$32)), "Compact", L850 &lt;= ($AT$32*(0.79-(0.002*((E850-G850/2)/(2*F850))*SQRT($AT$32)))), "Non-Compact", L850 &gt; ($AT$32*(0.79-(0.002*((E850-G850/2)/(2*F850))*SQRT($AT$32)))), "Slender")</f>
        <v/>
      </c>
      <c r="Y850" s="129">
        <f t="array" ref="Y850">_xlfn.IFS(K850 &lt;= (65/SQRT($AT$32)), "Compact", K850 &lt;= (95/SQRT($AT$32)), "Non-Compact", K850 &gt; (95/SQRT($AT$32)), "Slender")</f>
        <v/>
      </c>
      <c r="Z850" s="125">
        <f>E850/F850</f>
        <v/>
      </c>
      <c r="AA850" s="125">
        <f>D850/G850</f>
        <v/>
      </c>
      <c r="AB850" s="125">
        <f t="array" ref="AB850">_xlfn.IFS(Z850 &lt;= 9, "1", Z850 &lt;= 12, "2", Z850 &lt;= 15, "3", Z850 &gt; 15, "4")</f>
        <v/>
      </c>
      <c r="AC850" s="125">
        <f t="array" ref="AC850">_xlfn.IFS(AA850 &lt;= 200, "1", L850 &lt;= 300, "2", L850 &lt;= 400, "3", L850 &gt; 400, "4")</f>
        <v/>
      </c>
      <c r="AF850" s="129">
        <f>SQRT((((VLOOKUP($AT$4,$A$4:$D$1021,4,FALSE))-D850)^2)+(((VLOOKUP($AT$4,$A$4:$E$1021,5,FALSE))-E850)^2)+(((VLOOKUP($AT$4,$A$4:$N$1021,14,FALSE))-N850)^2)+(((VLOOKUP($AT$4,$A$4:$O$1021,15,FALSE))-O850)^2))</f>
        <v/>
      </c>
      <c r="AG850" s="129" t="n"/>
      <c r="AI850" s="129">
        <f>SQRT((((VLOOKUP($AT$4,$A$4:$D$1021,4,FALSE))-D850)^2)+(((VLOOKUP($AT$4,$A$4:$E$1021,5,FALSE))-E850)^2)+(((VLOOKUP($AT$4,$A$4:$R$1021,18,FALSE))-R850)^2)+(((VLOOKUP($AT$4,$A$4:$S$1021,19,FALSE))-S850)^2))</f>
        <v/>
      </c>
      <c r="AJ850" s="125" t="inlineStr">
        <is>
          <t>HY700X152</t>
        </is>
      </c>
      <c r="AK850" s="125" t="n"/>
      <c r="AL850" s="125" t="n"/>
      <c r="AM850" s="125">
        <f>SQRT(((VLOOKUP($AT$4,$A$4:$J$1021,10,FALSE))-J850)^2)</f>
        <v/>
      </c>
      <c r="AN850" s="125" t="n"/>
      <c r="AO850" s="125" t="n"/>
      <c r="AP850" s="125">
        <f>SQRT(((VLOOKUP($AT$4,$A$4:$R$1021,18,FALSE))-R850)^2)</f>
        <v/>
      </c>
      <c r="AQ850" s="125" t="inlineStr">
        <is>
          <t>HY700X152</t>
        </is>
      </c>
      <c r="BB850" s="125">
        <f>SQRT(($J$1022-J850)^2)</f>
        <v/>
      </c>
      <c r="BC850" s="125">
        <f>SQRT(($R$1022-R850)^2)</f>
        <v/>
      </c>
      <c r="BD850" s="125" t="inlineStr">
        <is>
          <t>HY700X152</t>
        </is>
      </c>
      <c r="BI850">
        <f>SQRT(($J$1023-J850)^2)</f>
        <v/>
      </c>
      <c r="BJ850">
        <f>SQRT(($R$1023-R850)^2)</f>
        <v/>
      </c>
      <c r="BK850" s="125" t="inlineStr">
        <is>
          <t>HY700X152</t>
        </is>
      </c>
      <c r="BP850">
        <f>SQRT(($J$1024-J850)^2)</f>
        <v/>
      </c>
      <c r="BQ850">
        <f>SQRT(($R$1024-R850)^2)</f>
        <v/>
      </c>
      <c r="BR850" s="125" t="inlineStr">
        <is>
          <t>HY700X152</t>
        </is>
      </c>
      <c r="BW850">
        <f>SQRT(($J$1025-J850)^2)</f>
        <v/>
      </c>
      <c r="BX850">
        <f>SQRT(($R$1025-R850)^2)</f>
        <v/>
      </c>
      <c r="BY850" s="125" t="inlineStr">
        <is>
          <t>HY700X152</t>
        </is>
      </c>
      <c r="CD850">
        <f>SQRT(($J$1026-J850)^2)</f>
        <v/>
      </c>
      <c r="CE850">
        <f>SQRT(($R$1026-R850)^2)</f>
        <v/>
      </c>
      <c r="CF850" s="125" t="inlineStr">
        <is>
          <t>HY700X152</t>
        </is>
      </c>
    </row>
    <row r="851">
      <c r="A851" s="125" t="inlineStr">
        <is>
          <t>HY700X143</t>
        </is>
      </c>
      <c r="B851" s="129" t="inlineStr">
        <is>
          <t>HY</t>
        </is>
      </c>
      <c r="C851" s="125" t="n">
        <v>143</v>
      </c>
      <c r="D851" s="125" t="n">
        <v>700</v>
      </c>
      <c r="E851" s="125" t="n">
        <v>200</v>
      </c>
      <c r="F851" s="125" t="n">
        <v>22</v>
      </c>
      <c r="G851" s="125" t="n">
        <v>14</v>
      </c>
      <c r="H851" s="125" t="n">
        <v>18</v>
      </c>
      <c r="I851" s="125">
        <f>D851-(2*(H851+F851))</f>
        <v/>
      </c>
      <c r="J851" s="125">
        <f>(2*E851/10*F851/10)+((D851-F851-F851)/10*G851/10)+((H851/10+H851/10)^2)-(PI()*H851/10*H851/10)</f>
        <v/>
      </c>
      <c r="K851" s="125">
        <f>((E851-G851)/2)/F851</f>
        <v/>
      </c>
      <c r="L851" s="125">
        <f>I851/G851</f>
        <v/>
      </c>
      <c r="M851" s="125">
        <f>(E851*2+F851*4+((E851-G851)/2-H851)*4+2*PI()*H851+(D851-2*F851-2*H851)*2)/1000</f>
        <v/>
      </c>
      <c r="N851" s="5" t="n">
        <v>137000</v>
      </c>
      <c r="O851" s="5" t="n">
        <v>2950</v>
      </c>
      <c r="P851" s="125" t="n">
        <v>27.4</v>
      </c>
      <c r="Q851" s="125" t="n">
        <v>4</v>
      </c>
      <c r="R851" s="5" t="n">
        <v>3910</v>
      </c>
      <c r="S851" s="125" t="n">
        <v>295</v>
      </c>
      <c r="T851" s="5" t="n">
        <v>4580</v>
      </c>
      <c r="U851" s="125" t="n">
        <v>475</v>
      </c>
      <c r="X851" s="129">
        <f t="array" ref="X851">_xlfn.IFS((D851/F851) &lt;= (640/SQRT($AT$32)), "Compact", L851 &lt;= ($AT$32*(0.79-(0.002*((E851-G851/2)/(2*F851))*SQRT($AT$32)))), "Non-Compact", L851 &gt; ($AT$32*(0.79-(0.002*((E851-G851/2)/(2*F851))*SQRT($AT$32)))), "Slender")</f>
        <v/>
      </c>
      <c r="Y851" s="129">
        <f t="array" ref="Y851">_xlfn.IFS(K851 &lt;= (65/SQRT($AT$32)), "Compact", K851 &lt;= (95/SQRT($AT$32)), "Non-Compact", K851 &gt; (95/SQRT($AT$32)), "Slender")</f>
        <v/>
      </c>
      <c r="Z851" s="125">
        <f>E851/F851</f>
        <v/>
      </c>
      <c r="AA851" s="125">
        <f>D851/G851</f>
        <v/>
      </c>
      <c r="AB851" s="125">
        <f t="array" ref="AB851">_xlfn.IFS(Z851 &lt;= 9, "1", Z851 &lt;= 12, "2", Z851 &lt;= 15, "3", Z851 &gt; 15, "4")</f>
        <v/>
      </c>
      <c r="AC851" s="125">
        <f t="array" ref="AC851">_xlfn.IFS(AA851 &lt;= 200, "1", L851 &lt;= 300, "2", L851 &lt;= 400, "3", L851 &gt; 400, "4")</f>
        <v/>
      </c>
      <c r="AF851" s="129">
        <f>SQRT((((VLOOKUP($AT$4,$A$4:$D$1021,4,FALSE))-D851)^2)+(((VLOOKUP($AT$4,$A$4:$E$1021,5,FALSE))-E851)^2)+(((VLOOKUP($AT$4,$A$4:$N$1021,14,FALSE))-N851)^2)+(((VLOOKUP($AT$4,$A$4:$O$1021,15,FALSE))-O851)^2))</f>
        <v/>
      </c>
      <c r="AG851" s="129" t="n"/>
      <c r="AI851" s="129">
        <f>SQRT((((VLOOKUP($AT$4,$A$4:$D$1021,4,FALSE))-D851)^2)+(((VLOOKUP($AT$4,$A$4:$E$1021,5,FALSE))-E851)^2)+(((VLOOKUP($AT$4,$A$4:$R$1021,18,FALSE))-R851)^2)+(((VLOOKUP($AT$4,$A$4:$S$1021,19,FALSE))-S851)^2))</f>
        <v/>
      </c>
      <c r="AJ851" s="125" t="inlineStr">
        <is>
          <t>HY700X143</t>
        </is>
      </c>
      <c r="AK851" s="125" t="n"/>
      <c r="AL851" s="125" t="n"/>
      <c r="AM851" s="125">
        <f>SQRT(((VLOOKUP($AT$4,$A$4:$J$1021,10,FALSE))-J851)^2)</f>
        <v/>
      </c>
      <c r="AN851" s="125" t="n"/>
      <c r="AO851" s="125" t="n"/>
      <c r="AP851" s="125">
        <f>SQRT(((VLOOKUP($AT$4,$A$4:$R$1021,18,FALSE))-R851)^2)</f>
        <v/>
      </c>
      <c r="AQ851" s="125" t="inlineStr">
        <is>
          <t>HY700X143</t>
        </is>
      </c>
      <c r="BB851" s="125">
        <f>SQRT(($J$1022-J851)^2)</f>
        <v/>
      </c>
      <c r="BC851" s="125">
        <f>SQRT(($R$1022-R851)^2)</f>
        <v/>
      </c>
      <c r="BD851" s="125" t="inlineStr">
        <is>
          <t>HY700X143</t>
        </is>
      </c>
      <c r="BI851">
        <f>SQRT(($J$1023-J851)^2)</f>
        <v/>
      </c>
      <c r="BJ851">
        <f>SQRT(($R$1023-R851)^2)</f>
        <v/>
      </c>
      <c r="BK851" s="125" t="inlineStr">
        <is>
          <t>HY700X143</t>
        </is>
      </c>
      <c r="BP851">
        <f>SQRT(($J$1024-J851)^2)</f>
        <v/>
      </c>
      <c r="BQ851">
        <f>SQRT(($R$1024-R851)^2)</f>
        <v/>
      </c>
      <c r="BR851" s="125" t="inlineStr">
        <is>
          <t>HY700X143</t>
        </is>
      </c>
      <c r="BW851">
        <f>SQRT(($J$1025-J851)^2)</f>
        <v/>
      </c>
      <c r="BX851">
        <f>SQRT(($R$1025-R851)^2)</f>
        <v/>
      </c>
      <c r="BY851" s="125" t="inlineStr">
        <is>
          <t>HY700X143</t>
        </is>
      </c>
      <c r="CD851">
        <f>SQRT(($J$1026-J851)^2)</f>
        <v/>
      </c>
      <c r="CE851">
        <f>SQRT(($R$1026-R851)^2)</f>
        <v/>
      </c>
      <c r="CF851" s="125" t="inlineStr">
        <is>
          <t>HY700X143</t>
        </is>
      </c>
    </row>
    <row r="852">
      <c r="A852" s="125" t="inlineStr">
        <is>
          <t>HY700X135</t>
        </is>
      </c>
      <c r="B852" s="129" t="inlineStr">
        <is>
          <t>HY</t>
        </is>
      </c>
      <c r="C852" s="125" t="n">
        <v>135</v>
      </c>
      <c r="D852" s="125" t="n">
        <v>700</v>
      </c>
      <c r="E852" s="125" t="n">
        <v>200</v>
      </c>
      <c r="F852" s="125" t="n">
        <v>19</v>
      </c>
      <c r="G852" s="125" t="n">
        <v>14</v>
      </c>
      <c r="H852" s="125" t="n">
        <v>18</v>
      </c>
      <c r="I852" s="125">
        <f>D852-(2*(H852+F852))</f>
        <v/>
      </c>
      <c r="J852" s="125">
        <f>(2*E852/10*F852/10)+((D852-F852-F852)/10*G852/10)+((H852/10+H852/10)^2)-(PI()*H852/10*H852/10)</f>
        <v/>
      </c>
      <c r="K852" s="125">
        <f>((E852-G852)/2)/F852</f>
        <v/>
      </c>
      <c r="L852" s="125">
        <f>I852/G852</f>
        <v/>
      </c>
      <c r="M852" s="125">
        <f>(E852*2+F852*4+((E852-G852)/2-H852)*4+2*PI()*H852+(D852-2*F852-2*H852)*2)/1000</f>
        <v/>
      </c>
      <c r="N852" s="5" t="n">
        <v>125000</v>
      </c>
      <c r="O852" s="5" t="n">
        <v>2550</v>
      </c>
      <c r="P852" s="125" t="n">
        <v>27</v>
      </c>
      <c r="Q852" s="125" t="n">
        <v>3.9</v>
      </c>
      <c r="R852" s="5" t="n">
        <v>3570</v>
      </c>
      <c r="S852" s="125" t="n">
        <v>255</v>
      </c>
      <c r="T852" s="5" t="n">
        <v>4210</v>
      </c>
      <c r="U852" s="125" t="n">
        <v>416</v>
      </c>
      <c r="X852" s="129">
        <f t="array" ref="X852">_xlfn.IFS((D852/F852) &lt;= (640/SQRT($AT$32)), "Compact", L852 &lt;= ($AT$32*(0.79-(0.002*((E852-G852/2)/(2*F852))*SQRT($AT$32)))), "Non-Compact", L852 &gt; ($AT$32*(0.79-(0.002*((E852-G852/2)/(2*F852))*SQRT($AT$32)))), "Slender")</f>
        <v/>
      </c>
      <c r="Y852" s="129">
        <f t="array" ref="Y852">_xlfn.IFS(K852 &lt;= (65/SQRT($AT$32)), "Compact", K852 &lt;= (95/SQRT($AT$32)), "Non-Compact", K852 &gt; (95/SQRT($AT$32)), "Slender")</f>
        <v/>
      </c>
      <c r="Z852" s="125">
        <f>E852/F852</f>
        <v/>
      </c>
      <c r="AA852" s="125">
        <f>D852/G852</f>
        <v/>
      </c>
      <c r="AB852" s="125">
        <f t="array" ref="AB852">_xlfn.IFS(Z852 &lt;= 9, "1", Z852 &lt;= 12, "2", Z852 &lt;= 15, "3", Z852 &gt; 15, "4")</f>
        <v/>
      </c>
      <c r="AC852" s="125">
        <f t="array" ref="AC852">_xlfn.IFS(AA852 &lt;= 200, "1", L852 &lt;= 300, "2", L852 &lt;= 400, "3", L852 &gt; 400, "4")</f>
        <v/>
      </c>
      <c r="AF852" s="129">
        <f>SQRT((((VLOOKUP($AT$4,$A$4:$D$1021,4,FALSE))-D852)^2)+(((VLOOKUP($AT$4,$A$4:$E$1021,5,FALSE))-E852)^2)+(((VLOOKUP($AT$4,$A$4:$N$1021,14,FALSE))-N852)^2)+(((VLOOKUP($AT$4,$A$4:$O$1021,15,FALSE))-O852)^2))</f>
        <v/>
      </c>
      <c r="AG852" s="129" t="n"/>
      <c r="AI852" s="129">
        <f>SQRT((((VLOOKUP($AT$4,$A$4:$D$1021,4,FALSE))-D852)^2)+(((VLOOKUP($AT$4,$A$4:$E$1021,5,FALSE))-E852)^2)+(((VLOOKUP($AT$4,$A$4:$R$1021,18,FALSE))-R852)^2)+(((VLOOKUP($AT$4,$A$4:$S$1021,19,FALSE))-S852)^2))</f>
        <v/>
      </c>
      <c r="AJ852" s="125" t="inlineStr">
        <is>
          <t>HY700X135</t>
        </is>
      </c>
      <c r="AK852" s="125" t="n"/>
      <c r="AL852" s="125" t="n"/>
      <c r="AM852" s="125">
        <f>SQRT(((VLOOKUP($AT$4,$A$4:$J$1021,10,FALSE))-J852)^2)</f>
        <v/>
      </c>
      <c r="AN852" s="125" t="n"/>
      <c r="AO852" s="125" t="n"/>
      <c r="AP852" s="125">
        <f>SQRT(((VLOOKUP($AT$4,$A$4:$R$1021,18,FALSE))-R852)^2)</f>
        <v/>
      </c>
      <c r="AQ852" s="125" t="inlineStr">
        <is>
          <t>HY700X135</t>
        </is>
      </c>
      <c r="BB852" s="125">
        <f>SQRT(($J$1022-J852)^2)</f>
        <v/>
      </c>
      <c r="BC852" s="125">
        <f>SQRT(($R$1022-R852)^2)</f>
        <v/>
      </c>
      <c r="BD852" s="125" t="inlineStr">
        <is>
          <t>HY700X135</t>
        </is>
      </c>
      <c r="BI852">
        <f>SQRT(($J$1023-J852)^2)</f>
        <v/>
      </c>
      <c r="BJ852">
        <f>SQRT(($R$1023-R852)^2)</f>
        <v/>
      </c>
      <c r="BK852" s="125" t="inlineStr">
        <is>
          <t>HY700X135</t>
        </is>
      </c>
      <c r="BP852">
        <f>SQRT(($J$1024-J852)^2)</f>
        <v/>
      </c>
      <c r="BQ852">
        <f>SQRT(($R$1024-R852)^2)</f>
        <v/>
      </c>
      <c r="BR852" s="125" t="inlineStr">
        <is>
          <t>HY700X135</t>
        </is>
      </c>
      <c r="BW852">
        <f>SQRT(($J$1025-J852)^2)</f>
        <v/>
      </c>
      <c r="BX852">
        <f>SQRT(($R$1025-R852)^2)</f>
        <v/>
      </c>
      <c r="BY852" s="125" t="inlineStr">
        <is>
          <t>HY700X135</t>
        </is>
      </c>
      <c r="CD852">
        <f>SQRT(($J$1026-J852)^2)</f>
        <v/>
      </c>
      <c r="CE852">
        <f>SQRT(($R$1026-R852)^2)</f>
        <v/>
      </c>
      <c r="CF852" s="125" t="inlineStr">
        <is>
          <t>HY700X135</t>
        </is>
      </c>
    </row>
    <row r="853">
      <c r="A853" s="125" t="inlineStr">
        <is>
          <t>HY700X151</t>
        </is>
      </c>
      <c r="B853" s="129" t="inlineStr">
        <is>
          <t>HY</t>
        </is>
      </c>
      <c r="C853" s="125" t="n">
        <v>151</v>
      </c>
      <c r="D853" s="125" t="n">
        <v>700</v>
      </c>
      <c r="E853" s="125" t="n">
        <v>200</v>
      </c>
      <c r="F853" s="125" t="n">
        <v>28</v>
      </c>
      <c r="G853" s="125" t="n">
        <v>12</v>
      </c>
      <c r="H853" s="125" t="n">
        <v>18</v>
      </c>
      <c r="I853" s="125">
        <f>D853-(2*(H853+F853))</f>
        <v/>
      </c>
      <c r="J853" s="125">
        <f>(2*E853/10*F853/10)+((D853-F853-F853)/10*G853/10)+((H853/10+H853/10)^2)-(PI()*H853/10*H853/10)</f>
        <v/>
      </c>
      <c r="K853" s="125">
        <f>((E853-G853)/2)/F853</f>
        <v/>
      </c>
      <c r="L853" s="125">
        <f>I853/G853</f>
        <v/>
      </c>
      <c r="M853" s="125">
        <f>(E853*2+F853*4+((E853-G853)/2-H853)*4+2*PI()*H853+(D853-2*F853-2*H853)*2)/1000</f>
        <v/>
      </c>
      <c r="N853" s="5" t="n">
        <v>156000</v>
      </c>
      <c r="O853" s="5" t="n">
        <v>3750</v>
      </c>
      <c r="P853" s="125" t="n">
        <v>28.5</v>
      </c>
      <c r="Q853" s="125" t="n">
        <v>4.4</v>
      </c>
      <c r="R853" s="5" t="n">
        <v>4460</v>
      </c>
      <c r="S853" s="125" t="n">
        <v>375</v>
      </c>
      <c r="T853" s="5" t="n">
        <v>5100</v>
      </c>
      <c r="U853" s="125" t="n">
        <v>586</v>
      </c>
      <c r="X853" s="129">
        <f t="array" ref="X853">_xlfn.IFS((D853/F853) &lt;= (640/SQRT($AT$32)), "Compact", L853 &lt;= ($AT$32*(0.79-(0.002*((E853-G853/2)/(2*F853))*SQRT($AT$32)))), "Non-Compact", L853 &gt; ($AT$32*(0.79-(0.002*((E853-G853/2)/(2*F853))*SQRT($AT$32)))), "Slender")</f>
        <v/>
      </c>
      <c r="Y853" s="129">
        <f t="array" ref="Y853">_xlfn.IFS(K853 &lt;= (65/SQRT($AT$32)), "Compact", K853 &lt;= (95/SQRT($AT$32)), "Non-Compact", K853 &gt; (95/SQRT($AT$32)), "Slender")</f>
        <v/>
      </c>
      <c r="Z853" s="125">
        <f>E853/F853</f>
        <v/>
      </c>
      <c r="AA853" s="125">
        <f>D853/G853</f>
        <v/>
      </c>
      <c r="AB853" s="125">
        <f t="array" ref="AB853">_xlfn.IFS(Z853 &lt;= 9, "1", Z853 &lt;= 12, "2", Z853 &lt;= 15, "3", Z853 &gt; 15, "4")</f>
        <v/>
      </c>
      <c r="AC853" s="125">
        <f t="array" ref="AC853">_xlfn.IFS(AA853 &lt;= 200, "1", L853 &lt;= 300, "2", L853 &lt;= 400, "3", L853 &gt; 400, "4")</f>
        <v/>
      </c>
      <c r="AF853" s="129">
        <f>SQRT((((VLOOKUP($AT$4,$A$4:$D$1021,4,FALSE))-D853)^2)+(((VLOOKUP($AT$4,$A$4:$E$1021,5,FALSE))-E853)^2)+(((VLOOKUP($AT$4,$A$4:$N$1021,14,FALSE))-N853)^2)+(((VLOOKUP($AT$4,$A$4:$O$1021,15,FALSE))-O853)^2))</f>
        <v/>
      </c>
      <c r="AG853" s="129" t="n"/>
      <c r="AI853" s="129">
        <f>SQRT((((VLOOKUP($AT$4,$A$4:$D$1021,4,FALSE))-D853)^2)+(((VLOOKUP($AT$4,$A$4:$E$1021,5,FALSE))-E853)^2)+(((VLOOKUP($AT$4,$A$4:$R$1021,18,FALSE))-R853)^2)+(((VLOOKUP($AT$4,$A$4:$S$1021,19,FALSE))-S853)^2))</f>
        <v/>
      </c>
      <c r="AJ853" s="125" t="inlineStr">
        <is>
          <t>HY700X151</t>
        </is>
      </c>
      <c r="AK853" s="125" t="n"/>
      <c r="AL853" s="125" t="n"/>
      <c r="AM853" s="125">
        <f>SQRT(((VLOOKUP($AT$4,$A$4:$J$1021,10,FALSE))-J853)^2)</f>
        <v/>
      </c>
      <c r="AN853" s="125" t="n"/>
      <c r="AO853" s="125" t="n"/>
      <c r="AP853" s="125">
        <f>SQRT(((VLOOKUP($AT$4,$A$4:$R$1021,18,FALSE))-R853)^2)</f>
        <v/>
      </c>
      <c r="AQ853" s="125" t="inlineStr">
        <is>
          <t>HY700X151</t>
        </is>
      </c>
      <c r="BB853" s="125">
        <f>SQRT(($J$1022-J853)^2)</f>
        <v/>
      </c>
      <c r="BC853" s="125">
        <f>SQRT(($R$1022-R853)^2)</f>
        <v/>
      </c>
      <c r="BD853" s="125" t="inlineStr">
        <is>
          <t>HY700X151</t>
        </is>
      </c>
      <c r="BI853">
        <f>SQRT(($J$1023-J853)^2)</f>
        <v/>
      </c>
      <c r="BJ853">
        <f>SQRT(($R$1023-R853)^2)</f>
        <v/>
      </c>
      <c r="BK853" s="125" t="inlineStr">
        <is>
          <t>HY700X151</t>
        </is>
      </c>
      <c r="BP853">
        <f>SQRT(($J$1024-J853)^2)</f>
        <v/>
      </c>
      <c r="BQ853">
        <f>SQRT(($R$1024-R853)^2)</f>
        <v/>
      </c>
      <c r="BR853" s="125" t="inlineStr">
        <is>
          <t>HY700X151</t>
        </is>
      </c>
      <c r="BW853">
        <f>SQRT(($J$1025-J853)^2)</f>
        <v/>
      </c>
      <c r="BX853">
        <f>SQRT(($R$1025-R853)^2)</f>
        <v/>
      </c>
      <c r="BY853" s="125" t="inlineStr">
        <is>
          <t>HY700X151</t>
        </is>
      </c>
      <c r="CD853">
        <f>SQRT(($J$1026-J853)^2)</f>
        <v/>
      </c>
      <c r="CE853">
        <f>SQRT(($R$1026-R853)^2)</f>
        <v/>
      </c>
      <c r="CF853" s="125" t="inlineStr">
        <is>
          <t>HY700X151</t>
        </is>
      </c>
    </row>
    <row r="854">
      <c r="A854" s="125" t="inlineStr">
        <is>
          <t>HY700X142</t>
        </is>
      </c>
      <c r="B854" s="129" t="inlineStr">
        <is>
          <t>HY</t>
        </is>
      </c>
      <c r="C854" s="125" t="n">
        <v>142</v>
      </c>
      <c r="D854" s="125" t="n">
        <v>700</v>
      </c>
      <c r="E854" s="125" t="n">
        <v>200</v>
      </c>
      <c r="F854" s="125" t="n">
        <v>25</v>
      </c>
      <c r="G854" s="125" t="n">
        <v>12</v>
      </c>
      <c r="H854" s="125" t="n">
        <v>18</v>
      </c>
      <c r="I854" s="125">
        <f>D854-(2*(H854+F854))</f>
        <v/>
      </c>
      <c r="J854" s="125">
        <f>(2*E854/10*F854/10)+((D854-F854-F854)/10*G854/10)+((H854/10+H854/10)^2)-(PI()*H854/10*H854/10)</f>
        <v/>
      </c>
      <c r="K854" s="125">
        <f>((E854-G854)/2)/F854</f>
        <v/>
      </c>
      <c r="L854" s="125">
        <f>I854/G854</f>
        <v/>
      </c>
      <c r="M854" s="125">
        <f>(E854*2+F854*4+((E854-G854)/2-H854)*4+2*PI()*H854+(D854-2*F854-2*H854)*2)/1000</f>
        <v/>
      </c>
      <c r="N854" s="5" t="n">
        <v>144000</v>
      </c>
      <c r="O854" s="5" t="n">
        <v>3350</v>
      </c>
      <c r="P854" s="125" t="n">
        <v>28.3</v>
      </c>
      <c r="Q854" s="125" t="n">
        <v>4.3</v>
      </c>
      <c r="R854" s="5" t="n">
        <v>4120</v>
      </c>
      <c r="S854" s="125" t="n">
        <v>335</v>
      </c>
      <c r="T854" s="5" t="n">
        <v>4730</v>
      </c>
      <c r="U854" s="125" t="n">
        <v>526</v>
      </c>
      <c r="X854" s="129">
        <f t="array" ref="X854">_xlfn.IFS((D854/F854) &lt;= (640/SQRT($AT$32)), "Compact", L854 &lt;= ($AT$32*(0.79-(0.002*((E854-G854/2)/(2*F854))*SQRT($AT$32)))), "Non-Compact", L854 &gt; ($AT$32*(0.79-(0.002*((E854-G854/2)/(2*F854))*SQRT($AT$32)))), "Slender")</f>
        <v/>
      </c>
      <c r="Y854" s="129">
        <f t="array" ref="Y854">_xlfn.IFS(K854 &lt;= (65/SQRT($AT$32)), "Compact", K854 &lt;= (95/SQRT($AT$32)), "Non-Compact", K854 &gt; (95/SQRT($AT$32)), "Slender")</f>
        <v/>
      </c>
      <c r="Z854" s="125">
        <f>E854/F854</f>
        <v/>
      </c>
      <c r="AA854" s="125">
        <f>D854/G854</f>
        <v/>
      </c>
      <c r="AB854" s="125">
        <f t="array" ref="AB854">_xlfn.IFS(Z854 &lt;= 9, "1", Z854 &lt;= 12, "2", Z854 &lt;= 15, "3", Z854 &gt; 15, "4")</f>
        <v/>
      </c>
      <c r="AC854" s="125">
        <f t="array" ref="AC854">_xlfn.IFS(AA854 &lt;= 200, "1", L854 &lt;= 300, "2", L854 &lt;= 400, "3", L854 &gt; 400, "4")</f>
        <v/>
      </c>
      <c r="AF854" s="129">
        <f>SQRT((((VLOOKUP($AT$4,$A$4:$D$1021,4,FALSE))-D854)^2)+(((VLOOKUP($AT$4,$A$4:$E$1021,5,FALSE))-E854)^2)+(((VLOOKUP($AT$4,$A$4:$N$1021,14,FALSE))-N854)^2)+(((VLOOKUP($AT$4,$A$4:$O$1021,15,FALSE))-O854)^2))</f>
        <v/>
      </c>
      <c r="AG854" s="129" t="n"/>
      <c r="AI854" s="129">
        <f>SQRT((((VLOOKUP($AT$4,$A$4:$D$1021,4,FALSE))-D854)^2)+(((VLOOKUP($AT$4,$A$4:$E$1021,5,FALSE))-E854)^2)+(((VLOOKUP($AT$4,$A$4:$R$1021,18,FALSE))-R854)^2)+(((VLOOKUP($AT$4,$A$4:$S$1021,19,FALSE))-S854)^2))</f>
        <v/>
      </c>
      <c r="AJ854" s="125" t="inlineStr">
        <is>
          <t>HY700X142</t>
        </is>
      </c>
      <c r="AK854" s="125" t="n"/>
      <c r="AL854" s="125" t="n"/>
      <c r="AM854" s="125">
        <f>SQRT(((VLOOKUP($AT$4,$A$4:$J$1021,10,FALSE))-J854)^2)</f>
        <v/>
      </c>
      <c r="AN854" s="125" t="n"/>
      <c r="AO854" s="125" t="n"/>
      <c r="AP854" s="125">
        <f>SQRT(((VLOOKUP($AT$4,$A$4:$R$1021,18,FALSE))-R854)^2)</f>
        <v/>
      </c>
      <c r="AQ854" s="125" t="inlineStr">
        <is>
          <t>HY700X142</t>
        </is>
      </c>
      <c r="BB854" s="125">
        <f>SQRT(($J$1022-J854)^2)</f>
        <v/>
      </c>
      <c r="BC854" s="125">
        <f>SQRT(($R$1022-R854)^2)</f>
        <v/>
      </c>
      <c r="BD854" s="125" t="inlineStr">
        <is>
          <t>HY700X142</t>
        </is>
      </c>
      <c r="BI854">
        <f>SQRT(($J$1023-J854)^2)</f>
        <v/>
      </c>
      <c r="BJ854">
        <f>SQRT(($R$1023-R854)^2)</f>
        <v/>
      </c>
      <c r="BK854" s="125" t="inlineStr">
        <is>
          <t>HY700X142</t>
        </is>
      </c>
      <c r="BP854">
        <f>SQRT(($J$1024-J854)^2)</f>
        <v/>
      </c>
      <c r="BQ854">
        <f>SQRT(($R$1024-R854)^2)</f>
        <v/>
      </c>
      <c r="BR854" s="125" t="inlineStr">
        <is>
          <t>HY700X142</t>
        </is>
      </c>
      <c r="BW854">
        <f>SQRT(($J$1025-J854)^2)</f>
        <v/>
      </c>
      <c r="BX854">
        <f>SQRT(($R$1025-R854)^2)</f>
        <v/>
      </c>
      <c r="BY854" s="125" t="inlineStr">
        <is>
          <t>HY700X142</t>
        </is>
      </c>
      <c r="CD854">
        <f>SQRT(($J$1026-J854)^2)</f>
        <v/>
      </c>
      <c r="CE854">
        <f>SQRT(($R$1026-R854)^2)</f>
        <v/>
      </c>
      <c r="CF854" s="125" t="inlineStr">
        <is>
          <t>HY700X142</t>
        </is>
      </c>
    </row>
    <row r="855">
      <c r="A855" s="125" t="inlineStr">
        <is>
          <t>HY700X133</t>
        </is>
      </c>
      <c r="B855" s="129" t="inlineStr">
        <is>
          <t>HY</t>
        </is>
      </c>
      <c r="C855" s="125" t="n">
        <v>133</v>
      </c>
      <c r="D855" s="125" t="n">
        <v>700</v>
      </c>
      <c r="E855" s="125" t="n">
        <v>200</v>
      </c>
      <c r="F855" s="125" t="n">
        <v>22</v>
      </c>
      <c r="G855" s="125" t="n">
        <v>12</v>
      </c>
      <c r="H855" s="125" t="n">
        <v>18</v>
      </c>
      <c r="I855" s="125">
        <f>D855-(2*(H855+F855))</f>
        <v/>
      </c>
      <c r="J855" s="125">
        <f>(2*E855/10*F855/10)+((D855-F855-F855)/10*G855/10)+((H855/10+H855/10)^2)-(PI()*H855/10*H855/10)</f>
        <v/>
      </c>
      <c r="K855" s="125">
        <f>((E855-G855)/2)/F855</f>
        <v/>
      </c>
      <c r="L855" s="125">
        <f>I855/G855</f>
        <v/>
      </c>
      <c r="M855" s="125">
        <f>(E855*2+F855*4+((E855-G855)/2-H855)*4+2*PI()*H855+(D855-2*F855-2*H855)*2)/1000</f>
        <v/>
      </c>
      <c r="N855" s="5" t="n">
        <v>132000</v>
      </c>
      <c r="O855" s="5" t="n">
        <v>2950</v>
      </c>
      <c r="P855" s="125" t="n">
        <v>27.9</v>
      </c>
      <c r="Q855" s="125" t="n">
        <v>4.2</v>
      </c>
      <c r="R855" s="5" t="n">
        <v>3780</v>
      </c>
      <c r="S855" s="125" t="n">
        <v>295</v>
      </c>
      <c r="T855" s="5" t="n">
        <v>4360</v>
      </c>
      <c r="U855" s="125" t="n">
        <v>466</v>
      </c>
      <c r="X855" s="129">
        <f t="array" ref="X855">_xlfn.IFS((D855/F855) &lt;= (640/SQRT($AT$32)), "Compact", L855 &lt;= ($AT$32*(0.79-(0.002*((E855-G855/2)/(2*F855))*SQRT($AT$32)))), "Non-Compact", L855 &gt; ($AT$32*(0.79-(0.002*((E855-G855/2)/(2*F855))*SQRT($AT$32)))), "Slender")</f>
        <v/>
      </c>
      <c r="Y855" s="129">
        <f t="array" ref="Y855">_xlfn.IFS(K855 &lt;= (65/SQRT($AT$32)), "Compact", K855 &lt;= (95/SQRT($AT$32)), "Non-Compact", K855 &gt; (95/SQRT($AT$32)), "Slender")</f>
        <v/>
      </c>
      <c r="Z855" s="125">
        <f>E855/F855</f>
        <v/>
      </c>
      <c r="AA855" s="125">
        <f>D855/G855</f>
        <v/>
      </c>
      <c r="AB855" s="125">
        <f t="array" ref="AB855">_xlfn.IFS(Z855 &lt;= 9, "1", Z855 &lt;= 12, "2", Z855 &lt;= 15, "3", Z855 &gt; 15, "4")</f>
        <v/>
      </c>
      <c r="AC855" s="125">
        <f t="array" ref="AC855">_xlfn.IFS(AA855 &lt;= 200, "1", L855 &lt;= 300, "2", L855 &lt;= 400, "3", L855 &gt; 400, "4")</f>
        <v/>
      </c>
      <c r="AF855" s="129">
        <f>SQRT((((VLOOKUP($AT$4,$A$4:$D$1021,4,FALSE))-D855)^2)+(((VLOOKUP($AT$4,$A$4:$E$1021,5,FALSE))-E855)^2)+(((VLOOKUP($AT$4,$A$4:$N$1021,14,FALSE))-N855)^2)+(((VLOOKUP($AT$4,$A$4:$O$1021,15,FALSE))-O855)^2))</f>
        <v/>
      </c>
      <c r="AG855" s="129" t="n"/>
      <c r="AI855" s="129">
        <f>SQRT((((VLOOKUP($AT$4,$A$4:$D$1021,4,FALSE))-D855)^2)+(((VLOOKUP($AT$4,$A$4:$E$1021,5,FALSE))-E855)^2)+(((VLOOKUP($AT$4,$A$4:$R$1021,18,FALSE))-R855)^2)+(((VLOOKUP($AT$4,$A$4:$S$1021,19,FALSE))-S855)^2))</f>
        <v/>
      </c>
      <c r="AJ855" s="125" t="inlineStr">
        <is>
          <t>HY700X133</t>
        </is>
      </c>
      <c r="AK855" s="125" t="n"/>
      <c r="AL855" s="125" t="n"/>
      <c r="AM855" s="125">
        <f>SQRT(((VLOOKUP($AT$4,$A$4:$J$1021,10,FALSE))-J855)^2)</f>
        <v/>
      </c>
      <c r="AN855" s="125" t="n"/>
      <c r="AO855" s="125" t="n"/>
      <c r="AP855" s="125">
        <f>SQRT(((VLOOKUP($AT$4,$A$4:$R$1021,18,FALSE))-R855)^2)</f>
        <v/>
      </c>
      <c r="AQ855" s="125" t="inlineStr">
        <is>
          <t>HY700X133</t>
        </is>
      </c>
      <c r="BB855" s="125">
        <f>SQRT(($J$1022-J855)^2)</f>
        <v/>
      </c>
      <c r="BC855" s="125">
        <f>SQRT(($R$1022-R855)^2)</f>
        <v/>
      </c>
      <c r="BD855" s="125" t="inlineStr">
        <is>
          <t>HY700X133</t>
        </is>
      </c>
      <c r="BI855">
        <f>SQRT(($J$1023-J855)^2)</f>
        <v/>
      </c>
      <c r="BJ855">
        <f>SQRT(($R$1023-R855)^2)</f>
        <v/>
      </c>
      <c r="BK855" s="125" t="inlineStr">
        <is>
          <t>HY700X133</t>
        </is>
      </c>
      <c r="BP855">
        <f>SQRT(($J$1024-J855)^2)</f>
        <v/>
      </c>
      <c r="BQ855">
        <f>SQRT(($R$1024-R855)^2)</f>
        <v/>
      </c>
      <c r="BR855" s="125" t="inlineStr">
        <is>
          <t>HY700X133</t>
        </is>
      </c>
      <c r="BW855">
        <f>SQRT(($J$1025-J855)^2)</f>
        <v/>
      </c>
      <c r="BX855">
        <f>SQRT(($R$1025-R855)^2)</f>
        <v/>
      </c>
      <c r="BY855" s="125" t="inlineStr">
        <is>
          <t>HY700X133</t>
        </is>
      </c>
      <c r="CD855">
        <f>SQRT(($J$1026-J855)^2)</f>
        <v/>
      </c>
      <c r="CE855">
        <f>SQRT(($R$1026-R855)^2)</f>
        <v/>
      </c>
      <c r="CF855" s="125" t="inlineStr">
        <is>
          <t>HY700X133</t>
        </is>
      </c>
    </row>
    <row r="856">
      <c r="A856" s="125" t="inlineStr">
        <is>
          <t>HY700X124</t>
        </is>
      </c>
      <c r="B856" s="129" t="inlineStr">
        <is>
          <t>HY</t>
        </is>
      </c>
      <c r="C856" s="125" t="n">
        <v>124</v>
      </c>
      <c r="D856" s="125" t="n">
        <v>700</v>
      </c>
      <c r="E856" s="125" t="n">
        <v>200</v>
      </c>
      <c r="F856" s="125" t="n">
        <v>19</v>
      </c>
      <c r="G856" s="125" t="n">
        <v>12</v>
      </c>
      <c r="H856" s="125" t="n">
        <v>18</v>
      </c>
      <c r="I856" s="125">
        <f>D856-(2*(H856+F856))</f>
        <v/>
      </c>
      <c r="J856" s="125">
        <f>(2*E856/10*F856/10)+((D856-F856-F856)/10*G856/10)+((H856/10+H856/10)^2)-(PI()*H856/10*H856/10)</f>
        <v/>
      </c>
      <c r="K856" s="125">
        <f>((E856-G856)/2)/F856</f>
        <v/>
      </c>
      <c r="L856" s="125">
        <f>I856/G856</f>
        <v/>
      </c>
      <c r="M856" s="125">
        <f>(E856*2+F856*4+((E856-G856)/2-H856)*4+2*PI()*H856+(D856-2*F856-2*H856)*2)/1000</f>
        <v/>
      </c>
      <c r="N856" s="5" t="n">
        <v>120000</v>
      </c>
      <c r="O856" s="5" t="n">
        <v>2550</v>
      </c>
      <c r="P856" s="125" t="n">
        <v>27.6</v>
      </c>
      <c r="Q856" s="125" t="n">
        <v>4</v>
      </c>
      <c r="R856" s="5" t="n">
        <v>3430</v>
      </c>
      <c r="S856" s="125" t="n">
        <v>255</v>
      </c>
      <c r="T856" s="5" t="n">
        <v>3990</v>
      </c>
      <c r="U856" s="125" t="n">
        <v>407</v>
      </c>
      <c r="X856" s="129">
        <f t="array" ref="X856">_xlfn.IFS((D856/F856) &lt;= (640/SQRT($AT$32)), "Compact", L856 &lt;= ($AT$32*(0.79-(0.002*((E856-G856/2)/(2*F856))*SQRT($AT$32)))), "Non-Compact", L856 &gt; ($AT$32*(0.79-(0.002*((E856-G856/2)/(2*F856))*SQRT($AT$32)))), "Slender")</f>
        <v/>
      </c>
      <c r="Y856" s="129">
        <f t="array" ref="Y856">_xlfn.IFS(K856 &lt;= (65/SQRT($AT$32)), "Compact", K856 &lt;= (95/SQRT($AT$32)), "Non-Compact", K856 &gt; (95/SQRT($AT$32)), "Slender")</f>
        <v/>
      </c>
      <c r="Z856" s="125">
        <f>E856/F856</f>
        <v/>
      </c>
      <c r="AA856" s="125">
        <f>D856/G856</f>
        <v/>
      </c>
      <c r="AB856" s="125">
        <f t="array" ref="AB856">_xlfn.IFS(Z856 &lt;= 9, "1", Z856 &lt;= 12, "2", Z856 &lt;= 15, "3", Z856 &gt; 15, "4")</f>
        <v/>
      </c>
      <c r="AC856" s="125">
        <f t="array" ref="AC856">_xlfn.IFS(AA856 &lt;= 200, "1", L856 &lt;= 300, "2", L856 &lt;= 400, "3", L856 &gt; 400, "4")</f>
        <v/>
      </c>
      <c r="AF856" s="129">
        <f>SQRT((((VLOOKUP($AT$4,$A$4:$D$1021,4,FALSE))-D856)^2)+(((VLOOKUP($AT$4,$A$4:$E$1021,5,FALSE))-E856)^2)+(((VLOOKUP($AT$4,$A$4:$N$1021,14,FALSE))-N856)^2)+(((VLOOKUP($AT$4,$A$4:$O$1021,15,FALSE))-O856)^2))</f>
        <v/>
      </c>
      <c r="AG856" s="129" t="n"/>
      <c r="AI856" s="129">
        <f>SQRT((((VLOOKUP($AT$4,$A$4:$D$1021,4,FALSE))-D856)^2)+(((VLOOKUP($AT$4,$A$4:$E$1021,5,FALSE))-E856)^2)+(((VLOOKUP($AT$4,$A$4:$R$1021,18,FALSE))-R856)^2)+(((VLOOKUP($AT$4,$A$4:$S$1021,19,FALSE))-S856)^2))</f>
        <v/>
      </c>
      <c r="AJ856" s="125" t="inlineStr">
        <is>
          <t>HY700X124</t>
        </is>
      </c>
      <c r="AK856" s="125" t="n"/>
      <c r="AL856" s="125" t="n"/>
      <c r="AM856" s="125">
        <f>SQRT(((VLOOKUP($AT$4,$A$4:$J$1021,10,FALSE))-J856)^2)</f>
        <v/>
      </c>
      <c r="AN856" s="125" t="n"/>
      <c r="AO856" s="125" t="n"/>
      <c r="AP856" s="125">
        <f>SQRT(((VLOOKUP($AT$4,$A$4:$R$1021,18,FALSE))-R856)^2)</f>
        <v/>
      </c>
      <c r="AQ856" s="125" t="inlineStr">
        <is>
          <t>HY700X124</t>
        </is>
      </c>
      <c r="BB856" s="125">
        <f>SQRT(($J$1022-J856)^2)</f>
        <v/>
      </c>
      <c r="BC856" s="125">
        <f>SQRT(($R$1022-R856)^2)</f>
        <v/>
      </c>
      <c r="BD856" s="125" t="inlineStr">
        <is>
          <t>HY700X124</t>
        </is>
      </c>
      <c r="BI856">
        <f>SQRT(($J$1023-J856)^2)</f>
        <v/>
      </c>
      <c r="BJ856">
        <f>SQRT(($R$1023-R856)^2)</f>
        <v/>
      </c>
      <c r="BK856" s="125" t="inlineStr">
        <is>
          <t>HY700X124</t>
        </is>
      </c>
      <c r="BP856">
        <f>SQRT(($J$1024-J856)^2)</f>
        <v/>
      </c>
      <c r="BQ856">
        <f>SQRT(($R$1024-R856)^2)</f>
        <v/>
      </c>
      <c r="BR856" s="125" t="inlineStr">
        <is>
          <t>HY700X124</t>
        </is>
      </c>
      <c r="BW856">
        <f>SQRT(($J$1025-J856)^2)</f>
        <v/>
      </c>
      <c r="BX856">
        <f>SQRT(($R$1025-R856)^2)</f>
        <v/>
      </c>
      <c r="BY856" s="125" t="inlineStr">
        <is>
          <t>HY700X124</t>
        </is>
      </c>
      <c r="CD856">
        <f>SQRT(($J$1026-J856)^2)</f>
        <v/>
      </c>
      <c r="CE856">
        <f>SQRT(($R$1026-R856)^2)</f>
        <v/>
      </c>
      <c r="CF856" s="125" t="inlineStr">
        <is>
          <t>HY700X124</t>
        </is>
      </c>
    </row>
    <row r="857">
      <c r="A857" s="125" t="inlineStr">
        <is>
          <t>HY700X115</t>
        </is>
      </c>
      <c r="B857" s="129" t="inlineStr">
        <is>
          <t>HY</t>
        </is>
      </c>
      <c r="C857" s="125" t="n">
        <v>115</v>
      </c>
      <c r="D857" s="125" t="n">
        <v>700</v>
      </c>
      <c r="E857" s="125" t="n">
        <v>200</v>
      </c>
      <c r="F857" s="125" t="n">
        <v>16</v>
      </c>
      <c r="G857" s="125" t="n">
        <v>12</v>
      </c>
      <c r="H857" s="125" t="n">
        <v>18</v>
      </c>
      <c r="I857" s="125">
        <f>D857-(2*(H857+F857))</f>
        <v/>
      </c>
      <c r="J857" s="125">
        <f>(2*E857/10*F857/10)+((D857-F857-F857)/10*G857/10)+((H857/10+H857/10)^2)-(PI()*H857/10*H857/10)</f>
        <v/>
      </c>
      <c r="K857" s="125">
        <f>((E857-G857)/2)/F857</f>
        <v/>
      </c>
      <c r="L857" s="125">
        <f>I857/G857</f>
        <v/>
      </c>
      <c r="M857" s="125">
        <f>(E857*2+F857*4+((E857-G857)/2-H857)*4+2*PI()*H857+(D857-2*F857-2*H857)*2)/1000</f>
        <v/>
      </c>
      <c r="N857" s="5" t="n">
        <v>108000</v>
      </c>
      <c r="O857" s="5" t="n">
        <v>2150</v>
      </c>
      <c r="P857" s="125" t="n">
        <v>27.1</v>
      </c>
      <c r="Q857" s="125" t="n">
        <v>3.8</v>
      </c>
      <c r="R857" s="5" t="n">
        <v>3080</v>
      </c>
      <c r="S857" s="125" t="n">
        <v>215</v>
      </c>
      <c r="T857" s="5" t="n">
        <v>3620</v>
      </c>
      <c r="U857" s="125" t="n">
        <v>347</v>
      </c>
      <c r="X857" s="129">
        <f t="array" ref="X857">_xlfn.IFS((D857/F857) &lt;= (640/SQRT($AT$32)), "Compact", L857 &lt;= ($AT$32*(0.79-(0.002*((E857-G857/2)/(2*F857))*SQRT($AT$32)))), "Non-Compact", L857 &gt; ($AT$32*(0.79-(0.002*((E857-G857/2)/(2*F857))*SQRT($AT$32)))), "Slender")</f>
        <v/>
      </c>
      <c r="Y857" s="129">
        <f t="array" ref="Y857">_xlfn.IFS(K857 &lt;= (65/SQRT($AT$32)), "Compact", K857 &lt;= (95/SQRT($AT$32)), "Non-Compact", K857 &gt; (95/SQRT($AT$32)), "Slender")</f>
        <v/>
      </c>
      <c r="Z857" s="125">
        <f>E857/F857</f>
        <v/>
      </c>
      <c r="AA857" s="125">
        <f>D857/G857</f>
        <v/>
      </c>
      <c r="AB857" s="125">
        <f t="array" ref="AB857">_xlfn.IFS(Z857 &lt;= 9, "1", Z857 &lt;= 12, "2", Z857 &lt;= 15, "3", Z857 &gt; 15, "4")</f>
        <v/>
      </c>
      <c r="AC857" s="125">
        <f t="array" ref="AC857">_xlfn.IFS(AA857 &lt;= 200, "1", L857 &lt;= 300, "2", L857 &lt;= 400, "3", L857 &gt; 400, "4")</f>
        <v/>
      </c>
      <c r="AF857" s="129">
        <f>SQRT((((VLOOKUP($AT$4,$A$4:$D$1021,4,FALSE))-D857)^2)+(((VLOOKUP($AT$4,$A$4:$E$1021,5,FALSE))-E857)^2)+(((VLOOKUP($AT$4,$A$4:$N$1021,14,FALSE))-N857)^2)+(((VLOOKUP($AT$4,$A$4:$O$1021,15,FALSE))-O857)^2))</f>
        <v/>
      </c>
      <c r="AG857" s="129" t="n"/>
      <c r="AI857" s="129">
        <f>SQRT((((VLOOKUP($AT$4,$A$4:$D$1021,4,FALSE))-D857)^2)+(((VLOOKUP($AT$4,$A$4:$E$1021,5,FALSE))-E857)^2)+(((VLOOKUP($AT$4,$A$4:$R$1021,18,FALSE))-R857)^2)+(((VLOOKUP($AT$4,$A$4:$S$1021,19,FALSE))-S857)^2))</f>
        <v/>
      </c>
      <c r="AJ857" s="125" t="inlineStr">
        <is>
          <t>HY700X115</t>
        </is>
      </c>
      <c r="AK857" s="125" t="n"/>
      <c r="AL857" s="125" t="n"/>
      <c r="AM857" s="125">
        <f>SQRT(((VLOOKUP($AT$4,$A$4:$J$1021,10,FALSE))-J857)^2)</f>
        <v/>
      </c>
      <c r="AN857" s="125" t="n"/>
      <c r="AO857" s="125" t="n"/>
      <c r="AP857" s="125">
        <f>SQRT(((VLOOKUP($AT$4,$A$4:$R$1021,18,FALSE))-R857)^2)</f>
        <v/>
      </c>
      <c r="AQ857" s="125" t="inlineStr">
        <is>
          <t>HY700X115</t>
        </is>
      </c>
      <c r="BB857" s="125">
        <f>SQRT(($J$1022-J857)^2)</f>
        <v/>
      </c>
      <c r="BC857" s="125">
        <f>SQRT(($R$1022-R857)^2)</f>
        <v/>
      </c>
      <c r="BD857" s="125" t="inlineStr">
        <is>
          <t>HY700X115</t>
        </is>
      </c>
      <c r="BI857">
        <f>SQRT(($J$1023-J857)^2)</f>
        <v/>
      </c>
      <c r="BJ857">
        <f>SQRT(($R$1023-R857)^2)</f>
        <v/>
      </c>
      <c r="BK857" s="125" t="inlineStr">
        <is>
          <t>HY700X115</t>
        </is>
      </c>
      <c r="BP857">
        <f>SQRT(($J$1024-J857)^2)</f>
        <v/>
      </c>
      <c r="BQ857">
        <f>SQRT(($R$1024-R857)^2)</f>
        <v/>
      </c>
      <c r="BR857" s="125" t="inlineStr">
        <is>
          <t>HY700X115</t>
        </is>
      </c>
      <c r="BW857">
        <f>SQRT(($J$1025-J857)^2)</f>
        <v/>
      </c>
      <c r="BX857">
        <f>SQRT(($R$1025-R857)^2)</f>
        <v/>
      </c>
      <c r="BY857" s="125" t="inlineStr">
        <is>
          <t>HY700X115</t>
        </is>
      </c>
      <c r="CD857">
        <f>SQRT(($J$1026-J857)^2)</f>
        <v/>
      </c>
      <c r="CE857">
        <f>SQRT(($R$1026-R857)^2)</f>
        <v/>
      </c>
      <c r="CF857" s="125" t="inlineStr">
        <is>
          <t>HY700X115</t>
        </is>
      </c>
    </row>
    <row r="858">
      <c r="A858" s="125" t="inlineStr">
        <is>
          <t>HY700X118</t>
        </is>
      </c>
      <c r="B858" s="129" t="inlineStr">
        <is>
          <t>HY</t>
        </is>
      </c>
      <c r="C858" s="125" t="n">
        <v>118</v>
      </c>
      <c r="D858" s="125" t="n">
        <v>700</v>
      </c>
      <c r="E858" s="125" t="n">
        <v>200</v>
      </c>
      <c r="F858" s="125" t="n">
        <v>22</v>
      </c>
      <c r="G858" s="125" t="n">
        <v>9</v>
      </c>
      <c r="H858" s="125" t="n">
        <v>18</v>
      </c>
      <c r="I858" s="125">
        <f>D858-(2*(H858+F858))</f>
        <v/>
      </c>
      <c r="J858" s="125">
        <f>(2*E858/10*F858/10)+((D858-F858-F858)/10*G858/10)+((H858/10+H858/10)^2)-(PI()*H858/10*H858/10)</f>
        <v/>
      </c>
      <c r="K858" s="125">
        <f>((E858-G858)/2)/F858</f>
        <v/>
      </c>
      <c r="L858" s="125">
        <f>I858/G858</f>
        <v/>
      </c>
      <c r="M858" s="125">
        <f>(E858*2+F858*4+((E858-G858)/2-H858)*4+2*PI()*H858+(D858-2*F858-2*H858)*2)/1000</f>
        <v/>
      </c>
      <c r="N858" s="5" t="n">
        <v>125000</v>
      </c>
      <c r="O858" s="5" t="n">
        <v>2940</v>
      </c>
      <c r="P858" s="125" t="n">
        <v>28.9</v>
      </c>
      <c r="Q858" s="125" t="n">
        <v>4.4</v>
      </c>
      <c r="R858" s="5" t="n">
        <v>3580</v>
      </c>
      <c r="S858" s="125" t="n">
        <v>294</v>
      </c>
      <c r="T858" s="5" t="n">
        <v>4040</v>
      </c>
      <c r="U858" s="125" t="n">
        <v>456</v>
      </c>
      <c r="X858" s="129">
        <f t="array" ref="X858">_xlfn.IFS((D858/F858) &lt;= (640/SQRT($AT$32)), "Compact", L858 &lt;= ($AT$32*(0.79-(0.002*((E858-G858/2)/(2*F858))*SQRT($AT$32)))), "Non-Compact", L858 &gt; ($AT$32*(0.79-(0.002*((E858-G858/2)/(2*F858))*SQRT($AT$32)))), "Slender")</f>
        <v/>
      </c>
      <c r="Y858" s="129">
        <f t="array" ref="Y858">_xlfn.IFS(K858 &lt;= (65/SQRT($AT$32)), "Compact", K858 &lt;= (95/SQRT($AT$32)), "Non-Compact", K858 &gt; (95/SQRT($AT$32)), "Slender")</f>
        <v/>
      </c>
      <c r="Z858" s="125">
        <f>E858/F858</f>
        <v/>
      </c>
      <c r="AA858" s="125">
        <f>D858/G858</f>
        <v/>
      </c>
      <c r="AB858" s="125">
        <f t="array" ref="AB858">_xlfn.IFS(Z858 &lt;= 9, "1", Z858 &lt;= 12, "2", Z858 &lt;= 15, "3", Z858 &gt; 15, "4")</f>
        <v/>
      </c>
      <c r="AC858" s="125">
        <f t="array" ref="AC858">_xlfn.IFS(AA858 &lt;= 200, "1", L858 &lt;= 300, "2", L858 &lt;= 400, "3", L858 &gt; 400, "4")</f>
        <v/>
      </c>
      <c r="AF858" s="129">
        <f>SQRT((((VLOOKUP($AT$4,$A$4:$D$1021,4,FALSE))-D858)^2)+(((VLOOKUP($AT$4,$A$4:$E$1021,5,FALSE))-E858)^2)+(((VLOOKUP($AT$4,$A$4:$N$1021,14,FALSE))-N858)^2)+(((VLOOKUP($AT$4,$A$4:$O$1021,15,FALSE))-O858)^2))</f>
        <v/>
      </c>
      <c r="AG858" s="129" t="n"/>
      <c r="AI858" s="129">
        <f>SQRT((((VLOOKUP($AT$4,$A$4:$D$1021,4,FALSE))-D858)^2)+(((VLOOKUP($AT$4,$A$4:$E$1021,5,FALSE))-E858)^2)+(((VLOOKUP($AT$4,$A$4:$R$1021,18,FALSE))-R858)^2)+(((VLOOKUP($AT$4,$A$4:$S$1021,19,FALSE))-S858)^2))</f>
        <v/>
      </c>
      <c r="AJ858" s="125" t="inlineStr">
        <is>
          <t>HY700X118</t>
        </is>
      </c>
      <c r="AK858" s="125" t="n"/>
      <c r="AL858" s="125" t="n"/>
      <c r="AM858" s="125">
        <f>SQRT(((VLOOKUP($AT$4,$A$4:$J$1021,10,FALSE))-J858)^2)</f>
        <v/>
      </c>
      <c r="AN858" s="125" t="n"/>
      <c r="AO858" s="125" t="n"/>
      <c r="AP858" s="125">
        <f>SQRT(((VLOOKUP($AT$4,$A$4:$R$1021,18,FALSE))-R858)^2)</f>
        <v/>
      </c>
      <c r="AQ858" s="125" t="inlineStr">
        <is>
          <t>HY700X118</t>
        </is>
      </c>
      <c r="BB858" s="125">
        <f>SQRT(($J$1022-J858)^2)</f>
        <v/>
      </c>
      <c r="BC858" s="125">
        <f>SQRT(($R$1022-R858)^2)</f>
        <v/>
      </c>
      <c r="BD858" s="125" t="inlineStr">
        <is>
          <t>HY700X118</t>
        </is>
      </c>
      <c r="BI858">
        <f>SQRT(($J$1023-J858)^2)</f>
        <v/>
      </c>
      <c r="BJ858">
        <f>SQRT(($R$1023-R858)^2)</f>
        <v/>
      </c>
      <c r="BK858" s="125" t="inlineStr">
        <is>
          <t>HY700X118</t>
        </is>
      </c>
      <c r="BP858">
        <f>SQRT(($J$1024-J858)^2)</f>
        <v/>
      </c>
      <c r="BQ858">
        <f>SQRT(($R$1024-R858)^2)</f>
        <v/>
      </c>
      <c r="BR858" s="125" t="inlineStr">
        <is>
          <t>HY700X118</t>
        </is>
      </c>
      <c r="BW858">
        <f>SQRT(($J$1025-J858)^2)</f>
        <v/>
      </c>
      <c r="BX858">
        <f>SQRT(($R$1025-R858)^2)</f>
        <v/>
      </c>
      <c r="BY858" s="125" t="inlineStr">
        <is>
          <t>HY700X118</t>
        </is>
      </c>
      <c r="CD858">
        <f>SQRT(($J$1026-J858)^2)</f>
        <v/>
      </c>
      <c r="CE858">
        <f>SQRT(($R$1026-R858)^2)</f>
        <v/>
      </c>
      <c r="CF858" s="125" t="inlineStr">
        <is>
          <t>HY700X118</t>
        </is>
      </c>
    </row>
    <row r="859">
      <c r="A859" s="125" t="inlineStr">
        <is>
          <t>HY700X109</t>
        </is>
      </c>
      <c r="B859" s="129" t="inlineStr">
        <is>
          <t>HY</t>
        </is>
      </c>
      <c r="C859" s="125" t="n">
        <v>109</v>
      </c>
      <c r="D859" s="125" t="n">
        <v>700</v>
      </c>
      <c r="E859" s="125" t="n">
        <v>200</v>
      </c>
      <c r="F859" s="125" t="n">
        <v>19</v>
      </c>
      <c r="G859" s="125" t="n">
        <v>9</v>
      </c>
      <c r="H859" s="125" t="n">
        <v>18</v>
      </c>
      <c r="I859" s="125">
        <f>D859-(2*(H859+F859))</f>
        <v/>
      </c>
      <c r="J859" s="125">
        <f>(2*E859/10*F859/10)+((D859-F859-F859)/10*G859/10)+((H859/10+H859/10)^2)-(PI()*H859/10*H859/10)</f>
        <v/>
      </c>
      <c r="K859" s="125">
        <f>((E859-G859)/2)/F859</f>
        <v/>
      </c>
      <c r="L859" s="125">
        <f>I859/G859</f>
        <v/>
      </c>
      <c r="M859" s="125">
        <f>(E859*2+F859*4+((E859-G859)/2-H859)*4+2*PI()*H859+(D859-2*F859-2*H859)*2)/1000</f>
        <v/>
      </c>
      <c r="N859" s="5" t="n">
        <v>113000</v>
      </c>
      <c r="O859" s="5" t="n">
        <v>2540</v>
      </c>
      <c r="P859" s="125" t="n">
        <v>28.6</v>
      </c>
      <c r="Q859" s="125" t="n">
        <v>4.3</v>
      </c>
      <c r="R859" s="5" t="n">
        <v>3220</v>
      </c>
      <c r="S859" s="125" t="n">
        <v>254</v>
      </c>
      <c r="T859" s="5" t="n">
        <v>3660</v>
      </c>
      <c r="U859" s="125" t="n">
        <v>396</v>
      </c>
      <c r="X859" s="129">
        <f t="array" ref="X859">_xlfn.IFS((D859/F859) &lt;= (640/SQRT($AT$32)), "Compact", L859 &lt;= ($AT$32*(0.79-(0.002*((E859-G859/2)/(2*F859))*SQRT($AT$32)))), "Non-Compact", L859 &gt; ($AT$32*(0.79-(0.002*((E859-G859/2)/(2*F859))*SQRT($AT$32)))), "Slender")</f>
        <v/>
      </c>
      <c r="Y859" s="129">
        <f t="array" ref="Y859">_xlfn.IFS(K859 &lt;= (65/SQRT($AT$32)), "Compact", K859 &lt;= (95/SQRT($AT$32)), "Non-Compact", K859 &gt; (95/SQRT($AT$32)), "Slender")</f>
        <v/>
      </c>
      <c r="Z859" s="125">
        <f>E859/F859</f>
        <v/>
      </c>
      <c r="AA859" s="125">
        <f>D859/G859</f>
        <v/>
      </c>
      <c r="AB859" s="125">
        <f t="array" ref="AB859">_xlfn.IFS(Z859 &lt;= 9, "1", Z859 &lt;= 12, "2", Z859 &lt;= 15, "3", Z859 &gt; 15, "4")</f>
        <v/>
      </c>
      <c r="AC859" s="125">
        <f t="array" ref="AC859">_xlfn.IFS(AA859 &lt;= 200, "1", L859 &lt;= 300, "2", L859 &lt;= 400, "3", L859 &gt; 400, "4")</f>
        <v/>
      </c>
      <c r="AF859" s="129">
        <f>SQRT((((VLOOKUP($AT$4,$A$4:$D$1021,4,FALSE))-D859)^2)+(((VLOOKUP($AT$4,$A$4:$E$1021,5,FALSE))-E859)^2)+(((VLOOKUP($AT$4,$A$4:$N$1021,14,FALSE))-N859)^2)+(((VLOOKUP($AT$4,$A$4:$O$1021,15,FALSE))-O859)^2))</f>
        <v/>
      </c>
      <c r="AG859" s="129" t="n"/>
      <c r="AI859" s="129">
        <f>SQRT((((VLOOKUP($AT$4,$A$4:$D$1021,4,FALSE))-D859)^2)+(((VLOOKUP($AT$4,$A$4:$E$1021,5,FALSE))-E859)^2)+(((VLOOKUP($AT$4,$A$4:$R$1021,18,FALSE))-R859)^2)+(((VLOOKUP($AT$4,$A$4:$S$1021,19,FALSE))-S859)^2))</f>
        <v/>
      </c>
      <c r="AJ859" s="125" t="inlineStr">
        <is>
          <t>HY700X109</t>
        </is>
      </c>
      <c r="AK859" s="125" t="n"/>
      <c r="AL859" s="125" t="n"/>
      <c r="AM859" s="125">
        <f>SQRT(((VLOOKUP($AT$4,$A$4:$J$1021,10,FALSE))-J859)^2)</f>
        <v/>
      </c>
      <c r="AN859" s="125" t="n"/>
      <c r="AO859" s="125" t="n"/>
      <c r="AP859" s="125">
        <f>SQRT(((VLOOKUP($AT$4,$A$4:$R$1021,18,FALSE))-R859)^2)</f>
        <v/>
      </c>
      <c r="AQ859" s="125" t="inlineStr">
        <is>
          <t>HY700X109</t>
        </is>
      </c>
      <c r="BB859" s="125">
        <f>SQRT(($J$1022-J859)^2)</f>
        <v/>
      </c>
      <c r="BC859" s="125">
        <f>SQRT(($R$1022-R859)^2)</f>
        <v/>
      </c>
      <c r="BD859" s="125" t="inlineStr">
        <is>
          <t>HY700X109</t>
        </is>
      </c>
      <c r="BI859">
        <f>SQRT(($J$1023-J859)^2)</f>
        <v/>
      </c>
      <c r="BJ859">
        <f>SQRT(($R$1023-R859)^2)</f>
        <v/>
      </c>
      <c r="BK859" s="125" t="inlineStr">
        <is>
          <t>HY700X109</t>
        </is>
      </c>
      <c r="BP859">
        <f>SQRT(($J$1024-J859)^2)</f>
        <v/>
      </c>
      <c r="BQ859">
        <f>SQRT(($R$1024-R859)^2)</f>
        <v/>
      </c>
      <c r="BR859" s="125" t="inlineStr">
        <is>
          <t>HY700X109</t>
        </is>
      </c>
      <c r="BW859">
        <f>SQRT(($J$1025-J859)^2)</f>
        <v/>
      </c>
      <c r="BX859">
        <f>SQRT(($R$1025-R859)^2)</f>
        <v/>
      </c>
      <c r="BY859" s="125" t="inlineStr">
        <is>
          <t>HY700X109</t>
        </is>
      </c>
      <c r="CD859">
        <f>SQRT(($J$1026-J859)^2)</f>
        <v/>
      </c>
      <c r="CE859">
        <f>SQRT(($R$1026-R859)^2)</f>
        <v/>
      </c>
      <c r="CF859" s="125" t="inlineStr">
        <is>
          <t>HY700X109</t>
        </is>
      </c>
    </row>
    <row r="860">
      <c r="A860" s="125" t="inlineStr">
        <is>
          <t>HY700X99.6</t>
        </is>
      </c>
      <c r="B860" s="129" t="inlineStr">
        <is>
          <t>HY</t>
        </is>
      </c>
      <c r="C860" s="125" t="n">
        <v>99.59999999999999</v>
      </c>
      <c r="D860" s="125" t="n">
        <v>700</v>
      </c>
      <c r="E860" s="125" t="n">
        <v>200</v>
      </c>
      <c r="F860" s="125" t="n">
        <v>16</v>
      </c>
      <c r="G860" s="125" t="n">
        <v>9</v>
      </c>
      <c r="H860" s="125" t="n">
        <v>18</v>
      </c>
      <c r="I860" s="125">
        <f>D860-(2*(H860+F860))</f>
        <v/>
      </c>
      <c r="J860" s="125">
        <f>(2*E860/10*F860/10)+((D860-F860-F860)/10*G860/10)+((H860/10+H860/10)^2)-(PI()*H860/10*H860/10)</f>
        <v/>
      </c>
      <c r="K860" s="125">
        <f>((E860-G860)/2)/F860</f>
        <v/>
      </c>
      <c r="L860" s="125">
        <f>I860/G860</f>
        <v/>
      </c>
      <c r="M860" s="125">
        <f>(E860*2+F860*4+((E860-G860)/2-H860)*4+2*PI()*H860+(D860-2*F860-2*H860)*2)/1000</f>
        <v/>
      </c>
      <c r="N860" s="5" t="n">
        <v>100000</v>
      </c>
      <c r="O860" s="5" t="n">
        <v>2140</v>
      </c>
      <c r="P860" s="125" t="n">
        <v>28.1</v>
      </c>
      <c r="Q860" s="125" t="n">
        <v>4.1</v>
      </c>
      <c r="R860" s="5" t="n">
        <v>2860</v>
      </c>
      <c r="S860" s="125" t="n">
        <v>214</v>
      </c>
      <c r="T860" s="5" t="n">
        <v>3280</v>
      </c>
      <c r="U860" s="125" t="n">
        <v>336</v>
      </c>
      <c r="X860" s="129">
        <f t="array" ref="X860">_xlfn.IFS((D860/F860) &lt;= (640/SQRT($AT$32)), "Compact", L860 &lt;= ($AT$32*(0.79-(0.002*((E860-G860/2)/(2*F860))*SQRT($AT$32)))), "Non-Compact", L860 &gt; ($AT$32*(0.79-(0.002*((E860-G860/2)/(2*F860))*SQRT($AT$32)))), "Slender")</f>
        <v/>
      </c>
      <c r="Y860" s="129">
        <f t="array" ref="Y860">_xlfn.IFS(K860 &lt;= (65/SQRT($AT$32)), "Compact", K860 &lt;= (95/SQRT($AT$32)), "Non-Compact", K860 &gt; (95/SQRT($AT$32)), "Slender")</f>
        <v/>
      </c>
      <c r="Z860" s="125">
        <f>E860/F860</f>
        <v/>
      </c>
      <c r="AA860" s="125">
        <f>D860/G860</f>
        <v/>
      </c>
      <c r="AB860" s="125">
        <f t="array" ref="AB860">_xlfn.IFS(Z860 &lt;= 9, "1", Z860 &lt;= 12, "2", Z860 &lt;= 15, "3", Z860 &gt; 15, "4")</f>
        <v/>
      </c>
      <c r="AC860" s="125">
        <f t="array" ref="AC860">_xlfn.IFS(AA860 &lt;= 200, "1", L860 &lt;= 300, "2", L860 &lt;= 400, "3", L860 &gt; 400, "4")</f>
        <v/>
      </c>
      <c r="AF860" s="129">
        <f>SQRT((((VLOOKUP($AT$4,$A$4:$D$1021,4,FALSE))-D860)^2)+(((VLOOKUP($AT$4,$A$4:$E$1021,5,FALSE))-E860)^2)+(((VLOOKUP($AT$4,$A$4:$N$1021,14,FALSE))-N860)^2)+(((VLOOKUP($AT$4,$A$4:$O$1021,15,FALSE))-O860)^2))</f>
        <v/>
      </c>
      <c r="AG860" s="129" t="n"/>
      <c r="AI860" s="129">
        <f>SQRT((((VLOOKUP($AT$4,$A$4:$D$1021,4,FALSE))-D860)^2)+(((VLOOKUP($AT$4,$A$4:$E$1021,5,FALSE))-E860)^2)+(((VLOOKUP($AT$4,$A$4:$R$1021,18,FALSE))-R860)^2)+(((VLOOKUP($AT$4,$A$4:$S$1021,19,FALSE))-S860)^2))</f>
        <v/>
      </c>
      <c r="AJ860" s="125" t="inlineStr">
        <is>
          <t>HY700X99.6</t>
        </is>
      </c>
      <c r="AK860" s="125" t="n"/>
      <c r="AL860" s="125" t="n"/>
      <c r="AM860" s="125">
        <f>SQRT(((VLOOKUP($AT$4,$A$4:$J$1021,10,FALSE))-J860)^2)</f>
        <v/>
      </c>
      <c r="AN860" s="125" t="n"/>
      <c r="AO860" s="125" t="n"/>
      <c r="AP860" s="125">
        <f>SQRT(((VLOOKUP($AT$4,$A$4:$R$1021,18,FALSE))-R860)^2)</f>
        <v/>
      </c>
      <c r="AQ860" s="125" t="inlineStr">
        <is>
          <t>HY700X99.6</t>
        </is>
      </c>
      <c r="BB860" s="125">
        <f>SQRT(($J$1022-J860)^2)</f>
        <v/>
      </c>
      <c r="BC860" s="125">
        <f>SQRT(($R$1022-R860)^2)</f>
        <v/>
      </c>
      <c r="BD860" s="125" t="inlineStr">
        <is>
          <t>HY700X99.6</t>
        </is>
      </c>
      <c r="BI860">
        <f>SQRT(($J$1023-J860)^2)</f>
        <v/>
      </c>
      <c r="BJ860">
        <f>SQRT(($R$1023-R860)^2)</f>
        <v/>
      </c>
      <c r="BK860" s="125" t="inlineStr">
        <is>
          <t>HY700X99.6</t>
        </is>
      </c>
      <c r="BP860">
        <f>SQRT(($J$1024-J860)^2)</f>
        <v/>
      </c>
      <c r="BQ860">
        <f>SQRT(($R$1024-R860)^2)</f>
        <v/>
      </c>
      <c r="BR860" s="125" t="inlineStr">
        <is>
          <t>HY700X99.6</t>
        </is>
      </c>
      <c r="BW860">
        <f>SQRT(($J$1025-J860)^2)</f>
        <v/>
      </c>
      <c r="BX860">
        <f>SQRT(($R$1025-R860)^2)</f>
        <v/>
      </c>
      <c r="BY860" s="125" t="inlineStr">
        <is>
          <t>HY700X99.6</t>
        </is>
      </c>
      <c r="CD860">
        <f>SQRT(($J$1026-J860)^2)</f>
        <v/>
      </c>
      <c r="CE860">
        <f>SQRT(($R$1026-R860)^2)</f>
        <v/>
      </c>
      <c r="CF860" s="125" t="inlineStr">
        <is>
          <t>HY700X99.6</t>
        </is>
      </c>
    </row>
    <row r="861">
      <c r="A861" s="125" t="inlineStr">
        <is>
          <t>HY700X87.6</t>
        </is>
      </c>
      <c r="B861" s="129" t="inlineStr">
        <is>
          <t>HY</t>
        </is>
      </c>
      <c r="C861" s="125" t="n">
        <v>87.59999999999999</v>
      </c>
      <c r="D861" s="125" t="n">
        <v>700</v>
      </c>
      <c r="E861" s="125" t="n">
        <v>200</v>
      </c>
      <c r="F861" s="125" t="n">
        <v>12</v>
      </c>
      <c r="G861" s="125" t="n">
        <v>9</v>
      </c>
      <c r="H861" s="125" t="n">
        <v>18</v>
      </c>
      <c r="I861" s="125">
        <f>D861-(2*(H861+F861))</f>
        <v/>
      </c>
      <c r="J861" s="125">
        <f>(2*E861/10*F861/10)+((D861-F861-F861)/10*G861/10)+((H861/10+H861/10)^2)-(PI()*H861/10*H861/10)</f>
        <v/>
      </c>
      <c r="K861" s="125">
        <f>((E861-G861)/2)/F861</f>
        <v/>
      </c>
      <c r="L861" s="125">
        <f>I861/G861</f>
        <v/>
      </c>
      <c r="M861" s="125">
        <f>(E861*2+F861*4+((E861-G861)/2-H861)*4+2*PI()*H861+(D861-2*F861-2*H861)*2)/1000</f>
        <v/>
      </c>
      <c r="N861" s="5" t="n">
        <v>83100</v>
      </c>
      <c r="O861" s="5" t="n">
        <v>1610</v>
      </c>
      <c r="P861" s="125" t="n">
        <v>27.3</v>
      </c>
      <c r="Q861" s="125" t="n">
        <v>3.8</v>
      </c>
      <c r="R861" s="5" t="n">
        <v>2370</v>
      </c>
      <c r="S861" s="125" t="n">
        <v>161</v>
      </c>
      <c r="T861" s="5" t="n">
        <v>2770</v>
      </c>
      <c r="U861" s="125" t="n">
        <v>256</v>
      </c>
      <c r="X861" s="129">
        <f t="array" ref="X861">_xlfn.IFS((D861/F861) &lt;= (640/SQRT($AT$32)), "Compact", L861 &lt;= ($AT$32*(0.79-(0.002*((E861-G861/2)/(2*F861))*SQRT($AT$32)))), "Non-Compact", L861 &gt; ($AT$32*(0.79-(0.002*((E861-G861/2)/(2*F861))*SQRT($AT$32)))), "Slender")</f>
        <v/>
      </c>
      <c r="Y861" s="129">
        <f t="array" ref="Y861">_xlfn.IFS(K861 &lt;= (65/SQRT($AT$32)), "Compact", K861 &lt;= (95/SQRT($AT$32)), "Non-Compact", K861 &gt; (95/SQRT($AT$32)), "Slender")</f>
        <v/>
      </c>
      <c r="Z861" s="125">
        <f>E861/F861</f>
        <v/>
      </c>
      <c r="AA861" s="125">
        <f>D861/G861</f>
        <v/>
      </c>
      <c r="AB861" s="125">
        <f t="array" ref="AB861">_xlfn.IFS(Z861 &lt;= 9, "1", Z861 &lt;= 12, "2", Z861 &lt;= 15, "3", Z861 &gt; 15, "4")</f>
        <v/>
      </c>
      <c r="AC861" s="125">
        <f t="array" ref="AC861">_xlfn.IFS(AA861 &lt;= 200, "1", L861 &lt;= 300, "2", L861 &lt;= 400, "3", L861 &gt; 400, "4")</f>
        <v/>
      </c>
      <c r="AF861" s="129">
        <f>SQRT((((VLOOKUP($AT$4,$A$4:$D$1021,4,FALSE))-D861)^2)+(((VLOOKUP($AT$4,$A$4:$E$1021,5,FALSE))-E861)^2)+(((VLOOKUP($AT$4,$A$4:$N$1021,14,FALSE))-N861)^2)+(((VLOOKUP($AT$4,$A$4:$O$1021,15,FALSE))-O861)^2))</f>
        <v/>
      </c>
      <c r="AG861" s="129" t="n"/>
      <c r="AI861" s="129">
        <f>SQRT((((VLOOKUP($AT$4,$A$4:$D$1021,4,FALSE))-D861)^2)+(((VLOOKUP($AT$4,$A$4:$E$1021,5,FALSE))-E861)^2)+(((VLOOKUP($AT$4,$A$4:$R$1021,18,FALSE))-R861)^2)+(((VLOOKUP($AT$4,$A$4:$S$1021,19,FALSE))-S861)^2))</f>
        <v/>
      </c>
      <c r="AJ861" s="125" t="inlineStr">
        <is>
          <t>HY700X87.6</t>
        </is>
      </c>
      <c r="AK861" s="125" t="n"/>
      <c r="AL861" s="125" t="n"/>
      <c r="AM861" s="125">
        <f>SQRT(((VLOOKUP($AT$4,$A$4:$J$1021,10,FALSE))-J861)^2)</f>
        <v/>
      </c>
      <c r="AN861" s="125" t="n"/>
      <c r="AO861" s="125" t="n"/>
      <c r="AP861" s="125">
        <f>SQRT(((VLOOKUP($AT$4,$A$4:$R$1021,18,FALSE))-R861)^2)</f>
        <v/>
      </c>
      <c r="AQ861" s="125" t="inlineStr">
        <is>
          <t>HY700X87.6</t>
        </is>
      </c>
      <c r="BB861" s="125">
        <f>SQRT(($J$1022-J861)^2)</f>
        <v/>
      </c>
      <c r="BC861" s="125">
        <f>SQRT(($R$1022-R861)^2)</f>
        <v/>
      </c>
      <c r="BD861" s="125" t="inlineStr">
        <is>
          <t>HY700X87.6</t>
        </is>
      </c>
      <c r="BI861">
        <f>SQRT(($J$1023-J861)^2)</f>
        <v/>
      </c>
      <c r="BJ861">
        <f>SQRT(($R$1023-R861)^2)</f>
        <v/>
      </c>
      <c r="BK861" s="125" t="inlineStr">
        <is>
          <t>HY700X87.6</t>
        </is>
      </c>
      <c r="BP861">
        <f>SQRT(($J$1024-J861)^2)</f>
        <v/>
      </c>
      <c r="BQ861">
        <f>SQRT(($R$1024-R861)^2)</f>
        <v/>
      </c>
      <c r="BR861" s="125" t="inlineStr">
        <is>
          <t>HY700X87.6</t>
        </is>
      </c>
      <c r="BW861">
        <f>SQRT(($J$1025-J861)^2)</f>
        <v/>
      </c>
      <c r="BX861">
        <f>SQRT(($R$1025-R861)^2)</f>
        <v/>
      </c>
      <c r="BY861" s="125" t="inlineStr">
        <is>
          <t>HY700X87.6</t>
        </is>
      </c>
      <c r="CD861">
        <f>SQRT(($J$1026-J861)^2)</f>
        <v/>
      </c>
      <c r="CE861">
        <f>SQRT(($R$1026-R861)^2)</f>
        <v/>
      </c>
      <c r="CF861" s="125" t="inlineStr">
        <is>
          <t>HY700X87.6</t>
        </is>
      </c>
    </row>
    <row r="862">
      <c r="A862" s="125" t="inlineStr">
        <is>
          <t>HY650X225</t>
        </is>
      </c>
      <c r="B862" s="129" t="inlineStr">
        <is>
          <t>HY</t>
        </is>
      </c>
      <c r="C862" s="125" t="n">
        <v>225</v>
      </c>
      <c r="D862" s="125" t="n">
        <v>650</v>
      </c>
      <c r="E862" s="125" t="n">
        <v>300</v>
      </c>
      <c r="F862" s="125" t="n">
        <v>32</v>
      </c>
      <c r="G862" s="125" t="n">
        <v>16</v>
      </c>
      <c r="H862" s="125" t="n">
        <v>13</v>
      </c>
      <c r="I862" s="125">
        <f>D862-(2*(H862+F862))</f>
        <v/>
      </c>
      <c r="J862" s="125">
        <f>(2*E862/10*F862/10)+((D862-F862-F862)/10*G862/10)+((H862/10+H862/10)^2)-(PI()*H862/10*H862/10)</f>
        <v/>
      </c>
      <c r="K862" s="125">
        <f>((E862-G862)/2)/F862</f>
        <v/>
      </c>
      <c r="L862" s="125">
        <f>I862/G862</f>
        <v/>
      </c>
      <c r="M862" s="125">
        <f>(E862*2+F862*4+((E862-G862)/2-H862)*4+2*PI()*H862+(D862-2*F862-2*H862)*2)/1000</f>
        <v/>
      </c>
      <c r="N862" s="5" t="n">
        <v>212000</v>
      </c>
      <c r="O862" s="5" t="n">
        <v>14400</v>
      </c>
      <c r="P862" s="125" t="n">
        <v>27.1</v>
      </c>
      <c r="Q862" s="125" t="n">
        <v>7.1</v>
      </c>
      <c r="R862" s="5" t="n">
        <v>6510</v>
      </c>
      <c r="S862" s="125" t="n">
        <v>961</v>
      </c>
      <c r="T862" s="5" t="n">
        <v>7350</v>
      </c>
      <c r="U862" s="5" t="n">
        <v>1480</v>
      </c>
      <c r="X862" s="129">
        <f t="array" ref="X862">_xlfn.IFS((D862/F862) &lt;= (640/SQRT($AT$32)), "Compact", L862 &lt;= ($AT$32*(0.79-(0.002*((E862-G862/2)/(2*F862))*SQRT($AT$32)))), "Non-Compact", L862 &gt; ($AT$32*(0.79-(0.002*((E862-G862/2)/(2*F862))*SQRT($AT$32)))), "Slender")</f>
        <v/>
      </c>
      <c r="Y862" s="129">
        <f t="array" ref="Y862">_xlfn.IFS(K862 &lt;= (65/SQRT($AT$32)), "Compact", K862 &lt;= (95/SQRT($AT$32)), "Non-Compact", K862 &gt; (95/SQRT($AT$32)), "Slender")</f>
        <v/>
      </c>
      <c r="Z862" s="125">
        <f>E862/F862</f>
        <v/>
      </c>
      <c r="AA862" s="125">
        <f>D862/G862</f>
        <v/>
      </c>
      <c r="AB862" s="125">
        <f t="array" ref="AB862">_xlfn.IFS(Z862 &lt;= 9, "1", Z862 &lt;= 12, "2", Z862 &lt;= 15, "3", Z862 &gt; 15, "4")</f>
        <v/>
      </c>
      <c r="AC862" s="125">
        <f t="array" ref="AC862">_xlfn.IFS(AA862 &lt;= 200, "1", L862 &lt;= 300, "2", L862 &lt;= 400, "3", L862 &gt; 400, "4")</f>
        <v/>
      </c>
      <c r="AF862" s="129">
        <f>SQRT((((VLOOKUP($AT$4,$A$4:$D$1021,4,FALSE))-D862)^2)+(((VLOOKUP($AT$4,$A$4:$E$1021,5,FALSE))-E862)^2)+(((VLOOKUP($AT$4,$A$4:$N$1021,14,FALSE))-N862)^2)+(((VLOOKUP($AT$4,$A$4:$O$1021,15,FALSE))-O862)^2))</f>
        <v/>
      </c>
      <c r="AG862" s="129" t="n"/>
      <c r="AI862" s="129">
        <f>SQRT((((VLOOKUP($AT$4,$A$4:$D$1021,4,FALSE))-D862)^2)+(((VLOOKUP($AT$4,$A$4:$E$1021,5,FALSE))-E862)^2)+(((VLOOKUP($AT$4,$A$4:$R$1021,18,FALSE))-R862)^2)+(((VLOOKUP($AT$4,$A$4:$S$1021,19,FALSE))-S862)^2))</f>
        <v/>
      </c>
      <c r="AJ862" s="125" t="inlineStr">
        <is>
          <t>HY650X225</t>
        </is>
      </c>
      <c r="AK862" s="125" t="n"/>
      <c r="AL862" s="125" t="n"/>
      <c r="AM862" s="125">
        <f>SQRT(((VLOOKUP($AT$4,$A$4:$J$1021,10,FALSE))-J862)^2)</f>
        <v/>
      </c>
      <c r="AN862" s="125" t="n"/>
      <c r="AO862" s="125" t="n"/>
      <c r="AP862" s="125">
        <f>SQRT(((VLOOKUP($AT$4,$A$4:$R$1021,18,FALSE))-R862)^2)</f>
        <v/>
      </c>
      <c r="AQ862" s="125" t="inlineStr">
        <is>
          <t>HY650X225</t>
        </is>
      </c>
      <c r="BB862" s="125">
        <f>SQRT(($J$1022-J862)^2)</f>
        <v/>
      </c>
      <c r="BC862" s="125">
        <f>SQRT(($R$1022-R862)^2)</f>
        <v/>
      </c>
      <c r="BD862" s="125" t="inlineStr">
        <is>
          <t>HY650X225</t>
        </is>
      </c>
      <c r="BI862">
        <f>SQRT(($J$1023-J862)^2)</f>
        <v/>
      </c>
      <c r="BJ862">
        <f>SQRT(($R$1023-R862)^2)</f>
        <v/>
      </c>
      <c r="BK862" s="125" t="inlineStr">
        <is>
          <t>HY650X225</t>
        </is>
      </c>
      <c r="BP862">
        <f>SQRT(($J$1024-J862)^2)</f>
        <v/>
      </c>
      <c r="BQ862">
        <f>SQRT(($R$1024-R862)^2)</f>
        <v/>
      </c>
      <c r="BR862" s="125" t="inlineStr">
        <is>
          <t>HY650X225</t>
        </is>
      </c>
      <c r="BW862">
        <f>SQRT(($J$1025-J862)^2)</f>
        <v/>
      </c>
      <c r="BX862">
        <f>SQRT(($R$1025-R862)^2)</f>
        <v/>
      </c>
      <c r="BY862" s="125" t="inlineStr">
        <is>
          <t>HY650X225</t>
        </is>
      </c>
      <c r="CD862">
        <f>SQRT(($J$1026-J862)^2)</f>
        <v/>
      </c>
      <c r="CE862">
        <f>SQRT(($R$1026-R862)^2)</f>
        <v/>
      </c>
      <c r="CF862" s="125" t="inlineStr">
        <is>
          <t>HY650X225</t>
        </is>
      </c>
    </row>
    <row r="863">
      <c r="A863" s="125" t="inlineStr">
        <is>
          <t>HY650X208</t>
        </is>
      </c>
      <c r="B863" s="129" t="inlineStr">
        <is>
          <t>HY</t>
        </is>
      </c>
      <c r="C863" s="125" t="n">
        <v>208</v>
      </c>
      <c r="D863" s="125" t="n">
        <v>650</v>
      </c>
      <c r="E863" s="125" t="n">
        <v>300</v>
      </c>
      <c r="F863" s="125" t="n">
        <v>28</v>
      </c>
      <c r="G863" s="125" t="n">
        <v>16</v>
      </c>
      <c r="H863" s="125" t="n">
        <v>13</v>
      </c>
      <c r="I863" s="125">
        <f>D863-(2*(H863+F863))</f>
        <v/>
      </c>
      <c r="J863" s="125">
        <f>(2*E863/10*F863/10)+((D863-F863-F863)/10*G863/10)+((H863/10+H863/10)^2)-(PI()*H863/10*H863/10)</f>
        <v/>
      </c>
      <c r="K863" s="125">
        <f>((E863-G863)/2)/F863</f>
        <v/>
      </c>
      <c r="L863" s="125">
        <f>I863/G863</f>
        <v/>
      </c>
      <c r="M863" s="125">
        <f>(E863*2+F863*4+((E863-G863)/2-H863)*4+2*PI()*H863+(D863-2*F863-2*H863)*2)/1000</f>
        <v/>
      </c>
      <c r="N863" s="5" t="n">
        <v>192000</v>
      </c>
      <c r="O863" s="5" t="n">
        <v>12600</v>
      </c>
      <c r="P863" s="125" t="n">
        <v>26.9</v>
      </c>
      <c r="Q863" s="125" t="n">
        <v>6.9</v>
      </c>
      <c r="R863" s="5" t="n">
        <v>5900</v>
      </c>
      <c r="S863" s="125" t="n">
        <v>841</v>
      </c>
      <c r="T863" s="5" t="n">
        <v>6680</v>
      </c>
      <c r="U863" s="5" t="n">
        <v>1300</v>
      </c>
      <c r="X863" s="129">
        <f t="array" ref="X863">_xlfn.IFS((D863/F863) &lt;= (640/SQRT($AT$32)), "Compact", L863 &lt;= ($AT$32*(0.79-(0.002*((E863-G863/2)/(2*F863))*SQRT($AT$32)))), "Non-Compact", L863 &gt; ($AT$32*(0.79-(0.002*((E863-G863/2)/(2*F863))*SQRT($AT$32)))), "Slender")</f>
        <v/>
      </c>
      <c r="Y863" s="129">
        <f t="array" ref="Y863">_xlfn.IFS(K863 &lt;= (65/SQRT($AT$32)), "Compact", K863 &lt;= (95/SQRT($AT$32)), "Non-Compact", K863 &gt; (95/SQRT($AT$32)), "Slender")</f>
        <v/>
      </c>
      <c r="Z863" s="125">
        <f>E863/F863</f>
        <v/>
      </c>
      <c r="AA863" s="125">
        <f>D863/G863</f>
        <v/>
      </c>
      <c r="AB863" s="125">
        <f t="array" ref="AB863">_xlfn.IFS(Z863 &lt;= 9, "1", Z863 &lt;= 12, "2", Z863 &lt;= 15, "3", Z863 &gt; 15, "4")</f>
        <v/>
      </c>
      <c r="AC863" s="125">
        <f t="array" ref="AC863">_xlfn.IFS(AA863 &lt;= 200, "1", L863 &lt;= 300, "2", L863 &lt;= 400, "3", L863 &gt; 400, "4")</f>
        <v/>
      </c>
      <c r="AF863" s="129">
        <f>SQRT((((VLOOKUP($AT$4,$A$4:$D$1021,4,FALSE))-D863)^2)+(((VLOOKUP($AT$4,$A$4:$E$1021,5,FALSE))-E863)^2)+(((VLOOKUP($AT$4,$A$4:$N$1021,14,FALSE))-N863)^2)+(((VLOOKUP($AT$4,$A$4:$O$1021,15,FALSE))-O863)^2))</f>
        <v/>
      </c>
      <c r="AG863" s="129" t="n"/>
      <c r="AI863" s="129">
        <f>SQRT((((VLOOKUP($AT$4,$A$4:$D$1021,4,FALSE))-D863)^2)+(((VLOOKUP($AT$4,$A$4:$E$1021,5,FALSE))-E863)^2)+(((VLOOKUP($AT$4,$A$4:$R$1021,18,FALSE))-R863)^2)+(((VLOOKUP($AT$4,$A$4:$S$1021,19,FALSE))-S863)^2))</f>
        <v/>
      </c>
      <c r="AJ863" s="125" t="inlineStr">
        <is>
          <t>HY650X208</t>
        </is>
      </c>
      <c r="AK863" s="125" t="n"/>
      <c r="AL863" s="125" t="n"/>
      <c r="AM863" s="125">
        <f>SQRT(((VLOOKUP($AT$4,$A$4:$J$1021,10,FALSE))-J863)^2)</f>
        <v/>
      </c>
      <c r="AN863" s="125" t="n"/>
      <c r="AO863" s="125" t="n"/>
      <c r="AP863" s="125">
        <f>SQRT(((VLOOKUP($AT$4,$A$4:$R$1021,18,FALSE))-R863)^2)</f>
        <v/>
      </c>
      <c r="AQ863" s="125" t="inlineStr">
        <is>
          <t>HY650X208</t>
        </is>
      </c>
      <c r="BB863" s="125">
        <f>SQRT(($J$1022-J863)^2)</f>
        <v/>
      </c>
      <c r="BC863" s="125">
        <f>SQRT(($R$1022-R863)^2)</f>
        <v/>
      </c>
      <c r="BD863" s="125" t="inlineStr">
        <is>
          <t>HY650X208</t>
        </is>
      </c>
      <c r="BI863">
        <f>SQRT(($J$1023-J863)^2)</f>
        <v/>
      </c>
      <c r="BJ863">
        <f>SQRT(($R$1023-R863)^2)</f>
        <v/>
      </c>
      <c r="BK863" s="125" t="inlineStr">
        <is>
          <t>HY650X208</t>
        </is>
      </c>
      <c r="BP863">
        <f>SQRT(($J$1024-J863)^2)</f>
        <v/>
      </c>
      <c r="BQ863">
        <f>SQRT(($R$1024-R863)^2)</f>
        <v/>
      </c>
      <c r="BR863" s="125" t="inlineStr">
        <is>
          <t>HY650X208</t>
        </is>
      </c>
      <c r="BW863">
        <f>SQRT(($J$1025-J863)^2)</f>
        <v/>
      </c>
      <c r="BX863">
        <f>SQRT(($R$1025-R863)^2)</f>
        <v/>
      </c>
      <c r="BY863" s="125" t="inlineStr">
        <is>
          <t>HY650X208</t>
        </is>
      </c>
      <c r="CD863">
        <f>SQRT(($J$1026-J863)^2)</f>
        <v/>
      </c>
      <c r="CE863">
        <f>SQRT(($R$1026-R863)^2)</f>
        <v/>
      </c>
      <c r="CF863" s="125" t="inlineStr">
        <is>
          <t>HY650X208</t>
        </is>
      </c>
    </row>
    <row r="864">
      <c r="A864" s="125" t="inlineStr">
        <is>
          <t>HY650X194</t>
        </is>
      </c>
      <c r="B864" s="129" t="inlineStr">
        <is>
          <t>HY</t>
        </is>
      </c>
      <c r="C864" s="125" t="n">
        <v>194</v>
      </c>
      <c r="D864" s="125" t="n">
        <v>650</v>
      </c>
      <c r="E864" s="125" t="n">
        <v>300</v>
      </c>
      <c r="F864" s="125" t="n">
        <v>25</v>
      </c>
      <c r="G864" s="125" t="n">
        <v>16</v>
      </c>
      <c r="H864" s="125" t="n">
        <v>13</v>
      </c>
      <c r="I864" s="125">
        <f>D864-(2*(H864+F864))</f>
        <v/>
      </c>
      <c r="J864" s="125">
        <f>(2*E864/10*F864/10)+((D864-F864-F864)/10*G864/10)+((H864/10+H864/10)^2)-(PI()*H864/10*H864/10)</f>
        <v/>
      </c>
      <c r="K864" s="125">
        <f>((E864-G864)/2)/F864</f>
        <v/>
      </c>
      <c r="L864" s="125">
        <f>I864/G864</f>
        <v/>
      </c>
      <c r="M864" s="125">
        <f>(E864*2+F864*4+((E864-G864)/2-H864)*4+2*PI()*H864+(D864-2*F864-2*H864)*2)/1000</f>
        <v/>
      </c>
      <c r="N864" s="5" t="n">
        <v>177000</v>
      </c>
      <c r="O864" s="5" t="n">
        <v>11300</v>
      </c>
      <c r="P864" s="125" t="n">
        <v>26.7</v>
      </c>
      <c r="Q864" s="125" t="n">
        <v>6.8</v>
      </c>
      <c r="R864" s="5" t="n">
        <v>5440</v>
      </c>
      <c r="S864" s="125" t="n">
        <v>751</v>
      </c>
      <c r="T864" s="5" t="n">
        <v>6170</v>
      </c>
      <c r="U864" s="5" t="n">
        <v>1160</v>
      </c>
      <c r="X864" s="129">
        <f t="array" ref="X864">_xlfn.IFS((D864/F864) &lt;= (640/SQRT($AT$32)), "Compact", L864 &lt;= ($AT$32*(0.79-(0.002*((E864-G864/2)/(2*F864))*SQRT($AT$32)))), "Non-Compact", L864 &gt; ($AT$32*(0.79-(0.002*((E864-G864/2)/(2*F864))*SQRT($AT$32)))), "Slender")</f>
        <v/>
      </c>
      <c r="Y864" s="129">
        <f t="array" ref="Y864">_xlfn.IFS(K864 &lt;= (65/SQRT($AT$32)), "Compact", K864 &lt;= (95/SQRT($AT$32)), "Non-Compact", K864 &gt; (95/SQRT($AT$32)), "Slender")</f>
        <v/>
      </c>
      <c r="Z864" s="125">
        <f>E864/F864</f>
        <v/>
      </c>
      <c r="AA864" s="125">
        <f>D864/G864</f>
        <v/>
      </c>
      <c r="AB864" s="125">
        <f t="array" ref="AB864">_xlfn.IFS(Z864 &lt;= 9, "1", Z864 &lt;= 12, "2", Z864 &lt;= 15, "3", Z864 &gt; 15, "4")</f>
        <v/>
      </c>
      <c r="AC864" s="125">
        <f t="array" ref="AC864">_xlfn.IFS(AA864 &lt;= 200, "1", L864 &lt;= 300, "2", L864 &lt;= 400, "3", L864 &gt; 400, "4")</f>
        <v/>
      </c>
      <c r="AF864" s="129">
        <f>SQRT((((VLOOKUP($AT$4,$A$4:$D$1021,4,FALSE))-D864)^2)+(((VLOOKUP($AT$4,$A$4:$E$1021,5,FALSE))-E864)^2)+(((VLOOKUP($AT$4,$A$4:$N$1021,14,FALSE))-N864)^2)+(((VLOOKUP($AT$4,$A$4:$O$1021,15,FALSE))-O864)^2))</f>
        <v/>
      </c>
      <c r="AG864" s="129" t="n"/>
      <c r="AI864" s="129">
        <f>SQRT((((VLOOKUP($AT$4,$A$4:$D$1021,4,FALSE))-D864)^2)+(((VLOOKUP($AT$4,$A$4:$E$1021,5,FALSE))-E864)^2)+(((VLOOKUP($AT$4,$A$4:$R$1021,18,FALSE))-R864)^2)+(((VLOOKUP($AT$4,$A$4:$S$1021,19,FALSE))-S864)^2))</f>
        <v/>
      </c>
      <c r="AJ864" s="125" t="inlineStr">
        <is>
          <t>HY650X194</t>
        </is>
      </c>
      <c r="AK864" s="125" t="n"/>
      <c r="AL864" s="125" t="n"/>
      <c r="AM864" s="125">
        <f>SQRT(((VLOOKUP($AT$4,$A$4:$J$1021,10,FALSE))-J864)^2)</f>
        <v/>
      </c>
      <c r="AN864" s="125" t="n"/>
      <c r="AO864" s="125" t="n"/>
      <c r="AP864" s="125">
        <f>SQRT(((VLOOKUP($AT$4,$A$4:$R$1021,18,FALSE))-R864)^2)</f>
        <v/>
      </c>
      <c r="AQ864" s="125" t="inlineStr">
        <is>
          <t>HY650X194</t>
        </is>
      </c>
      <c r="BB864" s="125">
        <f>SQRT(($J$1022-J864)^2)</f>
        <v/>
      </c>
      <c r="BC864" s="125">
        <f>SQRT(($R$1022-R864)^2)</f>
        <v/>
      </c>
      <c r="BD864" s="125" t="inlineStr">
        <is>
          <t>HY650X194</t>
        </is>
      </c>
      <c r="BI864">
        <f>SQRT(($J$1023-J864)^2)</f>
        <v/>
      </c>
      <c r="BJ864">
        <f>SQRT(($R$1023-R864)^2)</f>
        <v/>
      </c>
      <c r="BK864" s="125" t="inlineStr">
        <is>
          <t>HY650X194</t>
        </is>
      </c>
      <c r="BP864">
        <f>SQRT(($J$1024-J864)^2)</f>
        <v/>
      </c>
      <c r="BQ864">
        <f>SQRT(($R$1024-R864)^2)</f>
        <v/>
      </c>
      <c r="BR864" s="125" t="inlineStr">
        <is>
          <t>HY650X194</t>
        </is>
      </c>
      <c r="BW864">
        <f>SQRT(($J$1025-J864)^2)</f>
        <v/>
      </c>
      <c r="BX864">
        <f>SQRT(($R$1025-R864)^2)</f>
        <v/>
      </c>
      <c r="BY864" s="125" t="inlineStr">
        <is>
          <t>HY650X194</t>
        </is>
      </c>
      <c r="CD864">
        <f>SQRT(($J$1026-J864)^2)</f>
        <v/>
      </c>
      <c r="CE864">
        <f>SQRT(($R$1026-R864)^2)</f>
        <v/>
      </c>
      <c r="CF864" s="125" t="inlineStr">
        <is>
          <t>HY650X194</t>
        </is>
      </c>
    </row>
    <row r="865">
      <c r="A865" s="125" t="inlineStr">
        <is>
          <t>HY650X181</t>
        </is>
      </c>
      <c r="B865" s="129" t="inlineStr">
        <is>
          <t>HY</t>
        </is>
      </c>
      <c r="C865" s="125" t="n">
        <v>181</v>
      </c>
      <c r="D865" s="125" t="n">
        <v>650</v>
      </c>
      <c r="E865" s="125" t="n">
        <v>300</v>
      </c>
      <c r="F865" s="125" t="n">
        <v>22</v>
      </c>
      <c r="G865" s="125" t="n">
        <v>16</v>
      </c>
      <c r="H865" s="125" t="n">
        <v>13</v>
      </c>
      <c r="I865" s="125">
        <f>D865-(2*(H865+F865))</f>
        <v/>
      </c>
      <c r="J865" s="125">
        <f>(2*E865/10*F865/10)+((D865-F865-F865)/10*G865/10)+((H865/10+H865/10)^2)-(PI()*H865/10*H865/10)</f>
        <v/>
      </c>
      <c r="K865" s="125">
        <f>((E865-G865)/2)/F865</f>
        <v/>
      </c>
      <c r="L865" s="125">
        <f>I865/G865</f>
        <v/>
      </c>
      <c r="M865" s="125">
        <f>(E865*2+F865*4+((E865-G865)/2-H865)*4+2*PI()*H865+(D865-2*F865-2*H865)*2)/1000</f>
        <v/>
      </c>
      <c r="N865" s="5" t="n">
        <v>161000</v>
      </c>
      <c r="O865" s="5" t="n">
        <v>9920</v>
      </c>
      <c r="P865" s="125" t="n">
        <v>26.4</v>
      </c>
      <c r="Q865" s="125" t="n">
        <v>6.6</v>
      </c>
      <c r="R865" s="5" t="n">
        <v>4960</v>
      </c>
      <c r="S865" s="125" t="n">
        <v>661</v>
      </c>
      <c r="T865" s="5" t="n">
        <v>5660</v>
      </c>
      <c r="U865" s="5" t="n">
        <v>1030</v>
      </c>
      <c r="X865" s="129">
        <f t="array" ref="X865">_xlfn.IFS((D865/F865) &lt;= (640/SQRT($AT$32)), "Compact", L865 &lt;= ($AT$32*(0.79-(0.002*((E865-G865/2)/(2*F865))*SQRT($AT$32)))), "Non-Compact", L865 &gt; ($AT$32*(0.79-(0.002*((E865-G865/2)/(2*F865))*SQRT($AT$32)))), "Slender")</f>
        <v/>
      </c>
      <c r="Y865" s="129">
        <f t="array" ref="Y865">_xlfn.IFS(K865 &lt;= (65/SQRT($AT$32)), "Compact", K865 &lt;= (95/SQRT($AT$32)), "Non-Compact", K865 &gt; (95/SQRT($AT$32)), "Slender")</f>
        <v/>
      </c>
      <c r="Z865" s="125">
        <f>E865/F865</f>
        <v/>
      </c>
      <c r="AA865" s="125">
        <f>D865/G865</f>
        <v/>
      </c>
      <c r="AB865" s="125">
        <f t="array" ref="AB865">_xlfn.IFS(Z865 &lt;= 9, "1", Z865 &lt;= 12, "2", Z865 &lt;= 15, "3", Z865 &gt; 15, "4")</f>
        <v/>
      </c>
      <c r="AC865" s="125">
        <f t="array" ref="AC865">_xlfn.IFS(AA865 &lt;= 200, "1", L865 &lt;= 300, "2", L865 &lt;= 400, "3", L865 &gt; 400, "4")</f>
        <v/>
      </c>
      <c r="AF865" s="129">
        <f>SQRT((((VLOOKUP($AT$4,$A$4:$D$1021,4,FALSE))-D865)^2)+(((VLOOKUP($AT$4,$A$4:$E$1021,5,FALSE))-E865)^2)+(((VLOOKUP($AT$4,$A$4:$N$1021,14,FALSE))-N865)^2)+(((VLOOKUP($AT$4,$A$4:$O$1021,15,FALSE))-O865)^2))</f>
        <v/>
      </c>
      <c r="AG865" s="129" t="n"/>
      <c r="AI865" s="129">
        <f>SQRT((((VLOOKUP($AT$4,$A$4:$D$1021,4,FALSE))-D865)^2)+(((VLOOKUP($AT$4,$A$4:$E$1021,5,FALSE))-E865)^2)+(((VLOOKUP($AT$4,$A$4:$R$1021,18,FALSE))-R865)^2)+(((VLOOKUP($AT$4,$A$4:$S$1021,19,FALSE))-S865)^2))</f>
        <v/>
      </c>
      <c r="AJ865" s="125" t="inlineStr">
        <is>
          <t>HY650X181</t>
        </is>
      </c>
      <c r="AK865" s="125" t="n"/>
      <c r="AL865" s="125" t="n"/>
      <c r="AM865" s="125">
        <f>SQRT(((VLOOKUP($AT$4,$A$4:$J$1021,10,FALSE))-J865)^2)</f>
        <v/>
      </c>
      <c r="AN865" s="125" t="n"/>
      <c r="AO865" s="125" t="n"/>
      <c r="AP865" s="125">
        <f>SQRT(((VLOOKUP($AT$4,$A$4:$R$1021,18,FALSE))-R865)^2)</f>
        <v/>
      </c>
      <c r="AQ865" s="125" t="inlineStr">
        <is>
          <t>HY650X181</t>
        </is>
      </c>
      <c r="BB865" s="125">
        <f>SQRT(($J$1022-J865)^2)</f>
        <v/>
      </c>
      <c r="BC865" s="125">
        <f>SQRT(($R$1022-R865)^2)</f>
        <v/>
      </c>
      <c r="BD865" s="125" t="inlineStr">
        <is>
          <t>HY650X181</t>
        </is>
      </c>
      <c r="BI865">
        <f>SQRT(($J$1023-J865)^2)</f>
        <v/>
      </c>
      <c r="BJ865">
        <f>SQRT(($R$1023-R865)^2)</f>
        <v/>
      </c>
      <c r="BK865" s="125" t="inlineStr">
        <is>
          <t>HY650X181</t>
        </is>
      </c>
      <c r="BP865">
        <f>SQRT(($J$1024-J865)^2)</f>
        <v/>
      </c>
      <c r="BQ865">
        <f>SQRT(($R$1024-R865)^2)</f>
        <v/>
      </c>
      <c r="BR865" s="125" t="inlineStr">
        <is>
          <t>HY650X181</t>
        </is>
      </c>
      <c r="BW865">
        <f>SQRT(($J$1025-J865)^2)</f>
        <v/>
      </c>
      <c r="BX865">
        <f>SQRT(($R$1025-R865)^2)</f>
        <v/>
      </c>
      <c r="BY865" s="125" t="inlineStr">
        <is>
          <t>HY650X181</t>
        </is>
      </c>
      <c r="CD865">
        <f>SQRT(($J$1026-J865)^2)</f>
        <v/>
      </c>
      <c r="CE865">
        <f>SQRT(($R$1026-R865)^2)</f>
        <v/>
      </c>
      <c r="CF865" s="125" t="inlineStr">
        <is>
          <t>HY650X181</t>
        </is>
      </c>
    </row>
    <row r="866">
      <c r="A866" s="125" t="inlineStr">
        <is>
          <t>HY650X175</t>
        </is>
      </c>
      <c r="B866" s="129" t="inlineStr">
        <is>
          <t>HY</t>
        </is>
      </c>
      <c r="C866" s="125" t="n">
        <v>175</v>
      </c>
      <c r="D866" s="125" t="n">
        <v>650</v>
      </c>
      <c r="E866" s="125" t="n">
        <v>300</v>
      </c>
      <c r="F866" s="125" t="n">
        <v>25</v>
      </c>
      <c r="G866" s="125" t="n">
        <v>12</v>
      </c>
      <c r="H866" s="125" t="n">
        <v>13</v>
      </c>
      <c r="I866" s="125">
        <f>D866-(2*(H866+F866))</f>
        <v/>
      </c>
      <c r="J866" s="125">
        <f>(2*E866/10*F866/10)+((D866-F866-F866)/10*G866/10)+((H866/10+H866/10)^2)-(PI()*H866/10*H866/10)</f>
        <v/>
      </c>
      <c r="K866" s="125">
        <f>((E866-G866)/2)/F866</f>
        <v/>
      </c>
      <c r="L866" s="125">
        <f>I866/G866</f>
        <v/>
      </c>
      <c r="M866" s="125">
        <f>(E866*2+F866*4+((E866-G866)/2-H866)*4+2*PI()*H866+(D866-2*F866-2*H866)*2)/1000</f>
        <v/>
      </c>
      <c r="N866" s="5" t="n">
        <v>169000</v>
      </c>
      <c r="O866" s="5" t="n">
        <v>11300</v>
      </c>
      <c r="P866" s="125" t="n">
        <v>27.5</v>
      </c>
      <c r="Q866" s="125" t="n">
        <v>7.1</v>
      </c>
      <c r="R866" s="5" t="n">
        <v>5210</v>
      </c>
      <c r="S866" s="125" t="n">
        <v>751</v>
      </c>
      <c r="T866" s="5" t="n">
        <v>5810</v>
      </c>
      <c r="U866" s="5" t="n">
        <v>1150</v>
      </c>
      <c r="X866" s="129">
        <f t="array" ref="X866">_xlfn.IFS((D866/F866) &lt;= (640/SQRT($AT$32)), "Compact", L866 &lt;= ($AT$32*(0.79-(0.002*((E866-G866/2)/(2*F866))*SQRT($AT$32)))), "Non-Compact", L866 &gt; ($AT$32*(0.79-(0.002*((E866-G866/2)/(2*F866))*SQRT($AT$32)))), "Slender")</f>
        <v/>
      </c>
      <c r="Y866" s="129">
        <f t="array" ref="Y866">_xlfn.IFS(K866 &lt;= (65/SQRT($AT$32)), "Compact", K866 &lt;= (95/SQRT($AT$32)), "Non-Compact", K866 &gt; (95/SQRT($AT$32)), "Slender")</f>
        <v/>
      </c>
      <c r="Z866" s="125">
        <f>E866/F866</f>
        <v/>
      </c>
      <c r="AA866" s="125">
        <f>D866/G866</f>
        <v/>
      </c>
      <c r="AB866" s="125">
        <f t="array" ref="AB866">_xlfn.IFS(Z866 &lt;= 9, "1", Z866 &lt;= 12, "2", Z866 &lt;= 15, "3", Z866 &gt; 15, "4")</f>
        <v/>
      </c>
      <c r="AC866" s="125">
        <f t="array" ref="AC866">_xlfn.IFS(AA866 &lt;= 200, "1", L866 &lt;= 300, "2", L866 &lt;= 400, "3", L866 &gt; 400, "4")</f>
        <v/>
      </c>
      <c r="AF866" s="129">
        <f>SQRT((((VLOOKUP($AT$4,$A$4:$D$1021,4,FALSE))-D866)^2)+(((VLOOKUP($AT$4,$A$4:$E$1021,5,FALSE))-E866)^2)+(((VLOOKUP($AT$4,$A$4:$N$1021,14,FALSE))-N866)^2)+(((VLOOKUP($AT$4,$A$4:$O$1021,15,FALSE))-O866)^2))</f>
        <v/>
      </c>
      <c r="AG866" s="129" t="n"/>
      <c r="AI866" s="129">
        <f>SQRT((((VLOOKUP($AT$4,$A$4:$D$1021,4,FALSE))-D866)^2)+(((VLOOKUP($AT$4,$A$4:$E$1021,5,FALSE))-E866)^2)+(((VLOOKUP($AT$4,$A$4:$R$1021,18,FALSE))-R866)^2)+(((VLOOKUP($AT$4,$A$4:$S$1021,19,FALSE))-S866)^2))</f>
        <v/>
      </c>
      <c r="AJ866" s="125" t="inlineStr">
        <is>
          <t>HY650X175</t>
        </is>
      </c>
      <c r="AK866" s="125" t="n"/>
      <c r="AL866" s="125" t="n"/>
      <c r="AM866" s="125">
        <f>SQRT(((VLOOKUP($AT$4,$A$4:$J$1021,10,FALSE))-J866)^2)</f>
        <v/>
      </c>
      <c r="AN866" s="125" t="n"/>
      <c r="AO866" s="125" t="n"/>
      <c r="AP866" s="125">
        <f>SQRT(((VLOOKUP($AT$4,$A$4:$R$1021,18,FALSE))-R866)^2)</f>
        <v/>
      </c>
      <c r="AQ866" s="125" t="inlineStr">
        <is>
          <t>HY650X175</t>
        </is>
      </c>
      <c r="BB866" s="125">
        <f>SQRT(($J$1022-J866)^2)</f>
        <v/>
      </c>
      <c r="BC866" s="125">
        <f>SQRT(($R$1022-R866)^2)</f>
        <v/>
      </c>
      <c r="BD866" s="125" t="inlineStr">
        <is>
          <t>HY650X175</t>
        </is>
      </c>
      <c r="BI866">
        <f>SQRT(($J$1023-J866)^2)</f>
        <v/>
      </c>
      <c r="BJ866">
        <f>SQRT(($R$1023-R866)^2)</f>
        <v/>
      </c>
      <c r="BK866" s="125" t="inlineStr">
        <is>
          <t>HY650X175</t>
        </is>
      </c>
      <c r="BP866">
        <f>SQRT(($J$1024-J866)^2)</f>
        <v/>
      </c>
      <c r="BQ866">
        <f>SQRT(($R$1024-R866)^2)</f>
        <v/>
      </c>
      <c r="BR866" s="125" t="inlineStr">
        <is>
          <t>HY650X175</t>
        </is>
      </c>
      <c r="BW866">
        <f>SQRT(($J$1025-J866)^2)</f>
        <v/>
      </c>
      <c r="BX866">
        <f>SQRT(($R$1025-R866)^2)</f>
        <v/>
      </c>
      <c r="BY866" s="125" t="inlineStr">
        <is>
          <t>HY650X175</t>
        </is>
      </c>
      <c r="CD866">
        <f>SQRT(($J$1026-J866)^2)</f>
        <v/>
      </c>
      <c r="CE866">
        <f>SQRT(($R$1026-R866)^2)</f>
        <v/>
      </c>
      <c r="CF866" s="125" t="inlineStr">
        <is>
          <t>HY650X175</t>
        </is>
      </c>
    </row>
    <row r="867">
      <c r="A867" s="125" t="inlineStr">
        <is>
          <t>HY650X162</t>
        </is>
      </c>
      <c r="B867" s="129" t="inlineStr">
        <is>
          <t>HY</t>
        </is>
      </c>
      <c r="C867" s="125" t="n">
        <v>162</v>
      </c>
      <c r="D867" s="125" t="n">
        <v>650</v>
      </c>
      <c r="E867" s="125" t="n">
        <v>300</v>
      </c>
      <c r="F867" s="125" t="n">
        <v>22</v>
      </c>
      <c r="G867" s="125" t="n">
        <v>12</v>
      </c>
      <c r="H867" s="125" t="n">
        <v>13</v>
      </c>
      <c r="I867" s="125">
        <f>D867-(2*(H867+F867))</f>
        <v/>
      </c>
      <c r="J867" s="125">
        <f>(2*E867/10*F867/10)+((D867-F867-F867)/10*G867/10)+((H867/10+H867/10)^2)-(PI()*H867/10*H867/10)</f>
        <v/>
      </c>
      <c r="K867" s="125">
        <f>((E867-G867)/2)/F867</f>
        <v/>
      </c>
      <c r="L867" s="125">
        <f>I867/G867</f>
        <v/>
      </c>
      <c r="M867" s="125">
        <f>(E867*2+F867*4+((E867-G867)/2-H867)*4+2*PI()*H867+(D867-2*F867-2*H867)*2)/1000</f>
        <v/>
      </c>
      <c r="N867" s="5" t="n">
        <v>154000</v>
      </c>
      <c r="O867" s="5" t="n">
        <v>9910</v>
      </c>
      <c r="P867" s="125" t="n">
        <v>27.3</v>
      </c>
      <c r="Q867" s="125" t="n">
        <v>6.9</v>
      </c>
      <c r="R867" s="5" t="n">
        <v>4730</v>
      </c>
      <c r="S867" s="125" t="n">
        <v>661</v>
      </c>
      <c r="T867" s="5" t="n">
        <v>5290</v>
      </c>
      <c r="U867" s="5" t="n">
        <v>1010</v>
      </c>
      <c r="X867" s="129">
        <f t="array" ref="X867">_xlfn.IFS((D867/F867) &lt;= (640/SQRT($AT$32)), "Compact", L867 &lt;= ($AT$32*(0.79-(0.002*((E867-G867/2)/(2*F867))*SQRT($AT$32)))), "Non-Compact", L867 &gt; ($AT$32*(0.79-(0.002*((E867-G867/2)/(2*F867))*SQRT($AT$32)))), "Slender")</f>
        <v/>
      </c>
      <c r="Y867" s="129">
        <f t="array" ref="Y867">_xlfn.IFS(K867 &lt;= (65/SQRT($AT$32)), "Compact", K867 &lt;= (95/SQRT($AT$32)), "Non-Compact", K867 &gt; (95/SQRT($AT$32)), "Slender")</f>
        <v/>
      </c>
      <c r="Z867" s="125">
        <f>E867/F867</f>
        <v/>
      </c>
      <c r="AA867" s="125">
        <f>D867/G867</f>
        <v/>
      </c>
      <c r="AB867" s="125">
        <f t="array" ref="AB867">_xlfn.IFS(Z867 &lt;= 9, "1", Z867 &lt;= 12, "2", Z867 &lt;= 15, "3", Z867 &gt; 15, "4")</f>
        <v/>
      </c>
      <c r="AC867" s="125">
        <f t="array" ref="AC867">_xlfn.IFS(AA867 &lt;= 200, "1", L867 &lt;= 300, "2", L867 &lt;= 400, "3", L867 &gt; 400, "4")</f>
        <v/>
      </c>
      <c r="AF867" s="129">
        <f>SQRT((((VLOOKUP($AT$4,$A$4:$D$1021,4,FALSE))-D867)^2)+(((VLOOKUP($AT$4,$A$4:$E$1021,5,FALSE))-E867)^2)+(((VLOOKUP($AT$4,$A$4:$N$1021,14,FALSE))-N867)^2)+(((VLOOKUP($AT$4,$A$4:$O$1021,15,FALSE))-O867)^2))</f>
        <v/>
      </c>
      <c r="AG867" s="129" t="n"/>
      <c r="AI867" s="129">
        <f>SQRT((((VLOOKUP($AT$4,$A$4:$D$1021,4,FALSE))-D867)^2)+(((VLOOKUP($AT$4,$A$4:$E$1021,5,FALSE))-E867)^2)+(((VLOOKUP($AT$4,$A$4:$R$1021,18,FALSE))-R867)^2)+(((VLOOKUP($AT$4,$A$4:$S$1021,19,FALSE))-S867)^2))</f>
        <v/>
      </c>
      <c r="AJ867" s="125" t="inlineStr">
        <is>
          <t>HY650X162</t>
        </is>
      </c>
      <c r="AK867" s="125" t="n"/>
      <c r="AL867" s="125" t="n"/>
      <c r="AM867" s="125">
        <f>SQRT(((VLOOKUP($AT$4,$A$4:$J$1021,10,FALSE))-J867)^2)</f>
        <v/>
      </c>
      <c r="AN867" s="125" t="n"/>
      <c r="AO867" s="125" t="n"/>
      <c r="AP867" s="125">
        <f>SQRT(((VLOOKUP($AT$4,$A$4:$R$1021,18,FALSE))-R867)^2)</f>
        <v/>
      </c>
      <c r="AQ867" s="125" t="inlineStr">
        <is>
          <t>HY650X162</t>
        </is>
      </c>
      <c r="BB867" s="125">
        <f>SQRT(($J$1022-J867)^2)</f>
        <v/>
      </c>
      <c r="BC867" s="125">
        <f>SQRT(($R$1022-R867)^2)</f>
        <v/>
      </c>
      <c r="BD867" s="125" t="inlineStr">
        <is>
          <t>HY650X162</t>
        </is>
      </c>
      <c r="BI867">
        <f>SQRT(($J$1023-J867)^2)</f>
        <v/>
      </c>
      <c r="BJ867">
        <f>SQRT(($R$1023-R867)^2)</f>
        <v/>
      </c>
      <c r="BK867" s="125" t="inlineStr">
        <is>
          <t>HY650X162</t>
        </is>
      </c>
      <c r="BP867">
        <f>SQRT(($J$1024-J867)^2)</f>
        <v/>
      </c>
      <c r="BQ867">
        <f>SQRT(($R$1024-R867)^2)</f>
        <v/>
      </c>
      <c r="BR867" s="125" t="inlineStr">
        <is>
          <t>HY650X162</t>
        </is>
      </c>
      <c r="BW867">
        <f>SQRT(($J$1025-J867)^2)</f>
        <v/>
      </c>
      <c r="BX867">
        <f>SQRT(($R$1025-R867)^2)</f>
        <v/>
      </c>
      <c r="BY867" s="125" t="inlineStr">
        <is>
          <t>HY650X162</t>
        </is>
      </c>
      <c r="CD867">
        <f>SQRT(($J$1026-J867)^2)</f>
        <v/>
      </c>
      <c r="CE867">
        <f>SQRT(($R$1026-R867)^2)</f>
        <v/>
      </c>
      <c r="CF867" s="125" t="inlineStr">
        <is>
          <t>HY650X162</t>
        </is>
      </c>
    </row>
    <row r="868">
      <c r="A868" s="125" t="inlineStr">
        <is>
          <t>HY650X148</t>
        </is>
      </c>
      <c r="B868" s="129" t="inlineStr">
        <is>
          <t>HY</t>
        </is>
      </c>
      <c r="C868" s="125" t="n">
        <v>148</v>
      </c>
      <c r="D868" s="125" t="n">
        <v>650</v>
      </c>
      <c r="E868" s="125" t="n">
        <v>300</v>
      </c>
      <c r="F868" s="125" t="n">
        <v>19</v>
      </c>
      <c r="G868" s="125" t="n">
        <v>12</v>
      </c>
      <c r="H868" s="125" t="n">
        <v>13</v>
      </c>
      <c r="I868" s="125">
        <f>D868-(2*(H868+F868))</f>
        <v/>
      </c>
      <c r="J868" s="125">
        <f>(2*E868/10*F868/10)+((D868-F868-F868)/10*G868/10)+((H868/10+H868/10)^2)-(PI()*H868/10*H868/10)</f>
        <v/>
      </c>
      <c r="K868" s="125">
        <f>((E868-G868)/2)/F868</f>
        <v/>
      </c>
      <c r="L868" s="125">
        <f>I868/G868</f>
        <v/>
      </c>
      <c r="M868" s="125">
        <f>(E868*2+F868*4+((E868-G868)/2-H868)*4+2*PI()*H868+(D868-2*F868-2*H868)*2)/1000</f>
        <v/>
      </c>
      <c r="N868" s="5" t="n">
        <v>138000</v>
      </c>
      <c r="O868" s="5" t="n">
        <v>8560</v>
      </c>
      <c r="P868" s="125" t="n">
        <v>27</v>
      </c>
      <c r="Q868" s="125" t="n">
        <v>6.7</v>
      </c>
      <c r="R868" s="5" t="n">
        <v>4240</v>
      </c>
      <c r="S868" s="125" t="n">
        <v>571</v>
      </c>
      <c r="T868" s="5" t="n">
        <v>4760</v>
      </c>
      <c r="U868" s="125" t="n">
        <v>878</v>
      </c>
      <c r="X868" s="129">
        <f t="array" ref="X868">_xlfn.IFS((D868/F868) &lt;= (640/SQRT($AT$32)), "Compact", L868 &lt;= ($AT$32*(0.79-(0.002*((E868-G868/2)/(2*F868))*SQRT($AT$32)))), "Non-Compact", L868 &gt; ($AT$32*(0.79-(0.002*((E868-G868/2)/(2*F868))*SQRT($AT$32)))), "Slender")</f>
        <v/>
      </c>
      <c r="Y868" s="129">
        <f t="array" ref="Y868">_xlfn.IFS(K868 &lt;= (65/SQRT($AT$32)), "Compact", K868 &lt;= (95/SQRT($AT$32)), "Non-Compact", K868 &gt; (95/SQRT($AT$32)), "Slender")</f>
        <v/>
      </c>
      <c r="Z868" s="125">
        <f>E868/F868</f>
        <v/>
      </c>
      <c r="AA868" s="125">
        <f>D868/G868</f>
        <v/>
      </c>
      <c r="AB868" s="125">
        <f t="array" ref="AB868">_xlfn.IFS(Z868 &lt;= 9, "1", Z868 &lt;= 12, "2", Z868 &lt;= 15, "3", Z868 &gt; 15, "4")</f>
        <v/>
      </c>
      <c r="AC868" s="125">
        <f t="array" ref="AC868">_xlfn.IFS(AA868 &lt;= 200, "1", L868 &lt;= 300, "2", L868 &lt;= 400, "3", L868 &gt; 400, "4")</f>
        <v/>
      </c>
      <c r="AF868" s="129">
        <f>SQRT((((VLOOKUP($AT$4,$A$4:$D$1021,4,FALSE))-D868)^2)+(((VLOOKUP($AT$4,$A$4:$E$1021,5,FALSE))-E868)^2)+(((VLOOKUP($AT$4,$A$4:$N$1021,14,FALSE))-N868)^2)+(((VLOOKUP($AT$4,$A$4:$O$1021,15,FALSE))-O868)^2))</f>
        <v/>
      </c>
      <c r="AG868" s="129" t="n"/>
      <c r="AI868" s="129">
        <f>SQRT((((VLOOKUP($AT$4,$A$4:$D$1021,4,FALSE))-D868)^2)+(((VLOOKUP($AT$4,$A$4:$E$1021,5,FALSE))-E868)^2)+(((VLOOKUP($AT$4,$A$4:$R$1021,18,FALSE))-R868)^2)+(((VLOOKUP($AT$4,$A$4:$S$1021,19,FALSE))-S868)^2))</f>
        <v/>
      </c>
      <c r="AJ868" s="125" t="inlineStr">
        <is>
          <t>HY650X148</t>
        </is>
      </c>
      <c r="AK868" s="125" t="n"/>
      <c r="AL868" s="125" t="n"/>
      <c r="AM868" s="125">
        <f>SQRT(((VLOOKUP($AT$4,$A$4:$J$1021,10,FALSE))-J868)^2)</f>
        <v/>
      </c>
      <c r="AN868" s="125" t="n"/>
      <c r="AO868" s="125" t="n"/>
      <c r="AP868" s="125">
        <f>SQRT(((VLOOKUP($AT$4,$A$4:$R$1021,18,FALSE))-R868)^2)</f>
        <v/>
      </c>
      <c r="AQ868" s="125" t="inlineStr">
        <is>
          <t>HY650X148</t>
        </is>
      </c>
      <c r="BB868" s="125">
        <f>SQRT(($J$1022-J868)^2)</f>
        <v/>
      </c>
      <c r="BC868" s="125">
        <f>SQRT(($R$1022-R868)^2)</f>
        <v/>
      </c>
      <c r="BD868" s="125" t="inlineStr">
        <is>
          <t>HY650X148</t>
        </is>
      </c>
      <c r="BI868">
        <f>SQRT(($J$1023-J868)^2)</f>
        <v/>
      </c>
      <c r="BJ868">
        <f>SQRT(($R$1023-R868)^2)</f>
        <v/>
      </c>
      <c r="BK868" s="125" t="inlineStr">
        <is>
          <t>HY650X148</t>
        </is>
      </c>
      <c r="BP868">
        <f>SQRT(($J$1024-J868)^2)</f>
        <v/>
      </c>
      <c r="BQ868">
        <f>SQRT(($R$1024-R868)^2)</f>
        <v/>
      </c>
      <c r="BR868" s="125" t="inlineStr">
        <is>
          <t>HY650X148</t>
        </is>
      </c>
      <c r="BW868">
        <f>SQRT(($J$1025-J868)^2)</f>
        <v/>
      </c>
      <c r="BX868">
        <f>SQRT(($R$1025-R868)^2)</f>
        <v/>
      </c>
      <c r="BY868" s="125" t="inlineStr">
        <is>
          <t>HY650X148</t>
        </is>
      </c>
      <c r="CD868">
        <f>SQRT(($J$1026-J868)^2)</f>
        <v/>
      </c>
      <c r="CE868">
        <f>SQRT(($R$1026-R868)^2)</f>
        <v/>
      </c>
      <c r="CF868" s="125" t="inlineStr">
        <is>
          <t>HY650X148</t>
        </is>
      </c>
    </row>
    <row r="869">
      <c r="A869" s="125" t="inlineStr">
        <is>
          <t>HY650X135</t>
        </is>
      </c>
      <c r="B869" s="129" t="inlineStr">
        <is>
          <t>HY</t>
        </is>
      </c>
      <c r="C869" s="125" t="n">
        <v>135</v>
      </c>
      <c r="D869" s="125" t="n">
        <v>650</v>
      </c>
      <c r="E869" s="125" t="n">
        <v>300</v>
      </c>
      <c r="F869" s="125" t="n">
        <v>16</v>
      </c>
      <c r="G869" s="125" t="n">
        <v>12</v>
      </c>
      <c r="H869" s="125" t="n">
        <v>13</v>
      </c>
      <c r="I869" s="125">
        <f>D869-(2*(H869+F869))</f>
        <v/>
      </c>
      <c r="J869" s="125">
        <f>(2*E869/10*F869/10)+((D869-F869-F869)/10*G869/10)+((H869/10+H869/10)^2)-(PI()*H869/10*H869/10)</f>
        <v/>
      </c>
      <c r="K869" s="125">
        <f>((E869-G869)/2)/F869</f>
        <v/>
      </c>
      <c r="L869" s="125">
        <f>I869/G869</f>
        <v/>
      </c>
      <c r="M869" s="125">
        <f>(E869*2+F869*4+((E869-G869)/2-H869)*4+2*PI()*H869+(D869-2*F869-2*H869)*2)/1000</f>
        <v/>
      </c>
      <c r="N869" s="5" t="n">
        <v>121000</v>
      </c>
      <c r="O869" s="5" t="n">
        <v>7210</v>
      </c>
      <c r="P869" s="125" t="n">
        <v>26.6</v>
      </c>
      <c r="Q869" s="125" t="n">
        <v>6.5</v>
      </c>
      <c r="R869" s="5" t="n">
        <v>3740</v>
      </c>
      <c r="S869" s="125" t="n">
        <v>481</v>
      </c>
      <c r="T869" s="5" t="n">
        <v>4230</v>
      </c>
      <c r="U869" s="125" t="n">
        <v>744</v>
      </c>
      <c r="X869" s="129">
        <f t="array" ref="X869">_xlfn.IFS((D869/F869) &lt;= (640/SQRT($AT$32)), "Compact", L869 &lt;= ($AT$32*(0.79-(0.002*((E869-G869/2)/(2*F869))*SQRT($AT$32)))), "Non-Compact", L869 &gt; ($AT$32*(0.79-(0.002*((E869-G869/2)/(2*F869))*SQRT($AT$32)))), "Slender")</f>
        <v/>
      </c>
      <c r="Y869" s="129">
        <f t="array" ref="Y869">_xlfn.IFS(K869 &lt;= (65/SQRT($AT$32)), "Compact", K869 &lt;= (95/SQRT($AT$32)), "Non-Compact", K869 &gt; (95/SQRT($AT$32)), "Slender")</f>
        <v/>
      </c>
      <c r="Z869" s="125">
        <f>E869/F869</f>
        <v/>
      </c>
      <c r="AA869" s="125">
        <f>D869/G869</f>
        <v/>
      </c>
      <c r="AB869" s="125">
        <f t="array" ref="AB869">_xlfn.IFS(Z869 &lt;= 9, "1", Z869 &lt;= 12, "2", Z869 &lt;= 15, "3", Z869 &gt; 15, "4")</f>
        <v/>
      </c>
      <c r="AC869" s="125">
        <f t="array" ref="AC869">_xlfn.IFS(AA869 &lt;= 200, "1", L869 &lt;= 300, "2", L869 &lt;= 400, "3", L869 &gt; 400, "4")</f>
        <v/>
      </c>
      <c r="AF869" s="129">
        <f>SQRT((((VLOOKUP($AT$4,$A$4:$D$1021,4,FALSE))-D869)^2)+(((VLOOKUP($AT$4,$A$4:$E$1021,5,FALSE))-E869)^2)+(((VLOOKUP($AT$4,$A$4:$N$1021,14,FALSE))-N869)^2)+(((VLOOKUP($AT$4,$A$4:$O$1021,15,FALSE))-O869)^2))</f>
        <v/>
      </c>
      <c r="AG869" s="129" t="n"/>
      <c r="AI869" s="129">
        <f>SQRT((((VLOOKUP($AT$4,$A$4:$D$1021,4,FALSE))-D869)^2)+(((VLOOKUP($AT$4,$A$4:$E$1021,5,FALSE))-E869)^2)+(((VLOOKUP($AT$4,$A$4:$R$1021,18,FALSE))-R869)^2)+(((VLOOKUP($AT$4,$A$4:$S$1021,19,FALSE))-S869)^2))</f>
        <v/>
      </c>
      <c r="AJ869" s="125" t="inlineStr">
        <is>
          <t>HY650X135</t>
        </is>
      </c>
      <c r="AK869" s="125" t="n"/>
      <c r="AL869" s="125" t="n"/>
      <c r="AM869" s="125">
        <f>SQRT(((VLOOKUP($AT$4,$A$4:$J$1021,10,FALSE))-J869)^2)</f>
        <v/>
      </c>
      <c r="AN869" s="125" t="n"/>
      <c r="AO869" s="125" t="n"/>
      <c r="AP869" s="125">
        <f>SQRT(((VLOOKUP($AT$4,$A$4:$R$1021,18,FALSE))-R869)^2)</f>
        <v/>
      </c>
      <c r="AQ869" s="125" t="inlineStr">
        <is>
          <t>HY650X135</t>
        </is>
      </c>
      <c r="BB869" s="125">
        <f>SQRT(($J$1022-J869)^2)</f>
        <v/>
      </c>
      <c r="BC869" s="125">
        <f>SQRT(($R$1022-R869)^2)</f>
        <v/>
      </c>
      <c r="BD869" s="125" t="inlineStr">
        <is>
          <t>HY650X135</t>
        </is>
      </c>
      <c r="BI869">
        <f>SQRT(($J$1023-J869)^2)</f>
        <v/>
      </c>
      <c r="BJ869">
        <f>SQRT(($R$1023-R869)^2)</f>
        <v/>
      </c>
      <c r="BK869" s="125" t="inlineStr">
        <is>
          <t>HY650X135</t>
        </is>
      </c>
      <c r="BP869">
        <f>SQRT(($J$1024-J869)^2)</f>
        <v/>
      </c>
      <c r="BQ869">
        <f>SQRT(($R$1024-R869)^2)</f>
        <v/>
      </c>
      <c r="BR869" s="125" t="inlineStr">
        <is>
          <t>HY650X135</t>
        </is>
      </c>
      <c r="BW869">
        <f>SQRT(($J$1025-J869)^2)</f>
        <v/>
      </c>
      <c r="BX869">
        <f>SQRT(($R$1025-R869)^2)</f>
        <v/>
      </c>
      <c r="BY869" s="125" t="inlineStr">
        <is>
          <t>HY650X135</t>
        </is>
      </c>
      <c r="CD869">
        <f>SQRT(($J$1026-J869)^2)</f>
        <v/>
      </c>
      <c r="CE869">
        <f>SQRT(($R$1026-R869)^2)</f>
        <v/>
      </c>
      <c r="CF869" s="125" t="inlineStr">
        <is>
          <t>HY650X135</t>
        </is>
      </c>
    </row>
    <row r="870">
      <c r="A870" s="125" t="inlineStr">
        <is>
          <t>HY650X200</t>
        </is>
      </c>
      <c r="B870" s="129" t="inlineStr">
        <is>
          <t>HY</t>
        </is>
      </c>
      <c r="C870" s="125" t="n">
        <v>200</v>
      </c>
      <c r="D870" s="125" t="n">
        <v>650</v>
      </c>
      <c r="E870" s="125" t="n">
        <v>250</v>
      </c>
      <c r="F870" s="125" t="n">
        <v>32</v>
      </c>
      <c r="G870" s="125" t="n">
        <v>16</v>
      </c>
      <c r="H870" s="125" t="n">
        <v>13</v>
      </c>
      <c r="I870" s="125">
        <f>D870-(2*(H870+F870))</f>
        <v/>
      </c>
      <c r="J870" s="125">
        <f>(2*E870/10*F870/10)+((D870-F870-F870)/10*G870/10)+((H870/10+H870/10)^2)-(PI()*H870/10*H870/10)</f>
        <v/>
      </c>
      <c r="K870" s="125">
        <f>((E870-G870)/2)/F870</f>
        <v/>
      </c>
      <c r="L870" s="125">
        <f>I870/G870</f>
        <v/>
      </c>
      <c r="M870" s="125">
        <f>(E870*2+F870*4+((E870-G870)/2-H870)*4+2*PI()*H870+(D870-2*F870-2*H870)*2)/1000</f>
        <v/>
      </c>
      <c r="N870" s="5" t="n">
        <v>181000</v>
      </c>
      <c r="O870" s="5" t="n">
        <v>8360</v>
      </c>
      <c r="P870" s="125" t="n">
        <v>26.6</v>
      </c>
      <c r="Q870" s="125" t="n">
        <v>5.7</v>
      </c>
      <c r="R870" s="5" t="n">
        <v>5570</v>
      </c>
      <c r="S870" s="125" t="n">
        <v>668</v>
      </c>
      <c r="T870" s="5" t="n">
        <v>6360</v>
      </c>
      <c r="U870" s="5" t="n">
        <v>1040</v>
      </c>
      <c r="X870" s="129">
        <f t="array" ref="X870">_xlfn.IFS((D870/F870) &lt;= (640/SQRT($AT$32)), "Compact", L870 &lt;= ($AT$32*(0.79-(0.002*((E870-G870/2)/(2*F870))*SQRT($AT$32)))), "Non-Compact", L870 &gt; ($AT$32*(0.79-(0.002*((E870-G870/2)/(2*F870))*SQRT($AT$32)))), "Slender")</f>
        <v/>
      </c>
      <c r="Y870" s="129">
        <f t="array" ref="Y870">_xlfn.IFS(K870 &lt;= (65/SQRT($AT$32)), "Compact", K870 &lt;= (95/SQRT($AT$32)), "Non-Compact", K870 &gt; (95/SQRT($AT$32)), "Slender")</f>
        <v/>
      </c>
      <c r="Z870" s="125">
        <f>E870/F870</f>
        <v/>
      </c>
      <c r="AA870" s="125">
        <f>D870/G870</f>
        <v/>
      </c>
      <c r="AB870" s="125">
        <f t="array" ref="AB870">_xlfn.IFS(Z870 &lt;= 9, "1", Z870 &lt;= 12, "2", Z870 &lt;= 15, "3", Z870 &gt; 15, "4")</f>
        <v/>
      </c>
      <c r="AC870" s="125">
        <f t="array" ref="AC870">_xlfn.IFS(AA870 &lt;= 200, "1", L870 &lt;= 300, "2", L870 &lt;= 400, "3", L870 &gt; 400, "4")</f>
        <v/>
      </c>
      <c r="AF870" s="129">
        <f>SQRT((((VLOOKUP($AT$4,$A$4:$D$1021,4,FALSE))-D870)^2)+(((VLOOKUP($AT$4,$A$4:$E$1021,5,FALSE))-E870)^2)+(((VLOOKUP($AT$4,$A$4:$N$1021,14,FALSE))-N870)^2)+(((VLOOKUP($AT$4,$A$4:$O$1021,15,FALSE))-O870)^2))</f>
        <v/>
      </c>
      <c r="AG870" s="129" t="n"/>
      <c r="AI870" s="129">
        <f>SQRT((((VLOOKUP($AT$4,$A$4:$D$1021,4,FALSE))-D870)^2)+(((VLOOKUP($AT$4,$A$4:$E$1021,5,FALSE))-E870)^2)+(((VLOOKUP($AT$4,$A$4:$R$1021,18,FALSE))-R870)^2)+(((VLOOKUP($AT$4,$A$4:$S$1021,19,FALSE))-S870)^2))</f>
        <v/>
      </c>
      <c r="AJ870" s="125" t="inlineStr">
        <is>
          <t>HY650X200</t>
        </is>
      </c>
      <c r="AK870" s="125" t="n"/>
      <c r="AL870" s="125" t="n"/>
      <c r="AM870" s="125">
        <f>SQRT(((VLOOKUP($AT$4,$A$4:$J$1021,10,FALSE))-J870)^2)</f>
        <v/>
      </c>
      <c r="AN870" s="125" t="n"/>
      <c r="AO870" s="125" t="n"/>
      <c r="AP870" s="125">
        <f>SQRT(((VLOOKUP($AT$4,$A$4:$R$1021,18,FALSE))-R870)^2)</f>
        <v/>
      </c>
      <c r="AQ870" s="125" t="inlineStr">
        <is>
          <t>HY650X200</t>
        </is>
      </c>
      <c r="BB870" s="125">
        <f>SQRT(($J$1022-J870)^2)</f>
        <v/>
      </c>
      <c r="BC870" s="125">
        <f>SQRT(($R$1022-R870)^2)</f>
        <v/>
      </c>
      <c r="BD870" s="125" t="inlineStr">
        <is>
          <t>HY650X200</t>
        </is>
      </c>
      <c r="BI870">
        <f>SQRT(($J$1023-J870)^2)</f>
        <v/>
      </c>
      <c r="BJ870">
        <f>SQRT(($R$1023-R870)^2)</f>
        <v/>
      </c>
      <c r="BK870" s="125" t="inlineStr">
        <is>
          <t>HY650X200</t>
        </is>
      </c>
      <c r="BP870">
        <f>SQRT(($J$1024-J870)^2)</f>
        <v/>
      </c>
      <c r="BQ870">
        <f>SQRT(($R$1024-R870)^2)</f>
        <v/>
      </c>
      <c r="BR870" s="125" t="inlineStr">
        <is>
          <t>HY650X200</t>
        </is>
      </c>
      <c r="BW870">
        <f>SQRT(($J$1025-J870)^2)</f>
        <v/>
      </c>
      <c r="BX870">
        <f>SQRT(($R$1025-R870)^2)</f>
        <v/>
      </c>
      <c r="BY870" s="125" t="inlineStr">
        <is>
          <t>HY650X200</t>
        </is>
      </c>
      <c r="CD870">
        <f>SQRT(($J$1026-J870)^2)</f>
        <v/>
      </c>
      <c r="CE870">
        <f>SQRT(($R$1026-R870)^2)</f>
        <v/>
      </c>
      <c r="CF870" s="125" t="inlineStr">
        <is>
          <t>HY650X200</t>
        </is>
      </c>
    </row>
    <row r="871">
      <c r="A871" s="125" t="inlineStr">
        <is>
          <t>HY650X186</t>
        </is>
      </c>
      <c r="B871" s="129" t="inlineStr">
        <is>
          <t>HY</t>
        </is>
      </c>
      <c r="C871" s="125" t="n">
        <v>186</v>
      </c>
      <c r="D871" s="125" t="n">
        <v>650</v>
      </c>
      <c r="E871" s="125" t="n">
        <v>250</v>
      </c>
      <c r="F871" s="125" t="n">
        <v>28</v>
      </c>
      <c r="G871" s="125" t="n">
        <v>16</v>
      </c>
      <c r="H871" s="125" t="n">
        <v>13</v>
      </c>
      <c r="I871" s="125">
        <f>D871-(2*(H871+F871))</f>
        <v/>
      </c>
      <c r="J871" s="125">
        <f>(2*E871/10*F871/10)+((D871-F871-F871)/10*G871/10)+((H871/10+H871/10)^2)-(PI()*H871/10*H871/10)</f>
        <v/>
      </c>
      <c r="K871" s="125">
        <f>((E871-G871)/2)/F871</f>
        <v/>
      </c>
      <c r="L871" s="125">
        <f>I871/G871</f>
        <v/>
      </c>
      <c r="M871" s="125">
        <f>(E871*2+F871*4+((E871-G871)/2-H871)*4+2*PI()*H871+(D871-2*F871-2*H871)*2)/1000</f>
        <v/>
      </c>
      <c r="N871" s="5" t="n">
        <v>165000</v>
      </c>
      <c r="O871" s="5" t="n">
        <v>7310</v>
      </c>
      <c r="P871" s="125" t="n">
        <v>26.4</v>
      </c>
      <c r="Q871" s="125" t="n">
        <v>5.6</v>
      </c>
      <c r="R871" s="5" t="n">
        <v>5070</v>
      </c>
      <c r="S871" s="125" t="n">
        <v>585</v>
      </c>
      <c r="T871" s="5" t="n">
        <v>5810</v>
      </c>
      <c r="U871" s="125" t="n">
        <v>915</v>
      </c>
      <c r="X871" s="129">
        <f t="array" ref="X871">_xlfn.IFS((D871/F871) &lt;= (640/SQRT($AT$32)), "Compact", L871 &lt;= ($AT$32*(0.79-(0.002*((E871-G871/2)/(2*F871))*SQRT($AT$32)))), "Non-Compact", L871 &gt; ($AT$32*(0.79-(0.002*((E871-G871/2)/(2*F871))*SQRT($AT$32)))), "Slender")</f>
        <v/>
      </c>
      <c r="Y871" s="129">
        <f t="array" ref="Y871">_xlfn.IFS(K871 &lt;= (65/SQRT($AT$32)), "Compact", K871 &lt;= (95/SQRT($AT$32)), "Non-Compact", K871 &gt; (95/SQRT($AT$32)), "Slender")</f>
        <v/>
      </c>
      <c r="Z871" s="125">
        <f>E871/F871</f>
        <v/>
      </c>
      <c r="AA871" s="125">
        <f>D871/G871</f>
        <v/>
      </c>
      <c r="AB871" s="125">
        <f t="array" ref="AB871">_xlfn.IFS(Z871 &lt;= 9, "1", Z871 &lt;= 12, "2", Z871 &lt;= 15, "3", Z871 &gt; 15, "4")</f>
        <v/>
      </c>
      <c r="AC871" s="125">
        <f t="array" ref="AC871">_xlfn.IFS(AA871 &lt;= 200, "1", L871 &lt;= 300, "2", L871 &lt;= 400, "3", L871 &gt; 400, "4")</f>
        <v/>
      </c>
      <c r="AF871" s="129">
        <f>SQRT((((VLOOKUP($AT$4,$A$4:$D$1021,4,FALSE))-D871)^2)+(((VLOOKUP($AT$4,$A$4:$E$1021,5,FALSE))-E871)^2)+(((VLOOKUP($AT$4,$A$4:$N$1021,14,FALSE))-N871)^2)+(((VLOOKUP($AT$4,$A$4:$O$1021,15,FALSE))-O871)^2))</f>
        <v/>
      </c>
      <c r="AG871" s="129" t="n"/>
      <c r="AI871" s="129">
        <f>SQRT((((VLOOKUP($AT$4,$A$4:$D$1021,4,FALSE))-D871)^2)+(((VLOOKUP($AT$4,$A$4:$E$1021,5,FALSE))-E871)^2)+(((VLOOKUP($AT$4,$A$4:$R$1021,18,FALSE))-R871)^2)+(((VLOOKUP($AT$4,$A$4:$S$1021,19,FALSE))-S871)^2))</f>
        <v/>
      </c>
      <c r="AJ871" s="125" t="inlineStr">
        <is>
          <t>HY650X186</t>
        </is>
      </c>
      <c r="AK871" s="125" t="n"/>
      <c r="AL871" s="125" t="n"/>
      <c r="AM871" s="125">
        <f>SQRT(((VLOOKUP($AT$4,$A$4:$J$1021,10,FALSE))-J871)^2)</f>
        <v/>
      </c>
      <c r="AN871" s="125" t="n"/>
      <c r="AO871" s="125" t="n"/>
      <c r="AP871" s="125">
        <f>SQRT(((VLOOKUP($AT$4,$A$4:$R$1021,18,FALSE))-R871)^2)</f>
        <v/>
      </c>
      <c r="AQ871" s="125" t="inlineStr">
        <is>
          <t>HY650X186</t>
        </is>
      </c>
      <c r="BB871" s="125">
        <f>SQRT(($J$1022-J871)^2)</f>
        <v/>
      </c>
      <c r="BC871" s="125">
        <f>SQRT(($R$1022-R871)^2)</f>
        <v/>
      </c>
      <c r="BD871" s="125" t="inlineStr">
        <is>
          <t>HY650X186</t>
        </is>
      </c>
      <c r="BI871">
        <f>SQRT(($J$1023-J871)^2)</f>
        <v/>
      </c>
      <c r="BJ871">
        <f>SQRT(($R$1023-R871)^2)</f>
        <v/>
      </c>
      <c r="BK871" s="125" t="inlineStr">
        <is>
          <t>HY650X186</t>
        </is>
      </c>
      <c r="BP871">
        <f>SQRT(($J$1024-J871)^2)</f>
        <v/>
      </c>
      <c r="BQ871">
        <f>SQRT(($R$1024-R871)^2)</f>
        <v/>
      </c>
      <c r="BR871" s="125" t="inlineStr">
        <is>
          <t>HY650X186</t>
        </is>
      </c>
      <c r="BW871">
        <f>SQRT(($J$1025-J871)^2)</f>
        <v/>
      </c>
      <c r="BX871">
        <f>SQRT(($R$1025-R871)^2)</f>
        <v/>
      </c>
      <c r="BY871" s="125" t="inlineStr">
        <is>
          <t>HY650X186</t>
        </is>
      </c>
      <c r="CD871">
        <f>SQRT(($J$1026-J871)^2)</f>
        <v/>
      </c>
      <c r="CE871">
        <f>SQRT(($R$1026-R871)^2)</f>
        <v/>
      </c>
      <c r="CF871" s="125" t="inlineStr">
        <is>
          <t>HY650X186</t>
        </is>
      </c>
    </row>
    <row r="872">
      <c r="A872" s="125" t="inlineStr">
        <is>
          <t>HY650X175</t>
        </is>
      </c>
      <c r="B872" s="129" t="inlineStr">
        <is>
          <t>HY</t>
        </is>
      </c>
      <c r="C872" s="125" t="n">
        <v>175</v>
      </c>
      <c r="D872" s="125" t="n">
        <v>650</v>
      </c>
      <c r="E872" s="125" t="n">
        <v>250</v>
      </c>
      <c r="F872" s="125" t="n">
        <v>25</v>
      </c>
      <c r="G872" s="125" t="n">
        <v>16</v>
      </c>
      <c r="H872" s="125" t="n">
        <v>13</v>
      </c>
      <c r="I872" s="125">
        <f>D872-(2*(H872+F872))</f>
        <v/>
      </c>
      <c r="J872" s="125">
        <f>(2*E872/10*F872/10)+((D872-F872-F872)/10*G872/10)+((H872/10+H872/10)^2)-(PI()*H872/10*H872/10)</f>
        <v/>
      </c>
      <c r="K872" s="125">
        <f>((E872-G872)/2)/F872</f>
        <v/>
      </c>
      <c r="L872" s="125">
        <f>I872/G872</f>
        <v/>
      </c>
      <c r="M872" s="125">
        <f>(E872*2+F872*4+((E872-G872)/2-H872)*4+2*PI()*H872+(D872-2*F872-2*H872)*2)/1000</f>
        <v/>
      </c>
      <c r="N872" s="5" t="n">
        <v>152000</v>
      </c>
      <c r="O872" s="5" t="n">
        <v>6530</v>
      </c>
      <c r="P872" s="125" t="n">
        <v>26.2</v>
      </c>
      <c r="Q872" s="125" t="n">
        <v>5.4</v>
      </c>
      <c r="R872" s="5" t="n">
        <v>4680</v>
      </c>
      <c r="S872" s="125" t="n">
        <v>523</v>
      </c>
      <c r="T872" s="5" t="n">
        <v>5390</v>
      </c>
      <c r="U872" s="125" t="n">
        <v>821</v>
      </c>
      <c r="X872" s="129">
        <f t="array" ref="X872">_xlfn.IFS((D872/F872) &lt;= (640/SQRT($AT$32)), "Compact", L872 &lt;= ($AT$32*(0.79-(0.002*((E872-G872/2)/(2*F872))*SQRT($AT$32)))), "Non-Compact", L872 &gt; ($AT$32*(0.79-(0.002*((E872-G872/2)/(2*F872))*SQRT($AT$32)))), "Slender")</f>
        <v/>
      </c>
      <c r="Y872" s="129">
        <f t="array" ref="Y872">_xlfn.IFS(K872 &lt;= (65/SQRT($AT$32)), "Compact", K872 &lt;= (95/SQRT($AT$32)), "Non-Compact", K872 &gt; (95/SQRT($AT$32)), "Slender")</f>
        <v/>
      </c>
      <c r="Z872" s="125">
        <f>E872/F872</f>
        <v/>
      </c>
      <c r="AA872" s="125">
        <f>D872/G872</f>
        <v/>
      </c>
      <c r="AB872" s="125">
        <f t="array" ref="AB872">_xlfn.IFS(Z872 &lt;= 9, "1", Z872 &lt;= 12, "2", Z872 &lt;= 15, "3", Z872 &gt; 15, "4")</f>
        <v/>
      </c>
      <c r="AC872" s="125">
        <f t="array" ref="AC872">_xlfn.IFS(AA872 &lt;= 200, "1", L872 &lt;= 300, "2", L872 &lt;= 400, "3", L872 &gt; 400, "4")</f>
        <v/>
      </c>
      <c r="AF872" s="129">
        <f>SQRT((((VLOOKUP($AT$4,$A$4:$D$1021,4,FALSE))-D872)^2)+(((VLOOKUP($AT$4,$A$4:$E$1021,5,FALSE))-E872)^2)+(((VLOOKUP($AT$4,$A$4:$N$1021,14,FALSE))-N872)^2)+(((VLOOKUP($AT$4,$A$4:$O$1021,15,FALSE))-O872)^2))</f>
        <v/>
      </c>
      <c r="AG872" s="129" t="n"/>
      <c r="AI872" s="129">
        <f>SQRT((((VLOOKUP($AT$4,$A$4:$D$1021,4,FALSE))-D872)^2)+(((VLOOKUP($AT$4,$A$4:$E$1021,5,FALSE))-E872)^2)+(((VLOOKUP($AT$4,$A$4:$R$1021,18,FALSE))-R872)^2)+(((VLOOKUP($AT$4,$A$4:$S$1021,19,FALSE))-S872)^2))</f>
        <v/>
      </c>
      <c r="AJ872" s="125" t="inlineStr">
        <is>
          <t>HY650X175</t>
        </is>
      </c>
      <c r="AK872" s="125" t="n"/>
      <c r="AL872" s="125" t="n"/>
      <c r="AM872" s="125">
        <f>SQRT(((VLOOKUP($AT$4,$A$4:$J$1021,10,FALSE))-J872)^2)</f>
        <v/>
      </c>
      <c r="AN872" s="125" t="n"/>
      <c r="AO872" s="125" t="n"/>
      <c r="AP872" s="125">
        <f>SQRT(((VLOOKUP($AT$4,$A$4:$R$1021,18,FALSE))-R872)^2)</f>
        <v/>
      </c>
      <c r="AQ872" s="125" t="inlineStr">
        <is>
          <t>HY650X175</t>
        </is>
      </c>
      <c r="BB872" s="125">
        <f>SQRT(($J$1022-J872)^2)</f>
        <v/>
      </c>
      <c r="BC872" s="125">
        <f>SQRT(($R$1022-R872)^2)</f>
        <v/>
      </c>
      <c r="BD872" s="125" t="inlineStr">
        <is>
          <t>HY650X175</t>
        </is>
      </c>
      <c r="BI872">
        <f>SQRT(($J$1023-J872)^2)</f>
        <v/>
      </c>
      <c r="BJ872">
        <f>SQRT(($R$1023-R872)^2)</f>
        <v/>
      </c>
      <c r="BK872" s="125" t="inlineStr">
        <is>
          <t>HY650X175</t>
        </is>
      </c>
      <c r="BP872">
        <f>SQRT(($J$1024-J872)^2)</f>
        <v/>
      </c>
      <c r="BQ872">
        <f>SQRT(($R$1024-R872)^2)</f>
        <v/>
      </c>
      <c r="BR872" s="125" t="inlineStr">
        <is>
          <t>HY650X175</t>
        </is>
      </c>
      <c r="BW872">
        <f>SQRT(($J$1025-J872)^2)</f>
        <v/>
      </c>
      <c r="BX872">
        <f>SQRT(($R$1025-R872)^2)</f>
        <v/>
      </c>
      <c r="BY872" s="125" t="inlineStr">
        <is>
          <t>HY650X175</t>
        </is>
      </c>
      <c r="CD872">
        <f>SQRT(($J$1026-J872)^2)</f>
        <v/>
      </c>
      <c r="CE872">
        <f>SQRT(($R$1026-R872)^2)</f>
        <v/>
      </c>
      <c r="CF872" s="125" t="inlineStr">
        <is>
          <t>HY650X175</t>
        </is>
      </c>
    </row>
    <row r="873">
      <c r="A873" s="125" t="inlineStr">
        <is>
          <t>HY650X164</t>
        </is>
      </c>
      <c r="B873" s="129" t="inlineStr">
        <is>
          <t>HY</t>
        </is>
      </c>
      <c r="C873" s="125" t="n">
        <v>164</v>
      </c>
      <c r="D873" s="125" t="n">
        <v>650</v>
      </c>
      <c r="E873" s="125" t="n">
        <v>250</v>
      </c>
      <c r="F873" s="125" t="n">
        <v>22</v>
      </c>
      <c r="G873" s="125" t="n">
        <v>16</v>
      </c>
      <c r="H873" s="125" t="n">
        <v>13</v>
      </c>
      <c r="I873" s="125">
        <f>D873-(2*(H873+F873))</f>
        <v/>
      </c>
      <c r="J873" s="125">
        <f>(2*E873/10*F873/10)+((D873-F873-F873)/10*G873/10)+((H873/10+H873/10)^2)-(PI()*H873/10*H873/10)</f>
        <v/>
      </c>
      <c r="K873" s="125">
        <f>((E873-G873)/2)/F873</f>
        <v/>
      </c>
      <c r="L873" s="125">
        <f>I873/G873</f>
        <v/>
      </c>
      <c r="M873" s="125">
        <f>(E873*2+F873*4+((E873-G873)/2-H873)*4+2*PI()*H873+(D873-2*F873-2*H873)*2)/1000</f>
        <v/>
      </c>
      <c r="N873" s="5" t="n">
        <v>139000</v>
      </c>
      <c r="O873" s="5" t="n">
        <v>5750</v>
      </c>
      <c r="P873" s="125" t="n">
        <v>25.9</v>
      </c>
      <c r="Q873" s="125" t="n">
        <v>5.3</v>
      </c>
      <c r="R873" s="5" t="n">
        <v>4290</v>
      </c>
      <c r="S873" s="125" t="n">
        <v>460</v>
      </c>
      <c r="T873" s="5" t="n">
        <v>4970</v>
      </c>
      <c r="U873" s="125" t="n">
        <v>728</v>
      </c>
      <c r="X873" s="129">
        <f t="array" ref="X873">_xlfn.IFS((D873/F873) &lt;= (640/SQRT($AT$32)), "Compact", L873 &lt;= ($AT$32*(0.79-(0.002*((E873-G873/2)/(2*F873))*SQRT($AT$32)))), "Non-Compact", L873 &gt; ($AT$32*(0.79-(0.002*((E873-G873/2)/(2*F873))*SQRT($AT$32)))), "Slender")</f>
        <v/>
      </c>
      <c r="Y873" s="129">
        <f t="array" ref="Y873">_xlfn.IFS(K873 &lt;= (65/SQRT($AT$32)), "Compact", K873 &lt;= (95/SQRT($AT$32)), "Non-Compact", K873 &gt; (95/SQRT($AT$32)), "Slender")</f>
        <v/>
      </c>
      <c r="Z873" s="125">
        <f>E873/F873</f>
        <v/>
      </c>
      <c r="AA873" s="125">
        <f>D873/G873</f>
        <v/>
      </c>
      <c r="AB873" s="125">
        <f t="array" ref="AB873">_xlfn.IFS(Z873 &lt;= 9, "1", Z873 &lt;= 12, "2", Z873 &lt;= 15, "3", Z873 &gt; 15, "4")</f>
        <v/>
      </c>
      <c r="AC873" s="125">
        <f t="array" ref="AC873">_xlfn.IFS(AA873 &lt;= 200, "1", L873 &lt;= 300, "2", L873 &lt;= 400, "3", L873 &gt; 400, "4")</f>
        <v/>
      </c>
      <c r="AF873" s="129">
        <f>SQRT((((VLOOKUP($AT$4,$A$4:$D$1021,4,FALSE))-D873)^2)+(((VLOOKUP($AT$4,$A$4:$E$1021,5,FALSE))-E873)^2)+(((VLOOKUP($AT$4,$A$4:$N$1021,14,FALSE))-N873)^2)+(((VLOOKUP($AT$4,$A$4:$O$1021,15,FALSE))-O873)^2))</f>
        <v/>
      </c>
      <c r="AG873" s="129" t="n"/>
      <c r="AI873" s="129">
        <f>SQRT((((VLOOKUP($AT$4,$A$4:$D$1021,4,FALSE))-D873)^2)+(((VLOOKUP($AT$4,$A$4:$E$1021,5,FALSE))-E873)^2)+(((VLOOKUP($AT$4,$A$4:$R$1021,18,FALSE))-R873)^2)+(((VLOOKUP($AT$4,$A$4:$S$1021,19,FALSE))-S873)^2))</f>
        <v/>
      </c>
      <c r="AJ873" s="125" t="inlineStr">
        <is>
          <t>HY650X164</t>
        </is>
      </c>
      <c r="AK873" s="125" t="n"/>
      <c r="AL873" s="125" t="n"/>
      <c r="AM873" s="125">
        <f>SQRT(((VLOOKUP($AT$4,$A$4:$J$1021,10,FALSE))-J873)^2)</f>
        <v/>
      </c>
      <c r="AN873" s="125" t="n"/>
      <c r="AO873" s="125" t="n"/>
      <c r="AP873" s="125">
        <f>SQRT(((VLOOKUP($AT$4,$A$4:$R$1021,18,FALSE))-R873)^2)</f>
        <v/>
      </c>
      <c r="AQ873" s="125" t="inlineStr">
        <is>
          <t>HY650X164</t>
        </is>
      </c>
      <c r="BB873" s="125">
        <f>SQRT(($J$1022-J873)^2)</f>
        <v/>
      </c>
      <c r="BC873" s="125">
        <f>SQRT(($R$1022-R873)^2)</f>
        <v/>
      </c>
      <c r="BD873" s="125" t="inlineStr">
        <is>
          <t>HY650X164</t>
        </is>
      </c>
      <c r="BI873">
        <f>SQRT(($J$1023-J873)^2)</f>
        <v/>
      </c>
      <c r="BJ873">
        <f>SQRT(($R$1023-R873)^2)</f>
        <v/>
      </c>
      <c r="BK873" s="125" t="inlineStr">
        <is>
          <t>HY650X164</t>
        </is>
      </c>
      <c r="BP873">
        <f>SQRT(($J$1024-J873)^2)</f>
        <v/>
      </c>
      <c r="BQ873">
        <f>SQRT(($R$1024-R873)^2)</f>
        <v/>
      </c>
      <c r="BR873" s="125" t="inlineStr">
        <is>
          <t>HY650X164</t>
        </is>
      </c>
      <c r="BW873">
        <f>SQRT(($J$1025-J873)^2)</f>
        <v/>
      </c>
      <c r="BX873">
        <f>SQRT(($R$1025-R873)^2)</f>
        <v/>
      </c>
      <c r="BY873" s="125" t="inlineStr">
        <is>
          <t>HY650X164</t>
        </is>
      </c>
      <c r="CD873">
        <f>SQRT(($J$1026-J873)^2)</f>
        <v/>
      </c>
      <c r="CE873">
        <f>SQRT(($R$1026-R873)^2)</f>
        <v/>
      </c>
      <c r="CF873" s="125" t="inlineStr">
        <is>
          <t>HY650X164</t>
        </is>
      </c>
    </row>
    <row r="874">
      <c r="A874" s="125" t="inlineStr">
        <is>
          <t>HY650X167</t>
        </is>
      </c>
      <c r="B874" s="129" t="inlineStr">
        <is>
          <t>HY</t>
        </is>
      </c>
      <c r="C874" s="125" t="n">
        <v>167</v>
      </c>
      <c r="D874" s="125" t="n">
        <v>650</v>
      </c>
      <c r="E874" s="125" t="n">
        <v>250</v>
      </c>
      <c r="F874" s="125" t="n">
        <v>28</v>
      </c>
      <c r="G874" s="125" t="n">
        <v>12</v>
      </c>
      <c r="H874" s="125" t="n">
        <v>13</v>
      </c>
      <c r="I874" s="125">
        <f>D874-(2*(H874+F874))</f>
        <v/>
      </c>
      <c r="J874" s="125">
        <f>(2*E874/10*F874/10)+((D874-F874-F874)/10*G874/10)+((H874/10+H874/10)^2)-(PI()*H874/10*H874/10)</f>
        <v/>
      </c>
      <c r="K874" s="125">
        <f>((E874-G874)/2)/F874</f>
        <v/>
      </c>
      <c r="L874" s="125">
        <f>I874/G874</f>
        <v/>
      </c>
      <c r="M874" s="125">
        <f>(E874*2+F874*4+((E874-G874)/2-H874)*4+2*PI()*H874+(D874-2*F874-2*H874)*2)/1000</f>
        <v/>
      </c>
      <c r="N874" s="5" t="n">
        <v>158000</v>
      </c>
      <c r="O874" s="5" t="n">
        <v>7300</v>
      </c>
      <c r="P874" s="125" t="n">
        <v>27.2</v>
      </c>
      <c r="Q874" s="125" t="n">
        <v>5.9</v>
      </c>
      <c r="R874" s="5" t="n">
        <v>4850</v>
      </c>
      <c r="S874" s="125" t="n">
        <v>584</v>
      </c>
      <c r="T874" s="5" t="n">
        <v>5460</v>
      </c>
      <c r="U874" s="125" t="n">
        <v>898</v>
      </c>
      <c r="X874" s="129">
        <f t="array" ref="X874">_xlfn.IFS((D874/F874) &lt;= (640/SQRT($AT$32)), "Compact", L874 &lt;= ($AT$32*(0.79-(0.002*((E874-G874/2)/(2*F874))*SQRT($AT$32)))), "Non-Compact", L874 &gt; ($AT$32*(0.79-(0.002*((E874-G874/2)/(2*F874))*SQRT($AT$32)))), "Slender")</f>
        <v/>
      </c>
      <c r="Y874" s="129">
        <f t="array" ref="Y874">_xlfn.IFS(K874 &lt;= (65/SQRT($AT$32)), "Compact", K874 &lt;= (95/SQRT($AT$32)), "Non-Compact", K874 &gt; (95/SQRT($AT$32)), "Slender")</f>
        <v/>
      </c>
      <c r="Z874" s="125">
        <f>E874/F874</f>
        <v/>
      </c>
      <c r="AA874" s="125">
        <f>D874/G874</f>
        <v/>
      </c>
      <c r="AB874" s="125">
        <f t="array" ref="AB874">_xlfn.IFS(Z874 &lt;= 9, "1", Z874 &lt;= 12, "2", Z874 &lt;= 15, "3", Z874 &gt; 15, "4")</f>
        <v/>
      </c>
      <c r="AC874" s="125">
        <f t="array" ref="AC874">_xlfn.IFS(AA874 &lt;= 200, "1", L874 &lt;= 300, "2", L874 &lt;= 400, "3", L874 &gt; 400, "4")</f>
        <v/>
      </c>
      <c r="AF874" s="129">
        <f>SQRT((((VLOOKUP($AT$4,$A$4:$D$1021,4,FALSE))-D874)^2)+(((VLOOKUP($AT$4,$A$4:$E$1021,5,FALSE))-E874)^2)+(((VLOOKUP($AT$4,$A$4:$N$1021,14,FALSE))-N874)^2)+(((VLOOKUP($AT$4,$A$4:$O$1021,15,FALSE))-O874)^2))</f>
        <v/>
      </c>
      <c r="AG874" s="129" t="n"/>
      <c r="AI874" s="129">
        <f>SQRT((((VLOOKUP($AT$4,$A$4:$D$1021,4,FALSE))-D874)^2)+(((VLOOKUP($AT$4,$A$4:$E$1021,5,FALSE))-E874)^2)+(((VLOOKUP($AT$4,$A$4:$R$1021,18,FALSE))-R874)^2)+(((VLOOKUP($AT$4,$A$4:$S$1021,19,FALSE))-S874)^2))</f>
        <v/>
      </c>
      <c r="AJ874" s="125" t="inlineStr">
        <is>
          <t>HY650X167</t>
        </is>
      </c>
      <c r="AK874" s="125" t="n"/>
      <c r="AL874" s="125" t="n"/>
      <c r="AM874" s="125">
        <f>SQRT(((VLOOKUP($AT$4,$A$4:$J$1021,10,FALSE))-J874)^2)</f>
        <v/>
      </c>
      <c r="AN874" s="125" t="n"/>
      <c r="AO874" s="125" t="n"/>
      <c r="AP874" s="125">
        <f>SQRT(((VLOOKUP($AT$4,$A$4:$R$1021,18,FALSE))-R874)^2)</f>
        <v/>
      </c>
      <c r="AQ874" s="125" t="inlineStr">
        <is>
          <t>HY650X167</t>
        </is>
      </c>
      <c r="BB874" s="125">
        <f>SQRT(($J$1022-J874)^2)</f>
        <v/>
      </c>
      <c r="BC874" s="125">
        <f>SQRT(($R$1022-R874)^2)</f>
        <v/>
      </c>
      <c r="BD874" s="125" t="inlineStr">
        <is>
          <t>HY650X167</t>
        </is>
      </c>
      <c r="BI874">
        <f>SQRT(($J$1023-J874)^2)</f>
        <v/>
      </c>
      <c r="BJ874">
        <f>SQRT(($R$1023-R874)^2)</f>
        <v/>
      </c>
      <c r="BK874" s="125" t="inlineStr">
        <is>
          <t>HY650X167</t>
        </is>
      </c>
      <c r="BP874">
        <f>SQRT(($J$1024-J874)^2)</f>
        <v/>
      </c>
      <c r="BQ874">
        <f>SQRT(($R$1024-R874)^2)</f>
        <v/>
      </c>
      <c r="BR874" s="125" t="inlineStr">
        <is>
          <t>HY650X167</t>
        </is>
      </c>
      <c r="BW874">
        <f>SQRT(($J$1025-J874)^2)</f>
        <v/>
      </c>
      <c r="BX874">
        <f>SQRT(($R$1025-R874)^2)</f>
        <v/>
      </c>
      <c r="BY874" s="125" t="inlineStr">
        <is>
          <t>HY650X167</t>
        </is>
      </c>
      <c r="CD874">
        <f>SQRT(($J$1026-J874)^2)</f>
        <v/>
      </c>
      <c r="CE874">
        <f>SQRT(($R$1026-R874)^2)</f>
        <v/>
      </c>
      <c r="CF874" s="125" t="inlineStr">
        <is>
          <t>HY650X167</t>
        </is>
      </c>
    </row>
    <row r="875">
      <c r="A875" s="125" t="inlineStr">
        <is>
          <t>HY650X156</t>
        </is>
      </c>
      <c r="B875" s="129" t="inlineStr">
        <is>
          <t>HY</t>
        </is>
      </c>
      <c r="C875" s="125" t="n">
        <v>156</v>
      </c>
      <c r="D875" s="125" t="n">
        <v>650</v>
      </c>
      <c r="E875" s="125" t="n">
        <v>250</v>
      </c>
      <c r="F875" s="125" t="n">
        <v>25</v>
      </c>
      <c r="G875" s="125" t="n">
        <v>12</v>
      </c>
      <c r="H875" s="125" t="n">
        <v>13</v>
      </c>
      <c r="I875" s="125">
        <f>D875-(2*(H875+F875))</f>
        <v/>
      </c>
      <c r="J875" s="125">
        <f>(2*E875/10*F875/10)+((D875-F875-F875)/10*G875/10)+((H875/10+H875/10)^2)-(PI()*H875/10*H875/10)</f>
        <v/>
      </c>
      <c r="K875" s="125">
        <f>((E875-G875)/2)/F875</f>
        <v/>
      </c>
      <c r="L875" s="125">
        <f>I875/G875</f>
        <v/>
      </c>
      <c r="M875" s="125">
        <f>(E875*2+F875*4+((E875-G875)/2-H875)*4+2*PI()*H875+(D875-2*F875-2*H875)*2)/1000</f>
        <v/>
      </c>
      <c r="N875" s="5" t="n">
        <v>145000</v>
      </c>
      <c r="O875" s="5" t="n">
        <v>6520</v>
      </c>
      <c r="P875" s="125" t="n">
        <v>27</v>
      </c>
      <c r="Q875" s="125" t="n">
        <v>5.7</v>
      </c>
      <c r="R875" s="5" t="n">
        <v>4460</v>
      </c>
      <c r="S875" s="125" t="n">
        <v>522</v>
      </c>
      <c r="T875" s="5" t="n">
        <v>5030</v>
      </c>
      <c r="U875" s="125" t="n">
        <v>804</v>
      </c>
      <c r="X875" s="129">
        <f t="array" ref="X875">_xlfn.IFS((D875/F875) &lt;= (640/SQRT($AT$32)), "Compact", L875 &lt;= ($AT$32*(0.79-(0.002*((E875-G875/2)/(2*F875))*SQRT($AT$32)))), "Non-Compact", L875 &gt; ($AT$32*(0.79-(0.002*((E875-G875/2)/(2*F875))*SQRT($AT$32)))), "Slender")</f>
        <v/>
      </c>
      <c r="Y875" s="129">
        <f t="array" ref="Y875">_xlfn.IFS(K875 &lt;= (65/SQRT($AT$32)), "Compact", K875 &lt;= (95/SQRT($AT$32)), "Non-Compact", K875 &gt; (95/SQRT($AT$32)), "Slender")</f>
        <v/>
      </c>
      <c r="Z875" s="125">
        <f>E875/F875</f>
        <v/>
      </c>
      <c r="AA875" s="125">
        <f>D875/G875</f>
        <v/>
      </c>
      <c r="AB875" s="125">
        <f t="array" ref="AB875">_xlfn.IFS(Z875 &lt;= 9, "1", Z875 &lt;= 12, "2", Z875 &lt;= 15, "3", Z875 &gt; 15, "4")</f>
        <v/>
      </c>
      <c r="AC875" s="125">
        <f t="array" ref="AC875">_xlfn.IFS(AA875 &lt;= 200, "1", L875 &lt;= 300, "2", L875 &lt;= 400, "3", L875 &gt; 400, "4")</f>
        <v/>
      </c>
      <c r="AF875" s="129">
        <f>SQRT((((VLOOKUP($AT$4,$A$4:$D$1021,4,FALSE))-D875)^2)+(((VLOOKUP($AT$4,$A$4:$E$1021,5,FALSE))-E875)^2)+(((VLOOKUP($AT$4,$A$4:$N$1021,14,FALSE))-N875)^2)+(((VLOOKUP($AT$4,$A$4:$O$1021,15,FALSE))-O875)^2))</f>
        <v/>
      </c>
      <c r="AG875" s="129" t="n"/>
      <c r="AI875" s="129">
        <f>SQRT((((VLOOKUP($AT$4,$A$4:$D$1021,4,FALSE))-D875)^2)+(((VLOOKUP($AT$4,$A$4:$E$1021,5,FALSE))-E875)^2)+(((VLOOKUP($AT$4,$A$4:$R$1021,18,FALSE))-R875)^2)+(((VLOOKUP($AT$4,$A$4:$S$1021,19,FALSE))-S875)^2))</f>
        <v/>
      </c>
      <c r="AJ875" s="125" t="inlineStr">
        <is>
          <t>HY650X156</t>
        </is>
      </c>
      <c r="AK875" s="125" t="n"/>
      <c r="AL875" s="125" t="n"/>
      <c r="AM875" s="125">
        <f>SQRT(((VLOOKUP($AT$4,$A$4:$J$1021,10,FALSE))-J875)^2)</f>
        <v/>
      </c>
      <c r="AN875" s="125" t="n"/>
      <c r="AO875" s="125" t="n"/>
      <c r="AP875" s="125">
        <f>SQRT(((VLOOKUP($AT$4,$A$4:$R$1021,18,FALSE))-R875)^2)</f>
        <v/>
      </c>
      <c r="AQ875" s="125" t="inlineStr">
        <is>
          <t>HY650X156</t>
        </is>
      </c>
      <c r="BB875" s="125">
        <f>SQRT(($J$1022-J875)^2)</f>
        <v/>
      </c>
      <c r="BC875" s="125">
        <f>SQRT(($R$1022-R875)^2)</f>
        <v/>
      </c>
      <c r="BD875" s="125" t="inlineStr">
        <is>
          <t>HY650X156</t>
        </is>
      </c>
      <c r="BI875">
        <f>SQRT(($J$1023-J875)^2)</f>
        <v/>
      </c>
      <c r="BJ875">
        <f>SQRT(($R$1023-R875)^2)</f>
        <v/>
      </c>
      <c r="BK875" s="125" t="inlineStr">
        <is>
          <t>HY650X156</t>
        </is>
      </c>
      <c r="BP875">
        <f>SQRT(($J$1024-J875)^2)</f>
        <v/>
      </c>
      <c r="BQ875">
        <f>SQRT(($R$1024-R875)^2)</f>
        <v/>
      </c>
      <c r="BR875" s="125" t="inlineStr">
        <is>
          <t>HY650X156</t>
        </is>
      </c>
      <c r="BW875">
        <f>SQRT(($J$1025-J875)^2)</f>
        <v/>
      </c>
      <c r="BX875">
        <f>SQRT(($R$1025-R875)^2)</f>
        <v/>
      </c>
      <c r="BY875" s="125" t="inlineStr">
        <is>
          <t>HY650X156</t>
        </is>
      </c>
      <c r="CD875">
        <f>SQRT(($J$1026-J875)^2)</f>
        <v/>
      </c>
      <c r="CE875">
        <f>SQRT(($R$1026-R875)^2)</f>
        <v/>
      </c>
      <c r="CF875" s="125" t="inlineStr">
        <is>
          <t>HY650X156</t>
        </is>
      </c>
    </row>
    <row r="876">
      <c r="A876" s="125" t="inlineStr">
        <is>
          <t>HY650X145</t>
        </is>
      </c>
      <c r="B876" s="129" t="inlineStr">
        <is>
          <t>HY</t>
        </is>
      </c>
      <c r="C876" s="125" t="n">
        <v>145</v>
      </c>
      <c r="D876" s="125" t="n">
        <v>650</v>
      </c>
      <c r="E876" s="125" t="n">
        <v>250</v>
      </c>
      <c r="F876" s="125" t="n">
        <v>22</v>
      </c>
      <c r="G876" s="125" t="n">
        <v>12</v>
      </c>
      <c r="H876" s="125" t="n">
        <v>13</v>
      </c>
      <c r="I876" s="125">
        <f>D876-(2*(H876+F876))</f>
        <v/>
      </c>
      <c r="J876" s="125">
        <f>(2*E876/10*F876/10)+((D876-F876-F876)/10*G876/10)+((H876/10+H876/10)^2)-(PI()*H876/10*H876/10)</f>
        <v/>
      </c>
      <c r="K876" s="125">
        <f>((E876-G876)/2)/F876</f>
        <v/>
      </c>
      <c r="L876" s="125">
        <f>I876/G876</f>
        <v/>
      </c>
      <c r="M876" s="125">
        <f>(E876*2+F876*4+((E876-G876)/2-H876)*4+2*PI()*H876+(D876-2*F876-2*H876)*2)/1000</f>
        <v/>
      </c>
      <c r="N876" s="5" t="n">
        <v>132000</v>
      </c>
      <c r="O876" s="5" t="n">
        <v>5740</v>
      </c>
      <c r="P876" s="125" t="n">
        <v>26.8</v>
      </c>
      <c r="Q876" s="125" t="n">
        <v>5.6</v>
      </c>
      <c r="R876" s="5" t="n">
        <v>4060</v>
      </c>
      <c r="S876" s="125" t="n">
        <v>459</v>
      </c>
      <c r="T876" s="5" t="n">
        <v>4600</v>
      </c>
      <c r="U876" s="125" t="n">
        <v>711</v>
      </c>
      <c r="X876" s="129">
        <f t="array" ref="X876">_xlfn.IFS((D876/F876) &lt;= (640/SQRT($AT$32)), "Compact", L876 &lt;= ($AT$32*(0.79-(0.002*((E876-G876/2)/(2*F876))*SQRT($AT$32)))), "Non-Compact", L876 &gt; ($AT$32*(0.79-(0.002*((E876-G876/2)/(2*F876))*SQRT($AT$32)))), "Slender")</f>
        <v/>
      </c>
      <c r="Y876" s="129">
        <f t="array" ref="Y876">_xlfn.IFS(K876 &lt;= (65/SQRT($AT$32)), "Compact", K876 &lt;= (95/SQRT($AT$32)), "Non-Compact", K876 &gt; (95/SQRT($AT$32)), "Slender")</f>
        <v/>
      </c>
      <c r="Z876" s="125">
        <f>E876/F876</f>
        <v/>
      </c>
      <c r="AA876" s="125">
        <f>D876/G876</f>
        <v/>
      </c>
      <c r="AB876" s="125">
        <f t="array" ref="AB876">_xlfn.IFS(Z876 &lt;= 9, "1", Z876 &lt;= 12, "2", Z876 &lt;= 15, "3", Z876 &gt; 15, "4")</f>
        <v/>
      </c>
      <c r="AC876" s="125">
        <f t="array" ref="AC876">_xlfn.IFS(AA876 &lt;= 200, "1", L876 &lt;= 300, "2", L876 &lt;= 400, "3", L876 &gt; 400, "4")</f>
        <v/>
      </c>
      <c r="AF876" s="129">
        <f>SQRT((((VLOOKUP($AT$4,$A$4:$D$1021,4,FALSE))-D876)^2)+(((VLOOKUP($AT$4,$A$4:$E$1021,5,FALSE))-E876)^2)+(((VLOOKUP($AT$4,$A$4:$N$1021,14,FALSE))-N876)^2)+(((VLOOKUP($AT$4,$A$4:$O$1021,15,FALSE))-O876)^2))</f>
        <v/>
      </c>
      <c r="AG876" s="129" t="n"/>
      <c r="AI876" s="129">
        <f>SQRT((((VLOOKUP($AT$4,$A$4:$D$1021,4,FALSE))-D876)^2)+(((VLOOKUP($AT$4,$A$4:$E$1021,5,FALSE))-E876)^2)+(((VLOOKUP($AT$4,$A$4:$R$1021,18,FALSE))-R876)^2)+(((VLOOKUP($AT$4,$A$4:$S$1021,19,FALSE))-S876)^2))</f>
        <v/>
      </c>
      <c r="AJ876" s="125" t="inlineStr">
        <is>
          <t>HY650X145</t>
        </is>
      </c>
      <c r="AK876" s="125" t="n"/>
      <c r="AL876" s="125" t="n"/>
      <c r="AM876" s="125">
        <f>SQRT(((VLOOKUP($AT$4,$A$4:$J$1021,10,FALSE))-J876)^2)</f>
        <v/>
      </c>
      <c r="AN876" s="125" t="n"/>
      <c r="AO876" s="125" t="n"/>
      <c r="AP876" s="125">
        <f>SQRT(((VLOOKUP($AT$4,$A$4:$R$1021,18,FALSE))-R876)^2)</f>
        <v/>
      </c>
      <c r="AQ876" s="125" t="inlineStr">
        <is>
          <t>HY650X145</t>
        </is>
      </c>
      <c r="BB876" s="125">
        <f>SQRT(($J$1022-J876)^2)</f>
        <v/>
      </c>
      <c r="BC876" s="125">
        <f>SQRT(($R$1022-R876)^2)</f>
        <v/>
      </c>
      <c r="BD876" s="125" t="inlineStr">
        <is>
          <t>HY650X145</t>
        </is>
      </c>
      <c r="BI876">
        <f>SQRT(($J$1023-J876)^2)</f>
        <v/>
      </c>
      <c r="BJ876">
        <f>SQRT(($R$1023-R876)^2)</f>
        <v/>
      </c>
      <c r="BK876" s="125" t="inlineStr">
        <is>
          <t>HY650X145</t>
        </is>
      </c>
      <c r="BP876">
        <f>SQRT(($J$1024-J876)^2)</f>
        <v/>
      </c>
      <c r="BQ876">
        <f>SQRT(($R$1024-R876)^2)</f>
        <v/>
      </c>
      <c r="BR876" s="125" t="inlineStr">
        <is>
          <t>HY650X145</t>
        </is>
      </c>
      <c r="BW876">
        <f>SQRT(($J$1025-J876)^2)</f>
        <v/>
      </c>
      <c r="BX876">
        <f>SQRT(($R$1025-R876)^2)</f>
        <v/>
      </c>
      <c r="BY876" s="125" t="inlineStr">
        <is>
          <t>HY650X145</t>
        </is>
      </c>
      <c r="CD876">
        <f>SQRT(($J$1026-J876)^2)</f>
        <v/>
      </c>
      <c r="CE876">
        <f>SQRT(($R$1026-R876)^2)</f>
        <v/>
      </c>
      <c r="CF876" s="125" t="inlineStr">
        <is>
          <t>HY650X145</t>
        </is>
      </c>
    </row>
    <row r="877">
      <c r="A877" s="125" t="inlineStr">
        <is>
          <t>HY650X133</t>
        </is>
      </c>
      <c r="B877" s="129" t="inlineStr">
        <is>
          <t>HY</t>
        </is>
      </c>
      <c r="C877" s="125" t="n">
        <v>133</v>
      </c>
      <c r="D877" s="125" t="n">
        <v>650</v>
      </c>
      <c r="E877" s="125" t="n">
        <v>250</v>
      </c>
      <c r="F877" s="125" t="n">
        <v>19</v>
      </c>
      <c r="G877" s="125" t="n">
        <v>12</v>
      </c>
      <c r="H877" s="125" t="n">
        <v>13</v>
      </c>
      <c r="I877" s="125">
        <f>D877-(2*(H877+F877))</f>
        <v/>
      </c>
      <c r="J877" s="125">
        <f>(2*E877/10*F877/10)+((D877-F877-F877)/10*G877/10)+((H877/10+H877/10)^2)-(PI()*H877/10*H877/10)</f>
        <v/>
      </c>
      <c r="K877" s="125">
        <f>((E877-G877)/2)/F877</f>
        <v/>
      </c>
      <c r="L877" s="125">
        <f>I877/G877</f>
        <v/>
      </c>
      <c r="M877" s="125">
        <f>(E877*2+F877*4+((E877-G877)/2-H877)*4+2*PI()*H877+(D877-2*F877-2*H877)*2)/1000</f>
        <v/>
      </c>
      <c r="N877" s="5" t="n">
        <v>119000</v>
      </c>
      <c r="O877" s="5" t="n">
        <v>4960</v>
      </c>
      <c r="P877" s="125" t="n">
        <v>26.4</v>
      </c>
      <c r="Q877" s="125" t="n">
        <v>5.4</v>
      </c>
      <c r="R877" s="5" t="n">
        <v>3660</v>
      </c>
      <c r="S877" s="125" t="n">
        <v>397</v>
      </c>
      <c r="T877" s="5" t="n">
        <v>4160</v>
      </c>
      <c r="U877" s="125" t="n">
        <v>617</v>
      </c>
      <c r="X877" s="129">
        <f t="array" ref="X877">_xlfn.IFS((D877/F877) &lt;= (640/SQRT($AT$32)), "Compact", L877 &lt;= ($AT$32*(0.79-(0.002*((E877-G877/2)/(2*F877))*SQRT($AT$32)))), "Non-Compact", L877 &gt; ($AT$32*(0.79-(0.002*((E877-G877/2)/(2*F877))*SQRT($AT$32)))), "Slender")</f>
        <v/>
      </c>
      <c r="Y877" s="129">
        <f t="array" ref="Y877">_xlfn.IFS(K877 &lt;= (65/SQRT($AT$32)), "Compact", K877 &lt;= (95/SQRT($AT$32)), "Non-Compact", K877 &gt; (95/SQRT($AT$32)), "Slender")</f>
        <v/>
      </c>
      <c r="Z877" s="125">
        <f>E877/F877</f>
        <v/>
      </c>
      <c r="AA877" s="125">
        <f>D877/G877</f>
        <v/>
      </c>
      <c r="AB877" s="125">
        <f t="array" ref="AB877">_xlfn.IFS(Z877 &lt;= 9, "1", Z877 &lt;= 12, "2", Z877 &lt;= 15, "3", Z877 &gt; 15, "4")</f>
        <v/>
      </c>
      <c r="AC877" s="125">
        <f t="array" ref="AC877">_xlfn.IFS(AA877 &lt;= 200, "1", L877 &lt;= 300, "2", L877 &lt;= 400, "3", L877 &gt; 400, "4")</f>
        <v/>
      </c>
      <c r="AF877" s="129">
        <f>SQRT((((VLOOKUP($AT$4,$A$4:$D$1021,4,FALSE))-D877)^2)+(((VLOOKUP($AT$4,$A$4:$E$1021,5,FALSE))-E877)^2)+(((VLOOKUP($AT$4,$A$4:$N$1021,14,FALSE))-N877)^2)+(((VLOOKUP($AT$4,$A$4:$O$1021,15,FALSE))-O877)^2))</f>
        <v/>
      </c>
      <c r="AG877" s="129" t="n"/>
      <c r="AI877" s="129">
        <f>SQRT((((VLOOKUP($AT$4,$A$4:$D$1021,4,FALSE))-D877)^2)+(((VLOOKUP($AT$4,$A$4:$E$1021,5,FALSE))-E877)^2)+(((VLOOKUP($AT$4,$A$4:$R$1021,18,FALSE))-R877)^2)+(((VLOOKUP($AT$4,$A$4:$S$1021,19,FALSE))-S877)^2))</f>
        <v/>
      </c>
      <c r="AJ877" s="125" t="inlineStr">
        <is>
          <t>HY650X133</t>
        </is>
      </c>
      <c r="AK877" s="125" t="n"/>
      <c r="AL877" s="125" t="n"/>
      <c r="AM877" s="125">
        <f>SQRT(((VLOOKUP($AT$4,$A$4:$J$1021,10,FALSE))-J877)^2)</f>
        <v/>
      </c>
      <c r="AN877" s="125" t="n"/>
      <c r="AO877" s="125" t="n"/>
      <c r="AP877" s="125">
        <f>SQRT(((VLOOKUP($AT$4,$A$4:$R$1021,18,FALSE))-R877)^2)</f>
        <v/>
      </c>
      <c r="AQ877" s="125" t="inlineStr">
        <is>
          <t>HY650X133</t>
        </is>
      </c>
      <c r="BB877" s="125">
        <f>SQRT(($J$1022-J877)^2)</f>
        <v/>
      </c>
      <c r="BC877" s="125">
        <f>SQRT(($R$1022-R877)^2)</f>
        <v/>
      </c>
      <c r="BD877" s="125" t="inlineStr">
        <is>
          <t>HY650X133</t>
        </is>
      </c>
      <c r="BI877">
        <f>SQRT(($J$1023-J877)^2)</f>
        <v/>
      </c>
      <c r="BJ877">
        <f>SQRT(($R$1023-R877)^2)</f>
        <v/>
      </c>
      <c r="BK877" s="125" t="inlineStr">
        <is>
          <t>HY650X133</t>
        </is>
      </c>
      <c r="BP877">
        <f>SQRT(($J$1024-J877)^2)</f>
        <v/>
      </c>
      <c r="BQ877">
        <f>SQRT(($R$1024-R877)^2)</f>
        <v/>
      </c>
      <c r="BR877" s="125" t="inlineStr">
        <is>
          <t>HY650X133</t>
        </is>
      </c>
      <c r="BW877">
        <f>SQRT(($J$1025-J877)^2)</f>
        <v/>
      </c>
      <c r="BX877">
        <f>SQRT(($R$1025-R877)^2)</f>
        <v/>
      </c>
      <c r="BY877" s="125" t="inlineStr">
        <is>
          <t>HY650X133</t>
        </is>
      </c>
      <c r="CD877">
        <f>SQRT(($J$1026-J877)^2)</f>
        <v/>
      </c>
      <c r="CE877">
        <f>SQRT(($R$1026-R877)^2)</f>
        <v/>
      </c>
      <c r="CF877" s="125" t="inlineStr">
        <is>
          <t>HY650X133</t>
        </is>
      </c>
    </row>
    <row r="878">
      <c r="A878" s="125" t="inlineStr">
        <is>
          <t>HY650X122</t>
        </is>
      </c>
      <c r="B878" s="129" t="inlineStr">
        <is>
          <t>HY</t>
        </is>
      </c>
      <c r="C878" s="125" t="n">
        <v>122</v>
      </c>
      <c r="D878" s="125" t="n">
        <v>650</v>
      </c>
      <c r="E878" s="125" t="n">
        <v>250</v>
      </c>
      <c r="F878" s="125" t="n">
        <v>16</v>
      </c>
      <c r="G878" s="125" t="n">
        <v>12</v>
      </c>
      <c r="H878" s="125" t="n">
        <v>13</v>
      </c>
      <c r="I878" s="125">
        <f>D878-(2*(H878+F878))</f>
        <v/>
      </c>
      <c r="J878" s="125">
        <f>(2*E878/10*F878/10)+((D878-F878-F878)/10*G878/10)+((H878/10+H878/10)^2)-(PI()*H878/10*H878/10)</f>
        <v/>
      </c>
      <c r="K878" s="125">
        <f>((E878-G878)/2)/F878</f>
        <v/>
      </c>
      <c r="L878" s="125">
        <f>I878/G878</f>
        <v/>
      </c>
      <c r="M878" s="125">
        <f>(E878*2+F878*4+((E878-G878)/2-H878)*4+2*PI()*H878+(D878-2*F878-2*H878)*2)/1000</f>
        <v/>
      </c>
      <c r="N878" s="5" t="n">
        <v>105000</v>
      </c>
      <c r="O878" s="5" t="n">
        <v>4180</v>
      </c>
      <c r="P878" s="125" t="n">
        <v>26</v>
      </c>
      <c r="Q878" s="125" t="n">
        <v>5.2</v>
      </c>
      <c r="R878" s="5" t="n">
        <v>3240</v>
      </c>
      <c r="S878" s="125" t="n">
        <v>334</v>
      </c>
      <c r="T878" s="5" t="n">
        <v>3730</v>
      </c>
      <c r="U878" s="125" t="n">
        <v>524</v>
      </c>
      <c r="X878" s="129">
        <f t="array" ref="X878">_xlfn.IFS((D878/F878) &lt;= (640/SQRT($AT$32)), "Compact", L878 &lt;= ($AT$32*(0.79-(0.002*((E878-G878/2)/(2*F878))*SQRT($AT$32)))), "Non-Compact", L878 &gt; ($AT$32*(0.79-(0.002*((E878-G878/2)/(2*F878))*SQRT($AT$32)))), "Slender")</f>
        <v/>
      </c>
      <c r="Y878" s="129">
        <f t="array" ref="Y878">_xlfn.IFS(K878 &lt;= (65/SQRT($AT$32)), "Compact", K878 &lt;= (95/SQRT($AT$32)), "Non-Compact", K878 &gt; (95/SQRT($AT$32)), "Slender")</f>
        <v/>
      </c>
      <c r="Z878" s="125">
        <f>E878/F878</f>
        <v/>
      </c>
      <c r="AA878" s="125">
        <f>D878/G878</f>
        <v/>
      </c>
      <c r="AB878" s="125">
        <f t="array" ref="AB878">_xlfn.IFS(Z878 &lt;= 9, "1", Z878 &lt;= 12, "2", Z878 &lt;= 15, "3", Z878 &gt; 15, "4")</f>
        <v/>
      </c>
      <c r="AC878" s="125">
        <f t="array" ref="AC878">_xlfn.IFS(AA878 &lt;= 200, "1", L878 &lt;= 300, "2", L878 &lt;= 400, "3", L878 &gt; 400, "4")</f>
        <v/>
      </c>
      <c r="AF878" s="129">
        <f>SQRT((((VLOOKUP($AT$4,$A$4:$D$1021,4,FALSE))-D878)^2)+(((VLOOKUP($AT$4,$A$4:$E$1021,5,FALSE))-E878)^2)+(((VLOOKUP($AT$4,$A$4:$N$1021,14,FALSE))-N878)^2)+(((VLOOKUP($AT$4,$A$4:$O$1021,15,FALSE))-O878)^2))</f>
        <v/>
      </c>
      <c r="AG878" s="129" t="n"/>
      <c r="AI878" s="129">
        <f>SQRT((((VLOOKUP($AT$4,$A$4:$D$1021,4,FALSE))-D878)^2)+(((VLOOKUP($AT$4,$A$4:$E$1021,5,FALSE))-E878)^2)+(((VLOOKUP($AT$4,$A$4:$R$1021,18,FALSE))-R878)^2)+(((VLOOKUP($AT$4,$A$4:$S$1021,19,FALSE))-S878)^2))</f>
        <v/>
      </c>
      <c r="AJ878" s="125" t="inlineStr">
        <is>
          <t>HY650X122</t>
        </is>
      </c>
      <c r="AK878" s="125" t="n"/>
      <c r="AL878" s="125" t="n"/>
      <c r="AM878" s="125">
        <f>SQRT(((VLOOKUP($AT$4,$A$4:$J$1021,10,FALSE))-J878)^2)</f>
        <v/>
      </c>
      <c r="AN878" s="125" t="n"/>
      <c r="AO878" s="125" t="n"/>
      <c r="AP878" s="125">
        <f>SQRT(((VLOOKUP($AT$4,$A$4:$R$1021,18,FALSE))-R878)^2)</f>
        <v/>
      </c>
      <c r="AQ878" s="125" t="inlineStr">
        <is>
          <t>HY650X122</t>
        </is>
      </c>
      <c r="BB878" s="125">
        <f>SQRT(($J$1022-J878)^2)</f>
        <v/>
      </c>
      <c r="BC878" s="125">
        <f>SQRT(($R$1022-R878)^2)</f>
        <v/>
      </c>
      <c r="BD878" s="125" t="inlineStr">
        <is>
          <t>HY650X122</t>
        </is>
      </c>
      <c r="BI878">
        <f>SQRT(($J$1023-J878)^2)</f>
        <v/>
      </c>
      <c r="BJ878">
        <f>SQRT(($R$1023-R878)^2)</f>
        <v/>
      </c>
      <c r="BK878" s="125" t="inlineStr">
        <is>
          <t>HY650X122</t>
        </is>
      </c>
      <c r="BP878">
        <f>SQRT(($J$1024-J878)^2)</f>
        <v/>
      </c>
      <c r="BQ878">
        <f>SQRT(($R$1024-R878)^2)</f>
        <v/>
      </c>
      <c r="BR878" s="125" t="inlineStr">
        <is>
          <t>HY650X122</t>
        </is>
      </c>
      <c r="BW878">
        <f>SQRT(($J$1025-J878)^2)</f>
        <v/>
      </c>
      <c r="BX878">
        <f>SQRT(($R$1025-R878)^2)</f>
        <v/>
      </c>
      <c r="BY878" s="125" t="inlineStr">
        <is>
          <t>HY650X122</t>
        </is>
      </c>
      <c r="CD878">
        <f>SQRT(($J$1026-J878)^2)</f>
        <v/>
      </c>
      <c r="CE878">
        <f>SQRT(($R$1026-R878)^2)</f>
        <v/>
      </c>
      <c r="CF878" s="125" t="inlineStr">
        <is>
          <t>HY650X122</t>
        </is>
      </c>
    </row>
    <row r="879">
      <c r="A879" s="125" t="inlineStr">
        <is>
          <t>HY650X145</t>
        </is>
      </c>
      <c r="B879" s="129" t="inlineStr">
        <is>
          <t>HY</t>
        </is>
      </c>
      <c r="C879" s="125" t="n">
        <v>145</v>
      </c>
      <c r="D879" s="125" t="n">
        <v>650</v>
      </c>
      <c r="E879" s="125" t="n">
        <v>200</v>
      </c>
      <c r="F879" s="125" t="n">
        <v>28</v>
      </c>
      <c r="G879" s="125" t="n">
        <v>12</v>
      </c>
      <c r="H879" s="125" t="n">
        <v>13</v>
      </c>
      <c r="I879" s="125">
        <f>D879-(2*(H879+F879))</f>
        <v/>
      </c>
      <c r="J879" s="125">
        <f>(2*E879/10*F879/10)+((D879-F879-F879)/10*G879/10)+((H879/10+H879/10)^2)-(PI()*H879/10*H879/10)</f>
        <v/>
      </c>
      <c r="K879" s="125">
        <f>((E879-G879)/2)/F879</f>
        <v/>
      </c>
      <c r="L879" s="125">
        <f>I879/G879</f>
        <v/>
      </c>
      <c r="M879" s="125">
        <f>(E879*2+F879*4+((E879-G879)/2-H879)*4+2*PI()*H879+(D879-2*F879-2*H879)*2)/1000</f>
        <v/>
      </c>
      <c r="N879" s="5" t="n">
        <v>131000</v>
      </c>
      <c r="O879" s="5" t="n">
        <v>3740</v>
      </c>
      <c r="P879" s="125" t="n">
        <v>26.6</v>
      </c>
      <c r="Q879" s="125" t="n">
        <v>4.5</v>
      </c>
      <c r="R879" s="5" t="n">
        <v>4020</v>
      </c>
      <c r="S879" s="125" t="n">
        <v>374</v>
      </c>
      <c r="T879" s="5" t="n">
        <v>4580</v>
      </c>
      <c r="U879" s="125" t="n">
        <v>583</v>
      </c>
      <c r="X879" s="129">
        <f t="array" ref="X879">_xlfn.IFS((D879/F879) &lt;= (640/SQRT($AT$32)), "Compact", L879 &lt;= ($AT$32*(0.79-(0.002*((E879-G879/2)/(2*F879))*SQRT($AT$32)))), "Non-Compact", L879 &gt; ($AT$32*(0.79-(0.002*((E879-G879/2)/(2*F879))*SQRT($AT$32)))), "Slender")</f>
        <v/>
      </c>
      <c r="Y879" s="129">
        <f t="array" ref="Y879">_xlfn.IFS(K879 &lt;= (65/SQRT($AT$32)), "Compact", K879 &lt;= (95/SQRT($AT$32)), "Non-Compact", K879 &gt; (95/SQRT($AT$32)), "Slender")</f>
        <v/>
      </c>
      <c r="Z879" s="125">
        <f>E879/F879</f>
        <v/>
      </c>
      <c r="AA879" s="125">
        <f>D879/G879</f>
        <v/>
      </c>
      <c r="AB879" s="125">
        <f t="array" ref="AB879">_xlfn.IFS(Z879 &lt;= 9, "1", Z879 &lt;= 12, "2", Z879 &lt;= 15, "3", Z879 &gt; 15, "4")</f>
        <v/>
      </c>
      <c r="AC879" s="125">
        <f t="array" ref="AC879">_xlfn.IFS(AA879 &lt;= 200, "1", L879 &lt;= 300, "2", L879 &lt;= 400, "3", L879 &gt; 400, "4")</f>
        <v/>
      </c>
      <c r="AF879" s="129">
        <f>SQRT((((VLOOKUP($AT$4,$A$4:$D$1021,4,FALSE))-D879)^2)+(((VLOOKUP($AT$4,$A$4:$E$1021,5,FALSE))-E879)^2)+(((VLOOKUP($AT$4,$A$4:$N$1021,14,FALSE))-N879)^2)+(((VLOOKUP($AT$4,$A$4:$O$1021,15,FALSE))-O879)^2))</f>
        <v/>
      </c>
      <c r="AG879" s="129" t="n"/>
      <c r="AI879" s="129">
        <f>SQRT((((VLOOKUP($AT$4,$A$4:$D$1021,4,FALSE))-D879)^2)+(((VLOOKUP($AT$4,$A$4:$E$1021,5,FALSE))-E879)^2)+(((VLOOKUP($AT$4,$A$4:$R$1021,18,FALSE))-R879)^2)+(((VLOOKUP($AT$4,$A$4:$S$1021,19,FALSE))-S879)^2))</f>
        <v/>
      </c>
      <c r="AJ879" s="125" t="inlineStr">
        <is>
          <t>HY650X145</t>
        </is>
      </c>
      <c r="AK879" s="125" t="n"/>
      <c r="AL879" s="125" t="n"/>
      <c r="AM879" s="125">
        <f>SQRT(((VLOOKUP($AT$4,$A$4:$J$1021,10,FALSE))-J879)^2)</f>
        <v/>
      </c>
      <c r="AN879" s="125" t="n"/>
      <c r="AO879" s="125" t="n"/>
      <c r="AP879" s="125">
        <f>SQRT(((VLOOKUP($AT$4,$A$4:$R$1021,18,FALSE))-R879)^2)</f>
        <v/>
      </c>
      <c r="AQ879" s="125" t="inlineStr">
        <is>
          <t>HY650X145</t>
        </is>
      </c>
      <c r="BB879" s="125">
        <f>SQRT(($J$1022-J879)^2)</f>
        <v/>
      </c>
      <c r="BC879" s="125">
        <f>SQRT(($R$1022-R879)^2)</f>
        <v/>
      </c>
      <c r="BD879" s="125" t="inlineStr">
        <is>
          <t>HY650X145</t>
        </is>
      </c>
      <c r="BI879">
        <f>SQRT(($J$1023-J879)^2)</f>
        <v/>
      </c>
      <c r="BJ879">
        <f>SQRT(($R$1023-R879)^2)</f>
        <v/>
      </c>
      <c r="BK879" s="125" t="inlineStr">
        <is>
          <t>HY650X145</t>
        </is>
      </c>
      <c r="BP879">
        <f>SQRT(($J$1024-J879)^2)</f>
        <v/>
      </c>
      <c r="BQ879">
        <f>SQRT(($R$1024-R879)^2)</f>
        <v/>
      </c>
      <c r="BR879" s="125" t="inlineStr">
        <is>
          <t>HY650X145</t>
        </is>
      </c>
      <c r="BW879">
        <f>SQRT(($J$1025-J879)^2)</f>
        <v/>
      </c>
      <c r="BX879">
        <f>SQRT(($R$1025-R879)^2)</f>
        <v/>
      </c>
      <c r="BY879" s="125" t="inlineStr">
        <is>
          <t>HY650X145</t>
        </is>
      </c>
      <c r="CD879">
        <f>SQRT(($J$1026-J879)^2)</f>
        <v/>
      </c>
      <c r="CE879">
        <f>SQRT(($R$1026-R879)^2)</f>
        <v/>
      </c>
      <c r="CF879" s="125" t="inlineStr">
        <is>
          <t>HY650X145</t>
        </is>
      </c>
    </row>
    <row r="880">
      <c r="A880" s="125" t="inlineStr">
        <is>
          <t>HY650X136</t>
        </is>
      </c>
      <c r="B880" s="129" t="inlineStr">
        <is>
          <t>HY</t>
        </is>
      </c>
      <c r="C880" s="125" t="n">
        <v>136</v>
      </c>
      <c r="D880" s="125" t="n">
        <v>650</v>
      </c>
      <c r="E880" s="125" t="n">
        <v>200</v>
      </c>
      <c r="F880" s="125" t="n">
        <v>25</v>
      </c>
      <c r="G880" s="125" t="n">
        <v>12</v>
      </c>
      <c r="H880" s="125" t="n">
        <v>13</v>
      </c>
      <c r="I880" s="125">
        <f>D880-(2*(H880+F880))</f>
        <v/>
      </c>
      <c r="J880" s="125">
        <f>(2*E880/10*F880/10)+((D880-F880-F880)/10*G880/10)+((H880/10+H880/10)^2)-(PI()*H880/10*H880/10)</f>
        <v/>
      </c>
      <c r="K880" s="125">
        <f>((E880-G880)/2)/F880</f>
        <v/>
      </c>
      <c r="L880" s="125">
        <f>I880/G880</f>
        <v/>
      </c>
      <c r="M880" s="125">
        <f>(E880*2+F880*4+((E880-G880)/2-H880)*4+2*PI()*H880+(D880-2*F880-2*H880)*2)/1000</f>
        <v/>
      </c>
      <c r="N880" s="5" t="n">
        <v>121000</v>
      </c>
      <c r="O880" s="5" t="n">
        <v>3340</v>
      </c>
      <c r="P880" s="125" t="n">
        <v>26.4</v>
      </c>
      <c r="Q880" s="125" t="n">
        <v>4.4</v>
      </c>
      <c r="R880" s="5" t="n">
        <v>3710</v>
      </c>
      <c r="S880" s="125" t="n">
        <v>334</v>
      </c>
      <c r="T880" s="5" t="n">
        <v>4250</v>
      </c>
      <c r="U880" s="125" t="n">
        <v>523</v>
      </c>
      <c r="X880" s="129">
        <f t="array" ref="X880">_xlfn.IFS((D880/F880) &lt;= (640/SQRT($AT$32)), "Compact", L880 &lt;= ($AT$32*(0.79-(0.002*((E880-G880/2)/(2*F880))*SQRT($AT$32)))), "Non-Compact", L880 &gt; ($AT$32*(0.79-(0.002*((E880-G880/2)/(2*F880))*SQRT($AT$32)))), "Slender")</f>
        <v/>
      </c>
      <c r="Y880" s="129">
        <f t="array" ref="Y880">_xlfn.IFS(K880 &lt;= (65/SQRT($AT$32)), "Compact", K880 &lt;= (95/SQRT($AT$32)), "Non-Compact", K880 &gt; (95/SQRT($AT$32)), "Slender")</f>
        <v/>
      </c>
      <c r="Z880" s="125">
        <f>E880/F880</f>
        <v/>
      </c>
      <c r="AA880" s="125">
        <f>D880/G880</f>
        <v/>
      </c>
      <c r="AB880" s="125">
        <f t="array" ref="AB880">_xlfn.IFS(Z880 &lt;= 9, "1", Z880 &lt;= 12, "2", Z880 &lt;= 15, "3", Z880 &gt; 15, "4")</f>
        <v/>
      </c>
      <c r="AC880" s="125">
        <f t="array" ref="AC880">_xlfn.IFS(AA880 &lt;= 200, "1", L880 &lt;= 300, "2", L880 &lt;= 400, "3", L880 &gt; 400, "4")</f>
        <v/>
      </c>
      <c r="AF880" s="129">
        <f>SQRT((((VLOOKUP($AT$4,$A$4:$D$1021,4,FALSE))-D880)^2)+(((VLOOKUP($AT$4,$A$4:$E$1021,5,FALSE))-E880)^2)+(((VLOOKUP($AT$4,$A$4:$N$1021,14,FALSE))-N880)^2)+(((VLOOKUP($AT$4,$A$4:$O$1021,15,FALSE))-O880)^2))</f>
        <v/>
      </c>
      <c r="AG880" s="129" t="n"/>
      <c r="AI880" s="129">
        <f>SQRT((((VLOOKUP($AT$4,$A$4:$D$1021,4,FALSE))-D880)^2)+(((VLOOKUP($AT$4,$A$4:$E$1021,5,FALSE))-E880)^2)+(((VLOOKUP($AT$4,$A$4:$R$1021,18,FALSE))-R880)^2)+(((VLOOKUP($AT$4,$A$4:$S$1021,19,FALSE))-S880)^2))</f>
        <v/>
      </c>
      <c r="AJ880" s="125" t="inlineStr">
        <is>
          <t>HY650X136</t>
        </is>
      </c>
      <c r="AK880" s="125" t="n"/>
      <c r="AL880" s="125" t="n"/>
      <c r="AM880" s="125">
        <f>SQRT(((VLOOKUP($AT$4,$A$4:$J$1021,10,FALSE))-J880)^2)</f>
        <v/>
      </c>
      <c r="AN880" s="125" t="n"/>
      <c r="AO880" s="125" t="n"/>
      <c r="AP880" s="125">
        <f>SQRT(((VLOOKUP($AT$4,$A$4:$R$1021,18,FALSE))-R880)^2)</f>
        <v/>
      </c>
      <c r="AQ880" s="125" t="inlineStr">
        <is>
          <t>HY650X136</t>
        </is>
      </c>
      <c r="BB880" s="125">
        <f>SQRT(($J$1022-J880)^2)</f>
        <v/>
      </c>
      <c r="BC880" s="125">
        <f>SQRT(($R$1022-R880)^2)</f>
        <v/>
      </c>
      <c r="BD880" s="125" t="inlineStr">
        <is>
          <t>HY650X136</t>
        </is>
      </c>
      <c r="BI880">
        <f>SQRT(($J$1023-J880)^2)</f>
        <v/>
      </c>
      <c r="BJ880">
        <f>SQRT(($R$1023-R880)^2)</f>
        <v/>
      </c>
      <c r="BK880" s="125" t="inlineStr">
        <is>
          <t>HY650X136</t>
        </is>
      </c>
      <c r="BP880">
        <f>SQRT(($J$1024-J880)^2)</f>
        <v/>
      </c>
      <c r="BQ880">
        <f>SQRT(($R$1024-R880)^2)</f>
        <v/>
      </c>
      <c r="BR880" s="125" t="inlineStr">
        <is>
          <t>HY650X136</t>
        </is>
      </c>
      <c r="BW880">
        <f>SQRT(($J$1025-J880)^2)</f>
        <v/>
      </c>
      <c r="BX880">
        <f>SQRT(($R$1025-R880)^2)</f>
        <v/>
      </c>
      <c r="BY880" s="125" t="inlineStr">
        <is>
          <t>HY650X136</t>
        </is>
      </c>
      <c r="CD880">
        <f>SQRT(($J$1026-J880)^2)</f>
        <v/>
      </c>
      <c r="CE880">
        <f>SQRT(($R$1026-R880)^2)</f>
        <v/>
      </c>
      <c r="CF880" s="125" t="inlineStr">
        <is>
          <t>HY650X136</t>
        </is>
      </c>
    </row>
    <row r="881">
      <c r="A881" s="125" t="inlineStr">
        <is>
          <t>HY650X127</t>
        </is>
      </c>
      <c r="B881" s="129" t="inlineStr">
        <is>
          <t>HY</t>
        </is>
      </c>
      <c r="C881" s="125" t="n">
        <v>127</v>
      </c>
      <c r="D881" s="125" t="n">
        <v>650</v>
      </c>
      <c r="E881" s="125" t="n">
        <v>200</v>
      </c>
      <c r="F881" s="125" t="n">
        <v>22</v>
      </c>
      <c r="G881" s="125" t="n">
        <v>12</v>
      </c>
      <c r="H881" s="125" t="n">
        <v>13</v>
      </c>
      <c r="I881" s="125">
        <f>D881-(2*(H881+F881))</f>
        <v/>
      </c>
      <c r="J881" s="125">
        <f>(2*E881/10*F881/10)+((D881-F881-F881)/10*G881/10)+((H881/10+H881/10)^2)-(PI()*H881/10*H881/10)</f>
        <v/>
      </c>
      <c r="K881" s="125">
        <f>((E881-G881)/2)/F881</f>
        <v/>
      </c>
      <c r="L881" s="125">
        <f>I881/G881</f>
        <v/>
      </c>
      <c r="M881" s="125">
        <f>(E881*2+F881*4+((E881-G881)/2-H881)*4+2*PI()*H881+(D881-2*F881-2*H881)*2)/1000</f>
        <v/>
      </c>
      <c r="N881" s="5" t="n">
        <v>110000</v>
      </c>
      <c r="O881" s="5" t="n">
        <v>2940</v>
      </c>
      <c r="P881" s="125" t="n">
        <v>26.1</v>
      </c>
      <c r="Q881" s="125" t="n">
        <v>4.3</v>
      </c>
      <c r="R881" s="5" t="n">
        <v>3400</v>
      </c>
      <c r="S881" s="125" t="n">
        <v>294</v>
      </c>
      <c r="T881" s="5" t="n">
        <v>3910</v>
      </c>
      <c r="U881" s="125" t="n">
        <v>463</v>
      </c>
      <c r="X881" s="129">
        <f t="array" ref="X881">_xlfn.IFS((D881/F881) &lt;= (640/SQRT($AT$32)), "Compact", L881 &lt;= ($AT$32*(0.79-(0.002*((E881-G881/2)/(2*F881))*SQRT($AT$32)))), "Non-Compact", L881 &gt; ($AT$32*(0.79-(0.002*((E881-G881/2)/(2*F881))*SQRT($AT$32)))), "Slender")</f>
        <v/>
      </c>
      <c r="Y881" s="129">
        <f t="array" ref="Y881">_xlfn.IFS(K881 &lt;= (65/SQRT($AT$32)), "Compact", K881 &lt;= (95/SQRT($AT$32)), "Non-Compact", K881 &gt; (95/SQRT($AT$32)), "Slender")</f>
        <v/>
      </c>
      <c r="Z881" s="125">
        <f>E881/F881</f>
        <v/>
      </c>
      <c r="AA881" s="125">
        <f>D881/G881</f>
        <v/>
      </c>
      <c r="AB881" s="125">
        <f t="array" ref="AB881">_xlfn.IFS(Z881 &lt;= 9, "1", Z881 &lt;= 12, "2", Z881 &lt;= 15, "3", Z881 &gt; 15, "4")</f>
        <v/>
      </c>
      <c r="AC881" s="125">
        <f t="array" ref="AC881">_xlfn.IFS(AA881 &lt;= 200, "1", L881 &lt;= 300, "2", L881 &lt;= 400, "3", L881 &gt; 400, "4")</f>
        <v/>
      </c>
      <c r="AF881" s="129">
        <f>SQRT((((VLOOKUP($AT$4,$A$4:$D$1021,4,FALSE))-D881)^2)+(((VLOOKUP($AT$4,$A$4:$E$1021,5,FALSE))-E881)^2)+(((VLOOKUP($AT$4,$A$4:$N$1021,14,FALSE))-N881)^2)+(((VLOOKUP($AT$4,$A$4:$O$1021,15,FALSE))-O881)^2))</f>
        <v/>
      </c>
      <c r="AG881" s="129" t="n"/>
      <c r="AI881" s="129">
        <f>SQRT((((VLOOKUP($AT$4,$A$4:$D$1021,4,FALSE))-D881)^2)+(((VLOOKUP($AT$4,$A$4:$E$1021,5,FALSE))-E881)^2)+(((VLOOKUP($AT$4,$A$4:$R$1021,18,FALSE))-R881)^2)+(((VLOOKUP($AT$4,$A$4:$S$1021,19,FALSE))-S881)^2))</f>
        <v/>
      </c>
      <c r="AJ881" s="125" t="inlineStr">
        <is>
          <t>HY650X127</t>
        </is>
      </c>
      <c r="AK881" s="125" t="n"/>
      <c r="AL881" s="125" t="n"/>
      <c r="AM881" s="125">
        <f>SQRT(((VLOOKUP($AT$4,$A$4:$J$1021,10,FALSE))-J881)^2)</f>
        <v/>
      </c>
      <c r="AN881" s="125" t="n"/>
      <c r="AO881" s="125" t="n"/>
      <c r="AP881" s="125">
        <f>SQRT(((VLOOKUP($AT$4,$A$4:$R$1021,18,FALSE))-R881)^2)</f>
        <v/>
      </c>
      <c r="AQ881" s="125" t="inlineStr">
        <is>
          <t>HY650X127</t>
        </is>
      </c>
      <c r="BB881" s="125">
        <f>SQRT(($J$1022-J881)^2)</f>
        <v/>
      </c>
      <c r="BC881" s="125">
        <f>SQRT(($R$1022-R881)^2)</f>
        <v/>
      </c>
      <c r="BD881" s="125" t="inlineStr">
        <is>
          <t>HY650X127</t>
        </is>
      </c>
      <c r="BI881">
        <f>SQRT(($J$1023-J881)^2)</f>
        <v/>
      </c>
      <c r="BJ881">
        <f>SQRT(($R$1023-R881)^2)</f>
        <v/>
      </c>
      <c r="BK881" s="125" t="inlineStr">
        <is>
          <t>HY650X127</t>
        </is>
      </c>
      <c r="BP881">
        <f>SQRT(($J$1024-J881)^2)</f>
        <v/>
      </c>
      <c r="BQ881">
        <f>SQRT(($R$1024-R881)^2)</f>
        <v/>
      </c>
      <c r="BR881" s="125" t="inlineStr">
        <is>
          <t>HY650X127</t>
        </is>
      </c>
      <c r="BW881">
        <f>SQRT(($J$1025-J881)^2)</f>
        <v/>
      </c>
      <c r="BX881">
        <f>SQRT(($R$1025-R881)^2)</f>
        <v/>
      </c>
      <c r="BY881" s="125" t="inlineStr">
        <is>
          <t>HY650X127</t>
        </is>
      </c>
      <c r="CD881">
        <f>SQRT(($J$1026-J881)^2)</f>
        <v/>
      </c>
      <c r="CE881">
        <f>SQRT(($R$1026-R881)^2)</f>
        <v/>
      </c>
      <c r="CF881" s="125" t="inlineStr">
        <is>
          <t>HY650X127</t>
        </is>
      </c>
    </row>
    <row r="882">
      <c r="A882" s="125" t="inlineStr">
        <is>
          <t>HY650X118</t>
        </is>
      </c>
      <c r="B882" s="129" t="inlineStr">
        <is>
          <t>HY</t>
        </is>
      </c>
      <c r="C882" s="125" t="n">
        <v>118</v>
      </c>
      <c r="D882" s="125" t="n">
        <v>650</v>
      </c>
      <c r="E882" s="125" t="n">
        <v>200</v>
      </c>
      <c r="F882" s="125" t="n">
        <v>19</v>
      </c>
      <c r="G882" s="125" t="n">
        <v>12</v>
      </c>
      <c r="H882" s="125" t="n">
        <v>13</v>
      </c>
      <c r="I882" s="125">
        <f>D882-(2*(H882+F882))</f>
        <v/>
      </c>
      <c r="J882" s="125">
        <f>(2*E882/10*F882/10)+((D882-F882-F882)/10*G882/10)+((H882/10+H882/10)^2)-(PI()*H882/10*H882/10)</f>
        <v/>
      </c>
      <c r="K882" s="125">
        <f>((E882-G882)/2)/F882</f>
        <v/>
      </c>
      <c r="L882" s="125">
        <f>I882/G882</f>
        <v/>
      </c>
      <c r="M882" s="125">
        <f>(E882*2+F882*4+((E882-G882)/2-H882)*4+2*PI()*H882+(D882-2*F882-2*H882)*2)/1000</f>
        <v/>
      </c>
      <c r="N882" s="5" t="n">
        <v>99900</v>
      </c>
      <c r="O882" s="5" t="n">
        <v>2540</v>
      </c>
      <c r="P882" s="125" t="n">
        <v>25.7</v>
      </c>
      <c r="Q882" s="125" t="n">
        <v>4.1</v>
      </c>
      <c r="R882" s="5" t="n">
        <v>3070</v>
      </c>
      <c r="S882" s="125" t="n">
        <v>254</v>
      </c>
      <c r="T882" s="5" t="n">
        <v>3570</v>
      </c>
      <c r="U882" s="125" t="n">
        <v>403</v>
      </c>
      <c r="X882" s="129">
        <f t="array" ref="X882">_xlfn.IFS((D882/F882) &lt;= (640/SQRT($AT$32)), "Compact", L882 &lt;= ($AT$32*(0.79-(0.002*((E882-G882/2)/(2*F882))*SQRT($AT$32)))), "Non-Compact", L882 &gt; ($AT$32*(0.79-(0.002*((E882-G882/2)/(2*F882))*SQRT($AT$32)))), "Slender")</f>
        <v/>
      </c>
      <c r="Y882" s="129">
        <f t="array" ref="Y882">_xlfn.IFS(K882 &lt;= (65/SQRT($AT$32)), "Compact", K882 &lt;= (95/SQRT($AT$32)), "Non-Compact", K882 &gt; (95/SQRT($AT$32)), "Slender")</f>
        <v/>
      </c>
      <c r="Z882" s="125">
        <f>E882/F882</f>
        <v/>
      </c>
      <c r="AA882" s="125">
        <f>D882/G882</f>
        <v/>
      </c>
      <c r="AB882" s="125">
        <f t="array" ref="AB882">_xlfn.IFS(Z882 &lt;= 9, "1", Z882 &lt;= 12, "2", Z882 &lt;= 15, "3", Z882 &gt; 15, "4")</f>
        <v/>
      </c>
      <c r="AC882" s="125">
        <f t="array" ref="AC882">_xlfn.IFS(AA882 &lt;= 200, "1", L882 &lt;= 300, "2", L882 &lt;= 400, "3", L882 &gt; 400, "4")</f>
        <v/>
      </c>
      <c r="AF882" s="129">
        <f>SQRT((((VLOOKUP($AT$4,$A$4:$D$1021,4,FALSE))-D882)^2)+(((VLOOKUP($AT$4,$A$4:$E$1021,5,FALSE))-E882)^2)+(((VLOOKUP($AT$4,$A$4:$N$1021,14,FALSE))-N882)^2)+(((VLOOKUP($AT$4,$A$4:$O$1021,15,FALSE))-O882)^2))</f>
        <v/>
      </c>
      <c r="AG882" s="129" t="n"/>
      <c r="AI882" s="129">
        <f>SQRT((((VLOOKUP($AT$4,$A$4:$D$1021,4,FALSE))-D882)^2)+(((VLOOKUP($AT$4,$A$4:$E$1021,5,FALSE))-E882)^2)+(((VLOOKUP($AT$4,$A$4:$R$1021,18,FALSE))-R882)^2)+(((VLOOKUP($AT$4,$A$4:$S$1021,19,FALSE))-S882)^2))</f>
        <v/>
      </c>
      <c r="AJ882" s="125" t="inlineStr">
        <is>
          <t>HY650X118</t>
        </is>
      </c>
      <c r="AK882" s="125" t="n"/>
      <c r="AL882" s="125" t="n"/>
      <c r="AM882" s="125">
        <f>SQRT(((VLOOKUP($AT$4,$A$4:$J$1021,10,FALSE))-J882)^2)</f>
        <v/>
      </c>
      <c r="AN882" s="125" t="n"/>
      <c r="AO882" s="125" t="n"/>
      <c r="AP882" s="125">
        <f>SQRT(((VLOOKUP($AT$4,$A$4:$R$1021,18,FALSE))-R882)^2)</f>
        <v/>
      </c>
      <c r="AQ882" s="125" t="inlineStr">
        <is>
          <t>HY650X118</t>
        </is>
      </c>
      <c r="BB882" s="125">
        <f>SQRT(($J$1022-J882)^2)</f>
        <v/>
      </c>
      <c r="BC882" s="125">
        <f>SQRT(($R$1022-R882)^2)</f>
        <v/>
      </c>
      <c r="BD882" s="125" t="inlineStr">
        <is>
          <t>HY650X118</t>
        </is>
      </c>
      <c r="BI882">
        <f>SQRT(($J$1023-J882)^2)</f>
        <v/>
      </c>
      <c r="BJ882">
        <f>SQRT(($R$1023-R882)^2)</f>
        <v/>
      </c>
      <c r="BK882" s="125" t="inlineStr">
        <is>
          <t>HY650X118</t>
        </is>
      </c>
      <c r="BP882">
        <f>SQRT(($J$1024-J882)^2)</f>
        <v/>
      </c>
      <c r="BQ882">
        <f>SQRT(($R$1024-R882)^2)</f>
        <v/>
      </c>
      <c r="BR882" s="125" t="inlineStr">
        <is>
          <t>HY650X118</t>
        </is>
      </c>
      <c r="BW882">
        <f>SQRT(($J$1025-J882)^2)</f>
        <v/>
      </c>
      <c r="BX882">
        <f>SQRT(($R$1025-R882)^2)</f>
        <v/>
      </c>
      <c r="BY882" s="125" t="inlineStr">
        <is>
          <t>HY650X118</t>
        </is>
      </c>
      <c r="CD882">
        <f>SQRT(($J$1026-J882)^2)</f>
        <v/>
      </c>
      <c r="CE882">
        <f>SQRT(($R$1026-R882)^2)</f>
        <v/>
      </c>
      <c r="CF882" s="125" t="inlineStr">
        <is>
          <t>HY650X118</t>
        </is>
      </c>
    </row>
    <row r="883">
      <c r="A883" s="125" t="inlineStr">
        <is>
          <t>HY650X110</t>
        </is>
      </c>
      <c r="B883" s="129" t="inlineStr">
        <is>
          <t>HY</t>
        </is>
      </c>
      <c r="C883" s="125" t="n">
        <v>110</v>
      </c>
      <c r="D883" s="125" t="n">
        <v>650</v>
      </c>
      <c r="E883" s="125" t="n">
        <v>200</v>
      </c>
      <c r="F883" s="125" t="n">
        <v>16</v>
      </c>
      <c r="G883" s="125" t="n">
        <v>12</v>
      </c>
      <c r="H883" s="125" t="n">
        <v>13</v>
      </c>
      <c r="I883" s="125">
        <f>D883-(2*(H883+F883))</f>
        <v/>
      </c>
      <c r="J883" s="125">
        <f>(2*E883/10*F883/10)+((D883-F883-F883)/10*G883/10)+((H883/10+H883/10)^2)-(PI()*H883/10*H883/10)</f>
        <v/>
      </c>
      <c r="K883" s="125">
        <f>((E883-G883)/2)/F883</f>
        <v/>
      </c>
      <c r="L883" s="125">
        <f>I883/G883</f>
        <v/>
      </c>
      <c r="M883" s="125">
        <f>(E883*2+F883*4+((E883-G883)/2-H883)*4+2*PI()*H883+(D883-2*F883-2*H883)*2)/1000</f>
        <v/>
      </c>
      <c r="N883" s="5" t="n">
        <v>89300</v>
      </c>
      <c r="O883" s="5" t="n">
        <v>2140</v>
      </c>
      <c r="P883" s="125" t="n">
        <v>25.3</v>
      </c>
      <c r="Q883" s="125" t="n">
        <v>3.9</v>
      </c>
      <c r="R883" s="5" t="n">
        <v>2750</v>
      </c>
      <c r="S883" s="125" t="n">
        <v>214</v>
      </c>
      <c r="T883" s="5" t="n">
        <v>3220</v>
      </c>
      <c r="U883" s="125" t="n">
        <v>344</v>
      </c>
      <c r="X883" s="129">
        <f t="array" ref="X883">_xlfn.IFS((D883/F883) &lt;= (640/SQRT($AT$32)), "Compact", L883 &lt;= ($AT$32*(0.79-(0.002*((E883-G883/2)/(2*F883))*SQRT($AT$32)))), "Non-Compact", L883 &gt; ($AT$32*(0.79-(0.002*((E883-G883/2)/(2*F883))*SQRT($AT$32)))), "Slender")</f>
        <v/>
      </c>
      <c r="Y883" s="129">
        <f t="array" ref="Y883">_xlfn.IFS(K883 &lt;= (65/SQRT($AT$32)), "Compact", K883 &lt;= (95/SQRT($AT$32)), "Non-Compact", K883 &gt; (95/SQRT($AT$32)), "Slender")</f>
        <v/>
      </c>
      <c r="Z883" s="125">
        <f>E883/F883</f>
        <v/>
      </c>
      <c r="AA883" s="125">
        <f>D883/G883</f>
        <v/>
      </c>
      <c r="AB883" s="125">
        <f t="array" ref="AB883">_xlfn.IFS(Z883 &lt;= 9, "1", Z883 &lt;= 12, "2", Z883 &lt;= 15, "3", Z883 &gt; 15, "4")</f>
        <v/>
      </c>
      <c r="AC883" s="125">
        <f t="array" ref="AC883">_xlfn.IFS(AA883 &lt;= 200, "1", L883 &lt;= 300, "2", L883 &lt;= 400, "3", L883 &gt; 400, "4")</f>
        <v/>
      </c>
      <c r="AF883" s="129">
        <f>SQRT((((VLOOKUP($AT$4,$A$4:$D$1021,4,FALSE))-D883)^2)+(((VLOOKUP($AT$4,$A$4:$E$1021,5,FALSE))-E883)^2)+(((VLOOKUP($AT$4,$A$4:$N$1021,14,FALSE))-N883)^2)+(((VLOOKUP($AT$4,$A$4:$O$1021,15,FALSE))-O883)^2))</f>
        <v/>
      </c>
      <c r="AG883" s="129" t="n"/>
      <c r="AI883" s="129">
        <f>SQRT((((VLOOKUP($AT$4,$A$4:$D$1021,4,FALSE))-D883)^2)+(((VLOOKUP($AT$4,$A$4:$E$1021,5,FALSE))-E883)^2)+(((VLOOKUP($AT$4,$A$4:$R$1021,18,FALSE))-R883)^2)+(((VLOOKUP($AT$4,$A$4:$S$1021,19,FALSE))-S883)^2))</f>
        <v/>
      </c>
      <c r="AJ883" s="125" t="inlineStr">
        <is>
          <t>HY650X110</t>
        </is>
      </c>
      <c r="AK883" s="125" t="n"/>
      <c r="AL883" s="125" t="n"/>
      <c r="AM883" s="125">
        <f>SQRT(((VLOOKUP($AT$4,$A$4:$J$1021,10,FALSE))-J883)^2)</f>
        <v/>
      </c>
      <c r="AN883" s="125" t="n"/>
      <c r="AO883" s="125" t="n"/>
      <c r="AP883" s="125">
        <f>SQRT(((VLOOKUP($AT$4,$A$4:$R$1021,18,FALSE))-R883)^2)</f>
        <v/>
      </c>
      <c r="AQ883" s="125" t="inlineStr">
        <is>
          <t>HY650X110</t>
        </is>
      </c>
      <c r="BB883" s="125">
        <f>SQRT(($J$1022-J883)^2)</f>
        <v/>
      </c>
      <c r="BC883" s="125">
        <f>SQRT(($R$1022-R883)^2)</f>
        <v/>
      </c>
      <c r="BD883" s="125" t="inlineStr">
        <is>
          <t>HY650X110</t>
        </is>
      </c>
      <c r="BI883">
        <f>SQRT(($J$1023-J883)^2)</f>
        <v/>
      </c>
      <c r="BJ883">
        <f>SQRT(($R$1023-R883)^2)</f>
        <v/>
      </c>
      <c r="BK883" s="125" t="inlineStr">
        <is>
          <t>HY650X110</t>
        </is>
      </c>
      <c r="BP883">
        <f>SQRT(($J$1024-J883)^2)</f>
        <v/>
      </c>
      <c r="BQ883">
        <f>SQRT(($R$1024-R883)^2)</f>
        <v/>
      </c>
      <c r="BR883" s="125" t="inlineStr">
        <is>
          <t>HY650X110</t>
        </is>
      </c>
      <c r="BW883">
        <f>SQRT(($J$1025-J883)^2)</f>
        <v/>
      </c>
      <c r="BX883">
        <f>SQRT(($R$1025-R883)^2)</f>
        <v/>
      </c>
      <c r="BY883" s="125" t="inlineStr">
        <is>
          <t>HY650X110</t>
        </is>
      </c>
      <c r="CD883">
        <f>SQRT(($J$1026-J883)^2)</f>
        <v/>
      </c>
      <c r="CE883">
        <f>SQRT(($R$1026-R883)^2)</f>
        <v/>
      </c>
      <c r="CF883" s="125" t="inlineStr">
        <is>
          <t>HY650X110</t>
        </is>
      </c>
    </row>
    <row r="884">
      <c r="A884" s="125" t="inlineStr">
        <is>
          <t>HY650X113</t>
        </is>
      </c>
      <c r="B884" s="129" t="inlineStr">
        <is>
          <t>HY</t>
        </is>
      </c>
      <c r="C884" s="125" t="n">
        <v>113</v>
      </c>
      <c r="D884" s="125" t="n">
        <v>650</v>
      </c>
      <c r="E884" s="125" t="n">
        <v>200</v>
      </c>
      <c r="F884" s="125" t="n">
        <v>22</v>
      </c>
      <c r="G884" s="125" t="n">
        <v>9</v>
      </c>
      <c r="H884" s="125" t="n">
        <v>13</v>
      </c>
      <c r="I884" s="125">
        <f>D884-(2*(H884+F884))</f>
        <v/>
      </c>
      <c r="J884" s="125">
        <f>(2*E884/10*F884/10)+((D884-F884-F884)/10*G884/10)+((H884/10+H884/10)^2)-(PI()*H884/10*H884/10)</f>
        <v/>
      </c>
      <c r="K884" s="125">
        <f>((E884-G884)/2)/F884</f>
        <v/>
      </c>
      <c r="L884" s="125">
        <f>I884/G884</f>
        <v/>
      </c>
      <c r="M884" s="125">
        <f>(E884*2+F884*4+((E884-G884)/2-H884)*4+2*PI()*H884+(D884-2*F884-2*H884)*2)/1000</f>
        <v/>
      </c>
      <c r="N884" s="5" t="n">
        <v>105000</v>
      </c>
      <c r="O884" s="5" t="n">
        <v>2940</v>
      </c>
      <c r="P884" s="125" t="n">
        <v>27</v>
      </c>
      <c r="Q884" s="125" t="n">
        <v>4.5</v>
      </c>
      <c r="R884" s="5" t="n">
        <v>3220</v>
      </c>
      <c r="S884" s="125" t="n">
        <v>294</v>
      </c>
      <c r="T884" s="5" t="n">
        <v>3630</v>
      </c>
      <c r="U884" s="125" t="n">
        <v>453</v>
      </c>
      <c r="X884" s="129">
        <f t="array" ref="X884">_xlfn.IFS((D884/F884) &lt;= (640/SQRT($AT$32)), "Compact", L884 &lt;= ($AT$32*(0.79-(0.002*((E884-G884/2)/(2*F884))*SQRT($AT$32)))), "Non-Compact", L884 &gt; ($AT$32*(0.79-(0.002*((E884-G884/2)/(2*F884))*SQRT($AT$32)))), "Slender")</f>
        <v/>
      </c>
      <c r="Y884" s="129">
        <f t="array" ref="Y884">_xlfn.IFS(K884 &lt;= (65/SQRT($AT$32)), "Compact", K884 &lt;= (95/SQRT($AT$32)), "Non-Compact", K884 &gt; (95/SQRT($AT$32)), "Slender")</f>
        <v/>
      </c>
      <c r="Z884" s="125">
        <f>E884/F884</f>
        <v/>
      </c>
      <c r="AA884" s="125">
        <f>D884/G884</f>
        <v/>
      </c>
      <c r="AB884" s="125">
        <f t="array" ref="AB884">_xlfn.IFS(Z884 &lt;= 9, "1", Z884 &lt;= 12, "2", Z884 &lt;= 15, "3", Z884 &gt; 15, "4")</f>
        <v/>
      </c>
      <c r="AC884" s="125">
        <f t="array" ref="AC884">_xlfn.IFS(AA884 &lt;= 200, "1", L884 &lt;= 300, "2", L884 &lt;= 400, "3", L884 &gt; 400, "4")</f>
        <v/>
      </c>
      <c r="AF884" s="129">
        <f>SQRT((((VLOOKUP($AT$4,$A$4:$D$1021,4,FALSE))-D884)^2)+(((VLOOKUP($AT$4,$A$4:$E$1021,5,FALSE))-E884)^2)+(((VLOOKUP($AT$4,$A$4:$N$1021,14,FALSE))-N884)^2)+(((VLOOKUP($AT$4,$A$4:$O$1021,15,FALSE))-O884)^2))</f>
        <v/>
      </c>
      <c r="AG884" s="129" t="n"/>
      <c r="AI884" s="129">
        <f>SQRT((((VLOOKUP($AT$4,$A$4:$D$1021,4,FALSE))-D884)^2)+(((VLOOKUP($AT$4,$A$4:$E$1021,5,FALSE))-E884)^2)+(((VLOOKUP($AT$4,$A$4:$R$1021,18,FALSE))-R884)^2)+(((VLOOKUP($AT$4,$A$4:$S$1021,19,FALSE))-S884)^2))</f>
        <v/>
      </c>
      <c r="AJ884" s="125" t="inlineStr">
        <is>
          <t>HY650X113</t>
        </is>
      </c>
      <c r="AK884" s="125" t="n"/>
      <c r="AL884" s="125" t="n"/>
      <c r="AM884" s="125">
        <f>SQRT(((VLOOKUP($AT$4,$A$4:$J$1021,10,FALSE))-J884)^2)</f>
        <v/>
      </c>
      <c r="AN884" s="125" t="n"/>
      <c r="AO884" s="125" t="n"/>
      <c r="AP884" s="125">
        <f>SQRT(((VLOOKUP($AT$4,$A$4:$R$1021,18,FALSE))-R884)^2)</f>
        <v/>
      </c>
      <c r="AQ884" s="125" t="inlineStr">
        <is>
          <t>HY650X113</t>
        </is>
      </c>
      <c r="BB884" s="125">
        <f>SQRT(($J$1022-J884)^2)</f>
        <v/>
      </c>
      <c r="BC884" s="125">
        <f>SQRT(($R$1022-R884)^2)</f>
        <v/>
      </c>
      <c r="BD884" s="125" t="inlineStr">
        <is>
          <t>HY650X113</t>
        </is>
      </c>
      <c r="BI884">
        <f>SQRT(($J$1023-J884)^2)</f>
        <v/>
      </c>
      <c r="BJ884">
        <f>SQRT(($R$1023-R884)^2)</f>
        <v/>
      </c>
      <c r="BK884" s="125" t="inlineStr">
        <is>
          <t>HY650X113</t>
        </is>
      </c>
      <c r="BP884">
        <f>SQRT(($J$1024-J884)^2)</f>
        <v/>
      </c>
      <c r="BQ884">
        <f>SQRT(($R$1024-R884)^2)</f>
        <v/>
      </c>
      <c r="BR884" s="125" t="inlineStr">
        <is>
          <t>HY650X113</t>
        </is>
      </c>
      <c r="BW884">
        <f>SQRT(($J$1025-J884)^2)</f>
        <v/>
      </c>
      <c r="BX884">
        <f>SQRT(($R$1025-R884)^2)</f>
        <v/>
      </c>
      <c r="BY884" s="125" t="inlineStr">
        <is>
          <t>HY650X113</t>
        </is>
      </c>
      <c r="CD884">
        <f>SQRT(($J$1026-J884)^2)</f>
        <v/>
      </c>
      <c r="CE884">
        <f>SQRT(($R$1026-R884)^2)</f>
        <v/>
      </c>
      <c r="CF884" s="125" t="inlineStr">
        <is>
          <t>HY650X113</t>
        </is>
      </c>
    </row>
    <row r="885">
      <c r="A885" s="125" t="inlineStr">
        <is>
          <t>HY650X104</t>
        </is>
      </c>
      <c r="B885" s="129" t="inlineStr">
        <is>
          <t>HY</t>
        </is>
      </c>
      <c r="C885" s="125" t="n">
        <v>104</v>
      </c>
      <c r="D885" s="125" t="n">
        <v>650</v>
      </c>
      <c r="E885" s="125" t="n">
        <v>200</v>
      </c>
      <c r="F885" s="125" t="n">
        <v>19</v>
      </c>
      <c r="G885" s="125" t="n">
        <v>9</v>
      </c>
      <c r="H885" s="125" t="n">
        <v>13</v>
      </c>
      <c r="I885" s="125">
        <f>D885-(2*(H885+F885))</f>
        <v/>
      </c>
      <c r="J885" s="125">
        <f>(2*E885/10*F885/10)+((D885-F885-F885)/10*G885/10)+((H885/10+H885/10)^2)-(PI()*H885/10*H885/10)</f>
        <v/>
      </c>
      <c r="K885" s="125">
        <f>((E885-G885)/2)/F885</f>
        <v/>
      </c>
      <c r="L885" s="125">
        <f>I885/G885</f>
        <v/>
      </c>
      <c r="M885" s="125">
        <f>(E885*2+F885*4+((E885-G885)/2-H885)*4+2*PI()*H885+(D885-2*F885-2*H885)*2)/1000</f>
        <v/>
      </c>
      <c r="N885" s="5" t="n">
        <v>94200</v>
      </c>
      <c r="O885" s="5" t="n">
        <v>2540</v>
      </c>
      <c r="P885" s="125" t="n">
        <v>26.7</v>
      </c>
      <c r="Q885" s="125" t="n">
        <v>4.4</v>
      </c>
      <c r="R885" s="5" t="n">
        <v>2900</v>
      </c>
      <c r="S885" s="125" t="n">
        <v>254</v>
      </c>
      <c r="T885" s="5" t="n">
        <v>3280</v>
      </c>
      <c r="U885" s="125" t="n">
        <v>393</v>
      </c>
      <c r="X885" s="129">
        <f t="array" ref="X885">_xlfn.IFS((D885/F885) &lt;= (640/SQRT($AT$32)), "Compact", L885 &lt;= ($AT$32*(0.79-(0.002*((E885-G885/2)/(2*F885))*SQRT($AT$32)))), "Non-Compact", L885 &gt; ($AT$32*(0.79-(0.002*((E885-G885/2)/(2*F885))*SQRT($AT$32)))), "Slender")</f>
        <v/>
      </c>
      <c r="Y885" s="129">
        <f t="array" ref="Y885">_xlfn.IFS(K885 &lt;= (65/SQRT($AT$32)), "Compact", K885 &lt;= (95/SQRT($AT$32)), "Non-Compact", K885 &gt; (95/SQRT($AT$32)), "Slender")</f>
        <v/>
      </c>
      <c r="Z885" s="125">
        <f>E885/F885</f>
        <v/>
      </c>
      <c r="AA885" s="125">
        <f>D885/G885</f>
        <v/>
      </c>
      <c r="AB885" s="125">
        <f t="array" ref="AB885">_xlfn.IFS(Z885 &lt;= 9, "1", Z885 &lt;= 12, "2", Z885 &lt;= 15, "3", Z885 &gt; 15, "4")</f>
        <v/>
      </c>
      <c r="AC885" s="125">
        <f t="array" ref="AC885">_xlfn.IFS(AA885 &lt;= 200, "1", L885 &lt;= 300, "2", L885 &lt;= 400, "3", L885 &gt; 400, "4")</f>
        <v/>
      </c>
      <c r="AF885" s="129">
        <f>SQRT((((VLOOKUP($AT$4,$A$4:$D$1021,4,FALSE))-D885)^2)+(((VLOOKUP($AT$4,$A$4:$E$1021,5,FALSE))-E885)^2)+(((VLOOKUP($AT$4,$A$4:$N$1021,14,FALSE))-N885)^2)+(((VLOOKUP($AT$4,$A$4:$O$1021,15,FALSE))-O885)^2))</f>
        <v/>
      </c>
      <c r="AG885" s="129" t="n"/>
      <c r="AI885" s="129">
        <f>SQRT((((VLOOKUP($AT$4,$A$4:$D$1021,4,FALSE))-D885)^2)+(((VLOOKUP($AT$4,$A$4:$E$1021,5,FALSE))-E885)^2)+(((VLOOKUP($AT$4,$A$4:$R$1021,18,FALSE))-R885)^2)+(((VLOOKUP($AT$4,$A$4:$S$1021,19,FALSE))-S885)^2))</f>
        <v/>
      </c>
      <c r="AJ885" s="125" t="inlineStr">
        <is>
          <t>HY650X104</t>
        </is>
      </c>
      <c r="AK885" s="125" t="n"/>
      <c r="AL885" s="125" t="n"/>
      <c r="AM885" s="125">
        <f>SQRT(((VLOOKUP($AT$4,$A$4:$J$1021,10,FALSE))-J885)^2)</f>
        <v/>
      </c>
      <c r="AN885" s="125" t="n"/>
      <c r="AO885" s="125" t="n"/>
      <c r="AP885" s="125">
        <f>SQRT(((VLOOKUP($AT$4,$A$4:$R$1021,18,FALSE))-R885)^2)</f>
        <v/>
      </c>
      <c r="AQ885" s="125" t="inlineStr">
        <is>
          <t>HY650X104</t>
        </is>
      </c>
      <c r="BB885" s="125">
        <f>SQRT(($J$1022-J885)^2)</f>
        <v/>
      </c>
      <c r="BC885" s="125">
        <f>SQRT(($R$1022-R885)^2)</f>
        <v/>
      </c>
      <c r="BD885" s="125" t="inlineStr">
        <is>
          <t>HY650X104</t>
        </is>
      </c>
      <c r="BI885">
        <f>SQRT(($J$1023-J885)^2)</f>
        <v/>
      </c>
      <c r="BJ885">
        <f>SQRT(($R$1023-R885)^2)</f>
        <v/>
      </c>
      <c r="BK885" s="125" t="inlineStr">
        <is>
          <t>HY650X104</t>
        </is>
      </c>
      <c r="BP885">
        <f>SQRT(($J$1024-J885)^2)</f>
        <v/>
      </c>
      <c r="BQ885">
        <f>SQRT(($R$1024-R885)^2)</f>
        <v/>
      </c>
      <c r="BR885" s="125" t="inlineStr">
        <is>
          <t>HY650X104</t>
        </is>
      </c>
      <c r="BW885">
        <f>SQRT(($J$1025-J885)^2)</f>
        <v/>
      </c>
      <c r="BX885">
        <f>SQRT(($R$1025-R885)^2)</f>
        <v/>
      </c>
      <c r="BY885" s="125" t="inlineStr">
        <is>
          <t>HY650X104</t>
        </is>
      </c>
      <c r="CD885">
        <f>SQRT(($J$1026-J885)^2)</f>
        <v/>
      </c>
      <c r="CE885">
        <f>SQRT(($R$1026-R885)^2)</f>
        <v/>
      </c>
      <c r="CF885" s="125" t="inlineStr">
        <is>
          <t>HY650X104</t>
        </is>
      </c>
    </row>
    <row r="886">
      <c r="A886" s="125" t="inlineStr">
        <is>
          <t>HY650X95</t>
        </is>
      </c>
      <c r="B886" s="129" t="inlineStr">
        <is>
          <t>HY</t>
        </is>
      </c>
      <c r="C886" s="125" t="n">
        <v>95</v>
      </c>
      <c r="D886" s="125" t="n">
        <v>650</v>
      </c>
      <c r="E886" s="125" t="n">
        <v>200</v>
      </c>
      <c r="F886" s="125" t="n">
        <v>16</v>
      </c>
      <c r="G886" s="125" t="n">
        <v>9</v>
      </c>
      <c r="H886" s="125" t="n">
        <v>13</v>
      </c>
      <c r="I886" s="125">
        <f>D886-(2*(H886+F886))</f>
        <v/>
      </c>
      <c r="J886" s="125">
        <f>(2*E886/10*F886/10)+((D886-F886-F886)/10*G886/10)+((H886/10+H886/10)^2)-(PI()*H886/10*H886/10)</f>
        <v/>
      </c>
      <c r="K886" s="125">
        <f>((E886-G886)/2)/F886</f>
        <v/>
      </c>
      <c r="L886" s="125">
        <f>I886/G886</f>
        <v/>
      </c>
      <c r="M886" s="125">
        <f>(E886*2+F886*4+((E886-G886)/2-H886)*4+2*PI()*H886+(D886-2*F886-2*H886)*2)/1000</f>
        <v/>
      </c>
      <c r="N886" s="5" t="n">
        <v>83400</v>
      </c>
      <c r="O886" s="5" t="n">
        <v>2140</v>
      </c>
      <c r="P886" s="125" t="n">
        <v>26.2</v>
      </c>
      <c r="Q886" s="125" t="n">
        <v>4.2</v>
      </c>
      <c r="R886" s="5" t="n">
        <v>2570</v>
      </c>
      <c r="S886" s="125" t="n">
        <v>214</v>
      </c>
      <c r="T886" s="5" t="n">
        <v>2930</v>
      </c>
      <c r="U886" s="125" t="n">
        <v>334</v>
      </c>
      <c r="X886" s="129">
        <f t="array" ref="X886">_xlfn.IFS((D886/F886) &lt;= (640/SQRT($AT$32)), "Compact", L886 &lt;= ($AT$32*(0.79-(0.002*((E886-G886/2)/(2*F886))*SQRT($AT$32)))), "Non-Compact", L886 &gt; ($AT$32*(0.79-(0.002*((E886-G886/2)/(2*F886))*SQRT($AT$32)))), "Slender")</f>
        <v/>
      </c>
      <c r="Y886" s="129">
        <f t="array" ref="Y886">_xlfn.IFS(K886 &lt;= (65/SQRT($AT$32)), "Compact", K886 &lt;= (95/SQRT($AT$32)), "Non-Compact", K886 &gt; (95/SQRT($AT$32)), "Slender")</f>
        <v/>
      </c>
      <c r="Z886" s="125">
        <f>E886/F886</f>
        <v/>
      </c>
      <c r="AA886" s="125">
        <f>D886/G886</f>
        <v/>
      </c>
      <c r="AB886" s="125">
        <f t="array" ref="AB886">_xlfn.IFS(Z886 &lt;= 9, "1", Z886 &lt;= 12, "2", Z886 &lt;= 15, "3", Z886 &gt; 15, "4")</f>
        <v/>
      </c>
      <c r="AC886" s="125">
        <f t="array" ref="AC886">_xlfn.IFS(AA886 &lt;= 200, "1", L886 &lt;= 300, "2", L886 &lt;= 400, "3", L886 &gt; 400, "4")</f>
        <v/>
      </c>
      <c r="AF886" s="129">
        <f>SQRT((((VLOOKUP($AT$4,$A$4:$D$1021,4,FALSE))-D886)^2)+(((VLOOKUP($AT$4,$A$4:$E$1021,5,FALSE))-E886)^2)+(((VLOOKUP($AT$4,$A$4:$N$1021,14,FALSE))-N886)^2)+(((VLOOKUP($AT$4,$A$4:$O$1021,15,FALSE))-O886)^2))</f>
        <v/>
      </c>
      <c r="AG886" s="129" t="n"/>
      <c r="AI886" s="129">
        <f>SQRT((((VLOOKUP($AT$4,$A$4:$D$1021,4,FALSE))-D886)^2)+(((VLOOKUP($AT$4,$A$4:$E$1021,5,FALSE))-E886)^2)+(((VLOOKUP($AT$4,$A$4:$R$1021,18,FALSE))-R886)^2)+(((VLOOKUP($AT$4,$A$4:$S$1021,19,FALSE))-S886)^2))</f>
        <v/>
      </c>
      <c r="AJ886" s="125" t="inlineStr">
        <is>
          <t>HY650X95</t>
        </is>
      </c>
      <c r="AK886" s="125" t="n"/>
      <c r="AL886" s="125" t="n"/>
      <c r="AM886" s="125">
        <f>SQRT(((VLOOKUP($AT$4,$A$4:$J$1021,10,FALSE))-J886)^2)</f>
        <v/>
      </c>
      <c r="AN886" s="125" t="n"/>
      <c r="AO886" s="125" t="n"/>
      <c r="AP886" s="125">
        <f>SQRT(((VLOOKUP($AT$4,$A$4:$R$1021,18,FALSE))-R886)^2)</f>
        <v/>
      </c>
      <c r="AQ886" s="125" t="inlineStr">
        <is>
          <t>HY650X95</t>
        </is>
      </c>
      <c r="BB886" s="125">
        <f>SQRT(($J$1022-J886)^2)</f>
        <v/>
      </c>
      <c r="BC886" s="125">
        <f>SQRT(($R$1022-R886)^2)</f>
        <v/>
      </c>
      <c r="BD886" s="125" t="inlineStr">
        <is>
          <t>HY650X95</t>
        </is>
      </c>
      <c r="BI886">
        <f>SQRT(($J$1023-J886)^2)</f>
        <v/>
      </c>
      <c r="BJ886">
        <f>SQRT(($R$1023-R886)^2)</f>
        <v/>
      </c>
      <c r="BK886" s="125" t="inlineStr">
        <is>
          <t>HY650X95</t>
        </is>
      </c>
      <c r="BP886">
        <f>SQRT(($J$1024-J886)^2)</f>
        <v/>
      </c>
      <c r="BQ886">
        <f>SQRT(($R$1024-R886)^2)</f>
        <v/>
      </c>
      <c r="BR886" s="125" t="inlineStr">
        <is>
          <t>HY650X95</t>
        </is>
      </c>
      <c r="BW886">
        <f>SQRT(($J$1025-J886)^2)</f>
        <v/>
      </c>
      <c r="BX886">
        <f>SQRT(($R$1025-R886)^2)</f>
        <v/>
      </c>
      <c r="BY886" s="125" t="inlineStr">
        <is>
          <t>HY650X95</t>
        </is>
      </c>
      <c r="CD886">
        <f>SQRT(($J$1026-J886)^2)</f>
        <v/>
      </c>
      <c r="CE886">
        <f>SQRT(($R$1026-R886)^2)</f>
        <v/>
      </c>
      <c r="CF886" s="125" t="inlineStr">
        <is>
          <t>HY650X95</t>
        </is>
      </c>
    </row>
    <row r="887">
      <c r="A887" s="125" t="inlineStr">
        <is>
          <t>HY650X83</t>
        </is>
      </c>
      <c r="B887" s="129" t="inlineStr">
        <is>
          <t>HY</t>
        </is>
      </c>
      <c r="C887" s="125" t="n">
        <v>83</v>
      </c>
      <c r="D887" s="125" t="n">
        <v>650</v>
      </c>
      <c r="E887" s="125" t="n">
        <v>200</v>
      </c>
      <c r="F887" s="125" t="n">
        <v>12</v>
      </c>
      <c r="G887" s="125" t="n">
        <v>9</v>
      </c>
      <c r="H887" s="125" t="n">
        <v>13</v>
      </c>
      <c r="I887" s="125">
        <f>D887-(2*(H887+F887))</f>
        <v/>
      </c>
      <c r="J887" s="125">
        <f>(2*E887/10*F887/10)+((D887-F887-F887)/10*G887/10)+((H887/10+H887/10)^2)-(PI()*H887/10*H887/10)</f>
        <v/>
      </c>
      <c r="K887" s="125">
        <f>((E887-G887)/2)/F887</f>
        <v/>
      </c>
      <c r="L887" s="125">
        <f>I887/G887</f>
        <v/>
      </c>
      <c r="M887" s="125">
        <f>(E887*2+F887*4+((E887-G887)/2-H887)*4+2*PI()*H887+(D887-2*F887-2*H887)*2)/1000</f>
        <v/>
      </c>
      <c r="N887" s="5" t="n">
        <v>68600</v>
      </c>
      <c r="O887" s="5" t="n">
        <v>1600</v>
      </c>
      <c r="P887" s="125" t="n">
        <v>25.5</v>
      </c>
      <c r="Q887" s="125" t="n">
        <v>3.9</v>
      </c>
      <c r="R887" s="5" t="n">
        <v>2110</v>
      </c>
      <c r="S887" s="125" t="n">
        <v>160</v>
      </c>
      <c r="T887" s="5" t="n">
        <v>2460</v>
      </c>
      <c r="U887" s="125" t="n">
        <v>254</v>
      </c>
      <c r="X887" s="129">
        <f t="array" ref="X887">_xlfn.IFS((D887/F887) &lt;= (640/SQRT($AT$32)), "Compact", L887 &lt;= ($AT$32*(0.79-(0.002*((E887-G887/2)/(2*F887))*SQRT($AT$32)))), "Non-Compact", L887 &gt; ($AT$32*(0.79-(0.002*((E887-G887/2)/(2*F887))*SQRT($AT$32)))), "Slender")</f>
        <v/>
      </c>
      <c r="Y887" s="129">
        <f t="array" ref="Y887">_xlfn.IFS(K887 &lt;= (65/SQRT($AT$32)), "Compact", K887 &lt;= (95/SQRT($AT$32)), "Non-Compact", K887 &gt; (95/SQRT($AT$32)), "Slender")</f>
        <v/>
      </c>
      <c r="Z887" s="125">
        <f>E887/F887</f>
        <v/>
      </c>
      <c r="AA887" s="125">
        <f>D887/G887</f>
        <v/>
      </c>
      <c r="AB887" s="125">
        <f t="array" ref="AB887">_xlfn.IFS(Z887 &lt;= 9, "1", Z887 &lt;= 12, "2", Z887 &lt;= 15, "3", Z887 &gt; 15, "4")</f>
        <v/>
      </c>
      <c r="AC887" s="125">
        <f t="array" ref="AC887">_xlfn.IFS(AA887 &lt;= 200, "1", L887 &lt;= 300, "2", L887 &lt;= 400, "3", L887 &gt; 400, "4")</f>
        <v/>
      </c>
      <c r="AF887" s="129">
        <f>SQRT((((VLOOKUP($AT$4,$A$4:$D$1021,4,FALSE))-D887)^2)+(((VLOOKUP($AT$4,$A$4:$E$1021,5,FALSE))-E887)^2)+(((VLOOKUP($AT$4,$A$4:$N$1021,14,FALSE))-N887)^2)+(((VLOOKUP($AT$4,$A$4:$O$1021,15,FALSE))-O887)^2))</f>
        <v/>
      </c>
      <c r="AG887" s="129" t="n"/>
      <c r="AI887" s="129">
        <f>SQRT((((VLOOKUP($AT$4,$A$4:$D$1021,4,FALSE))-D887)^2)+(((VLOOKUP($AT$4,$A$4:$E$1021,5,FALSE))-E887)^2)+(((VLOOKUP($AT$4,$A$4:$R$1021,18,FALSE))-R887)^2)+(((VLOOKUP($AT$4,$A$4:$S$1021,19,FALSE))-S887)^2))</f>
        <v/>
      </c>
      <c r="AJ887" s="125" t="inlineStr">
        <is>
          <t>HY650X83</t>
        </is>
      </c>
      <c r="AK887" s="125" t="n"/>
      <c r="AL887" s="125" t="n"/>
      <c r="AM887" s="125">
        <f>SQRT(((VLOOKUP($AT$4,$A$4:$J$1021,10,FALSE))-J887)^2)</f>
        <v/>
      </c>
      <c r="AN887" s="125" t="n"/>
      <c r="AO887" s="125" t="n"/>
      <c r="AP887" s="125">
        <f>SQRT(((VLOOKUP($AT$4,$A$4:$R$1021,18,FALSE))-R887)^2)</f>
        <v/>
      </c>
      <c r="AQ887" s="125" t="inlineStr">
        <is>
          <t>HY650X83</t>
        </is>
      </c>
      <c r="BB887" s="125">
        <f>SQRT(($J$1022-J887)^2)</f>
        <v/>
      </c>
      <c r="BC887" s="125">
        <f>SQRT(($R$1022-R887)^2)</f>
        <v/>
      </c>
      <c r="BD887" s="125" t="inlineStr">
        <is>
          <t>HY650X83</t>
        </is>
      </c>
      <c r="BI887">
        <f>SQRT(($J$1023-J887)^2)</f>
        <v/>
      </c>
      <c r="BJ887">
        <f>SQRT(($R$1023-R887)^2)</f>
        <v/>
      </c>
      <c r="BK887" s="125" t="inlineStr">
        <is>
          <t>HY650X83</t>
        </is>
      </c>
      <c r="BP887">
        <f>SQRT(($J$1024-J887)^2)</f>
        <v/>
      </c>
      <c r="BQ887">
        <f>SQRT(($R$1024-R887)^2)</f>
        <v/>
      </c>
      <c r="BR887" s="125" t="inlineStr">
        <is>
          <t>HY650X83</t>
        </is>
      </c>
      <c r="BW887">
        <f>SQRT(($J$1025-J887)^2)</f>
        <v/>
      </c>
      <c r="BX887">
        <f>SQRT(($R$1025-R887)^2)</f>
        <v/>
      </c>
      <c r="BY887" s="125" t="inlineStr">
        <is>
          <t>HY650X83</t>
        </is>
      </c>
      <c r="CD887">
        <f>SQRT(($J$1026-J887)^2)</f>
        <v/>
      </c>
      <c r="CE887">
        <f>SQRT(($R$1026-R887)^2)</f>
        <v/>
      </c>
      <c r="CF887" s="125" t="inlineStr">
        <is>
          <t>HY650X83</t>
        </is>
      </c>
    </row>
    <row r="888">
      <c r="A888" s="125" t="inlineStr">
        <is>
          <t>HY600X219</t>
        </is>
      </c>
      <c r="B888" s="129" t="inlineStr">
        <is>
          <t>HY</t>
        </is>
      </c>
      <c r="C888" s="125" t="n">
        <v>219</v>
      </c>
      <c r="D888" s="125" t="n">
        <v>600</v>
      </c>
      <c r="E888" s="125" t="n">
        <v>300</v>
      </c>
      <c r="F888" s="125" t="n">
        <v>32</v>
      </c>
      <c r="G888" s="125" t="n">
        <v>16</v>
      </c>
      <c r="H888" s="125" t="n">
        <v>13</v>
      </c>
      <c r="I888" s="125">
        <f>D888-(2*(H888+F888))</f>
        <v/>
      </c>
      <c r="J888" s="125">
        <f>(2*E888/10*F888/10)+((D888-F888-F888)/10*G888/10)+((H888/10+H888/10)^2)-(PI()*H888/10*H888/10)</f>
        <v/>
      </c>
      <c r="K888" s="125">
        <f>((E888-G888)/2)/F888</f>
        <v/>
      </c>
      <c r="L888" s="125">
        <f>I888/G888</f>
        <v/>
      </c>
      <c r="M888" s="125">
        <f>(E888*2+F888*4+((E888-G888)/2-H888)*4+2*PI()*H888+(D888-2*F888-2*H888)*2)/1000</f>
        <v/>
      </c>
      <c r="N888" s="5" t="n">
        <v>177000</v>
      </c>
      <c r="O888" s="5" t="n">
        <v>14400</v>
      </c>
      <c r="P888" s="125" t="n">
        <v>25.1</v>
      </c>
      <c r="Q888" s="125" t="n">
        <v>7.2</v>
      </c>
      <c r="R888" s="5" t="n">
        <v>5890</v>
      </c>
      <c r="S888" s="125" t="n">
        <v>961</v>
      </c>
      <c r="T888" s="5" t="n">
        <v>6640</v>
      </c>
      <c r="U888" s="5" t="n">
        <v>1480</v>
      </c>
      <c r="X888" s="129">
        <f t="array" ref="X888">_xlfn.IFS((D888/F888) &lt;= (640/SQRT($AT$32)), "Compact", L888 &lt;= ($AT$32*(0.79-(0.002*((E888-G888/2)/(2*F888))*SQRT($AT$32)))), "Non-Compact", L888 &gt; ($AT$32*(0.79-(0.002*((E888-G888/2)/(2*F888))*SQRT($AT$32)))), "Slender")</f>
        <v/>
      </c>
      <c r="Y888" s="129">
        <f t="array" ref="Y888">_xlfn.IFS(K888 &lt;= (65/SQRT($AT$32)), "Compact", K888 &lt;= (95/SQRT($AT$32)), "Non-Compact", K888 &gt; (95/SQRT($AT$32)), "Slender")</f>
        <v/>
      </c>
      <c r="Z888" s="125">
        <f>E888/F888</f>
        <v/>
      </c>
      <c r="AA888" s="125">
        <f>D888/G888</f>
        <v/>
      </c>
      <c r="AB888" s="125">
        <f t="array" ref="AB888">_xlfn.IFS(Z888 &lt;= 9, "1", Z888 &lt;= 12, "2", Z888 &lt;= 15, "3", Z888 &gt; 15, "4")</f>
        <v/>
      </c>
      <c r="AC888" s="125">
        <f t="array" ref="AC888">_xlfn.IFS(AA888 &lt;= 200, "1", L888 &lt;= 300, "2", L888 &lt;= 400, "3", L888 &gt; 400, "4")</f>
        <v/>
      </c>
      <c r="AF888" s="129">
        <f>SQRT((((VLOOKUP($AT$4,$A$4:$D$1021,4,FALSE))-D888)^2)+(((VLOOKUP($AT$4,$A$4:$E$1021,5,FALSE))-E888)^2)+(((VLOOKUP($AT$4,$A$4:$N$1021,14,FALSE))-N888)^2)+(((VLOOKUP($AT$4,$A$4:$O$1021,15,FALSE))-O888)^2))</f>
        <v/>
      </c>
      <c r="AG888" s="129" t="n"/>
      <c r="AI888" s="129">
        <f>SQRT((((VLOOKUP($AT$4,$A$4:$D$1021,4,FALSE))-D888)^2)+(((VLOOKUP($AT$4,$A$4:$E$1021,5,FALSE))-E888)^2)+(((VLOOKUP($AT$4,$A$4:$R$1021,18,FALSE))-R888)^2)+(((VLOOKUP($AT$4,$A$4:$S$1021,19,FALSE))-S888)^2))</f>
        <v/>
      </c>
      <c r="AJ888" s="125" t="inlineStr">
        <is>
          <t>HY600X219</t>
        </is>
      </c>
      <c r="AK888" s="125" t="n"/>
      <c r="AL888" s="125" t="n"/>
      <c r="AM888" s="125">
        <f>SQRT(((VLOOKUP($AT$4,$A$4:$J$1021,10,FALSE))-J888)^2)</f>
        <v/>
      </c>
      <c r="AN888" s="125" t="n"/>
      <c r="AO888" s="125" t="n"/>
      <c r="AP888" s="125">
        <f>SQRT(((VLOOKUP($AT$4,$A$4:$R$1021,18,FALSE))-R888)^2)</f>
        <v/>
      </c>
      <c r="AQ888" s="125" t="inlineStr">
        <is>
          <t>HY600X219</t>
        </is>
      </c>
      <c r="BB888" s="125">
        <f>SQRT(($J$1022-J888)^2)</f>
        <v/>
      </c>
      <c r="BC888" s="125">
        <f>SQRT(($R$1022-R888)^2)</f>
        <v/>
      </c>
      <c r="BD888" s="125" t="inlineStr">
        <is>
          <t>HY600X219</t>
        </is>
      </c>
      <c r="BI888">
        <f>SQRT(($J$1023-J888)^2)</f>
        <v/>
      </c>
      <c r="BJ888">
        <f>SQRT(($R$1023-R888)^2)</f>
        <v/>
      </c>
      <c r="BK888" s="125" t="inlineStr">
        <is>
          <t>HY600X219</t>
        </is>
      </c>
      <c r="BP888">
        <f>SQRT(($J$1024-J888)^2)</f>
        <v/>
      </c>
      <c r="BQ888">
        <f>SQRT(($R$1024-R888)^2)</f>
        <v/>
      </c>
      <c r="BR888" s="125" t="inlineStr">
        <is>
          <t>HY600X219</t>
        </is>
      </c>
      <c r="BW888">
        <f>SQRT(($J$1025-J888)^2)</f>
        <v/>
      </c>
      <c r="BX888">
        <f>SQRT(($R$1025-R888)^2)</f>
        <v/>
      </c>
      <c r="BY888" s="125" t="inlineStr">
        <is>
          <t>HY600X219</t>
        </is>
      </c>
      <c r="CD888">
        <f>SQRT(($J$1026-J888)^2)</f>
        <v/>
      </c>
      <c r="CE888">
        <f>SQRT(($R$1026-R888)^2)</f>
        <v/>
      </c>
      <c r="CF888" s="125" t="inlineStr">
        <is>
          <t>HY600X219</t>
        </is>
      </c>
    </row>
    <row r="889">
      <c r="A889" s="125" t="inlineStr">
        <is>
          <t>HY600X201</t>
        </is>
      </c>
      <c r="B889" s="129" t="inlineStr">
        <is>
          <t>HY</t>
        </is>
      </c>
      <c r="C889" s="125" t="n">
        <v>201</v>
      </c>
      <c r="D889" s="125" t="n">
        <v>600</v>
      </c>
      <c r="E889" s="125" t="n">
        <v>300</v>
      </c>
      <c r="F889" s="125" t="n">
        <v>28</v>
      </c>
      <c r="G889" s="125" t="n">
        <v>16</v>
      </c>
      <c r="H889" s="125" t="n">
        <v>13</v>
      </c>
      <c r="I889" s="125">
        <f>D889-(2*(H889+F889))</f>
        <v/>
      </c>
      <c r="J889" s="125">
        <f>(2*E889/10*F889/10)+((D889-F889-F889)/10*G889/10)+((H889/10+H889/10)^2)-(PI()*H889/10*H889/10)</f>
        <v/>
      </c>
      <c r="K889" s="125">
        <f>((E889-G889)/2)/F889</f>
        <v/>
      </c>
      <c r="L889" s="125">
        <f>I889/G889</f>
        <v/>
      </c>
      <c r="M889" s="125">
        <f>(E889*2+F889*4+((E889-G889)/2-H889)*4+2*PI()*H889+(D889-2*F889-2*H889)*2)/1000</f>
        <v/>
      </c>
      <c r="N889" s="5" t="n">
        <v>160000</v>
      </c>
      <c r="O889" s="5" t="n">
        <v>12600</v>
      </c>
      <c r="P889" s="125" t="n">
        <v>25</v>
      </c>
      <c r="Q889" s="125" t="n">
        <v>7</v>
      </c>
      <c r="R889" s="5" t="n">
        <v>5330</v>
      </c>
      <c r="S889" s="125" t="n">
        <v>841</v>
      </c>
      <c r="T889" s="5" t="n">
        <v>6030</v>
      </c>
      <c r="U889" s="5" t="n">
        <v>1300</v>
      </c>
      <c r="X889" s="129">
        <f t="array" ref="X889">_xlfn.IFS((D889/F889) &lt;= (640/SQRT($AT$32)), "Compact", L889 &lt;= ($AT$32*(0.79-(0.002*((E889-G889/2)/(2*F889))*SQRT($AT$32)))), "Non-Compact", L889 &gt; ($AT$32*(0.79-(0.002*((E889-G889/2)/(2*F889))*SQRT($AT$32)))), "Slender")</f>
        <v/>
      </c>
      <c r="Y889" s="129">
        <f t="array" ref="Y889">_xlfn.IFS(K889 &lt;= (65/SQRT($AT$32)), "Compact", K889 &lt;= (95/SQRT($AT$32)), "Non-Compact", K889 &gt; (95/SQRT($AT$32)), "Slender")</f>
        <v/>
      </c>
      <c r="Z889" s="125">
        <f>E889/F889</f>
        <v/>
      </c>
      <c r="AA889" s="125">
        <f>D889/G889</f>
        <v/>
      </c>
      <c r="AB889" s="125">
        <f t="array" ref="AB889">_xlfn.IFS(Z889 &lt;= 9, "1", Z889 &lt;= 12, "2", Z889 &lt;= 15, "3", Z889 &gt; 15, "4")</f>
        <v/>
      </c>
      <c r="AC889" s="125">
        <f t="array" ref="AC889">_xlfn.IFS(AA889 &lt;= 200, "1", L889 &lt;= 300, "2", L889 &lt;= 400, "3", L889 &gt; 400, "4")</f>
        <v/>
      </c>
      <c r="AF889" s="129">
        <f>SQRT((((VLOOKUP($AT$4,$A$4:$D$1021,4,FALSE))-D889)^2)+(((VLOOKUP($AT$4,$A$4:$E$1021,5,FALSE))-E889)^2)+(((VLOOKUP($AT$4,$A$4:$N$1021,14,FALSE))-N889)^2)+(((VLOOKUP($AT$4,$A$4:$O$1021,15,FALSE))-O889)^2))</f>
        <v/>
      </c>
      <c r="AG889" s="129" t="n"/>
      <c r="AI889" s="129">
        <f>SQRT((((VLOOKUP($AT$4,$A$4:$D$1021,4,FALSE))-D889)^2)+(((VLOOKUP($AT$4,$A$4:$E$1021,5,FALSE))-E889)^2)+(((VLOOKUP($AT$4,$A$4:$R$1021,18,FALSE))-R889)^2)+(((VLOOKUP($AT$4,$A$4:$S$1021,19,FALSE))-S889)^2))</f>
        <v/>
      </c>
      <c r="AJ889" s="125" t="inlineStr">
        <is>
          <t>HY600X201</t>
        </is>
      </c>
      <c r="AK889" s="125" t="n"/>
      <c r="AL889" s="125" t="n"/>
      <c r="AM889" s="125">
        <f>SQRT(((VLOOKUP($AT$4,$A$4:$J$1021,10,FALSE))-J889)^2)</f>
        <v/>
      </c>
      <c r="AN889" s="125" t="n"/>
      <c r="AO889" s="125" t="n"/>
      <c r="AP889" s="125">
        <f>SQRT(((VLOOKUP($AT$4,$A$4:$R$1021,18,FALSE))-R889)^2)</f>
        <v/>
      </c>
      <c r="AQ889" s="125" t="inlineStr">
        <is>
          <t>HY600X201</t>
        </is>
      </c>
      <c r="BB889" s="125">
        <f>SQRT(($J$1022-J889)^2)</f>
        <v/>
      </c>
      <c r="BC889" s="125">
        <f>SQRT(($R$1022-R889)^2)</f>
        <v/>
      </c>
      <c r="BD889" s="125" t="inlineStr">
        <is>
          <t>HY600X201</t>
        </is>
      </c>
      <c r="BI889">
        <f>SQRT(($J$1023-J889)^2)</f>
        <v/>
      </c>
      <c r="BJ889">
        <f>SQRT(($R$1023-R889)^2)</f>
        <v/>
      </c>
      <c r="BK889" s="125" t="inlineStr">
        <is>
          <t>HY600X201</t>
        </is>
      </c>
      <c r="BP889">
        <f>SQRT(($J$1024-J889)^2)</f>
        <v/>
      </c>
      <c r="BQ889">
        <f>SQRT(($R$1024-R889)^2)</f>
        <v/>
      </c>
      <c r="BR889" s="125" t="inlineStr">
        <is>
          <t>HY600X201</t>
        </is>
      </c>
      <c r="BW889">
        <f>SQRT(($J$1025-J889)^2)</f>
        <v/>
      </c>
      <c r="BX889">
        <f>SQRT(($R$1025-R889)^2)</f>
        <v/>
      </c>
      <c r="BY889" s="125" t="inlineStr">
        <is>
          <t>HY600X201</t>
        </is>
      </c>
      <c r="CD889">
        <f>SQRT(($J$1026-J889)^2)</f>
        <v/>
      </c>
      <c r="CE889">
        <f>SQRT(($R$1026-R889)^2)</f>
        <v/>
      </c>
      <c r="CF889" s="125" t="inlineStr">
        <is>
          <t>HY600X201</t>
        </is>
      </c>
    </row>
    <row r="890">
      <c r="A890" s="125" t="inlineStr">
        <is>
          <t>HY600X188</t>
        </is>
      </c>
      <c r="B890" s="129" t="inlineStr">
        <is>
          <t>HY</t>
        </is>
      </c>
      <c r="C890" s="125" t="n">
        <v>188</v>
      </c>
      <c r="D890" s="125" t="n">
        <v>600</v>
      </c>
      <c r="E890" s="125" t="n">
        <v>300</v>
      </c>
      <c r="F890" s="125" t="n">
        <v>25</v>
      </c>
      <c r="G890" s="125" t="n">
        <v>16</v>
      </c>
      <c r="H890" s="125" t="n">
        <v>13</v>
      </c>
      <c r="I890" s="125">
        <f>D890-(2*(H890+F890))</f>
        <v/>
      </c>
      <c r="J890" s="125">
        <f>(2*E890/10*F890/10)+((D890-F890-F890)/10*G890/10)+((H890/10+H890/10)^2)-(PI()*H890/10*H890/10)</f>
        <v/>
      </c>
      <c r="K890" s="125">
        <f>((E890-G890)/2)/F890</f>
        <v/>
      </c>
      <c r="L890" s="125">
        <f>I890/G890</f>
        <v/>
      </c>
      <c r="M890" s="125">
        <f>(E890*2+F890*4+((E890-G890)/2-H890)*4+2*PI()*H890+(D890-2*F890-2*H890)*2)/1000</f>
        <v/>
      </c>
      <c r="N890" s="5" t="n">
        <v>147000</v>
      </c>
      <c r="O890" s="5" t="n">
        <v>11300</v>
      </c>
      <c r="P890" s="125" t="n">
        <v>24.8</v>
      </c>
      <c r="Q890" s="125" t="n">
        <v>6.9</v>
      </c>
      <c r="R890" s="5" t="n">
        <v>4910</v>
      </c>
      <c r="S890" s="125" t="n">
        <v>751</v>
      </c>
      <c r="T890" s="5" t="n">
        <v>5560</v>
      </c>
      <c r="U890" s="5" t="n">
        <v>1160</v>
      </c>
      <c r="X890" s="129">
        <f t="array" ref="X890">_xlfn.IFS((D890/F890) &lt;= (640/SQRT($AT$32)), "Compact", L890 &lt;= ($AT$32*(0.79-(0.002*((E890-G890/2)/(2*F890))*SQRT($AT$32)))), "Non-Compact", L890 &gt; ($AT$32*(0.79-(0.002*((E890-G890/2)/(2*F890))*SQRT($AT$32)))), "Slender")</f>
        <v/>
      </c>
      <c r="Y890" s="129">
        <f t="array" ref="Y890">_xlfn.IFS(K890 &lt;= (65/SQRT($AT$32)), "Compact", K890 &lt;= (95/SQRT($AT$32)), "Non-Compact", K890 &gt; (95/SQRT($AT$32)), "Slender")</f>
        <v/>
      </c>
      <c r="Z890" s="125">
        <f>E890/F890</f>
        <v/>
      </c>
      <c r="AA890" s="125">
        <f>D890/G890</f>
        <v/>
      </c>
      <c r="AB890" s="125">
        <f t="array" ref="AB890">_xlfn.IFS(Z890 &lt;= 9, "1", Z890 &lt;= 12, "2", Z890 &lt;= 15, "3", Z890 &gt; 15, "4")</f>
        <v/>
      </c>
      <c r="AC890" s="125">
        <f t="array" ref="AC890">_xlfn.IFS(AA890 &lt;= 200, "1", L890 &lt;= 300, "2", L890 &lt;= 400, "3", L890 &gt; 400, "4")</f>
        <v/>
      </c>
      <c r="AF890" s="129">
        <f>SQRT((((VLOOKUP($AT$4,$A$4:$D$1021,4,FALSE))-D890)^2)+(((VLOOKUP($AT$4,$A$4:$E$1021,5,FALSE))-E890)^2)+(((VLOOKUP($AT$4,$A$4:$N$1021,14,FALSE))-N890)^2)+(((VLOOKUP($AT$4,$A$4:$O$1021,15,FALSE))-O890)^2))</f>
        <v/>
      </c>
      <c r="AG890" s="129" t="n"/>
      <c r="AI890" s="129">
        <f>SQRT((((VLOOKUP($AT$4,$A$4:$D$1021,4,FALSE))-D890)^2)+(((VLOOKUP($AT$4,$A$4:$E$1021,5,FALSE))-E890)^2)+(((VLOOKUP($AT$4,$A$4:$R$1021,18,FALSE))-R890)^2)+(((VLOOKUP($AT$4,$A$4:$S$1021,19,FALSE))-S890)^2))</f>
        <v/>
      </c>
      <c r="AJ890" s="125" t="inlineStr">
        <is>
          <t>HY600X188</t>
        </is>
      </c>
      <c r="AK890" s="125" t="n"/>
      <c r="AL890" s="125" t="n"/>
      <c r="AM890" s="125">
        <f>SQRT(((VLOOKUP($AT$4,$A$4:$J$1021,10,FALSE))-J890)^2)</f>
        <v/>
      </c>
      <c r="AN890" s="125" t="n"/>
      <c r="AO890" s="125" t="n"/>
      <c r="AP890" s="125">
        <f>SQRT(((VLOOKUP($AT$4,$A$4:$R$1021,18,FALSE))-R890)^2)</f>
        <v/>
      </c>
      <c r="AQ890" s="125" t="inlineStr">
        <is>
          <t>HY600X188</t>
        </is>
      </c>
      <c r="BB890" s="125">
        <f>SQRT(($J$1022-J890)^2)</f>
        <v/>
      </c>
      <c r="BC890" s="125">
        <f>SQRT(($R$1022-R890)^2)</f>
        <v/>
      </c>
      <c r="BD890" s="125" t="inlineStr">
        <is>
          <t>HY600X188</t>
        </is>
      </c>
      <c r="BI890">
        <f>SQRT(($J$1023-J890)^2)</f>
        <v/>
      </c>
      <c r="BJ890">
        <f>SQRT(($R$1023-R890)^2)</f>
        <v/>
      </c>
      <c r="BK890" s="125" t="inlineStr">
        <is>
          <t>HY600X188</t>
        </is>
      </c>
      <c r="BP890">
        <f>SQRT(($J$1024-J890)^2)</f>
        <v/>
      </c>
      <c r="BQ890">
        <f>SQRT(($R$1024-R890)^2)</f>
        <v/>
      </c>
      <c r="BR890" s="125" t="inlineStr">
        <is>
          <t>HY600X188</t>
        </is>
      </c>
      <c r="BW890">
        <f>SQRT(($J$1025-J890)^2)</f>
        <v/>
      </c>
      <c r="BX890">
        <f>SQRT(($R$1025-R890)^2)</f>
        <v/>
      </c>
      <c r="BY890" s="125" t="inlineStr">
        <is>
          <t>HY600X188</t>
        </is>
      </c>
      <c r="CD890">
        <f>SQRT(($J$1026-J890)^2)</f>
        <v/>
      </c>
      <c r="CE890">
        <f>SQRT(($R$1026-R890)^2)</f>
        <v/>
      </c>
      <c r="CF890" s="125" t="inlineStr">
        <is>
          <t>HY600X188</t>
        </is>
      </c>
    </row>
    <row r="891">
      <c r="A891" s="125" t="inlineStr">
        <is>
          <t>HY600X175</t>
        </is>
      </c>
      <c r="B891" s="129" t="inlineStr">
        <is>
          <t>HY</t>
        </is>
      </c>
      <c r="C891" s="125" t="n">
        <v>175</v>
      </c>
      <c r="D891" s="125" t="n">
        <v>600</v>
      </c>
      <c r="E891" s="125" t="n">
        <v>300</v>
      </c>
      <c r="F891" s="125" t="n">
        <v>22</v>
      </c>
      <c r="G891" s="125" t="n">
        <v>16</v>
      </c>
      <c r="H891" s="125" t="n">
        <v>13</v>
      </c>
      <c r="I891" s="125">
        <f>D891-(2*(H891+F891))</f>
        <v/>
      </c>
      <c r="J891" s="125">
        <f>(2*E891/10*F891/10)+((D891-F891-F891)/10*G891/10)+((H891/10+H891/10)^2)-(PI()*H891/10*H891/10)</f>
        <v/>
      </c>
      <c r="K891" s="125">
        <f>((E891-G891)/2)/F891</f>
        <v/>
      </c>
      <c r="L891" s="125">
        <f>I891/G891</f>
        <v/>
      </c>
      <c r="M891" s="125">
        <f>(E891*2+F891*4+((E891-G891)/2-H891)*4+2*PI()*H891+(D891-2*F891-2*H891)*2)/1000</f>
        <v/>
      </c>
      <c r="N891" s="5" t="n">
        <v>134000</v>
      </c>
      <c r="O891" s="5" t="n">
        <v>9920</v>
      </c>
      <c r="P891" s="125" t="n">
        <v>24.6</v>
      </c>
      <c r="Q891" s="125" t="n">
        <v>6.7</v>
      </c>
      <c r="R891" s="5" t="n">
        <v>4480</v>
      </c>
      <c r="S891" s="125" t="n">
        <v>661</v>
      </c>
      <c r="T891" s="5" t="n">
        <v>5090</v>
      </c>
      <c r="U891" s="5" t="n">
        <v>1030</v>
      </c>
      <c r="X891" s="129">
        <f t="array" ref="X891">_xlfn.IFS((D891/F891) &lt;= (640/SQRT($AT$32)), "Compact", L891 &lt;= ($AT$32*(0.79-(0.002*((E891-G891/2)/(2*F891))*SQRT($AT$32)))), "Non-Compact", L891 &gt; ($AT$32*(0.79-(0.002*((E891-G891/2)/(2*F891))*SQRT($AT$32)))), "Slender")</f>
        <v/>
      </c>
      <c r="Y891" s="129">
        <f t="array" ref="Y891">_xlfn.IFS(K891 &lt;= (65/SQRT($AT$32)), "Compact", K891 &lt;= (95/SQRT($AT$32)), "Non-Compact", K891 &gt; (95/SQRT($AT$32)), "Slender")</f>
        <v/>
      </c>
      <c r="Z891" s="125">
        <f>E891/F891</f>
        <v/>
      </c>
      <c r="AA891" s="125">
        <f>D891/G891</f>
        <v/>
      </c>
      <c r="AB891" s="125">
        <f t="array" ref="AB891">_xlfn.IFS(Z891 &lt;= 9, "1", Z891 &lt;= 12, "2", Z891 &lt;= 15, "3", Z891 &gt; 15, "4")</f>
        <v/>
      </c>
      <c r="AC891" s="125">
        <f t="array" ref="AC891">_xlfn.IFS(AA891 &lt;= 200, "1", L891 &lt;= 300, "2", L891 &lt;= 400, "3", L891 &gt; 400, "4")</f>
        <v/>
      </c>
      <c r="AF891" s="129">
        <f>SQRT((((VLOOKUP($AT$4,$A$4:$D$1021,4,FALSE))-D891)^2)+(((VLOOKUP($AT$4,$A$4:$E$1021,5,FALSE))-E891)^2)+(((VLOOKUP($AT$4,$A$4:$N$1021,14,FALSE))-N891)^2)+(((VLOOKUP($AT$4,$A$4:$O$1021,15,FALSE))-O891)^2))</f>
        <v/>
      </c>
      <c r="AG891" s="129" t="n"/>
      <c r="AI891" s="129">
        <f>SQRT((((VLOOKUP($AT$4,$A$4:$D$1021,4,FALSE))-D891)^2)+(((VLOOKUP($AT$4,$A$4:$E$1021,5,FALSE))-E891)^2)+(((VLOOKUP($AT$4,$A$4:$R$1021,18,FALSE))-R891)^2)+(((VLOOKUP($AT$4,$A$4:$S$1021,19,FALSE))-S891)^2))</f>
        <v/>
      </c>
      <c r="AJ891" s="125" t="inlineStr">
        <is>
          <t>HY600X175</t>
        </is>
      </c>
      <c r="AK891" s="125" t="n"/>
      <c r="AL891" s="125" t="n"/>
      <c r="AM891" s="125">
        <f>SQRT(((VLOOKUP($AT$4,$A$4:$J$1021,10,FALSE))-J891)^2)</f>
        <v/>
      </c>
      <c r="AN891" s="125" t="n"/>
      <c r="AO891" s="125" t="n"/>
      <c r="AP891" s="125">
        <f>SQRT(((VLOOKUP($AT$4,$A$4:$R$1021,18,FALSE))-R891)^2)</f>
        <v/>
      </c>
      <c r="AQ891" s="125" t="inlineStr">
        <is>
          <t>HY600X175</t>
        </is>
      </c>
      <c r="BB891" s="125">
        <f>SQRT(($J$1022-J891)^2)</f>
        <v/>
      </c>
      <c r="BC891" s="125">
        <f>SQRT(($R$1022-R891)^2)</f>
        <v/>
      </c>
      <c r="BD891" s="125" t="inlineStr">
        <is>
          <t>HY600X175</t>
        </is>
      </c>
      <c r="BI891">
        <f>SQRT(($J$1023-J891)^2)</f>
        <v/>
      </c>
      <c r="BJ891">
        <f>SQRT(($R$1023-R891)^2)</f>
        <v/>
      </c>
      <c r="BK891" s="125" t="inlineStr">
        <is>
          <t>HY600X175</t>
        </is>
      </c>
      <c r="BP891">
        <f>SQRT(($J$1024-J891)^2)</f>
        <v/>
      </c>
      <c r="BQ891">
        <f>SQRT(($R$1024-R891)^2)</f>
        <v/>
      </c>
      <c r="BR891" s="125" t="inlineStr">
        <is>
          <t>HY600X175</t>
        </is>
      </c>
      <c r="BW891">
        <f>SQRT(($J$1025-J891)^2)</f>
        <v/>
      </c>
      <c r="BX891">
        <f>SQRT(($R$1025-R891)^2)</f>
        <v/>
      </c>
      <c r="BY891" s="125" t="inlineStr">
        <is>
          <t>HY600X175</t>
        </is>
      </c>
      <c r="CD891">
        <f>SQRT(($J$1026-J891)^2)</f>
        <v/>
      </c>
      <c r="CE891">
        <f>SQRT(($R$1026-R891)^2)</f>
        <v/>
      </c>
      <c r="CF891" s="125" t="inlineStr">
        <is>
          <t>HY600X175</t>
        </is>
      </c>
    </row>
    <row r="892">
      <c r="A892" s="125" t="inlineStr">
        <is>
          <t>HY600X193</t>
        </is>
      </c>
      <c r="B892" s="129" t="inlineStr">
        <is>
          <t>HY</t>
        </is>
      </c>
      <c r="C892" s="125" t="n">
        <v>193</v>
      </c>
      <c r="D892" s="125" t="n">
        <v>600</v>
      </c>
      <c r="E892" s="125" t="n">
        <v>300</v>
      </c>
      <c r="F892" s="125" t="n">
        <v>28</v>
      </c>
      <c r="G892" s="125" t="n">
        <v>14</v>
      </c>
      <c r="H892" s="125" t="n">
        <v>13</v>
      </c>
      <c r="I892" s="125">
        <f>D892-(2*(H892+F892))</f>
        <v/>
      </c>
      <c r="J892" s="125">
        <f>(2*E892/10*F892/10)+((D892-F892-F892)/10*G892/10)+((H892/10+H892/10)^2)-(PI()*H892/10*H892/10)</f>
        <v/>
      </c>
      <c r="K892" s="125">
        <f>((E892-G892)/2)/F892</f>
        <v/>
      </c>
      <c r="L892" s="125">
        <f>I892/G892</f>
        <v/>
      </c>
      <c r="M892" s="125">
        <f>(E892*2+F892*4+((E892-G892)/2-H892)*4+2*PI()*H892+(D892-2*F892-2*H892)*2)/1000</f>
        <v/>
      </c>
      <c r="N892" s="5" t="n">
        <v>157000</v>
      </c>
      <c r="O892" s="5" t="n">
        <v>12600</v>
      </c>
      <c r="P892" s="125" t="n">
        <v>25.3</v>
      </c>
      <c r="Q892" s="125" t="n">
        <v>7.2</v>
      </c>
      <c r="R892" s="5" t="n">
        <v>5250</v>
      </c>
      <c r="S892" s="125" t="n">
        <v>841</v>
      </c>
      <c r="T892" s="5" t="n">
        <v>5880</v>
      </c>
      <c r="U892" s="5" t="n">
        <v>1290</v>
      </c>
      <c r="X892" s="129">
        <f t="array" ref="X892">_xlfn.IFS((D892/F892) &lt;= (640/SQRT($AT$32)), "Compact", L892 &lt;= ($AT$32*(0.79-(0.002*((E892-G892/2)/(2*F892))*SQRT($AT$32)))), "Non-Compact", L892 &gt; ($AT$32*(0.79-(0.002*((E892-G892/2)/(2*F892))*SQRT($AT$32)))), "Slender")</f>
        <v/>
      </c>
      <c r="Y892" s="129">
        <f t="array" ref="Y892">_xlfn.IFS(K892 &lt;= (65/SQRT($AT$32)), "Compact", K892 &lt;= (95/SQRT($AT$32)), "Non-Compact", K892 &gt; (95/SQRT($AT$32)), "Slender")</f>
        <v/>
      </c>
      <c r="Z892" s="125">
        <f>E892/F892</f>
        <v/>
      </c>
      <c r="AA892" s="125">
        <f>D892/G892</f>
        <v/>
      </c>
      <c r="AB892" s="125">
        <f t="array" ref="AB892">_xlfn.IFS(Z892 &lt;= 9, "1", Z892 &lt;= 12, "2", Z892 &lt;= 15, "3", Z892 &gt; 15, "4")</f>
        <v/>
      </c>
      <c r="AC892" s="125">
        <f t="array" ref="AC892">_xlfn.IFS(AA892 &lt;= 200, "1", L892 &lt;= 300, "2", L892 &lt;= 400, "3", L892 &gt; 400, "4")</f>
        <v/>
      </c>
      <c r="AF892" s="129">
        <f>SQRT((((VLOOKUP($AT$4,$A$4:$D$1021,4,FALSE))-D892)^2)+(((VLOOKUP($AT$4,$A$4:$E$1021,5,FALSE))-E892)^2)+(((VLOOKUP($AT$4,$A$4:$N$1021,14,FALSE))-N892)^2)+(((VLOOKUP($AT$4,$A$4:$O$1021,15,FALSE))-O892)^2))</f>
        <v/>
      </c>
      <c r="AG892" s="129" t="n"/>
      <c r="AI892" s="129">
        <f>SQRT((((VLOOKUP($AT$4,$A$4:$D$1021,4,FALSE))-D892)^2)+(((VLOOKUP($AT$4,$A$4:$E$1021,5,FALSE))-E892)^2)+(((VLOOKUP($AT$4,$A$4:$R$1021,18,FALSE))-R892)^2)+(((VLOOKUP($AT$4,$A$4:$S$1021,19,FALSE))-S892)^2))</f>
        <v/>
      </c>
      <c r="AJ892" s="125" t="inlineStr">
        <is>
          <t>HY600X193</t>
        </is>
      </c>
      <c r="AK892" s="125" t="n"/>
      <c r="AL892" s="125" t="n"/>
      <c r="AM892" s="125">
        <f>SQRT(((VLOOKUP($AT$4,$A$4:$J$1021,10,FALSE))-J892)^2)</f>
        <v/>
      </c>
      <c r="AN892" s="125" t="n"/>
      <c r="AO892" s="125" t="n"/>
      <c r="AP892" s="125">
        <f>SQRT(((VLOOKUP($AT$4,$A$4:$R$1021,18,FALSE))-R892)^2)</f>
        <v/>
      </c>
      <c r="AQ892" s="125" t="inlineStr">
        <is>
          <t>HY600X193</t>
        </is>
      </c>
      <c r="BB892" s="125">
        <f>SQRT(($J$1022-J892)^2)</f>
        <v/>
      </c>
      <c r="BC892" s="125">
        <f>SQRT(($R$1022-R892)^2)</f>
        <v/>
      </c>
      <c r="BD892" s="125" t="inlineStr">
        <is>
          <t>HY600X193</t>
        </is>
      </c>
      <c r="BI892">
        <f>SQRT(($J$1023-J892)^2)</f>
        <v/>
      </c>
      <c r="BJ892">
        <f>SQRT(($R$1023-R892)^2)</f>
        <v/>
      </c>
      <c r="BK892" s="125" t="inlineStr">
        <is>
          <t>HY600X193</t>
        </is>
      </c>
      <c r="BP892">
        <f>SQRT(($J$1024-J892)^2)</f>
        <v/>
      </c>
      <c r="BQ892">
        <f>SQRT(($R$1024-R892)^2)</f>
        <v/>
      </c>
      <c r="BR892" s="125" t="inlineStr">
        <is>
          <t>HY600X193</t>
        </is>
      </c>
      <c r="BW892">
        <f>SQRT(($J$1025-J892)^2)</f>
        <v/>
      </c>
      <c r="BX892">
        <f>SQRT(($R$1025-R892)^2)</f>
        <v/>
      </c>
      <c r="BY892" s="125" t="inlineStr">
        <is>
          <t>HY600X193</t>
        </is>
      </c>
      <c r="CD892">
        <f>SQRT(($J$1026-J892)^2)</f>
        <v/>
      </c>
      <c r="CE892">
        <f>SQRT(($R$1026-R892)^2)</f>
        <v/>
      </c>
      <c r="CF892" s="125" t="inlineStr">
        <is>
          <t>HY600X193</t>
        </is>
      </c>
    </row>
    <row r="893">
      <c r="A893" s="125" t="inlineStr">
        <is>
          <t>HY600X179</t>
        </is>
      </c>
      <c r="B893" s="129" t="inlineStr">
        <is>
          <t>HY</t>
        </is>
      </c>
      <c r="C893" s="125" t="n">
        <v>179</v>
      </c>
      <c r="D893" s="125" t="n">
        <v>600</v>
      </c>
      <c r="E893" s="125" t="n">
        <v>300</v>
      </c>
      <c r="F893" s="125" t="n">
        <v>25</v>
      </c>
      <c r="G893" s="125" t="n">
        <v>14</v>
      </c>
      <c r="H893" s="125" t="n">
        <v>13</v>
      </c>
      <c r="I893" s="125">
        <f>D893-(2*(H893+F893))</f>
        <v/>
      </c>
      <c r="J893" s="125">
        <f>(2*E893/10*F893/10)+((D893-F893-F893)/10*G893/10)+((H893/10+H893/10)^2)-(PI()*H893/10*H893/10)</f>
        <v/>
      </c>
      <c r="K893" s="125">
        <f>((E893-G893)/2)/F893</f>
        <v/>
      </c>
      <c r="L893" s="125">
        <f>I893/G893</f>
        <v/>
      </c>
      <c r="M893" s="125">
        <f>(E893*2+F893*4+((E893-G893)/2-H893)*4+2*PI()*H893+(D893-2*F893-2*H893)*2)/1000</f>
        <v/>
      </c>
      <c r="N893" s="5" t="n">
        <v>145000</v>
      </c>
      <c r="O893" s="5" t="n">
        <v>11300</v>
      </c>
      <c r="P893" s="125" t="n">
        <v>25.2</v>
      </c>
      <c r="Q893" s="125" t="n">
        <v>7</v>
      </c>
      <c r="R893" s="5" t="n">
        <v>4820</v>
      </c>
      <c r="S893" s="125" t="n">
        <v>751</v>
      </c>
      <c r="T893" s="5" t="n">
        <v>5410</v>
      </c>
      <c r="U893" s="5" t="n">
        <v>1150</v>
      </c>
      <c r="X893" s="129">
        <f t="array" ref="X893">_xlfn.IFS((D893/F893) &lt;= (640/SQRT($AT$32)), "Compact", L893 &lt;= ($AT$32*(0.79-(0.002*((E893-G893/2)/(2*F893))*SQRT($AT$32)))), "Non-Compact", L893 &gt; ($AT$32*(0.79-(0.002*((E893-G893/2)/(2*F893))*SQRT($AT$32)))), "Slender")</f>
        <v/>
      </c>
      <c r="Y893" s="129">
        <f t="array" ref="Y893">_xlfn.IFS(K893 &lt;= (65/SQRT($AT$32)), "Compact", K893 &lt;= (95/SQRT($AT$32)), "Non-Compact", K893 &gt; (95/SQRT($AT$32)), "Slender")</f>
        <v/>
      </c>
      <c r="Z893" s="125">
        <f>E893/F893</f>
        <v/>
      </c>
      <c r="AA893" s="125">
        <f>D893/G893</f>
        <v/>
      </c>
      <c r="AB893" s="125">
        <f t="array" ref="AB893">_xlfn.IFS(Z893 &lt;= 9, "1", Z893 &lt;= 12, "2", Z893 &lt;= 15, "3", Z893 &gt; 15, "4")</f>
        <v/>
      </c>
      <c r="AC893" s="125">
        <f t="array" ref="AC893">_xlfn.IFS(AA893 &lt;= 200, "1", L893 &lt;= 300, "2", L893 &lt;= 400, "3", L893 &gt; 400, "4")</f>
        <v/>
      </c>
      <c r="AF893" s="129">
        <f>SQRT((((VLOOKUP($AT$4,$A$4:$D$1021,4,FALSE))-D893)^2)+(((VLOOKUP($AT$4,$A$4:$E$1021,5,FALSE))-E893)^2)+(((VLOOKUP($AT$4,$A$4:$N$1021,14,FALSE))-N893)^2)+(((VLOOKUP($AT$4,$A$4:$O$1021,15,FALSE))-O893)^2))</f>
        <v/>
      </c>
      <c r="AG893" s="129" t="n"/>
      <c r="AI893" s="129">
        <f>SQRT((((VLOOKUP($AT$4,$A$4:$D$1021,4,FALSE))-D893)^2)+(((VLOOKUP($AT$4,$A$4:$E$1021,5,FALSE))-E893)^2)+(((VLOOKUP($AT$4,$A$4:$R$1021,18,FALSE))-R893)^2)+(((VLOOKUP($AT$4,$A$4:$S$1021,19,FALSE))-S893)^2))</f>
        <v/>
      </c>
      <c r="AJ893" s="125" t="inlineStr">
        <is>
          <t>HY600X179</t>
        </is>
      </c>
      <c r="AK893" s="125" t="n"/>
      <c r="AL893" s="125" t="n"/>
      <c r="AM893" s="125">
        <f>SQRT(((VLOOKUP($AT$4,$A$4:$J$1021,10,FALSE))-J893)^2)</f>
        <v/>
      </c>
      <c r="AN893" s="125" t="n"/>
      <c r="AO893" s="125" t="n"/>
      <c r="AP893" s="125">
        <f>SQRT(((VLOOKUP($AT$4,$A$4:$R$1021,18,FALSE))-R893)^2)</f>
        <v/>
      </c>
      <c r="AQ893" s="125" t="inlineStr">
        <is>
          <t>HY600X179</t>
        </is>
      </c>
      <c r="BB893" s="125">
        <f>SQRT(($J$1022-J893)^2)</f>
        <v/>
      </c>
      <c r="BC893" s="125">
        <f>SQRT(($R$1022-R893)^2)</f>
        <v/>
      </c>
      <c r="BD893" s="125" t="inlineStr">
        <is>
          <t>HY600X179</t>
        </is>
      </c>
      <c r="BI893">
        <f>SQRT(($J$1023-J893)^2)</f>
        <v/>
      </c>
      <c r="BJ893">
        <f>SQRT(($R$1023-R893)^2)</f>
        <v/>
      </c>
      <c r="BK893" s="125" t="inlineStr">
        <is>
          <t>HY600X179</t>
        </is>
      </c>
      <c r="BP893">
        <f>SQRT(($J$1024-J893)^2)</f>
        <v/>
      </c>
      <c r="BQ893">
        <f>SQRT(($R$1024-R893)^2)</f>
        <v/>
      </c>
      <c r="BR893" s="125" t="inlineStr">
        <is>
          <t>HY600X179</t>
        </is>
      </c>
      <c r="BW893">
        <f>SQRT(($J$1025-J893)^2)</f>
        <v/>
      </c>
      <c r="BX893">
        <f>SQRT(($R$1025-R893)^2)</f>
        <v/>
      </c>
      <c r="BY893" s="125" t="inlineStr">
        <is>
          <t>HY600X179</t>
        </is>
      </c>
      <c r="CD893">
        <f>SQRT(($J$1026-J893)^2)</f>
        <v/>
      </c>
      <c r="CE893">
        <f>SQRT(($R$1026-R893)^2)</f>
        <v/>
      </c>
      <c r="CF893" s="125" t="inlineStr">
        <is>
          <t>HY600X179</t>
        </is>
      </c>
    </row>
    <row r="894">
      <c r="A894" s="125" t="inlineStr">
        <is>
          <t>HY600X166</t>
        </is>
      </c>
      <c r="B894" s="129" t="inlineStr">
        <is>
          <t>HY</t>
        </is>
      </c>
      <c r="C894" s="125" t="n">
        <v>166</v>
      </c>
      <c r="D894" s="125" t="n">
        <v>600</v>
      </c>
      <c r="E894" s="125" t="n">
        <v>300</v>
      </c>
      <c r="F894" s="125" t="n">
        <v>22</v>
      </c>
      <c r="G894" s="125" t="n">
        <v>14</v>
      </c>
      <c r="H894" s="125" t="n">
        <v>13</v>
      </c>
      <c r="I894" s="125">
        <f>D894-(2*(H894+F894))</f>
        <v/>
      </c>
      <c r="J894" s="125">
        <f>(2*E894/10*F894/10)+((D894-F894-F894)/10*G894/10)+((H894/10+H894/10)^2)-(PI()*H894/10*H894/10)</f>
        <v/>
      </c>
      <c r="K894" s="125">
        <f>((E894-G894)/2)/F894</f>
        <v/>
      </c>
      <c r="L894" s="125">
        <f>I894/G894</f>
        <v/>
      </c>
      <c r="M894" s="125">
        <f>(E894*2+F894*4+((E894-G894)/2-H894)*4+2*PI()*H894+(D894-2*F894-2*H894)*2)/1000</f>
        <v/>
      </c>
      <c r="N894" s="5" t="n">
        <v>131000</v>
      </c>
      <c r="O894" s="5" t="n">
        <v>9910</v>
      </c>
      <c r="P894" s="125" t="n">
        <v>24.9</v>
      </c>
      <c r="Q894" s="125" t="n">
        <v>6.9</v>
      </c>
      <c r="R894" s="5" t="n">
        <v>4380</v>
      </c>
      <c r="S894" s="125" t="n">
        <v>661</v>
      </c>
      <c r="T894" s="5" t="n">
        <v>4940</v>
      </c>
      <c r="U894" s="5" t="n">
        <v>1020</v>
      </c>
      <c r="X894" s="129">
        <f t="array" ref="X894">_xlfn.IFS((D894/F894) &lt;= (640/SQRT($AT$32)), "Compact", L894 &lt;= ($AT$32*(0.79-(0.002*((E894-G894/2)/(2*F894))*SQRT($AT$32)))), "Non-Compact", L894 &gt; ($AT$32*(0.79-(0.002*((E894-G894/2)/(2*F894))*SQRT($AT$32)))), "Slender")</f>
        <v/>
      </c>
      <c r="Y894" s="129">
        <f t="array" ref="Y894">_xlfn.IFS(K894 &lt;= (65/SQRT($AT$32)), "Compact", K894 &lt;= (95/SQRT($AT$32)), "Non-Compact", K894 &gt; (95/SQRT($AT$32)), "Slender")</f>
        <v/>
      </c>
      <c r="Z894" s="125">
        <f>E894/F894</f>
        <v/>
      </c>
      <c r="AA894" s="125">
        <f>D894/G894</f>
        <v/>
      </c>
      <c r="AB894" s="125">
        <f t="array" ref="AB894">_xlfn.IFS(Z894 &lt;= 9, "1", Z894 &lt;= 12, "2", Z894 &lt;= 15, "3", Z894 &gt; 15, "4")</f>
        <v/>
      </c>
      <c r="AC894" s="125">
        <f t="array" ref="AC894">_xlfn.IFS(AA894 &lt;= 200, "1", L894 &lt;= 300, "2", L894 &lt;= 400, "3", L894 &gt; 400, "4")</f>
        <v/>
      </c>
      <c r="AF894" s="129">
        <f>SQRT((((VLOOKUP($AT$4,$A$4:$D$1021,4,FALSE))-D894)^2)+(((VLOOKUP($AT$4,$A$4:$E$1021,5,FALSE))-E894)^2)+(((VLOOKUP($AT$4,$A$4:$N$1021,14,FALSE))-N894)^2)+(((VLOOKUP($AT$4,$A$4:$O$1021,15,FALSE))-O894)^2))</f>
        <v/>
      </c>
      <c r="AG894" s="129" t="n"/>
      <c r="AI894" s="129">
        <f>SQRT((((VLOOKUP($AT$4,$A$4:$D$1021,4,FALSE))-D894)^2)+(((VLOOKUP($AT$4,$A$4:$E$1021,5,FALSE))-E894)^2)+(((VLOOKUP($AT$4,$A$4:$R$1021,18,FALSE))-R894)^2)+(((VLOOKUP($AT$4,$A$4:$S$1021,19,FALSE))-S894)^2))</f>
        <v/>
      </c>
      <c r="AJ894" s="125" t="inlineStr">
        <is>
          <t>HY600X166</t>
        </is>
      </c>
      <c r="AK894" s="125" t="n"/>
      <c r="AL894" s="125" t="n"/>
      <c r="AM894" s="125">
        <f>SQRT(((VLOOKUP($AT$4,$A$4:$J$1021,10,FALSE))-J894)^2)</f>
        <v/>
      </c>
      <c r="AN894" s="125" t="n"/>
      <c r="AO894" s="125" t="n"/>
      <c r="AP894" s="125">
        <f>SQRT(((VLOOKUP($AT$4,$A$4:$R$1021,18,FALSE))-R894)^2)</f>
        <v/>
      </c>
      <c r="AQ894" s="125" t="inlineStr">
        <is>
          <t>HY600X166</t>
        </is>
      </c>
      <c r="BB894" s="125">
        <f>SQRT(($J$1022-J894)^2)</f>
        <v/>
      </c>
      <c r="BC894" s="125">
        <f>SQRT(($R$1022-R894)^2)</f>
        <v/>
      </c>
      <c r="BD894" s="125" t="inlineStr">
        <is>
          <t>HY600X166</t>
        </is>
      </c>
      <c r="BI894">
        <f>SQRT(($J$1023-J894)^2)</f>
        <v/>
      </c>
      <c r="BJ894">
        <f>SQRT(($R$1023-R894)^2)</f>
        <v/>
      </c>
      <c r="BK894" s="125" t="inlineStr">
        <is>
          <t>HY600X166</t>
        </is>
      </c>
      <c r="BP894">
        <f>SQRT(($J$1024-J894)^2)</f>
        <v/>
      </c>
      <c r="BQ894">
        <f>SQRT(($R$1024-R894)^2)</f>
        <v/>
      </c>
      <c r="BR894" s="125" t="inlineStr">
        <is>
          <t>HY600X166</t>
        </is>
      </c>
      <c r="BW894">
        <f>SQRT(($J$1025-J894)^2)</f>
        <v/>
      </c>
      <c r="BX894">
        <f>SQRT(($R$1025-R894)^2)</f>
        <v/>
      </c>
      <c r="BY894" s="125" t="inlineStr">
        <is>
          <t>HY600X166</t>
        </is>
      </c>
      <c r="CD894">
        <f>SQRT(($J$1026-J894)^2)</f>
        <v/>
      </c>
      <c r="CE894">
        <f>SQRT(($R$1026-R894)^2)</f>
        <v/>
      </c>
      <c r="CF894" s="125" t="inlineStr">
        <is>
          <t>HY600X166</t>
        </is>
      </c>
    </row>
    <row r="895">
      <c r="A895" s="125" t="inlineStr">
        <is>
          <t>HY600X184</t>
        </is>
      </c>
      <c r="B895" s="129" t="inlineStr">
        <is>
          <t>HY</t>
        </is>
      </c>
      <c r="C895" s="125" t="n">
        <v>184</v>
      </c>
      <c r="D895" s="125" t="n">
        <v>600</v>
      </c>
      <c r="E895" s="125" t="n">
        <v>300</v>
      </c>
      <c r="F895" s="125" t="n">
        <v>28</v>
      </c>
      <c r="G895" s="125" t="n">
        <v>12</v>
      </c>
      <c r="H895" s="125" t="n">
        <v>13</v>
      </c>
      <c r="I895" s="125">
        <f>D895-(2*(H895+F895))</f>
        <v/>
      </c>
      <c r="J895" s="125">
        <f>(2*E895/10*F895/10)+((D895-F895-F895)/10*G895/10)+((H895/10+H895/10)^2)-(PI()*H895/10*H895/10)</f>
        <v/>
      </c>
      <c r="K895" s="125">
        <f>((E895-G895)/2)/F895</f>
        <v/>
      </c>
      <c r="L895" s="125">
        <f>I895/G895</f>
        <v/>
      </c>
      <c r="M895" s="125">
        <f>(E895*2+F895*4+((E895-G895)/2-H895)*4+2*PI()*H895+(D895-2*F895-2*H895)*2)/1000</f>
        <v/>
      </c>
      <c r="N895" s="5" t="n">
        <v>155000</v>
      </c>
      <c r="O895" s="5" t="n">
        <v>12600</v>
      </c>
      <c r="P895" s="125" t="n">
        <v>25.7</v>
      </c>
      <c r="Q895" s="125" t="n">
        <v>7.3</v>
      </c>
      <c r="R895" s="5" t="n">
        <v>5160</v>
      </c>
      <c r="S895" s="125" t="n">
        <v>841</v>
      </c>
      <c r="T895" s="5" t="n">
        <v>5730</v>
      </c>
      <c r="U895" s="5" t="n">
        <v>1280</v>
      </c>
      <c r="X895" s="129">
        <f t="array" ref="X895">_xlfn.IFS((D895/F895) &lt;= (640/SQRT($AT$32)), "Compact", L895 &lt;= ($AT$32*(0.79-(0.002*((E895-G895/2)/(2*F895))*SQRT($AT$32)))), "Non-Compact", L895 &gt; ($AT$32*(0.79-(0.002*((E895-G895/2)/(2*F895))*SQRT($AT$32)))), "Slender")</f>
        <v/>
      </c>
      <c r="Y895" s="129">
        <f t="array" ref="Y895">_xlfn.IFS(K895 &lt;= (65/SQRT($AT$32)), "Compact", K895 &lt;= (95/SQRT($AT$32)), "Non-Compact", K895 &gt; (95/SQRT($AT$32)), "Slender")</f>
        <v/>
      </c>
      <c r="Z895" s="125">
        <f>E895/F895</f>
        <v/>
      </c>
      <c r="AA895" s="125">
        <f>D895/G895</f>
        <v/>
      </c>
      <c r="AB895" s="125">
        <f t="array" ref="AB895">_xlfn.IFS(Z895 &lt;= 9, "1", Z895 &lt;= 12, "2", Z895 &lt;= 15, "3", Z895 &gt; 15, "4")</f>
        <v/>
      </c>
      <c r="AC895" s="125">
        <f t="array" ref="AC895">_xlfn.IFS(AA895 &lt;= 200, "1", L895 &lt;= 300, "2", L895 &lt;= 400, "3", L895 &gt; 400, "4")</f>
        <v/>
      </c>
      <c r="AF895" s="129">
        <f>SQRT((((VLOOKUP($AT$4,$A$4:$D$1021,4,FALSE))-D895)^2)+(((VLOOKUP($AT$4,$A$4:$E$1021,5,FALSE))-E895)^2)+(((VLOOKUP($AT$4,$A$4:$N$1021,14,FALSE))-N895)^2)+(((VLOOKUP($AT$4,$A$4:$O$1021,15,FALSE))-O895)^2))</f>
        <v/>
      </c>
      <c r="AG895" s="129" t="n"/>
      <c r="AI895" s="129">
        <f>SQRT((((VLOOKUP($AT$4,$A$4:$D$1021,4,FALSE))-D895)^2)+(((VLOOKUP($AT$4,$A$4:$E$1021,5,FALSE))-E895)^2)+(((VLOOKUP($AT$4,$A$4:$R$1021,18,FALSE))-R895)^2)+(((VLOOKUP($AT$4,$A$4:$S$1021,19,FALSE))-S895)^2))</f>
        <v/>
      </c>
      <c r="AJ895" s="125" t="inlineStr">
        <is>
          <t>HY600X184</t>
        </is>
      </c>
      <c r="AK895" s="125" t="n"/>
      <c r="AL895" s="125" t="n"/>
      <c r="AM895" s="125">
        <f>SQRT(((VLOOKUP($AT$4,$A$4:$J$1021,10,FALSE))-J895)^2)</f>
        <v/>
      </c>
      <c r="AN895" s="125" t="n"/>
      <c r="AO895" s="125" t="n"/>
      <c r="AP895" s="125">
        <f>SQRT(((VLOOKUP($AT$4,$A$4:$R$1021,18,FALSE))-R895)^2)</f>
        <v/>
      </c>
      <c r="AQ895" s="125" t="inlineStr">
        <is>
          <t>HY600X184</t>
        </is>
      </c>
      <c r="BB895" s="125">
        <f>SQRT(($J$1022-J895)^2)</f>
        <v/>
      </c>
      <c r="BC895" s="125">
        <f>SQRT(($R$1022-R895)^2)</f>
        <v/>
      </c>
      <c r="BD895" s="125" t="inlineStr">
        <is>
          <t>HY600X184</t>
        </is>
      </c>
      <c r="BI895">
        <f>SQRT(($J$1023-J895)^2)</f>
        <v/>
      </c>
      <c r="BJ895">
        <f>SQRT(($R$1023-R895)^2)</f>
        <v/>
      </c>
      <c r="BK895" s="125" t="inlineStr">
        <is>
          <t>HY600X184</t>
        </is>
      </c>
      <c r="BP895">
        <f>SQRT(($J$1024-J895)^2)</f>
        <v/>
      </c>
      <c r="BQ895">
        <f>SQRT(($R$1024-R895)^2)</f>
        <v/>
      </c>
      <c r="BR895" s="125" t="inlineStr">
        <is>
          <t>HY600X184</t>
        </is>
      </c>
      <c r="BW895">
        <f>SQRT(($J$1025-J895)^2)</f>
        <v/>
      </c>
      <c r="BX895">
        <f>SQRT(($R$1025-R895)^2)</f>
        <v/>
      </c>
      <c r="BY895" s="125" t="inlineStr">
        <is>
          <t>HY600X184</t>
        </is>
      </c>
      <c r="CD895">
        <f>SQRT(($J$1026-J895)^2)</f>
        <v/>
      </c>
      <c r="CE895">
        <f>SQRT(($R$1026-R895)^2)</f>
        <v/>
      </c>
      <c r="CF895" s="125" t="inlineStr">
        <is>
          <t>HY600X184</t>
        </is>
      </c>
    </row>
    <row r="896">
      <c r="A896" s="125" t="inlineStr">
        <is>
          <t>HY600X171</t>
        </is>
      </c>
      <c r="B896" s="129" t="inlineStr">
        <is>
          <t>HY</t>
        </is>
      </c>
      <c r="C896" s="125" t="n">
        <v>171</v>
      </c>
      <c r="D896" s="125" t="n">
        <v>600</v>
      </c>
      <c r="E896" s="125" t="n">
        <v>300</v>
      </c>
      <c r="F896" s="125" t="n">
        <v>25</v>
      </c>
      <c r="G896" s="125" t="n">
        <v>12</v>
      </c>
      <c r="H896" s="125" t="n">
        <v>13</v>
      </c>
      <c r="I896" s="125">
        <f>D896-(2*(H896+F896))</f>
        <v/>
      </c>
      <c r="J896" s="125">
        <f>(2*E896/10*F896/10)+((D896-F896-F896)/10*G896/10)+((H896/10+H896/10)^2)-(PI()*H896/10*H896/10)</f>
        <v/>
      </c>
      <c r="K896" s="125">
        <f>((E896-G896)/2)/F896</f>
        <v/>
      </c>
      <c r="L896" s="125">
        <f>I896/G896</f>
        <v/>
      </c>
      <c r="M896" s="125">
        <f>(E896*2+F896*4+((E896-G896)/2-H896)*4+2*PI()*H896+(D896-2*F896-2*H896)*2)/1000</f>
        <v/>
      </c>
      <c r="N896" s="5" t="n">
        <v>142000</v>
      </c>
      <c r="O896" s="5" t="n">
        <v>11300</v>
      </c>
      <c r="P896" s="125" t="n">
        <v>25.5</v>
      </c>
      <c r="Q896" s="125" t="n">
        <v>7.2</v>
      </c>
      <c r="R896" s="5" t="n">
        <v>4730</v>
      </c>
      <c r="S896" s="125" t="n">
        <v>751</v>
      </c>
      <c r="T896" s="5" t="n">
        <v>5260</v>
      </c>
      <c r="U896" s="5" t="n">
        <v>1150</v>
      </c>
      <c r="X896" s="129">
        <f t="array" ref="X896">_xlfn.IFS((D896/F896) &lt;= (640/SQRT($AT$32)), "Compact", L896 &lt;= ($AT$32*(0.79-(0.002*((E896-G896/2)/(2*F896))*SQRT($AT$32)))), "Non-Compact", L896 &gt; ($AT$32*(0.79-(0.002*((E896-G896/2)/(2*F896))*SQRT($AT$32)))), "Slender")</f>
        <v/>
      </c>
      <c r="Y896" s="129">
        <f t="array" ref="Y896">_xlfn.IFS(K896 &lt;= (65/SQRT($AT$32)), "Compact", K896 &lt;= (95/SQRT($AT$32)), "Non-Compact", K896 &gt; (95/SQRT($AT$32)), "Slender")</f>
        <v/>
      </c>
      <c r="Z896" s="125">
        <f>E896/F896</f>
        <v/>
      </c>
      <c r="AA896" s="125">
        <f>D896/G896</f>
        <v/>
      </c>
      <c r="AB896" s="125">
        <f t="array" ref="AB896">_xlfn.IFS(Z896 &lt;= 9, "1", Z896 &lt;= 12, "2", Z896 &lt;= 15, "3", Z896 &gt; 15, "4")</f>
        <v/>
      </c>
      <c r="AC896" s="125">
        <f t="array" ref="AC896">_xlfn.IFS(AA896 &lt;= 200, "1", L896 &lt;= 300, "2", L896 &lt;= 400, "3", L896 &gt; 400, "4")</f>
        <v/>
      </c>
      <c r="AF896" s="129">
        <f>SQRT((((VLOOKUP($AT$4,$A$4:$D$1021,4,FALSE))-D896)^2)+(((VLOOKUP($AT$4,$A$4:$E$1021,5,FALSE))-E896)^2)+(((VLOOKUP($AT$4,$A$4:$N$1021,14,FALSE))-N896)^2)+(((VLOOKUP($AT$4,$A$4:$O$1021,15,FALSE))-O896)^2))</f>
        <v/>
      </c>
      <c r="AG896" s="129" t="n"/>
      <c r="AI896" s="129">
        <f>SQRT((((VLOOKUP($AT$4,$A$4:$D$1021,4,FALSE))-D896)^2)+(((VLOOKUP($AT$4,$A$4:$E$1021,5,FALSE))-E896)^2)+(((VLOOKUP($AT$4,$A$4:$R$1021,18,FALSE))-R896)^2)+(((VLOOKUP($AT$4,$A$4:$S$1021,19,FALSE))-S896)^2))</f>
        <v/>
      </c>
      <c r="AJ896" s="125" t="inlineStr">
        <is>
          <t>HY600X171</t>
        </is>
      </c>
      <c r="AK896" s="125" t="n"/>
      <c r="AL896" s="125" t="n"/>
      <c r="AM896" s="125">
        <f>SQRT(((VLOOKUP($AT$4,$A$4:$J$1021,10,FALSE))-J896)^2)</f>
        <v/>
      </c>
      <c r="AN896" s="125" t="n"/>
      <c r="AO896" s="125" t="n"/>
      <c r="AP896" s="125">
        <f>SQRT(((VLOOKUP($AT$4,$A$4:$R$1021,18,FALSE))-R896)^2)</f>
        <v/>
      </c>
      <c r="AQ896" s="125" t="inlineStr">
        <is>
          <t>HY600X171</t>
        </is>
      </c>
      <c r="BB896" s="125">
        <f>SQRT(($J$1022-J896)^2)</f>
        <v/>
      </c>
      <c r="BC896" s="125">
        <f>SQRT(($R$1022-R896)^2)</f>
        <v/>
      </c>
      <c r="BD896" s="125" t="inlineStr">
        <is>
          <t>HY600X171</t>
        </is>
      </c>
      <c r="BI896">
        <f>SQRT(($J$1023-J896)^2)</f>
        <v/>
      </c>
      <c r="BJ896">
        <f>SQRT(($R$1023-R896)^2)</f>
        <v/>
      </c>
      <c r="BK896" s="125" t="inlineStr">
        <is>
          <t>HY600X171</t>
        </is>
      </c>
      <c r="BP896">
        <f>SQRT(($J$1024-J896)^2)</f>
        <v/>
      </c>
      <c r="BQ896">
        <f>SQRT(($R$1024-R896)^2)</f>
        <v/>
      </c>
      <c r="BR896" s="125" t="inlineStr">
        <is>
          <t>HY600X171</t>
        </is>
      </c>
      <c r="BW896">
        <f>SQRT(($J$1025-J896)^2)</f>
        <v/>
      </c>
      <c r="BX896">
        <f>SQRT(($R$1025-R896)^2)</f>
        <v/>
      </c>
      <c r="BY896" s="125" t="inlineStr">
        <is>
          <t>HY600X171</t>
        </is>
      </c>
      <c r="CD896">
        <f>SQRT(($J$1026-J896)^2)</f>
        <v/>
      </c>
      <c r="CE896">
        <f>SQRT(($R$1026-R896)^2)</f>
        <v/>
      </c>
      <c r="CF896" s="125" t="inlineStr">
        <is>
          <t>HY600X171</t>
        </is>
      </c>
    </row>
    <row r="897">
      <c r="A897" s="125" t="inlineStr">
        <is>
          <t>HY600X157</t>
        </is>
      </c>
      <c r="B897" s="129" t="inlineStr">
        <is>
          <t>HY</t>
        </is>
      </c>
      <c r="C897" s="125" t="n">
        <v>157</v>
      </c>
      <c r="D897" s="125" t="n">
        <v>600</v>
      </c>
      <c r="E897" s="125" t="n">
        <v>300</v>
      </c>
      <c r="F897" s="125" t="n">
        <v>22</v>
      </c>
      <c r="G897" s="125" t="n">
        <v>12</v>
      </c>
      <c r="H897" s="125" t="n">
        <v>13</v>
      </c>
      <c r="I897" s="125">
        <f>D897-(2*(H897+F897))</f>
        <v/>
      </c>
      <c r="J897" s="125">
        <f>(2*E897/10*F897/10)+((D897-F897-F897)/10*G897/10)+((H897/10+H897/10)^2)-(PI()*H897/10*H897/10)</f>
        <v/>
      </c>
      <c r="K897" s="125">
        <f>((E897-G897)/2)/F897</f>
        <v/>
      </c>
      <c r="L897" s="125">
        <f>I897/G897</f>
        <v/>
      </c>
      <c r="M897" s="125">
        <f>(E897*2+F897*4+((E897-G897)/2-H897)*4+2*PI()*H897+(D897-2*F897-2*H897)*2)/1000</f>
        <v/>
      </c>
      <c r="N897" s="5" t="n">
        <v>129000</v>
      </c>
      <c r="O897" s="5" t="n">
        <v>9910</v>
      </c>
      <c r="P897" s="125" t="n">
        <v>25.3</v>
      </c>
      <c r="Q897" s="125" t="n">
        <v>7</v>
      </c>
      <c r="R897" s="5" t="n">
        <v>4290</v>
      </c>
      <c r="S897" s="125" t="n">
        <v>661</v>
      </c>
      <c r="T897" s="5" t="n">
        <v>4780</v>
      </c>
      <c r="U897" s="5" t="n">
        <v>1010</v>
      </c>
      <c r="X897" s="129">
        <f t="array" ref="X897">_xlfn.IFS((D897/F897) &lt;= (640/SQRT($AT$32)), "Compact", L897 &lt;= ($AT$32*(0.79-(0.002*((E897-G897/2)/(2*F897))*SQRT($AT$32)))), "Non-Compact", L897 &gt; ($AT$32*(0.79-(0.002*((E897-G897/2)/(2*F897))*SQRT($AT$32)))), "Slender")</f>
        <v/>
      </c>
      <c r="Y897" s="129">
        <f t="array" ref="Y897">_xlfn.IFS(K897 &lt;= (65/SQRT($AT$32)), "Compact", K897 &lt;= (95/SQRT($AT$32)), "Non-Compact", K897 &gt; (95/SQRT($AT$32)), "Slender")</f>
        <v/>
      </c>
      <c r="Z897" s="125">
        <f>E897/F897</f>
        <v/>
      </c>
      <c r="AA897" s="125">
        <f>D897/G897</f>
        <v/>
      </c>
      <c r="AB897" s="125">
        <f t="array" ref="AB897">_xlfn.IFS(Z897 &lt;= 9, "1", Z897 &lt;= 12, "2", Z897 &lt;= 15, "3", Z897 &gt; 15, "4")</f>
        <v/>
      </c>
      <c r="AC897" s="125">
        <f t="array" ref="AC897">_xlfn.IFS(AA897 &lt;= 200, "1", L897 &lt;= 300, "2", L897 &lt;= 400, "3", L897 &gt; 400, "4")</f>
        <v/>
      </c>
      <c r="AF897" s="129">
        <f>SQRT((((VLOOKUP($AT$4,$A$4:$D$1021,4,FALSE))-D897)^2)+(((VLOOKUP($AT$4,$A$4:$E$1021,5,FALSE))-E897)^2)+(((VLOOKUP($AT$4,$A$4:$N$1021,14,FALSE))-N897)^2)+(((VLOOKUP($AT$4,$A$4:$O$1021,15,FALSE))-O897)^2))</f>
        <v/>
      </c>
      <c r="AG897" s="129" t="n"/>
      <c r="AI897" s="129">
        <f>SQRT((((VLOOKUP($AT$4,$A$4:$D$1021,4,FALSE))-D897)^2)+(((VLOOKUP($AT$4,$A$4:$E$1021,5,FALSE))-E897)^2)+(((VLOOKUP($AT$4,$A$4:$R$1021,18,FALSE))-R897)^2)+(((VLOOKUP($AT$4,$A$4:$S$1021,19,FALSE))-S897)^2))</f>
        <v/>
      </c>
      <c r="AJ897" s="125" t="inlineStr">
        <is>
          <t>HY600X157</t>
        </is>
      </c>
      <c r="AK897" s="125" t="n"/>
      <c r="AL897" s="125" t="n"/>
      <c r="AM897" s="125">
        <f>SQRT(((VLOOKUP($AT$4,$A$4:$J$1021,10,FALSE))-J897)^2)</f>
        <v/>
      </c>
      <c r="AN897" s="125" t="n"/>
      <c r="AO897" s="125" t="n"/>
      <c r="AP897" s="125">
        <f>SQRT(((VLOOKUP($AT$4,$A$4:$R$1021,18,FALSE))-R897)^2)</f>
        <v/>
      </c>
      <c r="AQ897" s="125" t="inlineStr">
        <is>
          <t>HY600X157</t>
        </is>
      </c>
      <c r="BB897" s="125">
        <f>SQRT(($J$1022-J897)^2)</f>
        <v/>
      </c>
      <c r="BC897" s="125">
        <f>SQRT(($R$1022-R897)^2)</f>
        <v/>
      </c>
      <c r="BD897" s="125" t="inlineStr">
        <is>
          <t>HY600X157</t>
        </is>
      </c>
      <c r="BI897">
        <f>SQRT(($J$1023-J897)^2)</f>
        <v/>
      </c>
      <c r="BJ897">
        <f>SQRT(($R$1023-R897)^2)</f>
        <v/>
      </c>
      <c r="BK897" s="125" t="inlineStr">
        <is>
          <t>HY600X157</t>
        </is>
      </c>
      <c r="BP897">
        <f>SQRT(($J$1024-J897)^2)</f>
        <v/>
      </c>
      <c r="BQ897">
        <f>SQRT(($R$1024-R897)^2)</f>
        <v/>
      </c>
      <c r="BR897" s="125" t="inlineStr">
        <is>
          <t>HY600X157</t>
        </is>
      </c>
      <c r="BW897">
        <f>SQRT(($J$1025-J897)^2)</f>
        <v/>
      </c>
      <c r="BX897">
        <f>SQRT(($R$1025-R897)^2)</f>
        <v/>
      </c>
      <c r="BY897" s="125" t="inlineStr">
        <is>
          <t>HY600X157</t>
        </is>
      </c>
      <c r="CD897">
        <f>SQRT(($J$1026-J897)^2)</f>
        <v/>
      </c>
      <c r="CE897">
        <f>SQRT(($R$1026-R897)^2)</f>
        <v/>
      </c>
      <c r="CF897" s="125" t="inlineStr">
        <is>
          <t>HY600X157</t>
        </is>
      </c>
    </row>
    <row r="898">
      <c r="A898" s="125" t="inlineStr">
        <is>
          <t>HY600X144</t>
        </is>
      </c>
      <c r="B898" s="129" t="inlineStr">
        <is>
          <t>HY</t>
        </is>
      </c>
      <c r="C898" s="125" t="n">
        <v>144</v>
      </c>
      <c r="D898" s="125" t="n">
        <v>600</v>
      </c>
      <c r="E898" s="125" t="n">
        <v>300</v>
      </c>
      <c r="F898" s="125" t="n">
        <v>19</v>
      </c>
      <c r="G898" s="125" t="n">
        <v>12</v>
      </c>
      <c r="H898" s="125" t="n">
        <v>13</v>
      </c>
      <c r="I898" s="125">
        <f>D898-(2*(H898+F898))</f>
        <v/>
      </c>
      <c r="J898" s="125">
        <f>(2*E898/10*F898/10)+((D898-F898-F898)/10*G898/10)+((H898/10+H898/10)^2)-(PI()*H898/10*H898/10)</f>
        <v/>
      </c>
      <c r="K898" s="125">
        <f>((E898-G898)/2)/F898</f>
        <v/>
      </c>
      <c r="L898" s="125">
        <f>I898/G898</f>
        <v/>
      </c>
      <c r="M898" s="125">
        <f>(E898*2+F898*4+((E898-G898)/2-H898)*4+2*PI()*H898+(D898-2*F898-2*H898)*2)/1000</f>
        <v/>
      </c>
      <c r="N898" s="5" t="n">
        <v>115000</v>
      </c>
      <c r="O898" s="5" t="n">
        <v>8560</v>
      </c>
      <c r="P898" s="125" t="n">
        <v>25.1</v>
      </c>
      <c r="Q898" s="125" t="n">
        <v>6.8</v>
      </c>
      <c r="R898" s="5" t="n">
        <v>3840</v>
      </c>
      <c r="S898" s="125" t="n">
        <v>571</v>
      </c>
      <c r="T898" s="5" t="n">
        <v>4300</v>
      </c>
      <c r="U898" s="125" t="n">
        <v>877</v>
      </c>
      <c r="X898" s="129">
        <f t="array" ref="X898">_xlfn.IFS((D898/F898) &lt;= (640/SQRT($AT$32)), "Compact", L898 &lt;= ($AT$32*(0.79-(0.002*((E898-G898/2)/(2*F898))*SQRT($AT$32)))), "Non-Compact", L898 &gt; ($AT$32*(0.79-(0.002*((E898-G898/2)/(2*F898))*SQRT($AT$32)))), "Slender")</f>
        <v/>
      </c>
      <c r="Y898" s="129">
        <f t="array" ref="Y898">_xlfn.IFS(K898 &lt;= (65/SQRT($AT$32)), "Compact", K898 &lt;= (95/SQRT($AT$32)), "Non-Compact", K898 &gt; (95/SQRT($AT$32)), "Slender")</f>
        <v/>
      </c>
      <c r="Z898" s="125">
        <f>E898/F898</f>
        <v/>
      </c>
      <c r="AA898" s="125">
        <f>D898/G898</f>
        <v/>
      </c>
      <c r="AB898" s="125">
        <f t="array" ref="AB898">_xlfn.IFS(Z898 &lt;= 9, "1", Z898 &lt;= 12, "2", Z898 &lt;= 15, "3", Z898 &gt; 15, "4")</f>
        <v/>
      </c>
      <c r="AC898" s="125">
        <f t="array" ref="AC898">_xlfn.IFS(AA898 &lt;= 200, "1", L898 &lt;= 300, "2", L898 &lt;= 400, "3", L898 &gt; 400, "4")</f>
        <v/>
      </c>
      <c r="AF898" s="129">
        <f>SQRT((((VLOOKUP($AT$4,$A$4:$D$1021,4,FALSE))-D898)^2)+(((VLOOKUP($AT$4,$A$4:$E$1021,5,FALSE))-E898)^2)+(((VLOOKUP($AT$4,$A$4:$N$1021,14,FALSE))-N898)^2)+(((VLOOKUP($AT$4,$A$4:$O$1021,15,FALSE))-O898)^2))</f>
        <v/>
      </c>
      <c r="AG898" s="129" t="n"/>
      <c r="AI898" s="129">
        <f>SQRT((((VLOOKUP($AT$4,$A$4:$D$1021,4,FALSE))-D898)^2)+(((VLOOKUP($AT$4,$A$4:$E$1021,5,FALSE))-E898)^2)+(((VLOOKUP($AT$4,$A$4:$R$1021,18,FALSE))-R898)^2)+(((VLOOKUP($AT$4,$A$4:$S$1021,19,FALSE))-S898)^2))</f>
        <v/>
      </c>
      <c r="AJ898" s="125" t="inlineStr">
        <is>
          <t>HY600X144</t>
        </is>
      </c>
      <c r="AK898" s="125" t="n"/>
      <c r="AL898" s="125" t="n"/>
      <c r="AM898" s="125">
        <f>SQRT(((VLOOKUP($AT$4,$A$4:$J$1021,10,FALSE))-J898)^2)</f>
        <v/>
      </c>
      <c r="AN898" s="125" t="n"/>
      <c r="AO898" s="125" t="n"/>
      <c r="AP898" s="125">
        <f>SQRT(((VLOOKUP($AT$4,$A$4:$R$1021,18,FALSE))-R898)^2)</f>
        <v/>
      </c>
      <c r="AQ898" s="125" t="inlineStr">
        <is>
          <t>HY600X144</t>
        </is>
      </c>
      <c r="BB898" s="125">
        <f>SQRT(($J$1022-J898)^2)</f>
        <v/>
      </c>
      <c r="BC898" s="125">
        <f>SQRT(($R$1022-R898)^2)</f>
        <v/>
      </c>
      <c r="BD898" s="125" t="inlineStr">
        <is>
          <t>HY600X144</t>
        </is>
      </c>
      <c r="BI898">
        <f>SQRT(($J$1023-J898)^2)</f>
        <v/>
      </c>
      <c r="BJ898">
        <f>SQRT(($R$1023-R898)^2)</f>
        <v/>
      </c>
      <c r="BK898" s="125" t="inlineStr">
        <is>
          <t>HY600X144</t>
        </is>
      </c>
      <c r="BP898">
        <f>SQRT(($J$1024-J898)^2)</f>
        <v/>
      </c>
      <c r="BQ898">
        <f>SQRT(($R$1024-R898)^2)</f>
        <v/>
      </c>
      <c r="BR898" s="125" t="inlineStr">
        <is>
          <t>HY600X144</t>
        </is>
      </c>
      <c r="BW898">
        <f>SQRT(($J$1025-J898)^2)</f>
        <v/>
      </c>
      <c r="BX898">
        <f>SQRT(($R$1025-R898)^2)</f>
        <v/>
      </c>
      <c r="BY898" s="125" t="inlineStr">
        <is>
          <t>HY600X144</t>
        </is>
      </c>
      <c r="CD898">
        <f>SQRT(($J$1026-J898)^2)</f>
        <v/>
      </c>
      <c r="CE898">
        <f>SQRT(($R$1026-R898)^2)</f>
        <v/>
      </c>
      <c r="CF898" s="125" t="inlineStr">
        <is>
          <t>HY600X144</t>
        </is>
      </c>
    </row>
    <row r="899">
      <c r="A899" s="125" t="inlineStr">
        <is>
          <t>HY600X130</t>
        </is>
      </c>
      <c r="B899" s="129" t="inlineStr">
        <is>
          <t>HY</t>
        </is>
      </c>
      <c r="C899" s="125" t="n">
        <v>130</v>
      </c>
      <c r="D899" s="125" t="n">
        <v>600</v>
      </c>
      <c r="E899" s="125" t="n">
        <v>300</v>
      </c>
      <c r="F899" s="125" t="n">
        <v>16</v>
      </c>
      <c r="G899" s="125" t="n">
        <v>12</v>
      </c>
      <c r="H899" s="125" t="n">
        <v>13</v>
      </c>
      <c r="I899" s="125">
        <f>D899-(2*(H899+F899))</f>
        <v/>
      </c>
      <c r="J899" s="125">
        <f>(2*E899/10*F899/10)+((D899-F899-F899)/10*G899/10)+((H899/10+H899/10)^2)-(PI()*H899/10*H899/10)</f>
        <v/>
      </c>
      <c r="K899" s="125">
        <f>((E899-G899)/2)/F899</f>
        <v/>
      </c>
      <c r="L899" s="125">
        <f>I899/G899</f>
        <v/>
      </c>
      <c r="M899" s="125">
        <f>(E899*2+F899*4+((E899-G899)/2-H899)*4+2*PI()*H899+(D899-2*F899-2*H899)*2)/1000</f>
        <v/>
      </c>
      <c r="N899" s="5" t="n">
        <v>101000</v>
      </c>
      <c r="O899" s="5" t="n">
        <v>7210</v>
      </c>
      <c r="P899" s="125" t="n">
        <v>24.7</v>
      </c>
      <c r="Q899" s="125" t="n">
        <v>6.6</v>
      </c>
      <c r="R899" s="5" t="n">
        <v>3380</v>
      </c>
      <c r="S899" s="125" t="n">
        <v>481</v>
      </c>
      <c r="T899" s="5" t="n">
        <v>3810</v>
      </c>
      <c r="U899" s="125" t="n">
        <v>742</v>
      </c>
      <c r="X899" s="129">
        <f t="array" ref="X899">_xlfn.IFS((D899/F899) &lt;= (640/SQRT($AT$32)), "Compact", L899 &lt;= ($AT$32*(0.79-(0.002*((E899-G899/2)/(2*F899))*SQRT($AT$32)))), "Non-Compact", L899 &gt; ($AT$32*(0.79-(0.002*((E899-G899/2)/(2*F899))*SQRT($AT$32)))), "Slender")</f>
        <v/>
      </c>
      <c r="Y899" s="129">
        <f t="array" ref="Y899">_xlfn.IFS(K899 &lt;= (65/SQRT($AT$32)), "Compact", K899 &lt;= (95/SQRT($AT$32)), "Non-Compact", K899 &gt; (95/SQRT($AT$32)), "Slender")</f>
        <v/>
      </c>
      <c r="Z899" s="125">
        <f>E899/F899</f>
        <v/>
      </c>
      <c r="AA899" s="125">
        <f>D899/G899</f>
        <v/>
      </c>
      <c r="AB899" s="125">
        <f t="array" ref="AB899">_xlfn.IFS(Z899 &lt;= 9, "1", Z899 &lt;= 12, "2", Z899 &lt;= 15, "3", Z899 &gt; 15, "4")</f>
        <v/>
      </c>
      <c r="AC899" s="125">
        <f t="array" ref="AC899">_xlfn.IFS(AA899 &lt;= 200, "1", L899 &lt;= 300, "2", L899 &lt;= 400, "3", L899 &gt; 400, "4")</f>
        <v/>
      </c>
      <c r="AF899" s="129">
        <f>SQRT((((VLOOKUP($AT$4,$A$4:$D$1021,4,FALSE))-D899)^2)+(((VLOOKUP($AT$4,$A$4:$E$1021,5,FALSE))-E899)^2)+(((VLOOKUP($AT$4,$A$4:$N$1021,14,FALSE))-N899)^2)+(((VLOOKUP($AT$4,$A$4:$O$1021,15,FALSE))-O899)^2))</f>
        <v/>
      </c>
      <c r="AG899" s="129" t="n"/>
      <c r="AI899" s="129">
        <f>SQRT((((VLOOKUP($AT$4,$A$4:$D$1021,4,FALSE))-D899)^2)+(((VLOOKUP($AT$4,$A$4:$E$1021,5,FALSE))-E899)^2)+(((VLOOKUP($AT$4,$A$4:$R$1021,18,FALSE))-R899)^2)+(((VLOOKUP($AT$4,$A$4:$S$1021,19,FALSE))-S899)^2))</f>
        <v/>
      </c>
      <c r="AJ899" s="125" t="inlineStr">
        <is>
          <t>HY600X130</t>
        </is>
      </c>
      <c r="AK899" s="125" t="n"/>
      <c r="AL899" s="125" t="n"/>
      <c r="AM899" s="125">
        <f>SQRT(((VLOOKUP($AT$4,$A$4:$J$1021,10,FALSE))-J899)^2)</f>
        <v/>
      </c>
      <c r="AN899" s="125" t="n"/>
      <c r="AO899" s="125" t="n"/>
      <c r="AP899" s="125">
        <f>SQRT(((VLOOKUP($AT$4,$A$4:$R$1021,18,FALSE))-R899)^2)</f>
        <v/>
      </c>
      <c r="AQ899" s="125" t="inlineStr">
        <is>
          <t>HY600X130</t>
        </is>
      </c>
      <c r="BB899" s="125">
        <f>SQRT(($J$1022-J899)^2)</f>
        <v/>
      </c>
      <c r="BC899" s="125">
        <f>SQRT(($R$1022-R899)^2)</f>
        <v/>
      </c>
      <c r="BD899" s="125" t="inlineStr">
        <is>
          <t>HY600X130</t>
        </is>
      </c>
      <c r="BI899">
        <f>SQRT(($J$1023-J899)^2)</f>
        <v/>
      </c>
      <c r="BJ899">
        <f>SQRT(($R$1023-R899)^2)</f>
        <v/>
      </c>
      <c r="BK899" s="125" t="inlineStr">
        <is>
          <t>HY600X130</t>
        </is>
      </c>
      <c r="BP899">
        <f>SQRT(($J$1024-J899)^2)</f>
        <v/>
      </c>
      <c r="BQ899">
        <f>SQRT(($R$1024-R899)^2)</f>
        <v/>
      </c>
      <c r="BR899" s="125" t="inlineStr">
        <is>
          <t>HY600X130</t>
        </is>
      </c>
      <c r="BW899">
        <f>SQRT(($J$1025-J899)^2)</f>
        <v/>
      </c>
      <c r="BX899">
        <f>SQRT(($R$1025-R899)^2)</f>
        <v/>
      </c>
      <c r="BY899" s="125" t="inlineStr">
        <is>
          <t>HY600X130</t>
        </is>
      </c>
      <c r="CD899">
        <f>SQRT(($J$1026-J899)^2)</f>
        <v/>
      </c>
      <c r="CE899">
        <f>SQRT(($R$1026-R899)^2)</f>
        <v/>
      </c>
      <c r="CF899" s="125" t="inlineStr">
        <is>
          <t>HY600X130</t>
        </is>
      </c>
    </row>
    <row r="900">
      <c r="A900" s="125" t="inlineStr">
        <is>
          <t>HY600X130</t>
        </is>
      </c>
      <c r="B900" s="129" t="inlineStr">
        <is>
          <t>HY</t>
        </is>
      </c>
      <c r="C900" s="125" t="n">
        <v>130</v>
      </c>
      <c r="D900" s="125" t="n">
        <v>600</v>
      </c>
      <c r="E900" s="125" t="n">
        <v>300</v>
      </c>
      <c r="F900" s="125" t="n">
        <v>19</v>
      </c>
      <c r="G900" s="125" t="n">
        <v>9</v>
      </c>
      <c r="H900" s="125" t="n">
        <v>13</v>
      </c>
      <c r="I900" s="125">
        <f>D900-(2*(H900+F900))</f>
        <v/>
      </c>
      <c r="J900" s="125">
        <f>(2*E900/10*F900/10)+((D900-F900-F900)/10*G900/10)+((H900/10+H900/10)^2)-(PI()*H900/10*H900/10)</f>
        <v/>
      </c>
      <c r="K900" s="125">
        <f>((E900-G900)/2)/F900</f>
        <v/>
      </c>
      <c r="L900" s="125">
        <f>I900/G900</f>
        <v/>
      </c>
      <c r="M900" s="125">
        <f>(E900*2+F900*4+((E900-G900)/2-H900)*4+2*PI()*H900+(D900-2*F900-2*H900)*2)/1000</f>
        <v/>
      </c>
      <c r="N900" s="5" t="n">
        <v>111000</v>
      </c>
      <c r="O900" s="5" t="n">
        <v>8550</v>
      </c>
      <c r="P900" s="125" t="n">
        <v>25.8</v>
      </c>
      <c r="Q900" s="125" t="n">
        <v>7.2</v>
      </c>
      <c r="R900" s="5" t="n">
        <v>3690</v>
      </c>
      <c r="S900" s="125" t="n">
        <v>570</v>
      </c>
      <c r="T900" s="5" t="n">
        <v>4060</v>
      </c>
      <c r="U900" s="125" t="n">
        <v>867</v>
      </c>
      <c r="X900" s="129">
        <f t="array" ref="X900">_xlfn.IFS((D900/F900) &lt;= (640/SQRT($AT$32)), "Compact", L900 &lt;= ($AT$32*(0.79-(0.002*((E900-G900/2)/(2*F900))*SQRT($AT$32)))), "Non-Compact", L900 &gt; ($AT$32*(0.79-(0.002*((E900-G900/2)/(2*F900))*SQRT($AT$32)))), "Slender")</f>
        <v/>
      </c>
      <c r="Y900" s="129">
        <f t="array" ref="Y900">_xlfn.IFS(K900 &lt;= (65/SQRT($AT$32)), "Compact", K900 &lt;= (95/SQRT($AT$32)), "Non-Compact", K900 &gt; (95/SQRT($AT$32)), "Slender")</f>
        <v/>
      </c>
      <c r="Z900" s="125">
        <f>E900/F900</f>
        <v/>
      </c>
      <c r="AA900" s="125">
        <f>D900/G900</f>
        <v/>
      </c>
      <c r="AB900" s="125">
        <f t="array" ref="AB900">_xlfn.IFS(Z900 &lt;= 9, "1", Z900 &lt;= 12, "2", Z900 &lt;= 15, "3", Z900 &gt; 15, "4")</f>
        <v/>
      </c>
      <c r="AC900" s="125">
        <f t="array" ref="AC900">_xlfn.IFS(AA900 &lt;= 200, "1", L900 &lt;= 300, "2", L900 &lt;= 400, "3", L900 &gt; 400, "4")</f>
        <v/>
      </c>
      <c r="AF900" s="129">
        <f>SQRT((((VLOOKUP($AT$4,$A$4:$D$1021,4,FALSE))-D900)^2)+(((VLOOKUP($AT$4,$A$4:$E$1021,5,FALSE))-E900)^2)+(((VLOOKUP($AT$4,$A$4:$N$1021,14,FALSE))-N900)^2)+(((VLOOKUP($AT$4,$A$4:$O$1021,15,FALSE))-O900)^2))</f>
        <v/>
      </c>
      <c r="AG900" s="129" t="n"/>
      <c r="AI900" s="129">
        <f>SQRT((((VLOOKUP($AT$4,$A$4:$D$1021,4,FALSE))-D900)^2)+(((VLOOKUP($AT$4,$A$4:$E$1021,5,FALSE))-E900)^2)+(((VLOOKUP($AT$4,$A$4:$R$1021,18,FALSE))-R900)^2)+(((VLOOKUP($AT$4,$A$4:$S$1021,19,FALSE))-S900)^2))</f>
        <v/>
      </c>
      <c r="AJ900" s="125" t="inlineStr">
        <is>
          <t>HY600X130</t>
        </is>
      </c>
      <c r="AK900" s="125" t="n"/>
      <c r="AL900" s="125" t="n"/>
      <c r="AM900" s="125">
        <f>SQRT(((VLOOKUP($AT$4,$A$4:$J$1021,10,FALSE))-J900)^2)</f>
        <v/>
      </c>
      <c r="AN900" s="125" t="n"/>
      <c r="AO900" s="125" t="n"/>
      <c r="AP900" s="125">
        <f>SQRT(((VLOOKUP($AT$4,$A$4:$R$1021,18,FALSE))-R900)^2)</f>
        <v/>
      </c>
      <c r="AQ900" s="125" t="inlineStr">
        <is>
          <t>HY600X130</t>
        </is>
      </c>
      <c r="BB900" s="125">
        <f>SQRT(($J$1022-J900)^2)</f>
        <v/>
      </c>
      <c r="BC900" s="125">
        <f>SQRT(($R$1022-R900)^2)</f>
        <v/>
      </c>
      <c r="BD900" s="125" t="inlineStr">
        <is>
          <t>HY600X130</t>
        </is>
      </c>
      <c r="BI900">
        <f>SQRT(($J$1023-J900)^2)</f>
        <v/>
      </c>
      <c r="BJ900">
        <f>SQRT(($R$1023-R900)^2)</f>
        <v/>
      </c>
      <c r="BK900" s="125" t="inlineStr">
        <is>
          <t>HY600X130</t>
        </is>
      </c>
      <c r="BP900">
        <f>SQRT(($J$1024-J900)^2)</f>
        <v/>
      </c>
      <c r="BQ900">
        <f>SQRT(($R$1024-R900)^2)</f>
        <v/>
      </c>
      <c r="BR900" s="125" t="inlineStr">
        <is>
          <t>HY600X130</t>
        </is>
      </c>
      <c r="BW900">
        <f>SQRT(($J$1025-J900)^2)</f>
        <v/>
      </c>
      <c r="BX900">
        <f>SQRT(($R$1025-R900)^2)</f>
        <v/>
      </c>
      <c r="BY900" s="125" t="inlineStr">
        <is>
          <t>HY600X130</t>
        </is>
      </c>
      <c r="CD900">
        <f>SQRT(($J$1026-J900)^2)</f>
        <v/>
      </c>
      <c r="CE900">
        <f>SQRT(($R$1026-R900)^2)</f>
        <v/>
      </c>
      <c r="CF900" s="125" t="inlineStr">
        <is>
          <t>HY600X130</t>
        </is>
      </c>
    </row>
    <row r="901">
      <c r="A901" s="125" t="inlineStr">
        <is>
          <t>HY600X194</t>
        </is>
      </c>
      <c r="B901" s="129" t="inlineStr">
        <is>
          <t>HY</t>
        </is>
      </c>
      <c r="C901" s="125" t="n">
        <v>194</v>
      </c>
      <c r="D901" s="125" t="n">
        <v>600</v>
      </c>
      <c r="E901" s="125" t="n">
        <v>250</v>
      </c>
      <c r="F901" s="125" t="n">
        <v>32</v>
      </c>
      <c r="G901" s="125" t="n">
        <v>16</v>
      </c>
      <c r="H901" s="125" t="n">
        <v>13</v>
      </c>
      <c r="I901" s="125">
        <f>D901-(2*(H901+F901))</f>
        <v/>
      </c>
      <c r="J901" s="125">
        <f>(2*E901/10*F901/10)+((D901-F901-F901)/10*G901/10)+((H901/10+H901/10)^2)-(PI()*H901/10*H901/10)</f>
        <v/>
      </c>
      <c r="K901" s="125">
        <f>((E901-G901)/2)/F901</f>
        <v/>
      </c>
      <c r="L901" s="125">
        <f>I901/G901</f>
        <v/>
      </c>
      <c r="M901" s="125">
        <f>(E901*2+F901*4+((E901-G901)/2-H901)*4+2*PI()*H901+(D901-2*F901-2*H901)*2)/1000</f>
        <v/>
      </c>
      <c r="N901" s="5" t="n">
        <v>151000</v>
      </c>
      <c r="O901" s="5" t="n">
        <v>8350</v>
      </c>
      <c r="P901" s="125" t="n">
        <v>24.7</v>
      </c>
      <c r="Q901" s="125" t="n">
        <v>5.8</v>
      </c>
      <c r="R901" s="5" t="n">
        <v>5020</v>
      </c>
      <c r="S901" s="125" t="n">
        <v>668</v>
      </c>
      <c r="T901" s="5" t="n">
        <v>5730</v>
      </c>
      <c r="U901" s="5" t="n">
        <v>1040</v>
      </c>
      <c r="X901" s="129">
        <f t="array" ref="X901">_xlfn.IFS((D901/F901) &lt;= (640/SQRT($AT$32)), "Compact", L901 &lt;= ($AT$32*(0.79-(0.002*((E901-G901/2)/(2*F901))*SQRT($AT$32)))), "Non-Compact", L901 &gt; ($AT$32*(0.79-(0.002*((E901-G901/2)/(2*F901))*SQRT($AT$32)))), "Slender")</f>
        <v/>
      </c>
      <c r="Y901" s="129">
        <f t="array" ref="Y901">_xlfn.IFS(K901 &lt;= (65/SQRT($AT$32)), "Compact", K901 &lt;= (95/SQRT($AT$32)), "Non-Compact", K901 &gt; (95/SQRT($AT$32)), "Slender")</f>
        <v/>
      </c>
      <c r="Z901" s="125">
        <f>E901/F901</f>
        <v/>
      </c>
      <c r="AA901" s="125">
        <f>D901/G901</f>
        <v/>
      </c>
      <c r="AB901" s="125">
        <f t="array" ref="AB901">_xlfn.IFS(Z901 &lt;= 9, "1", Z901 &lt;= 12, "2", Z901 &lt;= 15, "3", Z901 &gt; 15, "4")</f>
        <v/>
      </c>
      <c r="AC901" s="125">
        <f t="array" ref="AC901">_xlfn.IFS(AA901 &lt;= 200, "1", L901 &lt;= 300, "2", L901 &lt;= 400, "3", L901 &gt; 400, "4")</f>
        <v/>
      </c>
      <c r="AF901" s="129">
        <f>SQRT((((VLOOKUP($AT$4,$A$4:$D$1021,4,FALSE))-D901)^2)+(((VLOOKUP($AT$4,$A$4:$E$1021,5,FALSE))-E901)^2)+(((VLOOKUP($AT$4,$A$4:$N$1021,14,FALSE))-N901)^2)+(((VLOOKUP($AT$4,$A$4:$O$1021,15,FALSE))-O901)^2))</f>
        <v/>
      </c>
      <c r="AG901" s="129" t="n"/>
      <c r="AI901" s="129">
        <f>SQRT((((VLOOKUP($AT$4,$A$4:$D$1021,4,FALSE))-D901)^2)+(((VLOOKUP($AT$4,$A$4:$E$1021,5,FALSE))-E901)^2)+(((VLOOKUP($AT$4,$A$4:$R$1021,18,FALSE))-R901)^2)+(((VLOOKUP($AT$4,$A$4:$S$1021,19,FALSE))-S901)^2))</f>
        <v/>
      </c>
      <c r="AJ901" s="125" t="inlineStr">
        <is>
          <t>HY600X194</t>
        </is>
      </c>
      <c r="AK901" s="125" t="n"/>
      <c r="AL901" s="125" t="n"/>
      <c r="AM901" s="125">
        <f>SQRT(((VLOOKUP($AT$4,$A$4:$J$1021,10,FALSE))-J901)^2)</f>
        <v/>
      </c>
      <c r="AN901" s="125" t="n"/>
      <c r="AO901" s="125" t="n"/>
      <c r="AP901" s="125">
        <f>SQRT(((VLOOKUP($AT$4,$A$4:$R$1021,18,FALSE))-R901)^2)</f>
        <v/>
      </c>
      <c r="AQ901" s="125" t="inlineStr">
        <is>
          <t>HY600X194</t>
        </is>
      </c>
      <c r="BB901" s="125">
        <f>SQRT(($J$1022-J901)^2)</f>
        <v/>
      </c>
      <c r="BC901" s="125">
        <f>SQRT(($R$1022-R901)^2)</f>
        <v/>
      </c>
      <c r="BD901" s="125" t="inlineStr">
        <is>
          <t>HY600X194</t>
        </is>
      </c>
      <c r="BI901">
        <f>SQRT(($J$1023-J901)^2)</f>
        <v/>
      </c>
      <c r="BJ901">
        <f>SQRT(($R$1023-R901)^2)</f>
        <v/>
      </c>
      <c r="BK901" s="125" t="inlineStr">
        <is>
          <t>HY600X194</t>
        </is>
      </c>
      <c r="BP901">
        <f>SQRT(($J$1024-J901)^2)</f>
        <v/>
      </c>
      <c r="BQ901">
        <f>SQRT(($R$1024-R901)^2)</f>
        <v/>
      </c>
      <c r="BR901" s="125" t="inlineStr">
        <is>
          <t>HY600X194</t>
        </is>
      </c>
      <c r="BW901">
        <f>SQRT(($J$1025-J901)^2)</f>
        <v/>
      </c>
      <c r="BX901">
        <f>SQRT(($R$1025-R901)^2)</f>
        <v/>
      </c>
      <c r="BY901" s="125" t="inlineStr">
        <is>
          <t>HY600X194</t>
        </is>
      </c>
      <c r="CD901">
        <f>SQRT(($J$1026-J901)^2)</f>
        <v/>
      </c>
      <c r="CE901">
        <f>SQRT(($R$1026-R901)^2)</f>
        <v/>
      </c>
      <c r="CF901" s="125" t="inlineStr">
        <is>
          <t>HY600X194</t>
        </is>
      </c>
    </row>
    <row r="902">
      <c r="A902" s="125" t="inlineStr">
        <is>
          <t>HY600X179</t>
        </is>
      </c>
      <c r="B902" s="129" t="inlineStr">
        <is>
          <t>HY</t>
        </is>
      </c>
      <c r="C902" s="125" t="n">
        <v>179</v>
      </c>
      <c r="D902" s="125" t="n">
        <v>600</v>
      </c>
      <c r="E902" s="125" t="n">
        <v>250</v>
      </c>
      <c r="F902" s="125" t="n">
        <v>28</v>
      </c>
      <c r="G902" s="125" t="n">
        <v>16</v>
      </c>
      <c r="H902" s="125" t="n">
        <v>13</v>
      </c>
      <c r="I902" s="125">
        <f>D902-(2*(H902+F902))</f>
        <v/>
      </c>
      <c r="J902" s="125">
        <f>(2*E902/10*F902/10)+((D902-F902-F902)/10*G902/10)+((H902/10+H902/10)^2)-(PI()*H902/10*H902/10)</f>
        <v/>
      </c>
      <c r="K902" s="125">
        <f>((E902-G902)/2)/F902</f>
        <v/>
      </c>
      <c r="L902" s="125">
        <f>I902/G902</f>
        <v/>
      </c>
      <c r="M902" s="125">
        <f>(E902*2+F902*4+((E902-G902)/2-H902)*4+2*PI()*H902+(D902-2*F902-2*H902)*2)/1000</f>
        <v/>
      </c>
      <c r="N902" s="5" t="n">
        <v>137000</v>
      </c>
      <c r="O902" s="5" t="n">
        <v>7310</v>
      </c>
      <c r="P902" s="125" t="n">
        <v>24.5</v>
      </c>
      <c r="Q902" s="125" t="n">
        <v>5.7</v>
      </c>
      <c r="R902" s="5" t="n">
        <v>4570</v>
      </c>
      <c r="S902" s="125" t="n">
        <v>585</v>
      </c>
      <c r="T902" s="5" t="n">
        <v>5230</v>
      </c>
      <c r="U902" s="125" t="n">
        <v>911</v>
      </c>
      <c r="X902" s="129">
        <f t="array" ref="X902">_xlfn.IFS((D902/F902) &lt;= (640/SQRT($AT$32)), "Compact", L902 &lt;= ($AT$32*(0.79-(0.002*((E902-G902/2)/(2*F902))*SQRT($AT$32)))), "Non-Compact", L902 &gt; ($AT$32*(0.79-(0.002*((E902-G902/2)/(2*F902))*SQRT($AT$32)))), "Slender")</f>
        <v/>
      </c>
      <c r="Y902" s="129">
        <f t="array" ref="Y902">_xlfn.IFS(K902 &lt;= (65/SQRT($AT$32)), "Compact", K902 &lt;= (95/SQRT($AT$32)), "Non-Compact", K902 &gt; (95/SQRT($AT$32)), "Slender")</f>
        <v/>
      </c>
      <c r="Z902" s="125">
        <f>E902/F902</f>
        <v/>
      </c>
      <c r="AA902" s="125">
        <f>D902/G902</f>
        <v/>
      </c>
      <c r="AB902" s="125">
        <f t="array" ref="AB902">_xlfn.IFS(Z902 &lt;= 9, "1", Z902 &lt;= 12, "2", Z902 &lt;= 15, "3", Z902 &gt; 15, "4")</f>
        <v/>
      </c>
      <c r="AC902" s="125">
        <f t="array" ref="AC902">_xlfn.IFS(AA902 &lt;= 200, "1", L902 &lt;= 300, "2", L902 &lt;= 400, "3", L902 &gt; 400, "4")</f>
        <v/>
      </c>
      <c r="AF902" s="129">
        <f>SQRT((((VLOOKUP($AT$4,$A$4:$D$1021,4,FALSE))-D902)^2)+(((VLOOKUP($AT$4,$A$4:$E$1021,5,FALSE))-E902)^2)+(((VLOOKUP($AT$4,$A$4:$N$1021,14,FALSE))-N902)^2)+(((VLOOKUP($AT$4,$A$4:$O$1021,15,FALSE))-O902)^2))</f>
        <v/>
      </c>
      <c r="AG902" s="129" t="n"/>
      <c r="AI902" s="129">
        <f>SQRT((((VLOOKUP($AT$4,$A$4:$D$1021,4,FALSE))-D902)^2)+(((VLOOKUP($AT$4,$A$4:$E$1021,5,FALSE))-E902)^2)+(((VLOOKUP($AT$4,$A$4:$R$1021,18,FALSE))-R902)^2)+(((VLOOKUP($AT$4,$A$4:$S$1021,19,FALSE))-S902)^2))</f>
        <v/>
      </c>
      <c r="AJ902" s="125" t="inlineStr">
        <is>
          <t>HY600X179</t>
        </is>
      </c>
      <c r="AK902" s="125" t="n"/>
      <c r="AL902" s="125" t="n"/>
      <c r="AM902" s="125">
        <f>SQRT(((VLOOKUP($AT$4,$A$4:$J$1021,10,FALSE))-J902)^2)</f>
        <v/>
      </c>
      <c r="AN902" s="125" t="n"/>
      <c r="AO902" s="125" t="n"/>
      <c r="AP902" s="125">
        <f>SQRT(((VLOOKUP($AT$4,$A$4:$R$1021,18,FALSE))-R902)^2)</f>
        <v/>
      </c>
      <c r="AQ902" s="125" t="inlineStr">
        <is>
          <t>HY600X179</t>
        </is>
      </c>
      <c r="BB902" s="125">
        <f>SQRT(($J$1022-J902)^2)</f>
        <v/>
      </c>
      <c r="BC902" s="125">
        <f>SQRT(($R$1022-R902)^2)</f>
        <v/>
      </c>
      <c r="BD902" s="125" t="inlineStr">
        <is>
          <t>HY600X179</t>
        </is>
      </c>
      <c r="BI902">
        <f>SQRT(($J$1023-J902)^2)</f>
        <v/>
      </c>
      <c r="BJ902">
        <f>SQRT(($R$1023-R902)^2)</f>
        <v/>
      </c>
      <c r="BK902" s="125" t="inlineStr">
        <is>
          <t>HY600X179</t>
        </is>
      </c>
      <c r="BP902">
        <f>SQRT(($J$1024-J902)^2)</f>
        <v/>
      </c>
      <c r="BQ902">
        <f>SQRT(($R$1024-R902)^2)</f>
        <v/>
      </c>
      <c r="BR902" s="125" t="inlineStr">
        <is>
          <t>HY600X179</t>
        </is>
      </c>
      <c r="BW902">
        <f>SQRT(($J$1025-J902)^2)</f>
        <v/>
      </c>
      <c r="BX902">
        <f>SQRT(($R$1025-R902)^2)</f>
        <v/>
      </c>
      <c r="BY902" s="125" t="inlineStr">
        <is>
          <t>HY600X179</t>
        </is>
      </c>
      <c r="CD902">
        <f>SQRT(($J$1026-J902)^2)</f>
        <v/>
      </c>
      <c r="CE902">
        <f>SQRT(($R$1026-R902)^2)</f>
        <v/>
      </c>
      <c r="CF902" s="125" t="inlineStr">
        <is>
          <t>HY600X179</t>
        </is>
      </c>
    </row>
    <row r="903">
      <c r="A903" s="125" t="inlineStr">
        <is>
          <t>HY600X168</t>
        </is>
      </c>
      <c r="B903" s="129" t="inlineStr">
        <is>
          <t>HY</t>
        </is>
      </c>
      <c r="C903" s="125" t="n">
        <v>168</v>
      </c>
      <c r="D903" s="125" t="n">
        <v>600</v>
      </c>
      <c r="E903" s="125" t="n">
        <v>250</v>
      </c>
      <c r="F903" s="125" t="n">
        <v>25</v>
      </c>
      <c r="G903" s="125" t="n">
        <v>16</v>
      </c>
      <c r="H903" s="125" t="n">
        <v>13</v>
      </c>
      <c r="I903" s="125">
        <f>D903-(2*(H903+F903))</f>
        <v/>
      </c>
      <c r="J903" s="125">
        <f>(2*E903/10*F903/10)+((D903-F903-F903)/10*G903/10)+((H903/10+H903/10)^2)-(PI()*H903/10*H903/10)</f>
        <v/>
      </c>
      <c r="K903" s="125">
        <f>((E903-G903)/2)/F903</f>
        <v/>
      </c>
      <c r="L903" s="125">
        <f>I903/G903</f>
        <v/>
      </c>
      <c r="M903" s="125">
        <f>(E903*2+F903*4+((E903-G903)/2-H903)*4+2*PI()*H903+(D903-2*F903-2*H903)*2)/1000</f>
        <v/>
      </c>
      <c r="N903" s="5" t="n">
        <v>127000</v>
      </c>
      <c r="O903" s="5" t="n">
        <v>6530</v>
      </c>
      <c r="P903" s="125" t="n">
        <v>24.3</v>
      </c>
      <c r="Q903" s="125" t="n">
        <v>5.5</v>
      </c>
      <c r="R903" s="5" t="n">
        <v>4220</v>
      </c>
      <c r="S903" s="125" t="n">
        <v>522</v>
      </c>
      <c r="T903" s="5" t="n">
        <v>4840</v>
      </c>
      <c r="U903" s="125" t="n">
        <v>818</v>
      </c>
      <c r="X903" s="129">
        <f t="array" ref="X903">_xlfn.IFS((D903/F903) &lt;= (640/SQRT($AT$32)), "Compact", L903 &lt;= ($AT$32*(0.79-(0.002*((E903-G903/2)/(2*F903))*SQRT($AT$32)))), "Non-Compact", L903 &gt; ($AT$32*(0.79-(0.002*((E903-G903/2)/(2*F903))*SQRT($AT$32)))), "Slender")</f>
        <v/>
      </c>
      <c r="Y903" s="129">
        <f t="array" ref="Y903">_xlfn.IFS(K903 &lt;= (65/SQRT($AT$32)), "Compact", K903 &lt;= (95/SQRT($AT$32)), "Non-Compact", K903 &gt; (95/SQRT($AT$32)), "Slender")</f>
        <v/>
      </c>
      <c r="Z903" s="125">
        <f>E903/F903</f>
        <v/>
      </c>
      <c r="AA903" s="125">
        <f>D903/G903</f>
        <v/>
      </c>
      <c r="AB903" s="125">
        <f t="array" ref="AB903">_xlfn.IFS(Z903 &lt;= 9, "1", Z903 &lt;= 12, "2", Z903 &lt;= 15, "3", Z903 &gt; 15, "4")</f>
        <v/>
      </c>
      <c r="AC903" s="125">
        <f t="array" ref="AC903">_xlfn.IFS(AA903 &lt;= 200, "1", L903 &lt;= 300, "2", L903 &lt;= 400, "3", L903 &gt; 400, "4")</f>
        <v/>
      </c>
      <c r="AF903" s="129">
        <f>SQRT((((VLOOKUP($AT$4,$A$4:$D$1021,4,FALSE))-D903)^2)+(((VLOOKUP($AT$4,$A$4:$E$1021,5,FALSE))-E903)^2)+(((VLOOKUP($AT$4,$A$4:$N$1021,14,FALSE))-N903)^2)+(((VLOOKUP($AT$4,$A$4:$O$1021,15,FALSE))-O903)^2))</f>
        <v/>
      </c>
      <c r="AG903" s="129" t="n"/>
      <c r="AI903" s="129">
        <f>SQRT((((VLOOKUP($AT$4,$A$4:$D$1021,4,FALSE))-D903)^2)+(((VLOOKUP($AT$4,$A$4:$E$1021,5,FALSE))-E903)^2)+(((VLOOKUP($AT$4,$A$4:$R$1021,18,FALSE))-R903)^2)+(((VLOOKUP($AT$4,$A$4:$S$1021,19,FALSE))-S903)^2))</f>
        <v/>
      </c>
      <c r="AJ903" s="125" t="inlineStr">
        <is>
          <t>HY600X168</t>
        </is>
      </c>
      <c r="AK903" s="125" t="n"/>
      <c r="AL903" s="125" t="n"/>
      <c r="AM903" s="125">
        <f>SQRT(((VLOOKUP($AT$4,$A$4:$J$1021,10,FALSE))-J903)^2)</f>
        <v/>
      </c>
      <c r="AN903" s="125" t="n"/>
      <c r="AO903" s="125" t="n"/>
      <c r="AP903" s="125">
        <f>SQRT(((VLOOKUP($AT$4,$A$4:$R$1021,18,FALSE))-R903)^2)</f>
        <v/>
      </c>
      <c r="AQ903" s="125" t="inlineStr">
        <is>
          <t>HY600X168</t>
        </is>
      </c>
      <c r="BB903" s="125">
        <f>SQRT(($J$1022-J903)^2)</f>
        <v/>
      </c>
      <c r="BC903" s="125">
        <f>SQRT(($R$1022-R903)^2)</f>
        <v/>
      </c>
      <c r="BD903" s="125" t="inlineStr">
        <is>
          <t>HY600X168</t>
        </is>
      </c>
      <c r="BI903">
        <f>SQRT(($J$1023-J903)^2)</f>
        <v/>
      </c>
      <c r="BJ903">
        <f>SQRT(($R$1023-R903)^2)</f>
        <v/>
      </c>
      <c r="BK903" s="125" t="inlineStr">
        <is>
          <t>HY600X168</t>
        </is>
      </c>
      <c r="BP903">
        <f>SQRT(($J$1024-J903)^2)</f>
        <v/>
      </c>
      <c r="BQ903">
        <f>SQRT(($R$1024-R903)^2)</f>
        <v/>
      </c>
      <c r="BR903" s="125" t="inlineStr">
        <is>
          <t>HY600X168</t>
        </is>
      </c>
      <c r="BW903">
        <f>SQRT(($J$1025-J903)^2)</f>
        <v/>
      </c>
      <c r="BX903">
        <f>SQRT(($R$1025-R903)^2)</f>
        <v/>
      </c>
      <c r="BY903" s="125" t="inlineStr">
        <is>
          <t>HY600X168</t>
        </is>
      </c>
      <c r="CD903">
        <f>SQRT(($J$1026-J903)^2)</f>
        <v/>
      </c>
      <c r="CE903">
        <f>SQRT(($R$1026-R903)^2)</f>
        <v/>
      </c>
      <c r="CF903" s="125" t="inlineStr">
        <is>
          <t>HY600X168</t>
        </is>
      </c>
    </row>
    <row r="904">
      <c r="A904" s="125" t="inlineStr">
        <is>
          <t>HY600X157</t>
        </is>
      </c>
      <c r="B904" s="129" t="inlineStr">
        <is>
          <t>HY</t>
        </is>
      </c>
      <c r="C904" s="125" t="n">
        <v>157</v>
      </c>
      <c r="D904" s="125" t="n">
        <v>600</v>
      </c>
      <c r="E904" s="125" t="n">
        <v>250</v>
      </c>
      <c r="F904" s="125" t="n">
        <v>22</v>
      </c>
      <c r="G904" s="125" t="n">
        <v>16</v>
      </c>
      <c r="H904" s="125" t="n">
        <v>13</v>
      </c>
      <c r="I904" s="125">
        <f>D904-(2*(H904+F904))</f>
        <v/>
      </c>
      <c r="J904" s="125">
        <f>(2*E904/10*F904/10)+((D904-F904-F904)/10*G904/10)+((H904/10+H904/10)^2)-(PI()*H904/10*H904/10)</f>
        <v/>
      </c>
      <c r="K904" s="125">
        <f>((E904-G904)/2)/F904</f>
        <v/>
      </c>
      <c r="L904" s="125">
        <f>I904/G904</f>
        <v/>
      </c>
      <c r="M904" s="125">
        <f>(E904*2+F904*4+((E904-G904)/2-H904)*4+2*PI()*H904+(D904-2*F904-2*H904)*2)/1000</f>
        <v/>
      </c>
      <c r="N904" s="5" t="n">
        <v>116000</v>
      </c>
      <c r="O904" s="5" t="n">
        <v>5750</v>
      </c>
      <c r="P904" s="125" t="n">
        <v>24.1</v>
      </c>
      <c r="Q904" s="125" t="n">
        <v>5.4</v>
      </c>
      <c r="R904" s="5" t="n">
        <v>3860</v>
      </c>
      <c r="S904" s="125" t="n">
        <v>460</v>
      </c>
      <c r="T904" s="5" t="n">
        <v>4460</v>
      </c>
      <c r="U904" s="125" t="n">
        <v>725</v>
      </c>
      <c r="X904" s="129">
        <f t="array" ref="X904">_xlfn.IFS((D904/F904) &lt;= (640/SQRT($AT$32)), "Compact", L904 &lt;= ($AT$32*(0.79-(0.002*((E904-G904/2)/(2*F904))*SQRT($AT$32)))), "Non-Compact", L904 &gt; ($AT$32*(0.79-(0.002*((E904-G904/2)/(2*F904))*SQRT($AT$32)))), "Slender")</f>
        <v/>
      </c>
      <c r="Y904" s="129">
        <f t="array" ref="Y904">_xlfn.IFS(K904 &lt;= (65/SQRT($AT$32)), "Compact", K904 &lt;= (95/SQRT($AT$32)), "Non-Compact", K904 &gt; (95/SQRT($AT$32)), "Slender")</f>
        <v/>
      </c>
      <c r="Z904" s="125">
        <f>E904/F904</f>
        <v/>
      </c>
      <c r="AA904" s="125">
        <f>D904/G904</f>
        <v/>
      </c>
      <c r="AB904" s="125">
        <f t="array" ref="AB904">_xlfn.IFS(Z904 &lt;= 9, "1", Z904 &lt;= 12, "2", Z904 &lt;= 15, "3", Z904 &gt; 15, "4")</f>
        <v/>
      </c>
      <c r="AC904" s="125">
        <f t="array" ref="AC904">_xlfn.IFS(AA904 &lt;= 200, "1", L904 &lt;= 300, "2", L904 &lt;= 400, "3", L904 &gt; 400, "4")</f>
        <v/>
      </c>
      <c r="AF904" s="129">
        <f>SQRT((((VLOOKUP($AT$4,$A$4:$D$1021,4,FALSE))-D904)^2)+(((VLOOKUP($AT$4,$A$4:$E$1021,5,FALSE))-E904)^2)+(((VLOOKUP($AT$4,$A$4:$N$1021,14,FALSE))-N904)^2)+(((VLOOKUP($AT$4,$A$4:$O$1021,15,FALSE))-O904)^2))</f>
        <v/>
      </c>
      <c r="AG904" s="129" t="n"/>
      <c r="AI904" s="129">
        <f>SQRT((((VLOOKUP($AT$4,$A$4:$D$1021,4,FALSE))-D904)^2)+(((VLOOKUP($AT$4,$A$4:$E$1021,5,FALSE))-E904)^2)+(((VLOOKUP($AT$4,$A$4:$R$1021,18,FALSE))-R904)^2)+(((VLOOKUP($AT$4,$A$4:$S$1021,19,FALSE))-S904)^2))</f>
        <v/>
      </c>
      <c r="AJ904" s="125" t="inlineStr">
        <is>
          <t>HY600X157</t>
        </is>
      </c>
      <c r="AK904" s="125" t="n"/>
      <c r="AL904" s="125" t="n"/>
      <c r="AM904" s="125">
        <f>SQRT(((VLOOKUP($AT$4,$A$4:$J$1021,10,FALSE))-J904)^2)</f>
        <v/>
      </c>
      <c r="AN904" s="125" t="n"/>
      <c r="AO904" s="125" t="n"/>
      <c r="AP904" s="125">
        <f>SQRT(((VLOOKUP($AT$4,$A$4:$R$1021,18,FALSE))-R904)^2)</f>
        <v/>
      </c>
      <c r="AQ904" s="125" t="inlineStr">
        <is>
          <t>HY600X157</t>
        </is>
      </c>
      <c r="BB904" s="125">
        <f>SQRT(($J$1022-J904)^2)</f>
        <v/>
      </c>
      <c r="BC904" s="125">
        <f>SQRT(($R$1022-R904)^2)</f>
        <v/>
      </c>
      <c r="BD904" s="125" t="inlineStr">
        <is>
          <t>HY600X157</t>
        </is>
      </c>
      <c r="BI904">
        <f>SQRT(($J$1023-J904)^2)</f>
        <v/>
      </c>
      <c r="BJ904">
        <f>SQRT(($R$1023-R904)^2)</f>
        <v/>
      </c>
      <c r="BK904" s="125" t="inlineStr">
        <is>
          <t>HY600X157</t>
        </is>
      </c>
      <c r="BP904">
        <f>SQRT(($J$1024-J904)^2)</f>
        <v/>
      </c>
      <c r="BQ904">
        <f>SQRT(($R$1024-R904)^2)</f>
        <v/>
      </c>
      <c r="BR904" s="125" t="inlineStr">
        <is>
          <t>HY600X157</t>
        </is>
      </c>
      <c r="BW904">
        <f>SQRT(($J$1025-J904)^2)</f>
        <v/>
      </c>
      <c r="BX904">
        <f>SQRT(($R$1025-R904)^2)</f>
        <v/>
      </c>
      <c r="BY904" s="125" t="inlineStr">
        <is>
          <t>HY600X157</t>
        </is>
      </c>
      <c r="CD904">
        <f>SQRT(($J$1026-J904)^2)</f>
        <v/>
      </c>
      <c r="CE904">
        <f>SQRT(($R$1026-R904)^2)</f>
        <v/>
      </c>
      <c r="CF904" s="125" t="inlineStr">
        <is>
          <t>HY600X157</t>
        </is>
      </c>
    </row>
    <row r="905">
      <c r="A905" s="125" t="inlineStr">
        <is>
          <t>HY600X160</t>
        </is>
      </c>
      <c r="B905" s="129" t="inlineStr">
        <is>
          <t>HY</t>
        </is>
      </c>
      <c r="C905" s="125" t="n">
        <v>160</v>
      </c>
      <c r="D905" s="125" t="n">
        <v>600</v>
      </c>
      <c r="E905" s="125" t="n">
        <v>250</v>
      </c>
      <c r="F905" s="125" t="n">
        <v>25</v>
      </c>
      <c r="G905" s="125" t="n">
        <v>14</v>
      </c>
      <c r="H905" s="125" t="n">
        <v>13</v>
      </c>
      <c r="I905" s="125">
        <f>D905-(2*(H905+F905))</f>
        <v/>
      </c>
      <c r="J905" s="125">
        <f>(2*E905/10*F905/10)+((D905-F905-F905)/10*G905/10)+((H905/10+H905/10)^2)-(PI()*H905/10*H905/10)</f>
        <v/>
      </c>
      <c r="K905" s="125">
        <f>((E905-G905)/2)/F905</f>
        <v/>
      </c>
      <c r="L905" s="125">
        <f>I905/G905</f>
        <v/>
      </c>
      <c r="M905" s="125">
        <f>(E905*2+F905*4+((E905-G905)/2-H905)*4+2*PI()*H905+(D905-2*F905-2*H905)*2)/1000</f>
        <v/>
      </c>
      <c r="N905" s="5" t="n">
        <v>124000</v>
      </c>
      <c r="O905" s="5" t="n">
        <v>6520</v>
      </c>
      <c r="P905" s="125" t="n">
        <v>24.7</v>
      </c>
      <c r="Q905" s="125" t="n">
        <v>5.7</v>
      </c>
      <c r="R905" s="5" t="n">
        <v>4130</v>
      </c>
      <c r="S905" s="125" t="n">
        <v>522</v>
      </c>
      <c r="T905" s="5" t="n">
        <v>4690</v>
      </c>
      <c r="U905" s="125" t="n">
        <v>810</v>
      </c>
      <c r="X905" s="129">
        <f t="array" ref="X905">_xlfn.IFS((D905/F905) &lt;= (640/SQRT($AT$32)), "Compact", L905 &lt;= ($AT$32*(0.79-(0.002*((E905-G905/2)/(2*F905))*SQRT($AT$32)))), "Non-Compact", L905 &gt; ($AT$32*(0.79-(0.002*((E905-G905/2)/(2*F905))*SQRT($AT$32)))), "Slender")</f>
        <v/>
      </c>
      <c r="Y905" s="129">
        <f t="array" ref="Y905">_xlfn.IFS(K905 &lt;= (65/SQRT($AT$32)), "Compact", K905 &lt;= (95/SQRT($AT$32)), "Non-Compact", K905 &gt; (95/SQRT($AT$32)), "Slender")</f>
        <v/>
      </c>
      <c r="Z905" s="125">
        <f>E905/F905</f>
        <v/>
      </c>
      <c r="AA905" s="125">
        <f>D905/G905</f>
        <v/>
      </c>
      <c r="AB905" s="125">
        <f t="array" ref="AB905">_xlfn.IFS(Z905 &lt;= 9, "1", Z905 &lt;= 12, "2", Z905 &lt;= 15, "3", Z905 &gt; 15, "4")</f>
        <v/>
      </c>
      <c r="AC905" s="125">
        <f t="array" ref="AC905">_xlfn.IFS(AA905 &lt;= 200, "1", L905 &lt;= 300, "2", L905 &lt;= 400, "3", L905 &gt; 400, "4")</f>
        <v/>
      </c>
      <c r="AF905" s="129">
        <f>SQRT((((VLOOKUP($AT$4,$A$4:$D$1021,4,FALSE))-D905)^2)+(((VLOOKUP($AT$4,$A$4:$E$1021,5,FALSE))-E905)^2)+(((VLOOKUP($AT$4,$A$4:$N$1021,14,FALSE))-N905)^2)+(((VLOOKUP($AT$4,$A$4:$O$1021,15,FALSE))-O905)^2))</f>
        <v/>
      </c>
      <c r="AG905" s="129" t="n"/>
      <c r="AI905" s="129">
        <f>SQRT((((VLOOKUP($AT$4,$A$4:$D$1021,4,FALSE))-D905)^2)+(((VLOOKUP($AT$4,$A$4:$E$1021,5,FALSE))-E905)^2)+(((VLOOKUP($AT$4,$A$4:$R$1021,18,FALSE))-R905)^2)+(((VLOOKUP($AT$4,$A$4:$S$1021,19,FALSE))-S905)^2))</f>
        <v/>
      </c>
      <c r="AJ905" s="125" t="inlineStr">
        <is>
          <t>HY600X160</t>
        </is>
      </c>
      <c r="AK905" s="125" t="n"/>
      <c r="AL905" s="125" t="n"/>
      <c r="AM905" s="125">
        <f>SQRT(((VLOOKUP($AT$4,$A$4:$J$1021,10,FALSE))-J905)^2)</f>
        <v/>
      </c>
      <c r="AN905" s="125" t="n"/>
      <c r="AO905" s="125" t="n"/>
      <c r="AP905" s="125">
        <f>SQRT(((VLOOKUP($AT$4,$A$4:$R$1021,18,FALSE))-R905)^2)</f>
        <v/>
      </c>
      <c r="AQ905" s="125" t="inlineStr">
        <is>
          <t>HY600X160</t>
        </is>
      </c>
      <c r="BB905" s="125">
        <f>SQRT(($J$1022-J905)^2)</f>
        <v/>
      </c>
      <c r="BC905" s="125">
        <f>SQRT(($R$1022-R905)^2)</f>
        <v/>
      </c>
      <c r="BD905" s="125" t="inlineStr">
        <is>
          <t>HY600X160</t>
        </is>
      </c>
      <c r="BI905">
        <f>SQRT(($J$1023-J905)^2)</f>
        <v/>
      </c>
      <c r="BJ905">
        <f>SQRT(($R$1023-R905)^2)</f>
        <v/>
      </c>
      <c r="BK905" s="125" t="inlineStr">
        <is>
          <t>HY600X160</t>
        </is>
      </c>
      <c r="BP905">
        <f>SQRT(($J$1024-J905)^2)</f>
        <v/>
      </c>
      <c r="BQ905">
        <f>SQRT(($R$1024-R905)^2)</f>
        <v/>
      </c>
      <c r="BR905" s="125" t="inlineStr">
        <is>
          <t>HY600X160</t>
        </is>
      </c>
      <c r="BW905">
        <f>SQRT(($J$1025-J905)^2)</f>
        <v/>
      </c>
      <c r="BX905">
        <f>SQRT(($R$1025-R905)^2)</f>
        <v/>
      </c>
      <c r="BY905" s="125" t="inlineStr">
        <is>
          <t>HY600X160</t>
        </is>
      </c>
      <c r="CD905">
        <f>SQRT(($J$1026-J905)^2)</f>
        <v/>
      </c>
      <c r="CE905">
        <f>SQRT(($R$1026-R905)^2)</f>
        <v/>
      </c>
      <c r="CF905" s="125" t="inlineStr">
        <is>
          <t>HY600X160</t>
        </is>
      </c>
    </row>
    <row r="906">
      <c r="A906" s="125" t="inlineStr">
        <is>
          <t>HY600X149</t>
        </is>
      </c>
      <c r="B906" s="129" t="inlineStr">
        <is>
          <t>HY</t>
        </is>
      </c>
      <c r="C906" s="125" t="n">
        <v>149</v>
      </c>
      <c r="D906" s="125" t="n">
        <v>600</v>
      </c>
      <c r="E906" s="125" t="n">
        <v>250</v>
      </c>
      <c r="F906" s="125" t="n">
        <v>22</v>
      </c>
      <c r="G906" s="125" t="n">
        <v>14</v>
      </c>
      <c r="H906" s="125" t="n">
        <v>13</v>
      </c>
      <c r="I906" s="125">
        <f>D906-(2*(H906+F906))</f>
        <v/>
      </c>
      <c r="J906" s="125">
        <f>(2*E906/10*F906/10)+((D906-F906-F906)/10*G906/10)+((H906/10+H906/10)^2)-(PI()*H906/10*H906/10)</f>
        <v/>
      </c>
      <c r="K906" s="125">
        <f>((E906-G906)/2)/F906</f>
        <v/>
      </c>
      <c r="L906" s="125">
        <f>I906/G906</f>
        <v/>
      </c>
      <c r="M906" s="125">
        <f>(E906*2+F906*4+((E906-G906)/2-H906)*4+2*PI()*H906+(D906-2*F906-2*H906)*2)/1000</f>
        <v/>
      </c>
      <c r="N906" s="5" t="n">
        <v>113000</v>
      </c>
      <c r="O906" s="5" t="n">
        <v>5740</v>
      </c>
      <c r="P906" s="125" t="n">
        <v>24.4</v>
      </c>
      <c r="Q906" s="125" t="n">
        <v>5.5</v>
      </c>
      <c r="R906" s="5" t="n">
        <v>3770</v>
      </c>
      <c r="S906" s="125" t="n">
        <v>459</v>
      </c>
      <c r="T906" s="5" t="n">
        <v>4300</v>
      </c>
      <c r="U906" s="125" t="n">
        <v>716</v>
      </c>
      <c r="X906" s="129">
        <f t="array" ref="X906">_xlfn.IFS((D906/F906) &lt;= (640/SQRT($AT$32)), "Compact", L906 &lt;= ($AT$32*(0.79-(0.002*((E906-G906/2)/(2*F906))*SQRT($AT$32)))), "Non-Compact", L906 &gt; ($AT$32*(0.79-(0.002*((E906-G906/2)/(2*F906))*SQRT($AT$32)))), "Slender")</f>
        <v/>
      </c>
      <c r="Y906" s="129">
        <f t="array" ref="Y906">_xlfn.IFS(K906 &lt;= (65/SQRT($AT$32)), "Compact", K906 &lt;= (95/SQRT($AT$32)), "Non-Compact", K906 &gt; (95/SQRT($AT$32)), "Slender")</f>
        <v/>
      </c>
      <c r="Z906" s="125">
        <f>E906/F906</f>
        <v/>
      </c>
      <c r="AA906" s="125">
        <f>D906/G906</f>
        <v/>
      </c>
      <c r="AB906" s="125">
        <f t="array" ref="AB906">_xlfn.IFS(Z906 &lt;= 9, "1", Z906 &lt;= 12, "2", Z906 &lt;= 15, "3", Z906 &gt; 15, "4")</f>
        <v/>
      </c>
      <c r="AC906" s="125">
        <f t="array" ref="AC906">_xlfn.IFS(AA906 &lt;= 200, "1", L906 &lt;= 300, "2", L906 &lt;= 400, "3", L906 &gt; 400, "4")</f>
        <v/>
      </c>
      <c r="AF906" s="129">
        <f>SQRT((((VLOOKUP($AT$4,$A$4:$D$1021,4,FALSE))-D906)^2)+(((VLOOKUP($AT$4,$A$4:$E$1021,5,FALSE))-E906)^2)+(((VLOOKUP($AT$4,$A$4:$N$1021,14,FALSE))-N906)^2)+(((VLOOKUP($AT$4,$A$4:$O$1021,15,FALSE))-O906)^2))</f>
        <v/>
      </c>
      <c r="AG906" s="129" t="n"/>
      <c r="AI906" s="129">
        <f>SQRT((((VLOOKUP($AT$4,$A$4:$D$1021,4,FALSE))-D906)^2)+(((VLOOKUP($AT$4,$A$4:$E$1021,5,FALSE))-E906)^2)+(((VLOOKUP($AT$4,$A$4:$R$1021,18,FALSE))-R906)^2)+(((VLOOKUP($AT$4,$A$4:$S$1021,19,FALSE))-S906)^2))</f>
        <v/>
      </c>
      <c r="AJ906" s="125" t="inlineStr">
        <is>
          <t>HY600X149</t>
        </is>
      </c>
      <c r="AK906" s="125" t="n"/>
      <c r="AL906" s="125" t="n"/>
      <c r="AM906" s="125">
        <f>SQRT(((VLOOKUP($AT$4,$A$4:$J$1021,10,FALSE))-J906)^2)</f>
        <v/>
      </c>
      <c r="AN906" s="125" t="n"/>
      <c r="AO906" s="125" t="n"/>
      <c r="AP906" s="125">
        <f>SQRT(((VLOOKUP($AT$4,$A$4:$R$1021,18,FALSE))-R906)^2)</f>
        <v/>
      </c>
      <c r="AQ906" s="125" t="inlineStr">
        <is>
          <t>HY600X149</t>
        </is>
      </c>
      <c r="BB906" s="125">
        <f>SQRT(($J$1022-J906)^2)</f>
        <v/>
      </c>
      <c r="BC906" s="125">
        <f>SQRT(($R$1022-R906)^2)</f>
        <v/>
      </c>
      <c r="BD906" s="125" t="inlineStr">
        <is>
          <t>HY600X149</t>
        </is>
      </c>
      <c r="BI906">
        <f>SQRT(($J$1023-J906)^2)</f>
        <v/>
      </c>
      <c r="BJ906">
        <f>SQRT(($R$1023-R906)^2)</f>
        <v/>
      </c>
      <c r="BK906" s="125" t="inlineStr">
        <is>
          <t>HY600X149</t>
        </is>
      </c>
      <c r="BP906">
        <f>SQRT(($J$1024-J906)^2)</f>
        <v/>
      </c>
      <c r="BQ906">
        <f>SQRT(($R$1024-R906)^2)</f>
        <v/>
      </c>
      <c r="BR906" s="125" t="inlineStr">
        <is>
          <t>HY600X149</t>
        </is>
      </c>
      <c r="BW906">
        <f>SQRT(($J$1025-J906)^2)</f>
        <v/>
      </c>
      <c r="BX906">
        <f>SQRT(($R$1025-R906)^2)</f>
        <v/>
      </c>
      <c r="BY906" s="125" t="inlineStr">
        <is>
          <t>HY600X149</t>
        </is>
      </c>
      <c r="CD906">
        <f>SQRT(($J$1026-J906)^2)</f>
        <v/>
      </c>
      <c r="CE906">
        <f>SQRT(($R$1026-R906)^2)</f>
        <v/>
      </c>
      <c r="CF906" s="125" t="inlineStr">
        <is>
          <t>HY600X149</t>
        </is>
      </c>
    </row>
    <row r="907">
      <c r="A907" s="125" t="inlineStr">
        <is>
          <t>HY600X137</t>
        </is>
      </c>
      <c r="B907" s="129" t="inlineStr">
        <is>
          <t>HY</t>
        </is>
      </c>
      <c r="C907" s="125" t="n">
        <v>137</v>
      </c>
      <c r="D907" s="125" t="n">
        <v>600</v>
      </c>
      <c r="E907" s="125" t="n">
        <v>250</v>
      </c>
      <c r="F907" s="125" t="n">
        <v>19</v>
      </c>
      <c r="G907" s="125" t="n">
        <v>14</v>
      </c>
      <c r="H907" s="125" t="n">
        <v>13</v>
      </c>
      <c r="I907" s="125">
        <f>D907-(2*(H907+F907))</f>
        <v/>
      </c>
      <c r="J907" s="125">
        <f>(2*E907/10*F907/10)+((D907-F907-F907)/10*G907/10)+((H907/10+H907/10)^2)-(PI()*H907/10*H907/10)</f>
        <v/>
      </c>
      <c r="K907" s="125">
        <f>((E907-G907)/2)/F907</f>
        <v/>
      </c>
      <c r="L907" s="125">
        <f>I907/G907</f>
        <v/>
      </c>
      <c r="M907" s="125">
        <f>(E907*2+F907*4+((E907-G907)/2-H907)*4+2*PI()*H907+(D907-2*F907-2*H907)*2)/1000</f>
        <v/>
      </c>
      <c r="N907" s="5" t="n">
        <v>102000</v>
      </c>
      <c r="O907" s="5" t="n">
        <v>4960</v>
      </c>
      <c r="P907" s="125" t="n">
        <v>24.1</v>
      </c>
      <c r="Q907" s="125" t="n">
        <v>5.3</v>
      </c>
      <c r="R907" s="5" t="n">
        <v>3400</v>
      </c>
      <c r="S907" s="125" t="n">
        <v>397</v>
      </c>
      <c r="T907" s="5" t="n">
        <v>3910</v>
      </c>
      <c r="U907" s="125" t="n">
        <v>623</v>
      </c>
      <c r="X907" s="129">
        <f t="array" ref="X907">_xlfn.IFS((D907/F907) &lt;= (640/SQRT($AT$32)), "Compact", L907 &lt;= ($AT$32*(0.79-(0.002*((E907-G907/2)/(2*F907))*SQRT($AT$32)))), "Non-Compact", L907 &gt; ($AT$32*(0.79-(0.002*((E907-G907/2)/(2*F907))*SQRT($AT$32)))), "Slender")</f>
        <v/>
      </c>
      <c r="Y907" s="129">
        <f t="array" ref="Y907">_xlfn.IFS(K907 &lt;= (65/SQRT($AT$32)), "Compact", K907 &lt;= (95/SQRT($AT$32)), "Non-Compact", K907 &gt; (95/SQRT($AT$32)), "Slender")</f>
        <v/>
      </c>
      <c r="Z907" s="125">
        <f>E907/F907</f>
        <v/>
      </c>
      <c r="AA907" s="125">
        <f>D907/G907</f>
        <v/>
      </c>
      <c r="AB907" s="125">
        <f t="array" ref="AB907">_xlfn.IFS(Z907 &lt;= 9, "1", Z907 &lt;= 12, "2", Z907 &lt;= 15, "3", Z907 &gt; 15, "4")</f>
        <v/>
      </c>
      <c r="AC907" s="125">
        <f t="array" ref="AC907">_xlfn.IFS(AA907 &lt;= 200, "1", L907 &lt;= 300, "2", L907 &lt;= 400, "3", L907 &gt; 400, "4")</f>
        <v/>
      </c>
      <c r="AF907" s="129">
        <f>SQRT((((VLOOKUP($AT$4,$A$4:$D$1021,4,FALSE))-D907)^2)+(((VLOOKUP($AT$4,$A$4:$E$1021,5,FALSE))-E907)^2)+(((VLOOKUP($AT$4,$A$4:$N$1021,14,FALSE))-N907)^2)+(((VLOOKUP($AT$4,$A$4:$O$1021,15,FALSE))-O907)^2))</f>
        <v/>
      </c>
      <c r="AG907" s="129" t="n"/>
      <c r="AI907" s="129">
        <f>SQRT((((VLOOKUP($AT$4,$A$4:$D$1021,4,FALSE))-D907)^2)+(((VLOOKUP($AT$4,$A$4:$E$1021,5,FALSE))-E907)^2)+(((VLOOKUP($AT$4,$A$4:$R$1021,18,FALSE))-R907)^2)+(((VLOOKUP($AT$4,$A$4:$S$1021,19,FALSE))-S907)^2))</f>
        <v/>
      </c>
      <c r="AJ907" s="125" t="inlineStr">
        <is>
          <t>HY600X137</t>
        </is>
      </c>
      <c r="AK907" s="125" t="n"/>
      <c r="AL907" s="125" t="n"/>
      <c r="AM907" s="125">
        <f>SQRT(((VLOOKUP($AT$4,$A$4:$J$1021,10,FALSE))-J907)^2)</f>
        <v/>
      </c>
      <c r="AN907" s="125" t="n"/>
      <c r="AO907" s="125" t="n"/>
      <c r="AP907" s="125">
        <f>SQRT(((VLOOKUP($AT$4,$A$4:$R$1021,18,FALSE))-R907)^2)</f>
        <v/>
      </c>
      <c r="AQ907" s="125" t="inlineStr">
        <is>
          <t>HY600X137</t>
        </is>
      </c>
      <c r="BB907" s="125">
        <f>SQRT(($J$1022-J907)^2)</f>
        <v/>
      </c>
      <c r="BC907" s="125">
        <f>SQRT(($R$1022-R907)^2)</f>
        <v/>
      </c>
      <c r="BD907" s="125" t="inlineStr">
        <is>
          <t>HY600X137</t>
        </is>
      </c>
      <c r="BI907">
        <f>SQRT(($J$1023-J907)^2)</f>
        <v/>
      </c>
      <c r="BJ907">
        <f>SQRT(($R$1023-R907)^2)</f>
        <v/>
      </c>
      <c r="BK907" s="125" t="inlineStr">
        <is>
          <t>HY600X137</t>
        </is>
      </c>
      <c r="BP907">
        <f>SQRT(($J$1024-J907)^2)</f>
        <v/>
      </c>
      <c r="BQ907">
        <f>SQRT(($R$1024-R907)^2)</f>
        <v/>
      </c>
      <c r="BR907" s="125" t="inlineStr">
        <is>
          <t>HY600X137</t>
        </is>
      </c>
      <c r="BW907">
        <f>SQRT(($J$1025-J907)^2)</f>
        <v/>
      </c>
      <c r="BX907">
        <f>SQRT(($R$1025-R907)^2)</f>
        <v/>
      </c>
      <c r="BY907" s="125" t="inlineStr">
        <is>
          <t>HY600X137</t>
        </is>
      </c>
      <c r="CD907">
        <f>SQRT(($J$1026-J907)^2)</f>
        <v/>
      </c>
      <c r="CE907">
        <f>SQRT(($R$1026-R907)^2)</f>
        <v/>
      </c>
      <c r="CF907" s="125" t="inlineStr">
        <is>
          <t>HY600X137</t>
        </is>
      </c>
    </row>
    <row r="908">
      <c r="A908" s="125" t="inlineStr">
        <is>
          <t>HY600X162</t>
        </is>
      </c>
      <c r="B908" s="129" t="inlineStr">
        <is>
          <t>HY</t>
        </is>
      </c>
      <c r="C908" s="125" t="n">
        <v>162</v>
      </c>
      <c r="D908" s="125" t="n">
        <v>600</v>
      </c>
      <c r="E908" s="125" t="n">
        <v>250</v>
      </c>
      <c r="F908" s="125" t="n">
        <v>28</v>
      </c>
      <c r="G908" s="125" t="n">
        <v>12</v>
      </c>
      <c r="H908" s="125" t="n">
        <v>13</v>
      </c>
      <c r="I908" s="125">
        <f>D908-(2*(H908+F908))</f>
        <v/>
      </c>
      <c r="J908" s="125">
        <f>(2*E908/10*F908/10)+((D908-F908-F908)/10*G908/10)+((H908/10+H908/10)^2)-(PI()*H908/10*H908/10)</f>
        <v/>
      </c>
      <c r="K908" s="125">
        <f>((E908-G908)/2)/F908</f>
        <v/>
      </c>
      <c r="L908" s="125">
        <f>I908/G908</f>
        <v/>
      </c>
      <c r="M908" s="125">
        <f>(E908*2+F908*4+((E908-G908)/2-H908)*4+2*PI()*H908+(D908-2*F908-2*H908)*2)/1000</f>
        <v/>
      </c>
      <c r="N908" s="5" t="n">
        <v>132000</v>
      </c>
      <c r="O908" s="5" t="n">
        <v>7300</v>
      </c>
      <c r="P908" s="125" t="n">
        <v>25.2</v>
      </c>
      <c r="Q908" s="125" t="n">
        <v>5.9</v>
      </c>
      <c r="R908" s="5" t="n">
        <v>4390</v>
      </c>
      <c r="S908" s="125" t="n">
        <v>584</v>
      </c>
      <c r="T908" s="5" t="n">
        <v>4930</v>
      </c>
      <c r="U908" s="125" t="n">
        <v>896</v>
      </c>
      <c r="X908" s="129">
        <f t="array" ref="X908">_xlfn.IFS((D908/F908) &lt;= (640/SQRT($AT$32)), "Compact", L908 &lt;= ($AT$32*(0.79-(0.002*((E908-G908/2)/(2*F908))*SQRT($AT$32)))), "Non-Compact", L908 &gt; ($AT$32*(0.79-(0.002*((E908-G908/2)/(2*F908))*SQRT($AT$32)))), "Slender")</f>
        <v/>
      </c>
      <c r="Y908" s="129">
        <f t="array" ref="Y908">_xlfn.IFS(K908 &lt;= (65/SQRT($AT$32)), "Compact", K908 &lt;= (95/SQRT($AT$32)), "Non-Compact", K908 &gt; (95/SQRT($AT$32)), "Slender")</f>
        <v/>
      </c>
      <c r="Z908" s="125">
        <f>E908/F908</f>
        <v/>
      </c>
      <c r="AA908" s="125">
        <f>D908/G908</f>
        <v/>
      </c>
      <c r="AB908" s="125">
        <f t="array" ref="AB908">_xlfn.IFS(Z908 &lt;= 9, "1", Z908 &lt;= 12, "2", Z908 &lt;= 15, "3", Z908 &gt; 15, "4")</f>
        <v/>
      </c>
      <c r="AC908" s="125">
        <f t="array" ref="AC908">_xlfn.IFS(AA908 &lt;= 200, "1", L908 &lt;= 300, "2", L908 &lt;= 400, "3", L908 &gt; 400, "4")</f>
        <v/>
      </c>
      <c r="AF908" s="129">
        <f>SQRT((((VLOOKUP($AT$4,$A$4:$D$1021,4,FALSE))-D908)^2)+(((VLOOKUP($AT$4,$A$4:$E$1021,5,FALSE))-E908)^2)+(((VLOOKUP($AT$4,$A$4:$N$1021,14,FALSE))-N908)^2)+(((VLOOKUP($AT$4,$A$4:$O$1021,15,FALSE))-O908)^2))</f>
        <v/>
      </c>
      <c r="AG908" s="129" t="n"/>
      <c r="AI908" s="129">
        <f>SQRT((((VLOOKUP($AT$4,$A$4:$D$1021,4,FALSE))-D908)^2)+(((VLOOKUP($AT$4,$A$4:$E$1021,5,FALSE))-E908)^2)+(((VLOOKUP($AT$4,$A$4:$R$1021,18,FALSE))-R908)^2)+(((VLOOKUP($AT$4,$A$4:$S$1021,19,FALSE))-S908)^2))</f>
        <v/>
      </c>
      <c r="AJ908" s="125" t="inlineStr">
        <is>
          <t>HY600X162</t>
        </is>
      </c>
      <c r="AK908" s="125" t="n"/>
      <c r="AL908" s="125" t="n"/>
      <c r="AM908" s="125">
        <f>SQRT(((VLOOKUP($AT$4,$A$4:$J$1021,10,FALSE))-J908)^2)</f>
        <v/>
      </c>
      <c r="AN908" s="125" t="n"/>
      <c r="AO908" s="125" t="n"/>
      <c r="AP908" s="125">
        <f>SQRT(((VLOOKUP($AT$4,$A$4:$R$1021,18,FALSE))-R908)^2)</f>
        <v/>
      </c>
      <c r="AQ908" s="125" t="inlineStr">
        <is>
          <t>HY600X162</t>
        </is>
      </c>
      <c r="BB908" s="125">
        <f>SQRT(($J$1022-J908)^2)</f>
        <v/>
      </c>
      <c r="BC908" s="125">
        <f>SQRT(($R$1022-R908)^2)</f>
        <v/>
      </c>
      <c r="BD908" s="125" t="inlineStr">
        <is>
          <t>HY600X162</t>
        </is>
      </c>
      <c r="BI908">
        <f>SQRT(($J$1023-J908)^2)</f>
        <v/>
      </c>
      <c r="BJ908">
        <f>SQRT(($R$1023-R908)^2)</f>
        <v/>
      </c>
      <c r="BK908" s="125" t="inlineStr">
        <is>
          <t>HY600X162</t>
        </is>
      </c>
      <c r="BP908">
        <f>SQRT(($J$1024-J908)^2)</f>
        <v/>
      </c>
      <c r="BQ908">
        <f>SQRT(($R$1024-R908)^2)</f>
        <v/>
      </c>
      <c r="BR908" s="125" t="inlineStr">
        <is>
          <t>HY600X162</t>
        </is>
      </c>
      <c r="BW908">
        <f>SQRT(($J$1025-J908)^2)</f>
        <v/>
      </c>
      <c r="BX908">
        <f>SQRT(($R$1025-R908)^2)</f>
        <v/>
      </c>
      <c r="BY908" s="125" t="inlineStr">
        <is>
          <t>HY600X162</t>
        </is>
      </c>
      <c r="CD908">
        <f>SQRT(($J$1026-J908)^2)</f>
        <v/>
      </c>
      <c r="CE908">
        <f>SQRT(($R$1026-R908)^2)</f>
        <v/>
      </c>
      <c r="CF908" s="125" t="inlineStr">
        <is>
          <t>HY600X162</t>
        </is>
      </c>
    </row>
    <row r="909">
      <c r="A909" s="125" t="inlineStr">
        <is>
          <t>HY600X151</t>
        </is>
      </c>
      <c r="B909" s="129" t="inlineStr">
        <is>
          <t>HY</t>
        </is>
      </c>
      <c r="C909" s="125" t="n">
        <v>151</v>
      </c>
      <c r="D909" s="125" t="n">
        <v>600</v>
      </c>
      <c r="E909" s="125" t="n">
        <v>250</v>
      </c>
      <c r="F909" s="125" t="n">
        <v>25</v>
      </c>
      <c r="G909" s="125" t="n">
        <v>12</v>
      </c>
      <c r="H909" s="125" t="n">
        <v>13</v>
      </c>
      <c r="I909" s="125">
        <f>D909-(2*(H909+F909))</f>
        <v/>
      </c>
      <c r="J909" s="125">
        <f>(2*E909/10*F909/10)+((D909-F909-F909)/10*G909/10)+((H909/10+H909/10)^2)-(PI()*H909/10*H909/10)</f>
        <v/>
      </c>
      <c r="K909" s="125">
        <f>((E909-G909)/2)/F909</f>
        <v/>
      </c>
      <c r="L909" s="125">
        <f>I909/G909</f>
        <v/>
      </c>
      <c r="M909" s="125">
        <f>(E909*2+F909*4+((E909-G909)/2-H909)*4+2*PI()*H909+(D909-2*F909-2*H909)*2)/1000</f>
        <v/>
      </c>
      <c r="N909" s="5" t="n">
        <v>121000</v>
      </c>
      <c r="O909" s="5" t="n">
        <v>6520</v>
      </c>
      <c r="P909" s="125" t="n">
        <v>25.1</v>
      </c>
      <c r="Q909" s="125" t="n">
        <v>5.8</v>
      </c>
      <c r="R909" s="5" t="n">
        <v>4040</v>
      </c>
      <c r="S909" s="125" t="n">
        <v>522</v>
      </c>
      <c r="T909" s="5" t="n">
        <v>4540</v>
      </c>
      <c r="U909" s="125" t="n">
        <v>802</v>
      </c>
      <c r="X909" s="129">
        <f t="array" ref="X909">_xlfn.IFS((D909/F909) &lt;= (640/SQRT($AT$32)), "Compact", L909 &lt;= ($AT$32*(0.79-(0.002*((E909-G909/2)/(2*F909))*SQRT($AT$32)))), "Non-Compact", L909 &gt; ($AT$32*(0.79-(0.002*((E909-G909/2)/(2*F909))*SQRT($AT$32)))), "Slender")</f>
        <v/>
      </c>
      <c r="Y909" s="129">
        <f t="array" ref="Y909">_xlfn.IFS(K909 &lt;= (65/SQRT($AT$32)), "Compact", K909 &lt;= (95/SQRT($AT$32)), "Non-Compact", K909 &gt; (95/SQRT($AT$32)), "Slender")</f>
        <v/>
      </c>
      <c r="Z909" s="125">
        <f>E909/F909</f>
        <v/>
      </c>
      <c r="AA909" s="125">
        <f>D909/G909</f>
        <v/>
      </c>
      <c r="AB909" s="125">
        <f t="array" ref="AB909">_xlfn.IFS(Z909 &lt;= 9, "1", Z909 &lt;= 12, "2", Z909 &lt;= 15, "3", Z909 &gt; 15, "4")</f>
        <v/>
      </c>
      <c r="AC909" s="125">
        <f t="array" ref="AC909">_xlfn.IFS(AA909 &lt;= 200, "1", L909 &lt;= 300, "2", L909 &lt;= 400, "3", L909 &gt; 400, "4")</f>
        <v/>
      </c>
      <c r="AF909" s="129">
        <f>SQRT((((VLOOKUP($AT$4,$A$4:$D$1021,4,FALSE))-D909)^2)+(((VLOOKUP($AT$4,$A$4:$E$1021,5,FALSE))-E909)^2)+(((VLOOKUP($AT$4,$A$4:$N$1021,14,FALSE))-N909)^2)+(((VLOOKUP($AT$4,$A$4:$O$1021,15,FALSE))-O909)^2))</f>
        <v/>
      </c>
      <c r="AG909" s="129" t="n"/>
      <c r="AI909" s="129">
        <f>SQRT((((VLOOKUP($AT$4,$A$4:$D$1021,4,FALSE))-D909)^2)+(((VLOOKUP($AT$4,$A$4:$E$1021,5,FALSE))-E909)^2)+(((VLOOKUP($AT$4,$A$4:$R$1021,18,FALSE))-R909)^2)+(((VLOOKUP($AT$4,$A$4:$S$1021,19,FALSE))-S909)^2))</f>
        <v/>
      </c>
      <c r="AJ909" s="125" t="inlineStr">
        <is>
          <t>HY600X151</t>
        </is>
      </c>
      <c r="AK909" s="125" t="n"/>
      <c r="AL909" s="125" t="n"/>
      <c r="AM909" s="125">
        <f>SQRT(((VLOOKUP($AT$4,$A$4:$J$1021,10,FALSE))-J909)^2)</f>
        <v/>
      </c>
      <c r="AN909" s="125" t="n"/>
      <c r="AO909" s="125" t="n"/>
      <c r="AP909" s="125">
        <f>SQRT(((VLOOKUP($AT$4,$A$4:$R$1021,18,FALSE))-R909)^2)</f>
        <v/>
      </c>
      <c r="AQ909" s="125" t="inlineStr">
        <is>
          <t>HY600X151</t>
        </is>
      </c>
      <c r="BB909" s="125">
        <f>SQRT(($J$1022-J909)^2)</f>
        <v/>
      </c>
      <c r="BC909" s="125">
        <f>SQRT(($R$1022-R909)^2)</f>
        <v/>
      </c>
      <c r="BD909" s="125" t="inlineStr">
        <is>
          <t>HY600X151</t>
        </is>
      </c>
      <c r="BI909">
        <f>SQRT(($J$1023-J909)^2)</f>
        <v/>
      </c>
      <c r="BJ909">
        <f>SQRT(($R$1023-R909)^2)</f>
        <v/>
      </c>
      <c r="BK909" s="125" t="inlineStr">
        <is>
          <t>HY600X151</t>
        </is>
      </c>
      <c r="BP909">
        <f>SQRT(($J$1024-J909)^2)</f>
        <v/>
      </c>
      <c r="BQ909">
        <f>SQRT(($R$1024-R909)^2)</f>
        <v/>
      </c>
      <c r="BR909" s="125" t="inlineStr">
        <is>
          <t>HY600X151</t>
        </is>
      </c>
      <c r="BW909">
        <f>SQRT(($J$1025-J909)^2)</f>
        <v/>
      </c>
      <c r="BX909">
        <f>SQRT(($R$1025-R909)^2)</f>
        <v/>
      </c>
      <c r="BY909" s="125" t="inlineStr">
        <is>
          <t>HY600X151</t>
        </is>
      </c>
      <c r="CD909">
        <f>SQRT(($J$1026-J909)^2)</f>
        <v/>
      </c>
      <c r="CE909">
        <f>SQRT(($R$1026-R909)^2)</f>
        <v/>
      </c>
      <c r="CF909" s="125" t="inlineStr">
        <is>
          <t>HY600X151</t>
        </is>
      </c>
    </row>
    <row r="910">
      <c r="A910" s="125" t="inlineStr">
        <is>
          <t>HY600X140</t>
        </is>
      </c>
      <c r="B910" s="129" t="inlineStr">
        <is>
          <t>HY</t>
        </is>
      </c>
      <c r="C910" s="125" t="n">
        <v>140</v>
      </c>
      <c r="D910" s="125" t="n">
        <v>600</v>
      </c>
      <c r="E910" s="125" t="n">
        <v>250</v>
      </c>
      <c r="F910" s="125" t="n">
        <v>22</v>
      </c>
      <c r="G910" s="125" t="n">
        <v>12</v>
      </c>
      <c r="H910" s="125" t="n">
        <v>13</v>
      </c>
      <c r="I910" s="125">
        <f>D910-(2*(H910+F910))</f>
        <v/>
      </c>
      <c r="J910" s="125">
        <f>(2*E910/10*F910/10)+((D910-F910-F910)/10*G910/10)+((H910/10+H910/10)^2)-(PI()*H910/10*H910/10)</f>
        <v/>
      </c>
      <c r="K910" s="125">
        <f>((E910-G910)/2)/F910</f>
        <v/>
      </c>
      <c r="L910" s="125">
        <f>I910/G910</f>
        <v/>
      </c>
      <c r="M910" s="125">
        <f>(E910*2+F910*4+((E910-G910)/2-H910)*4+2*PI()*H910+(D910-2*F910-2*H910)*2)/1000</f>
        <v/>
      </c>
      <c r="N910" s="5" t="n">
        <v>110000</v>
      </c>
      <c r="O910" s="5" t="n">
        <v>5740</v>
      </c>
      <c r="P910" s="125" t="n">
        <v>24.9</v>
      </c>
      <c r="Q910" s="125" t="n">
        <v>5.7</v>
      </c>
      <c r="R910" s="5" t="n">
        <v>3670</v>
      </c>
      <c r="S910" s="125" t="n">
        <v>459</v>
      </c>
      <c r="T910" s="5" t="n">
        <v>4150</v>
      </c>
      <c r="U910" s="125" t="n">
        <v>709</v>
      </c>
      <c r="X910" s="129">
        <f t="array" ref="X910">_xlfn.IFS((D910/F910) &lt;= (640/SQRT($AT$32)), "Compact", L910 &lt;= ($AT$32*(0.79-(0.002*((E910-G910/2)/(2*F910))*SQRT($AT$32)))), "Non-Compact", L910 &gt; ($AT$32*(0.79-(0.002*((E910-G910/2)/(2*F910))*SQRT($AT$32)))), "Slender")</f>
        <v/>
      </c>
      <c r="Y910" s="129">
        <f t="array" ref="Y910">_xlfn.IFS(K910 &lt;= (65/SQRT($AT$32)), "Compact", K910 &lt;= (95/SQRT($AT$32)), "Non-Compact", K910 &gt; (95/SQRT($AT$32)), "Slender")</f>
        <v/>
      </c>
      <c r="Z910" s="125">
        <f>E910/F910</f>
        <v/>
      </c>
      <c r="AA910" s="125">
        <f>D910/G910</f>
        <v/>
      </c>
      <c r="AB910" s="125">
        <f t="array" ref="AB910">_xlfn.IFS(Z910 &lt;= 9, "1", Z910 &lt;= 12, "2", Z910 &lt;= 15, "3", Z910 &gt; 15, "4")</f>
        <v/>
      </c>
      <c r="AC910" s="125">
        <f t="array" ref="AC910">_xlfn.IFS(AA910 &lt;= 200, "1", L910 &lt;= 300, "2", L910 &lt;= 400, "3", L910 &gt; 400, "4")</f>
        <v/>
      </c>
      <c r="AF910" s="129">
        <f>SQRT((((VLOOKUP($AT$4,$A$4:$D$1021,4,FALSE))-D910)^2)+(((VLOOKUP($AT$4,$A$4:$E$1021,5,FALSE))-E910)^2)+(((VLOOKUP($AT$4,$A$4:$N$1021,14,FALSE))-N910)^2)+(((VLOOKUP($AT$4,$A$4:$O$1021,15,FALSE))-O910)^2))</f>
        <v/>
      </c>
      <c r="AG910" s="129" t="n"/>
      <c r="AI910" s="129">
        <f>SQRT((((VLOOKUP($AT$4,$A$4:$D$1021,4,FALSE))-D910)^2)+(((VLOOKUP($AT$4,$A$4:$E$1021,5,FALSE))-E910)^2)+(((VLOOKUP($AT$4,$A$4:$R$1021,18,FALSE))-R910)^2)+(((VLOOKUP($AT$4,$A$4:$S$1021,19,FALSE))-S910)^2))</f>
        <v/>
      </c>
      <c r="AJ910" s="125" t="inlineStr">
        <is>
          <t>HY600X140</t>
        </is>
      </c>
      <c r="AK910" s="125" t="n"/>
      <c r="AL910" s="125" t="n"/>
      <c r="AM910" s="125">
        <f>SQRT(((VLOOKUP($AT$4,$A$4:$J$1021,10,FALSE))-J910)^2)</f>
        <v/>
      </c>
      <c r="AN910" s="125" t="n"/>
      <c r="AO910" s="125" t="n"/>
      <c r="AP910" s="125">
        <f>SQRT(((VLOOKUP($AT$4,$A$4:$R$1021,18,FALSE))-R910)^2)</f>
        <v/>
      </c>
      <c r="AQ910" s="125" t="inlineStr">
        <is>
          <t>HY600X140</t>
        </is>
      </c>
      <c r="BB910" s="125">
        <f>SQRT(($J$1022-J910)^2)</f>
        <v/>
      </c>
      <c r="BC910" s="125">
        <f>SQRT(($R$1022-R910)^2)</f>
        <v/>
      </c>
      <c r="BD910" s="125" t="inlineStr">
        <is>
          <t>HY600X140</t>
        </is>
      </c>
      <c r="BI910">
        <f>SQRT(($J$1023-J910)^2)</f>
        <v/>
      </c>
      <c r="BJ910">
        <f>SQRT(($R$1023-R910)^2)</f>
        <v/>
      </c>
      <c r="BK910" s="125" t="inlineStr">
        <is>
          <t>HY600X140</t>
        </is>
      </c>
      <c r="BP910">
        <f>SQRT(($J$1024-J910)^2)</f>
        <v/>
      </c>
      <c r="BQ910">
        <f>SQRT(($R$1024-R910)^2)</f>
        <v/>
      </c>
      <c r="BR910" s="125" t="inlineStr">
        <is>
          <t>HY600X140</t>
        </is>
      </c>
      <c r="BW910">
        <f>SQRT(($J$1025-J910)^2)</f>
        <v/>
      </c>
      <c r="BX910">
        <f>SQRT(($R$1025-R910)^2)</f>
        <v/>
      </c>
      <c r="BY910" s="125" t="inlineStr">
        <is>
          <t>HY600X140</t>
        </is>
      </c>
      <c r="CD910">
        <f>SQRT(($J$1026-J910)^2)</f>
        <v/>
      </c>
      <c r="CE910">
        <f>SQRT(($R$1026-R910)^2)</f>
        <v/>
      </c>
      <c r="CF910" s="125" t="inlineStr">
        <is>
          <t>HY600X140</t>
        </is>
      </c>
    </row>
    <row r="911">
      <c r="A911" s="125" t="inlineStr">
        <is>
          <t>HY600X129</t>
        </is>
      </c>
      <c r="B911" s="129" t="inlineStr">
        <is>
          <t>HY</t>
        </is>
      </c>
      <c r="C911" s="125" t="n">
        <v>129</v>
      </c>
      <c r="D911" s="125" t="n">
        <v>600</v>
      </c>
      <c r="E911" s="125" t="n">
        <v>250</v>
      </c>
      <c r="F911" s="125" t="n">
        <v>19</v>
      </c>
      <c r="G911" s="125" t="n">
        <v>12</v>
      </c>
      <c r="H911" s="125" t="n">
        <v>13</v>
      </c>
      <c r="I911" s="125">
        <f>D911-(2*(H911+F911))</f>
        <v/>
      </c>
      <c r="J911" s="125">
        <f>(2*E911/10*F911/10)+((D911-F911-F911)/10*G911/10)+((H911/10+H911/10)^2)-(PI()*H911/10*H911/10)</f>
        <v/>
      </c>
      <c r="K911" s="125">
        <f>((E911-G911)/2)/F911</f>
        <v/>
      </c>
      <c r="L911" s="125">
        <f>I911/G911</f>
        <v/>
      </c>
      <c r="M911" s="125">
        <f>(E911*2+F911*4+((E911-G911)/2-H911)*4+2*PI()*H911+(D911-2*F911-2*H911)*2)/1000</f>
        <v/>
      </c>
      <c r="N911" s="5" t="n">
        <v>99100</v>
      </c>
      <c r="O911" s="5" t="n">
        <v>4960</v>
      </c>
      <c r="P911" s="125" t="n">
        <v>24.6</v>
      </c>
      <c r="Q911" s="125" t="n">
        <v>5.5</v>
      </c>
      <c r="R911" s="5" t="n">
        <v>3300</v>
      </c>
      <c r="S911" s="125" t="n">
        <v>397</v>
      </c>
      <c r="T911" s="5" t="n">
        <v>3750</v>
      </c>
      <c r="U911" s="125" t="n">
        <v>615</v>
      </c>
      <c r="X911" s="129">
        <f t="array" ref="X911">_xlfn.IFS((D911/F911) &lt;= (640/SQRT($AT$32)), "Compact", L911 &lt;= ($AT$32*(0.79-(0.002*((E911-G911/2)/(2*F911))*SQRT($AT$32)))), "Non-Compact", L911 &gt; ($AT$32*(0.79-(0.002*((E911-G911/2)/(2*F911))*SQRT($AT$32)))), "Slender")</f>
        <v/>
      </c>
      <c r="Y911" s="129">
        <f t="array" ref="Y911">_xlfn.IFS(K911 &lt;= (65/SQRT($AT$32)), "Compact", K911 &lt;= (95/SQRT($AT$32)), "Non-Compact", K911 &gt; (95/SQRT($AT$32)), "Slender")</f>
        <v/>
      </c>
      <c r="Z911" s="125">
        <f>E911/F911</f>
        <v/>
      </c>
      <c r="AA911" s="125">
        <f>D911/G911</f>
        <v/>
      </c>
      <c r="AB911" s="125">
        <f t="array" ref="AB911">_xlfn.IFS(Z911 &lt;= 9, "1", Z911 &lt;= 12, "2", Z911 &lt;= 15, "3", Z911 &gt; 15, "4")</f>
        <v/>
      </c>
      <c r="AC911" s="125">
        <f t="array" ref="AC911">_xlfn.IFS(AA911 &lt;= 200, "1", L911 &lt;= 300, "2", L911 &lt;= 400, "3", L911 &gt; 400, "4")</f>
        <v/>
      </c>
      <c r="AF911" s="129">
        <f>SQRT((((VLOOKUP($AT$4,$A$4:$D$1021,4,FALSE))-D911)^2)+(((VLOOKUP($AT$4,$A$4:$E$1021,5,FALSE))-E911)^2)+(((VLOOKUP($AT$4,$A$4:$N$1021,14,FALSE))-N911)^2)+(((VLOOKUP($AT$4,$A$4:$O$1021,15,FALSE))-O911)^2))</f>
        <v/>
      </c>
      <c r="AG911" s="129" t="n"/>
      <c r="AI911" s="129">
        <f>SQRT((((VLOOKUP($AT$4,$A$4:$D$1021,4,FALSE))-D911)^2)+(((VLOOKUP($AT$4,$A$4:$E$1021,5,FALSE))-E911)^2)+(((VLOOKUP($AT$4,$A$4:$R$1021,18,FALSE))-R911)^2)+(((VLOOKUP($AT$4,$A$4:$S$1021,19,FALSE))-S911)^2))</f>
        <v/>
      </c>
      <c r="AJ911" s="125" t="inlineStr">
        <is>
          <t>HY600X129</t>
        </is>
      </c>
      <c r="AK911" s="125" t="n"/>
      <c r="AL911" s="125" t="n"/>
      <c r="AM911" s="125">
        <f>SQRT(((VLOOKUP($AT$4,$A$4:$J$1021,10,FALSE))-J911)^2)</f>
        <v/>
      </c>
      <c r="AN911" s="125" t="n"/>
      <c r="AO911" s="125" t="n"/>
      <c r="AP911" s="125">
        <f>SQRT(((VLOOKUP($AT$4,$A$4:$R$1021,18,FALSE))-R911)^2)</f>
        <v/>
      </c>
      <c r="AQ911" s="125" t="inlineStr">
        <is>
          <t>HY600X129</t>
        </is>
      </c>
      <c r="BB911" s="125">
        <f>SQRT(($J$1022-J911)^2)</f>
        <v/>
      </c>
      <c r="BC911" s="125">
        <f>SQRT(($R$1022-R911)^2)</f>
        <v/>
      </c>
      <c r="BD911" s="125" t="inlineStr">
        <is>
          <t>HY600X129</t>
        </is>
      </c>
      <c r="BI911">
        <f>SQRT(($J$1023-J911)^2)</f>
        <v/>
      </c>
      <c r="BJ911">
        <f>SQRT(($R$1023-R911)^2)</f>
        <v/>
      </c>
      <c r="BK911" s="125" t="inlineStr">
        <is>
          <t>HY600X129</t>
        </is>
      </c>
      <c r="BP911">
        <f>SQRT(($J$1024-J911)^2)</f>
        <v/>
      </c>
      <c r="BQ911">
        <f>SQRT(($R$1024-R911)^2)</f>
        <v/>
      </c>
      <c r="BR911" s="125" t="inlineStr">
        <is>
          <t>HY600X129</t>
        </is>
      </c>
      <c r="BW911">
        <f>SQRT(($J$1025-J911)^2)</f>
        <v/>
      </c>
      <c r="BX911">
        <f>SQRT(($R$1025-R911)^2)</f>
        <v/>
      </c>
      <c r="BY911" s="125" t="inlineStr">
        <is>
          <t>HY600X129</t>
        </is>
      </c>
      <c r="CD911">
        <f>SQRT(($J$1026-J911)^2)</f>
        <v/>
      </c>
      <c r="CE911">
        <f>SQRT(($R$1026-R911)^2)</f>
        <v/>
      </c>
      <c r="CF911" s="125" t="inlineStr">
        <is>
          <t>HY600X129</t>
        </is>
      </c>
    </row>
    <row r="912">
      <c r="A912" s="125" t="inlineStr">
        <is>
          <t>HY600X117</t>
        </is>
      </c>
      <c r="B912" s="129" t="inlineStr">
        <is>
          <t>HY</t>
        </is>
      </c>
      <c r="C912" s="125" t="n">
        <v>117</v>
      </c>
      <c r="D912" s="125" t="n">
        <v>600</v>
      </c>
      <c r="E912" s="125" t="n">
        <v>250</v>
      </c>
      <c r="F912" s="125" t="n">
        <v>16</v>
      </c>
      <c r="G912" s="125" t="n">
        <v>12</v>
      </c>
      <c r="H912" s="125" t="n">
        <v>13</v>
      </c>
      <c r="I912" s="125">
        <f>D912-(2*(H912+F912))</f>
        <v/>
      </c>
      <c r="J912" s="125">
        <f>(2*E912/10*F912/10)+((D912-F912-F912)/10*G912/10)+((H912/10+H912/10)^2)-(PI()*H912/10*H912/10)</f>
        <v/>
      </c>
      <c r="K912" s="125">
        <f>((E912-G912)/2)/F912</f>
        <v/>
      </c>
      <c r="L912" s="125">
        <f>I912/G912</f>
        <v/>
      </c>
      <c r="M912" s="125">
        <f>(E912*2+F912*4+((E912-G912)/2-H912)*4+2*PI()*H912+(D912-2*F912-2*H912)*2)/1000</f>
        <v/>
      </c>
      <c r="N912" s="5" t="n">
        <v>87700</v>
      </c>
      <c r="O912" s="5" t="n">
        <v>4180</v>
      </c>
      <c r="P912" s="125" t="n">
        <v>24.2</v>
      </c>
      <c r="Q912" s="125" t="n">
        <v>5.3</v>
      </c>
      <c r="R912" s="5" t="n">
        <v>2920</v>
      </c>
      <c r="S912" s="125" t="n">
        <v>334</v>
      </c>
      <c r="T912" s="5" t="n">
        <v>3340</v>
      </c>
      <c r="U912" s="125" t="n">
        <v>522</v>
      </c>
      <c r="X912" s="129">
        <f t="array" ref="X912">_xlfn.IFS((D912/F912) &lt;= (640/SQRT($AT$32)), "Compact", L912 &lt;= ($AT$32*(0.79-(0.002*((E912-G912/2)/(2*F912))*SQRT($AT$32)))), "Non-Compact", L912 &gt; ($AT$32*(0.79-(0.002*((E912-G912/2)/(2*F912))*SQRT($AT$32)))), "Slender")</f>
        <v/>
      </c>
      <c r="Y912" s="129">
        <f t="array" ref="Y912">_xlfn.IFS(K912 &lt;= (65/SQRT($AT$32)), "Compact", K912 &lt;= (95/SQRT($AT$32)), "Non-Compact", K912 &gt; (95/SQRT($AT$32)), "Slender")</f>
        <v/>
      </c>
      <c r="Z912" s="125">
        <f>E912/F912</f>
        <v/>
      </c>
      <c r="AA912" s="125">
        <f>D912/G912</f>
        <v/>
      </c>
      <c r="AB912" s="125">
        <f t="array" ref="AB912">_xlfn.IFS(Z912 &lt;= 9, "1", Z912 &lt;= 12, "2", Z912 &lt;= 15, "3", Z912 &gt; 15, "4")</f>
        <v/>
      </c>
      <c r="AC912" s="125">
        <f t="array" ref="AC912">_xlfn.IFS(AA912 &lt;= 200, "1", L912 &lt;= 300, "2", L912 &lt;= 400, "3", L912 &gt; 400, "4")</f>
        <v/>
      </c>
      <c r="AF912" s="129">
        <f>SQRT((((VLOOKUP($AT$4,$A$4:$D$1021,4,FALSE))-D912)^2)+(((VLOOKUP($AT$4,$A$4:$E$1021,5,FALSE))-E912)^2)+(((VLOOKUP($AT$4,$A$4:$N$1021,14,FALSE))-N912)^2)+(((VLOOKUP($AT$4,$A$4:$O$1021,15,FALSE))-O912)^2))</f>
        <v/>
      </c>
      <c r="AG912" s="129" t="n"/>
      <c r="AI912" s="129">
        <f>SQRT((((VLOOKUP($AT$4,$A$4:$D$1021,4,FALSE))-D912)^2)+(((VLOOKUP($AT$4,$A$4:$E$1021,5,FALSE))-E912)^2)+(((VLOOKUP($AT$4,$A$4:$R$1021,18,FALSE))-R912)^2)+(((VLOOKUP($AT$4,$A$4:$S$1021,19,FALSE))-S912)^2))</f>
        <v/>
      </c>
      <c r="AJ912" s="125" t="inlineStr">
        <is>
          <t>HY600X117</t>
        </is>
      </c>
      <c r="AK912" s="125" t="n"/>
      <c r="AL912" s="125" t="n"/>
      <c r="AM912" s="125">
        <f>SQRT(((VLOOKUP($AT$4,$A$4:$J$1021,10,FALSE))-J912)^2)</f>
        <v/>
      </c>
      <c r="AN912" s="125" t="n"/>
      <c r="AO912" s="125" t="n"/>
      <c r="AP912" s="125">
        <f>SQRT(((VLOOKUP($AT$4,$A$4:$R$1021,18,FALSE))-R912)^2)</f>
        <v/>
      </c>
      <c r="AQ912" s="125" t="inlineStr">
        <is>
          <t>HY600X117</t>
        </is>
      </c>
      <c r="BB912" s="125">
        <f>SQRT(($J$1022-J912)^2)</f>
        <v/>
      </c>
      <c r="BC912" s="125">
        <f>SQRT(($R$1022-R912)^2)</f>
        <v/>
      </c>
      <c r="BD912" s="125" t="inlineStr">
        <is>
          <t>HY600X117</t>
        </is>
      </c>
      <c r="BI912">
        <f>SQRT(($J$1023-J912)^2)</f>
        <v/>
      </c>
      <c r="BJ912">
        <f>SQRT(($R$1023-R912)^2)</f>
        <v/>
      </c>
      <c r="BK912" s="125" t="inlineStr">
        <is>
          <t>HY600X117</t>
        </is>
      </c>
      <c r="BP912">
        <f>SQRT(($J$1024-J912)^2)</f>
        <v/>
      </c>
      <c r="BQ912">
        <f>SQRT(($R$1024-R912)^2)</f>
        <v/>
      </c>
      <c r="BR912" s="125" t="inlineStr">
        <is>
          <t>HY600X117</t>
        </is>
      </c>
      <c r="BW912">
        <f>SQRT(($J$1025-J912)^2)</f>
        <v/>
      </c>
      <c r="BX912">
        <f>SQRT(($R$1025-R912)^2)</f>
        <v/>
      </c>
      <c r="BY912" s="125" t="inlineStr">
        <is>
          <t>HY600X117</t>
        </is>
      </c>
      <c r="CD912">
        <f>SQRT(($J$1026-J912)^2)</f>
        <v/>
      </c>
      <c r="CE912">
        <f>SQRT(($R$1026-R912)^2)</f>
        <v/>
      </c>
      <c r="CF912" s="125" t="inlineStr">
        <is>
          <t>HY600X117</t>
        </is>
      </c>
    </row>
    <row r="913">
      <c r="A913" s="125" t="inlineStr">
        <is>
          <t>HY600X115</t>
        </is>
      </c>
      <c r="B913" s="129" t="inlineStr">
        <is>
          <t>HY</t>
        </is>
      </c>
      <c r="C913" s="125" t="n">
        <v>115</v>
      </c>
      <c r="D913" s="125" t="n">
        <v>600</v>
      </c>
      <c r="E913" s="125" t="n">
        <v>250</v>
      </c>
      <c r="F913" s="125" t="n">
        <v>19</v>
      </c>
      <c r="G913" s="125" t="n">
        <v>9</v>
      </c>
      <c r="H913" s="125" t="n">
        <v>13</v>
      </c>
      <c r="I913" s="125">
        <f>D913-(2*(H913+F913))</f>
        <v/>
      </c>
      <c r="J913" s="125">
        <f>(2*E913/10*F913/10)+((D913-F913-F913)/10*G913/10)+((H913/10+H913/10)^2)-(PI()*H913/10*H913/10)</f>
        <v/>
      </c>
      <c r="K913" s="125">
        <f>((E913-G913)/2)/F913</f>
        <v/>
      </c>
      <c r="L913" s="125">
        <f>I913/G913</f>
        <v/>
      </c>
      <c r="M913" s="125">
        <f>(E913*2+F913*4+((E913-G913)/2-H913)*4+2*PI()*H913+(D913-2*F913-2*H913)*2)/1000</f>
        <v/>
      </c>
      <c r="N913" s="5" t="n">
        <v>94600</v>
      </c>
      <c r="O913" s="5" t="n">
        <v>4950</v>
      </c>
      <c r="P913" s="125" t="n">
        <v>25.4</v>
      </c>
      <c r="Q913" s="125" t="n">
        <v>5.8</v>
      </c>
      <c r="R913" s="5" t="n">
        <v>3150</v>
      </c>
      <c r="S913" s="125" t="n">
        <v>396</v>
      </c>
      <c r="T913" s="5" t="n">
        <v>3510</v>
      </c>
      <c r="U913" s="125" t="n">
        <v>606</v>
      </c>
      <c r="X913" s="129">
        <f t="array" ref="X913">_xlfn.IFS((D913/F913) &lt;= (640/SQRT($AT$32)), "Compact", L913 &lt;= ($AT$32*(0.79-(0.002*((E913-G913/2)/(2*F913))*SQRT($AT$32)))), "Non-Compact", L913 &gt; ($AT$32*(0.79-(0.002*((E913-G913/2)/(2*F913))*SQRT($AT$32)))), "Slender")</f>
        <v/>
      </c>
      <c r="Y913" s="129">
        <f t="array" ref="Y913">_xlfn.IFS(K913 &lt;= (65/SQRT($AT$32)), "Compact", K913 &lt;= (95/SQRT($AT$32)), "Non-Compact", K913 &gt; (95/SQRT($AT$32)), "Slender")</f>
        <v/>
      </c>
      <c r="Z913" s="125">
        <f>E913/F913</f>
        <v/>
      </c>
      <c r="AA913" s="125">
        <f>D913/G913</f>
        <v/>
      </c>
      <c r="AB913" s="125">
        <f t="array" ref="AB913">_xlfn.IFS(Z913 &lt;= 9, "1", Z913 &lt;= 12, "2", Z913 &lt;= 15, "3", Z913 &gt; 15, "4")</f>
        <v/>
      </c>
      <c r="AC913" s="125">
        <f t="array" ref="AC913">_xlfn.IFS(AA913 &lt;= 200, "1", L913 &lt;= 300, "2", L913 &lt;= 400, "3", L913 &gt; 400, "4")</f>
        <v/>
      </c>
      <c r="AF913" s="129">
        <f>SQRT((((VLOOKUP($AT$4,$A$4:$D$1021,4,FALSE))-D913)^2)+(((VLOOKUP($AT$4,$A$4:$E$1021,5,FALSE))-E913)^2)+(((VLOOKUP($AT$4,$A$4:$N$1021,14,FALSE))-N913)^2)+(((VLOOKUP($AT$4,$A$4:$O$1021,15,FALSE))-O913)^2))</f>
        <v/>
      </c>
      <c r="AG913" s="129" t="n"/>
      <c r="AI913" s="129">
        <f>SQRT((((VLOOKUP($AT$4,$A$4:$D$1021,4,FALSE))-D913)^2)+(((VLOOKUP($AT$4,$A$4:$E$1021,5,FALSE))-E913)^2)+(((VLOOKUP($AT$4,$A$4:$R$1021,18,FALSE))-R913)^2)+(((VLOOKUP($AT$4,$A$4:$S$1021,19,FALSE))-S913)^2))</f>
        <v/>
      </c>
      <c r="AJ913" s="125" t="inlineStr">
        <is>
          <t>HY600X115</t>
        </is>
      </c>
      <c r="AK913" s="125" t="n"/>
      <c r="AL913" s="125" t="n"/>
      <c r="AM913" s="125">
        <f>SQRT(((VLOOKUP($AT$4,$A$4:$J$1021,10,FALSE))-J913)^2)</f>
        <v/>
      </c>
      <c r="AN913" s="125" t="n"/>
      <c r="AO913" s="125" t="n"/>
      <c r="AP913" s="125">
        <f>SQRT(((VLOOKUP($AT$4,$A$4:$R$1021,18,FALSE))-R913)^2)</f>
        <v/>
      </c>
      <c r="AQ913" s="125" t="inlineStr">
        <is>
          <t>HY600X115</t>
        </is>
      </c>
      <c r="BB913" s="125">
        <f>SQRT(($J$1022-J913)^2)</f>
        <v/>
      </c>
      <c r="BC913" s="125">
        <f>SQRT(($R$1022-R913)^2)</f>
        <v/>
      </c>
      <c r="BD913" s="125" t="inlineStr">
        <is>
          <t>HY600X115</t>
        </is>
      </c>
      <c r="BI913">
        <f>SQRT(($J$1023-J913)^2)</f>
        <v/>
      </c>
      <c r="BJ913">
        <f>SQRT(($R$1023-R913)^2)</f>
        <v/>
      </c>
      <c r="BK913" s="125" t="inlineStr">
        <is>
          <t>HY600X115</t>
        </is>
      </c>
      <c r="BP913">
        <f>SQRT(($J$1024-J913)^2)</f>
        <v/>
      </c>
      <c r="BQ913">
        <f>SQRT(($R$1024-R913)^2)</f>
        <v/>
      </c>
      <c r="BR913" s="125" t="inlineStr">
        <is>
          <t>HY600X115</t>
        </is>
      </c>
      <c r="BW913">
        <f>SQRT(($J$1025-J913)^2)</f>
        <v/>
      </c>
      <c r="BX913">
        <f>SQRT(($R$1025-R913)^2)</f>
        <v/>
      </c>
      <c r="BY913" s="125" t="inlineStr">
        <is>
          <t>HY600X115</t>
        </is>
      </c>
      <c r="CD913">
        <f>SQRT(($J$1026-J913)^2)</f>
        <v/>
      </c>
      <c r="CE913">
        <f>SQRT(($R$1026-R913)^2)</f>
        <v/>
      </c>
      <c r="CF913" s="125" t="inlineStr">
        <is>
          <t>HY600X115</t>
        </is>
      </c>
    </row>
    <row r="914">
      <c r="A914" s="125" t="inlineStr">
        <is>
          <t>HY600X104</t>
        </is>
      </c>
      <c r="B914" s="129" t="inlineStr">
        <is>
          <t>HY</t>
        </is>
      </c>
      <c r="C914" s="125" t="n">
        <v>104</v>
      </c>
      <c r="D914" s="125" t="n">
        <v>600</v>
      </c>
      <c r="E914" s="125" t="n">
        <v>250</v>
      </c>
      <c r="F914" s="125" t="n">
        <v>16</v>
      </c>
      <c r="G914" s="125" t="n">
        <v>9</v>
      </c>
      <c r="H914" s="125" t="n">
        <v>13</v>
      </c>
      <c r="I914" s="125">
        <f>D914-(2*(H914+F914))</f>
        <v/>
      </c>
      <c r="J914" s="125">
        <f>(2*E914/10*F914/10)+((D914-F914-F914)/10*G914/10)+((H914/10+H914/10)^2)-(PI()*H914/10*H914/10)</f>
        <v/>
      </c>
      <c r="K914" s="125">
        <f>((E914-G914)/2)/F914</f>
        <v/>
      </c>
      <c r="L914" s="125">
        <f>I914/G914</f>
        <v/>
      </c>
      <c r="M914" s="125">
        <f>(E914*2+F914*4+((E914-G914)/2-H914)*4+2*PI()*H914+(D914-2*F914-2*H914)*2)/1000</f>
        <v/>
      </c>
      <c r="N914" s="5" t="n">
        <v>83100</v>
      </c>
      <c r="O914" s="5" t="n">
        <v>4170</v>
      </c>
      <c r="P914" s="125" t="n">
        <v>25</v>
      </c>
      <c r="Q914" s="125" t="n">
        <v>5.6</v>
      </c>
      <c r="R914" s="5" t="n">
        <v>2770</v>
      </c>
      <c r="S914" s="125" t="n">
        <v>334</v>
      </c>
      <c r="T914" s="5" t="n">
        <v>3100</v>
      </c>
      <c r="U914" s="125" t="n">
        <v>513</v>
      </c>
      <c r="X914" s="129">
        <f t="array" ref="X914">_xlfn.IFS((D914/F914) &lt;= (640/SQRT($AT$32)), "Compact", L914 &lt;= ($AT$32*(0.79-(0.002*((E914-G914/2)/(2*F914))*SQRT($AT$32)))), "Non-Compact", L914 &gt; ($AT$32*(0.79-(0.002*((E914-G914/2)/(2*F914))*SQRT($AT$32)))), "Slender")</f>
        <v/>
      </c>
      <c r="Y914" s="129">
        <f t="array" ref="Y914">_xlfn.IFS(K914 &lt;= (65/SQRT($AT$32)), "Compact", K914 &lt;= (95/SQRT($AT$32)), "Non-Compact", K914 &gt; (95/SQRT($AT$32)), "Slender")</f>
        <v/>
      </c>
      <c r="Z914" s="125">
        <f>E914/F914</f>
        <v/>
      </c>
      <c r="AA914" s="125">
        <f>D914/G914</f>
        <v/>
      </c>
      <c r="AB914" s="125">
        <f t="array" ref="AB914">_xlfn.IFS(Z914 &lt;= 9, "1", Z914 &lt;= 12, "2", Z914 &lt;= 15, "3", Z914 &gt; 15, "4")</f>
        <v/>
      </c>
      <c r="AC914" s="125">
        <f t="array" ref="AC914">_xlfn.IFS(AA914 &lt;= 200, "1", L914 &lt;= 300, "2", L914 &lt;= 400, "3", L914 &gt; 400, "4")</f>
        <v/>
      </c>
      <c r="AF914" s="129">
        <f>SQRT((((VLOOKUP($AT$4,$A$4:$D$1021,4,FALSE))-D914)^2)+(((VLOOKUP($AT$4,$A$4:$E$1021,5,FALSE))-E914)^2)+(((VLOOKUP($AT$4,$A$4:$N$1021,14,FALSE))-N914)^2)+(((VLOOKUP($AT$4,$A$4:$O$1021,15,FALSE))-O914)^2))</f>
        <v/>
      </c>
      <c r="AG914" s="129" t="n"/>
      <c r="AI914" s="129">
        <f>SQRT((((VLOOKUP($AT$4,$A$4:$D$1021,4,FALSE))-D914)^2)+(((VLOOKUP($AT$4,$A$4:$E$1021,5,FALSE))-E914)^2)+(((VLOOKUP($AT$4,$A$4:$R$1021,18,FALSE))-R914)^2)+(((VLOOKUP($AT$4,$A$4:$S$1021,19,FALSE))-S914)^2))</f>
        <v/>
      </c>
      <c r="AJ914" s="125" t="inlineStr">
        <is>
          <t>HY600X104</t>
        </is>
      </c>
      <c r="AK914" s="125" t="n"/>
      <c r="AL914" s="125" t="n"/>
      <c r="AM914" s="125">
        <f>SQRT(((VLOOKUP($AT$4,$A$4:$J$1021,10,FALSE))-J914)^2)</f>
        <v/>
      </c>
      <c r="AN914" s="125" t="n"/>
      <c r="AO914" s="125" t="n"/>
      <c r="AP914" s="125">
        <f>SQRT(((VLOOKUP($AT$4,$A$4:$R$1021,18,FALSE))-R914)^2)</f>
        <v/>
      </c>
      <c r="AQ914" s="125" t="inlineStr">
        <is>
          <t>HY600X104</t>
        </is>
      </c>
      <c r="BB914" s="125">
        <f>SQRT(($J$1022-J914)^2)</f>
        <v/>
      </c>
      <c r="BC914" s="125">
        <f>SQRT(($R$1022-R914)^2)</f>
        <v/>
      </c>
      <c r="BD914" s="125" t="inlineStr">
        <is>
          <t>HY600X104</t>
        </is>
      </c>
      <c r="BI914">
        <f>SQRT(($J$1023-J914)^2)</f>
        <v/>
      </c>
      <c r="BJ914">
        <f>SQRT(($R$1023-R914)^2)</f>
        <v/>
      </c>
      <c r="BK914" s="125" t="inlineStr">
        <is>
          <t>HY600X104</t>
        </is>
      </c>
      <c r="BP914">
        <f>SQRT(($J$1024-J914)^2)</f>
        <v/>
      </c>
      <c r="BQ914">
        <f>SQRT(($R$1024-R914)^2)</f>
        <v/>
      </c>
      <c r="BR914" s="125" t="inlineStr">
        <is>
          <t>HY600X104</t>
        </is>
      </c>
      <c r="BW914">
        <f>SQRT(($J$1025-J914)^2)</f>
        <v/>
      </c>
      <c r="BX914">
        <f>SQRT(($R$1025-R914)^2)</f>
        <v/>
      </c>
      <c r="BY914" s="125" t="inlineStr">
        <is>
          <t>HY600X104</t>
        </is>
      </c>
      <c r="CD914">
        <f>SQRT(($J$1026-J914)^2)</f>
        <v/>
      </c>
      <c r="CE914">
        <f>SQRT(($R$1026-R914)^2)</f>
        <v/>
      </c>
      <c r="CF914" s="125" t="inlineStr">
        <is>
          <t>HY600X104</t>
        </is>
      </c>
    </row>
    <row r="915">
      <c r="A915" s="125" t="inlineStr">
        <is>
          <t>HY600X149</t>
        </is>
      </c>
      <c r="B915" s="129" t="inlineStr">
        <is>
          <t>HY</t>
        </is>
      </c>
      <c r="C915" s="125" t="n">
        <v>149</v>
      </c>
      <c r="D915" s="125" t="n">
        <v>600</v>
      </c>
      <c r="E915" s="125" t="n">
        <v>200</v>
      </c>
      <c r="F915" s="125" t="n">
        <v>28</v>
      </c>
      <c r="G915" s="125" t="n">
        <v>14</v>
      </c>
      <c r="H915" s="125" t="n">
        <v>13</v>
      </c>
      <c r="I915" s="125">
        <f>D915-(2*(H915+F915))</f>
        <v/>
      </c>
      <c r="J915" s="125">
        <f>(2*E915/10*F915/10)+((D915-F915-F915)/10*G915/10)+((H915/10+H915/10)^2)-(PI()*H915/10*H915/10)</f>
        <v/>
      </c>
      <c r="K915" s="125">
        <f>((E915-G915)/2)/F915</f>
        <v/>
      </c>
      <c r="L915" s="125">
        <f>I915/G915</f>
        <v/>
      </c>
      <c r="M915" s="125">
        <f>(E915*2+F915*4+((E915-G915)/2-H915)*4+2*PI()*H915+(D915-2*F915-2*H915)*2)/1000</f>
        <v/>
      </c>
      <c r="N915" s="5" t="n">
        <v>112000</v>
      </c>
      <c r="O915" s="5" t="n">
        <v>3750</v>
      </c>
      <c r="P915" s="125" t="n">
        <v>24.3</v>
      </c>
      <c r="Q915" s="125" t="n">
        <v>4.5</v>
      </c>
      <c r="R915" s="5" t="n">
        <v>3720</v>
      </c>
      <c r="S915" s="125" t="n">
        <v>375</v>
      </c>
      <c r="T915" s="5" t="n">
        <v>4280</v>
      </c>
      <c r="U915" s="125" t="n">
        <v>588</v>
      </c>
      <c r="X915" s="129">
        <f t="array" ref="X915">_xlfn.IFS((D915/F915) &lt;= (640/SQRT($AT$32)), "Compact", L915 &lt;= ($AT$32*(0.79-(0.002*((E915-G915/2)/(2*F915))*SQRT($AT$32)))), "Non-Compact", L915 &gt; ($AT$32*(0.79-(0.002*((E915-G915/2)/(2*F915))*SQRT($AT$32)))), "Slender")</f>
        <v/>
      </c>
      <c r="Y915" s="129">
        <f t="array" ref="Y915">_xlfn.IFS(K915 &lt;= (65/SQRT($AT$32)), "Compact", K915 &lt;= (95/SQRT($AT$32)), "Non-Compact", K915 &gt; (95/SQRT($AT$32)), "Slender")</f>
        <v/>
      </c>
      <c r="Z915" s="125">
        <f>E915/F915</f>
        <v/>
      </c>
      <c r="AA915" s="125">
        <f>D915/G915</f>
        <v/>
      </c>
      <c r="AB915" s="125">
        <f t="array" ref="AB915">_xlfn.IFS(Z915 &lt;= 9, "1", Z915 &lt;= 12, "2", Z915 &lt;= 15, "3", Z915 &gt; 15, "4")</f>
        <v/>
      </c>
      <c r="AC915" s="125">
        <f t="array" ref="AC915">_xlfn.IFS(AA915 &lt;= 200, "1", L915 &lt;= 300, "2", L915 &lt;= 400, "3", L915 &gt; 400, "4")</f>
        <v/>
      </c>
      <c r="AF915" s="129">
        <f>SQRT((((VLOOKUP($AT$4,$A$4:$D$1021,4,FALSE))-D915)^2)+(((VLOOKUP($AT$4,$A$4:$E$1021,5,FALSE))-E915)^2)+(((VLOOKUP($AT$4,$A$4:$N$1021,14,FALSE))-N915)^2)+(((VLOOKUP($AT$4,$A$4:$O$1021,15,FALSE))-O915)^2))</f>
        <v/>
      </c>
      <c r="AG915" s="129" t="n"/>
      <c r="AI915" s="129">
        <f>SQRT((((VLOOKUP($AT$4,$A$4:$D$1021,4,FALSE))-D915)^2)+(((VLOOKUP($AT$4,$A$4:$E$1021,5,FALSE))-E915)^2)+(((VLOOKUP($AT$4,$A$4:$R$1021,18,FALSE))-R915)^2)+(((VLOOKUP($AT$4,$A$4:$S$1021,19,FALSE))-S915)^2))</f>
        <v/>
      </c>
      <c r="AJ915" s="125" t="inlineStr">
        <is>
          <t>HY600X149</t>
        </is>
      </c>
      <c r="AK915" s="125" t="n"/>
      <c r="AL915" s="125" t="n"/>
      <c r="AM915" s="125">
        <f>SQRT(((VLOOKUP($AT$4,$A$4:$J$1021,10,FALSE))-J915)^2)</f>
        <v/>
      </c>
      <c r="AN915" s="125" t="n"/>
      <c r="AO915" s="125" t="n"/>
      <c r="AP915" s="125">
        <f>SQRT(((VLOOKUP($AT$4,$A$4:$R$1021,18,FALSE))-R915)^2)</f>
        <v/>
      </c>
      <c r="AQ915" s="125" t="inlineStr">
        <is>
          <t>HY600X149</t>
        </is>
      </c>
      <c r="BB915" s="125">
        <f>SQRT(($J$1022-J915)^2)</f>
        <v/>
      </c>
      <c r="BC915" s="125">
        <f>SQRT(($R$1022-R915)^2)</f>
        <v/>
      </c>
      <c r="BD915" s="125" t="inlineStr">
        <is>
          <t>HY600X149</t>
        </is>
      </c>
      <c r="BI915">
        <f>SQRT(($J$1023-J915)^2)</f>
        <v/>
      </c>
      <c r="BJ915">
        <f>SQRT(($R$1023-R915)^2)</f>
        <v/>
      </c>
      <c r="BK915" s="125" t="inlineStr">
        <is>
          <t>HY600X149</t>
        </is>
      </c>
      <c r="BP915">
        <f>SQRT(($J$1024-J915)^2)</f>
        <v/>
      </c>
      <c r="BQ915">
        <f>SQRT(($R$1024-R915)^2)</f>
        <v/>
      </c>
      <c r="BR915" s="125" t="inlineStr">
        <is>
          <t>HY600X149</t>
        </is>
      </c>
      <c r="BW915">
        <f>SQRT(($J$1025-J915)^2)</f>
        <v/>
      </c>
      <c r="BX915">
        <f>SQRT(($R$1025-R915)^2)</f>
        <v/>
      </c>
      <c r="BY915" s="125" t="inlineStr">
        <is>
          <t>HY600X149</t>
        </is>
      </c>
      <c r="CD915">
        <f>SQRT(($J$1026-J915)^2)</f>
        <v/>
      </c>
      <c r="CE915">
        <f>SQRT(($R$1026-R915)^2)</f>
        <v/>
      </c>
      <c r="CF915" s="125" t="inlineStr">
        <is>
          <t>HY600X149</t>
        </is>
      </c>
    </row>
    <row r="916">
      <c r="A916" s="125" t="inlineStr">
        <is>
          <t>HY600X140</t>
        </is>
      </c>
      <c r="B916" s="129" t="inlineStr">
        <is>
          <t>HY</t>
        </is>
      </c>
      <c r="C916" s="125" t="n">
        <v>140</v>
      </c>
      <c r="D916" s="125" t="n">
        <v>600</v>
      </c>
      <c r="E916" s="125" t="n">
        <v>200</v>
      </c>
      <c r="F916" s="125" t="n">
        <v>25</v>
      </c>
      <c r="G916" s="125" t="n">
        <v>14</v>
      </c>
      <c r="H916" s="125" t="n">
        <v>13</v>
      </c>
      <c r="I916" s="125">
        <f>D916-(2*(H916+F916))</f>
        <v/>
      </c>
      <c r="J916" s="125">
        <f>(2*E916/10*F916/10)+((D916-F916-F916)/10*G916/10)+((H916/10+H916/10)^2)-(PI()*H916/10*H916/10)</f>
        <v/>
      </c>
      <c r="K916" s="125">
        <f>((E916-G916)/2)/F916</f>
        <v/>
      </c>
      <c r="L916" s="125">
        <f>I916/G916</f>
        <v/>
      </c>
      <c r="M916" s="125">
        <f>(E916*2+F916*4+((E916-G916)/2-H916)*4+2*PI()*H916+(D916-2*F916-2*H916)*2)/1000</f>
        <v/>
      </c>
      <c r="N916" s="5" t="n">
        <v>103000</v>
      </c>
      <c r="O916" s="5" t="n">
        <v>3350</v>
      </c>
      <c r="P916" s="125" t="n">
        <v>24</v>
      </c>
      <c r="Q916" s="125" t="n">
        <v>4.3</v>
      </c>
      <c r="R916" s="5" t="n">
        <v>3440</v>
      </c>
      <c r="S916" s="125" t="n">
        <v>335</v>
      </c>
      <c r="T916" s="5" t="n">
        <v>3970</v>
      </c>
      <c r="U916" s="125" t="n">
        <v>528</v>
      </c>
      <c r="X916" s="129">
        <f t="array" ref="X916">_xlfn.IFS((D916/F916) &lt;= (640/SQRT($AT$32)), "Compact", L916 &lt;= ($AT$32*(0.79-(0.002*((E916-G916/2)/(2*F916))*SQRT($AT$32)))), "Non-Compact", L916 &gt; ($AT$32*(0.79-(0.002*((E916-G916/2)/(2*F916))*SQRT($AT$32)))), "Slender")</f>
        <v/>
      </c>
      <c r="Y916" s="129">
        <f t="array" ref="Y916">_xlfn.IFS(K916 &lt;= (65/SQRT($AT$32)), "Compact", K916 &lt;= (95/SQRT($AT$32)), "Non-Compact", K916 &gt; (95/SQRT($AT$32)), "Slender")</f>
        <v/>
      </c>
      <c r="Z916" s="125">
        <f>E916/F916</f>
        <v/>
      </c>
      <c r="AA916" s="125">
        <f>D916/G916</f>
        <v/>
      </c>
      <c r="AB916" s="125">
        <f t="array" ref="AB916">_xlfn.IFS(Z916 &lt;= 9, "1", Z916 &lt;= 12, "2", Z916 &lt;= 15, "3", Z916 &gt; 15, "4")</f>
        <v/>
      </c>
      <c r="AC916" s="125">
        <f t="array" ref="AC916">_xlfn.IFS(AA916 &lt;= 200, "1", L916 &lt;= 300, "2", L916 &lt;= 400, "3", L916 &gt; 400, "4")</f>
        <v/>
      </c>
      <c r="AF916" s="129">
        <f>SQRT((((VLOOKUP($AT$4,$A$4:$D$1021,4,FALSE))-D916)^2)+(((VLOOKUP($AT$4,$A$4:$E$1021,5,FALSE))-E916)^2)+(((VLOOKUP($AT$4,$A$4:$N$1021,14,FALSE))-N916)^2)+(((VLOOKUP($AT$4,$A$4:$O$1021,15,FALSE))-O916)^2))</f>
        <v/>
      </c>
      <c r="AG916" s="129" t="n"/>
      <c r="AI916" s="129">
        <f>SQRT((((VLOOKUP($AT$4,$A$4:$D$1021,4,FALSE))-D916)^2)+(((VLOOKUP($AT$4,$A$4:$E$1021,5,FALSE))-E916)^2)+(((VLOOKUP($AT$4,$A$4:$R$1021,18,FALSE))-R916)^2)+(((VLOOKUP($AT$4,$A$4:$S$1021,19,FALSE))-S916)^2))</f>
        <v/>
      </c>
      <c r="AJ916" s="125" t="inlineStr">
        <is>
          <t>HY600X140</t>
        </is>
      </c>
      <c r="AK916" s="125" t="n"/>
      <c r="AL916" s="125" t="n"/>
      <c r="AM916" s="125">
        <f>SQRT(((VLOOKUP($AT$4,$A$4:$J$1021,10,FALSE))-J916)^2)</f>
        <v/>
      </c>
      <c r="AN916" s="125" t="n"/>
      <c r="AO916" s="125" t="n"/>
      <c r="AP916" s="125">
        <f>SQRT(((VLOOKUP($AT$4,$A$4:$R$1021,18,FALSE))-R916)^2)</f>
        <v/>
      </c>
      <c r="AQ916" s="125" t="inlineStr">
        <is>
          <t>HY600X140</t>
        </is>
      </c>
      <c r="BB916" s="125">
        <f>SQRT(($J$1022-J916)^2)</f>
        <v/>
      </c>
      <c r="BC916" s="125">
        <f>SQRT(($R$1022-R916)^2)</f>
        <v/>
      </c>
      <c r="BD916" s="125" t="inlineStr">
        <is>
          <t>HY600X140</t>
        </is>
      </c>
      <c r="BI916">
        <f>SQRT(($J$1023-J916)^2)</f>
        <v/>
      </c>
      <c r="BJ916">
        <f>SQRT(($R$1023-R916)^2)</f>
        <v/>
      </c>
      <c r="BK916" s="125" t="inlineStr">
        <is>
          <t>HY600X140</t>
        </is>
      </c>
      <c r="BP916">
        <f>SQRT(($J$1024-J916)^2)</f>
        <v/>
      </c>
      <c r="BQ916">
        <f>SQRT(($R$1024-R916)^2)</f>
        <v/>
      </c>
      <c r="BR916" s="125" t="inlineStr">
        <is>
          <t>HY600X140</t>
        </is>
      </c>
      <c r="BW916">
        <f>SQRT(($J$1025-J916)^2)</f>
        <v/>
      </c>
      <c r="BX916">
        <f>SQRT(($R$1025-R916)^2)</f>
        <v/>
      </c>
      <c r="BY916" s="125" t="inlineStr">
        <is>
          <t>HY600X140</t>
        </is>
      </c>
      <c r="CD916">
        <f>SQRT(($J$1026-J916)^2)</f>
        <v/>
      </c>
      <c r="CE916">
        <f>SQRT(($R$1026-R916)^2)</f>
        <v/>
      </c>
      <c r="CF916" s="125" t="inlineStr">
        <is>
          <t>HY600X140</t>
        </is>
      </c>
    </row>
    <row r="917">
      <c r="A917" s="125" t="inlineStr">
        <is>
          <t>HY600X131</t>
        </is>
      </c>
      <c r="B917" s="129" t="inlineStr">
        <is>
          <t>HY</t>
        </is>
      </c>
      <c r="C917" s="125" t="n">
        <v>131</v>
      </c>
      <c r="D917" s="125" t="n">
        <v>600</v>
      </c>
      <c r="E917" s="125" t="n">
        <v>200</v>
      </c>
      <c r="F917" s="125" t="n">
        <v>22</v>
      </c>
      <c r="G917" s="125" t="n">
        <v>14</v>
      </c>
      <c r="H917" s="125" t="n">
        <v>13</v>
      </c>
      <c r="I917" s="125">
        <f>D917-(2*(H917+F917))</f>
        <v/>
      </c>
      <c r="J917" s="125">
        <f>(2*E917/10*F917/10)+((D917-F917-F917)/10*G917/10)+((H917/10+H917/10)^2)-(PI()*H917/10*H917/10)</f>
        <v/>
      </c>
      <c r="K917" s="125">
        <f>((E917-G917)/2)/F917</f>
        <v/>
      </c>
      <c r="L917" s="125">
        <f>I917/G917</f>
        <v/>
      </c>
      <c r="M917" s="125">
        <f>(E917*2+F917*4+((E917-G917)/2-H917)*4+2*PI()*H917+(D917-2*F917-2*H917)*2)/1000</f>
        <v/>
      </c>
      <c r="N917" s="5" t="n">
        <v>94700</v>
      </c>
      <c r="O917" s="5" t="n">
        <v>2950</v>
      </c>
      <c r="P917" s="125" t="n">
        <v>23.8</v>
      </c>
      <c r="Q917" s="125" t="n">
        <v>4.2</v>
      </c>
      <c r="R917" s="5" t="n">
        <v>3160</v>
      </c>
      <c r="S917" s="125" t="n">
        <v>295</v>
      </c>
      <c r="T917" s="5" t="n">
        <v>3670</v>
      </c>
      <c r="U917" s="125" t="n">
        <v>469</v>
      </c>
      <c r="X917" s="129">
        <f t="array" ref="X917">_xlfn.IFS((D917/F917) &lt;= (640/SQRT($AT$32)), "Compact", L917 &lt;= ($AT$32*(0.79-(0.002*((E917-G917/2)/(2*F917))*SQRT($AT$32)))), "Non-Compact", L917 &gt; ($AT$32*(0.79-(0.002*((E917-G917/2)/(2*F917))*SQRT($AT$32)))), "Slender")</f>
        <v/>
      </c>
      <c r="Y917" s="129">
        <f t="array" ref="Y917">_xlfn.IFS(K917 &lt;= (65/SQRT($AT$32)), "Compact", K917 &lt;= (95/SQRT($AT$32)), "Non-Compact", K917 &gt; (95/SQRT($AT$32)), "Slender")</f>
        <v/>
      </c>
      <c r="Z917" s="125">
        <f>E917/F917</f>
        <v/>
      </c>
      <c r="AA917" s="125">
        <f>D917/G917</f>
        <v/>
      </c>
      <c r="AB917" s="125">
        <f t="array" ref="AB917">_xlfn.IFS(Z917 &lt;= 9, "1", Z917 &lt;= 12, "2", Z917 &lt;= 15, "3", Z917 &gt; 15, "4")</f>
        <v/>
      </c>
      <c r="AC917" s="125">
        <f t="array" ref="AC917">_xlfn.IFS(AA917 &lt;= 200, "1", L917 &lt;= 300, "2", L917 &lt;= 400, "3", L917 &gt; 400, "4")</f>
        <v/>
      </c>
      <c r="AF917" s="129">
        <f>SQRT((((VLOOKUP($AT$4,$A$4:$D$1021,4,FALSE))-D917)^2)+(((VLOOKUP($AT$4,$A$4:$E$1021,5,FALSE))-E917)^2)+(((VLOOKUP($AT$4,$A$4:$N$1021,14,FALSE))-N917)^2)+(((VLOOKUP($AT$4,$A$4:$O$1021,15,FALSE))-O917)^2))</f>
        <v/>
      </c>
      <c r="AG917" s="129" t="n"/>
      <c r="AI917" s="129">
        <f>SQRT((((VLOOKUP($AT$4,$A$4:$D$1021,4,FALSE))-D917)^2)+(((VLOOKUP($AT$4,$A$4:$E$1021,5,FALSE))-E917)^2)+(((VLOOKUP($AT$4,$A$4:$R$1021,18,FALSE))-R917)^2)+(((VLOOKUP($AT$4,$A$4:$S$1021,19,FALSE))-S917)^2))</f>
        <v/>
      </c>
      <c r="AJ917" s="125" t="inlineStr">
        <is>
          <t>HY600X131</t>
        </is>
      </c>
      <c r="AK917" s="125" t="n"/>
      <c r="AL917" s="125" t="n"/>
      <c r="AM917" s="125">
        <f>SQRT(((VLOOKUP($AT$4,$A$4:$J$1021,10,FALSE))-J917)^2)</f>
        <v/>
      </c>
      <c r="AN917" s="125" t="n"/>
      <c r="AO917" s="125" t="n"/>
      <c r="AP917" s="125">
        <f>SQRT(((VLOOKUP($AT$4,$A$4:$R$1021,18,FALSE))-R917)^2)</f>
        <v/>
      </c>
      <c r="AQ917" s="125" t="inlineStr">
        <is>
          <t>HY600X131</t>
        </is>
      </c>
      <c r="BB917" s="125">
        <f>SQRT(($J$1022-J917)^2)</f>
        <v/>
      </c>
      <c r="BC917" s="125">
        <f>SQRT(($R$1022-R917)^2)</f>
        <v/>
      </c>
      <c r="BD917" s="125" t="inlineStr">
        <is>
          <t>HY600X131</t>
        </is>
      </c>
      <c r="BI917">
        <f>SQRT(($J$1023-J917)^2)</f>
        <v/>
      </c>
      <c r="BJ917">
        <f>SQRT(($R$1023-R917)^2)</f>
        <v/>
      </c>
      <c r="BK917" s="125" t="inlineStr">
        <is>
          <t>HY600X131</t>
        </is>
      </c>
      <c r="BP917">
        <f>SQRT(($J$1024-J917)^2)</f>
        <v/>
      </c>
      <c r="BQ917">
        <f>SQRT(($R$1024-R917)^2)</f>
        <v/>
      </c>
      <c r="BR917" s="125" t="inlineStr">
        <is>
          <t>HY600X131</t>
        </is>
      </c>
      <c r="BW917">
        <f>SQRT(($J$1025-J917)^2)</f>
        <v/>
      </c>
      <c r="BX917">
        <f>SQRT(($R$1025-R917)^2)</f>
        <v/>
      </c>
      <c r="BY917" s="125" t="inlineStr">
        <is>
          <t>HY600X131</t>
        </is>
      </c>
      <c r="CD917">
        <f>SQRT(($J$1026-J917)^2)</f>
        <v/>
      </c>
      <c r="CE917">
        <f>SQRT(($R$1026-R917)^2)</f>
        <v/>
      </c>
      <c r="CF917" s="125" t="inlineStr">
        <is>
          <t>HY600X131</t>
        </is>
      </c>
    </row>
    <row r="918">
      <c r="A918" s="125" t="inlineStr">
        <is>
          <t>HY600X123</t>
        </is>
      </c>
      <c r="B918" s="129" t="inlineStr">
        <is>
          <t>HY</t>
        </is>
      </c>
      <c r="C918" s="125" t="n">
        <v>123</v>
      </c>
      <c r="D918" s="125" t="n">
        <v>600</v>
      </c>
      <c r="E918" s="125" t="n">
        <v>200</v>
      </c>
      <c r="F918" s="125" t="n">
        <v>19</v>
      </c>
      <c r="G918" s="125" t="n">
        <v>14</v>
      </c>
      <c r="H918" s="125" t="n">
        <v>13</v>
      </c>
      <c r="I918" s="125">
        <f>D918-(2*(H918+F918))</f>
        <v/>
      </c>
      <c r="J918" s="125">
        <f>(2*E918/10*F918/10)+((D918-F918-F918)/10*G918/10)+((H918/10+H918/10)^2)-(PI()*H918/10*H918/10)</f>
        <v/>
      </c>
      <c r="K918" s="125">
        <f>((E918-G918)/2)/F918</f>
        <v/>
      </c>
      <c r="L918" s="125">
        <f>I918/G918</f>
        <v/>
      </c>
      <c r="M918" s="125">
        <f>(E918*2+F918*4+((E918-G918)/2-H918)*4+2*PI()*H918+(D918-2*F918-2*H918)*2)/1000</f>
        <v/>
      </c>
      <c r="N918" s="5" t="n">
        <v>86000</v>
      </c>
      <c r="O918" s="5" t="n">
        <v>2550</v>
      </c>
      <c r="P918" s="125" t="n">
        <v>23.5</v>
      </c>
      <c r="Q918" s="125" t="n">
        <v>4</v>
      </c>
      <c r="R918" s="5" t="n">
        <v>2870</v>
      </c>
      <c r="S918" s="125" t="n">
        <v>255</v>
      </c>
      <c r="T918" s="5" t="n">
        <v>3350</v>
      </c>
      <c r="U918" s="125" t="n">
        <v>409</v>
      </c>
      <c r="X918" s="129">
        <f t="array" ref="X918">_xlfn.IFS((D918/F918) &lt;= (640/SQRT($AT$32)), "Compact", L918 &lt;= ($AT$32*(0.79-(0.002*((E918-G918/2)/(2*F918))*SQRT($AT$32)))), "Non-Compact", L918 &gt; ($AT$32*(0.79-(0.002*((E918-G918/2)/(2*F918))*SQRT($AT$32)))), "Slender")</f>
        <v/>
      </c>
      <c r="Y918" s="129">
        <f t="array" ref="Y918">_xlfn.IFS(K918 &lt;= (65/SQRT($AT$32)), "Compact", K918 &lt;= (95/SQRT($AT$32)), "Non-Compact", K918 &gt; (95/SQRT($AT$32)), "Slender")</f>
        <v/>
      </c>
      <c r="Z918" s="125">
        <f>E918/F918</f>
        <v/>
      </c>
      <c r="AA918" s="125">
        <f>D918/G918</f>
        <v/>
      </c>
      <c r="AB918" s="125">
        <f t="array" ref="AB918">_xlfn.IFS(Z918 &lt;= 9, "1", Z918 &lt;= 12, "2", Z918 &lt;= 15, "3", Z918 &gt; 15, "4")</f>
        <v/>
      </c>
      <c r="AC918" s="125">
        <f t="array" ref="AC918">_xlfn.IFS(AA918 &lt;= 200, "1", L918 &lt;= 300, "2", L918 &lt;= 400, "3", L918 &gt; 400, "4")</f>
        <v/>
      </c>
      <c r="AF918" s="129">
        <f>SQRT((((VLOOKUP($AT$4,$A$4:$D$1021,4,FALSE))-D918)^2)+(((VLOOKUP($AT$4,$A$4:$E$1021,5,FALSE))-E918)^2)+(((VLOOKUP($AT$4,$A$4:$N$1021,14,FALSE))-N918)^2)+(((VLOOKUP($AT$4,$A$4:$O$1021,15,FALSE))-O918)^2))</f>
        <v/>
      </c>
      <c r="AG918" s="129" t="n"/>
      <c r="AI918" s="129">
        <f>SQRT((((VLOOKUP($AT$4,$A$4:$D$1021,4,FALSE))-D918)^2)+(((VLOOKUP($AT$4,$A$4:$E$1021,5,FALSE))-E918)^2)+(((VLOOKUP($AT$4,$A$4:$R$1021,18,FALSE))-R918)^2)+(((VLOOKUP($AT$4,$A$4:$S$1021,19,FALSE))-S918)^2))</f>
        <v/>
      </c>
      <c r="AJ918" s="125" t="inlineStr">
        <is>
          <t>HY600X123</t>
        </is>
      </c>
      <c r="AK918" s="125" t="n"/>
      <c r="AL918" s="125" t="n"/>
      <c r="AM918" s="125">
        <f>SQRT(((VLOOKUP($AT$4,$A$4:$J$1021,10,FALSE))-J918)^2)</f>
        <v/>
      </c>
      <c r="AN918" s="125" t="n"/>
      <c r="AO918" s="125" t="n"/>
      <c r="AP918" s="125">
        <f>SQRT(((VLOOKUP($AT$4,$A$4:$R$1021,18,FALSE))-R918)^2)</f>
        <v/>
      </c>
      <c r="AQ918" s="125" t="inlineStr">
        <is>
          <t>HY600X123</t>
        </is>
      </c>
      <c r="BB918" s="125">
        <f>SQRT(($J$1022-J918)^2)</f>
        <v/>
      </c>
      <c r="BC918" s="125">
        <f>SQRT(($R$1022-R918)^2)</f>
        <v/>
      </c>
      <c r="BD918" s="125" t="inlineStr">
        <is>
          <t>HY600X123</t>
        </is>
      </c>
      <c r="BI918">
        <f>SQRT(($J$1023-J918)^2)</f>
        <v/>
      </c>
      <c r="BJ918">
        <f>SQRT(($R$1023-R918)^2)</f>
        <v/>
      </c>
      <c r="BK918" s="125" t="inlineStr">
        <is>
          <t>HY600X123</t>
        </is>
      </c>
      <c r="BP918">
        <f>SQRT(($J$1024-J918)^2)</f>
        <v/>
      </c>
      <c r="BQ918">
        <f>SQRT(($R$1024-R918)^2)</f>
        <v/>
      </c>
      <c r="BR918" s="125" t="inlineStr">
        <is>
          <t>HY600X123</t>
        </is>
      </c>
      <c r="BW918">
        <f>SQRT(($J$1025-J918)^2)</f>
        <v/>
      </c>
      <c r="BX918">
        <f>SQRT(($R$1025-R918)^2)</f>
        <v/>
      </c>
      <c r="BY918" s="125" t="inlineStr">
        <is>
          <t>HY600X123</t>
        </is>
      </c>
      <c r="CD918">
        <f>SQRT(($J$1026-J918)^2)</f>
        <v/>
      </c>
      <c r="CE918">
        <f>SQRT(($R$1026-R918)^2)</f>
        <v/>
      </c>
      <c r="CF918" s="125" t="inlineStr">
        <is>
          <t>HY600X123</t>
        </is>
      </c>
    </row>
    <row r="919">
      <c r="A919" s="125" t="inlineStr">
        <is>
          <t>HY600X140</t>
        </is>
      </c>
      <c r="B919" s="129" t="inlineStr">
        <is>
          <t>HY</t>
        </is>
      </c>
      <c r="C919" s="125" t="n">
        <v>140</v>
      </c>
      <c r="D919" s="125" t="n">
        <v>600</v>
      </c>
      <c r="E919" s="125" t="n">
        <v>200</v>
      </c>
      <c r="F919" s="125" t="n">
        <v>28</v>
      </c>
      <c r="G919" s="125" t="n">
        <v>12</v>
      </c>
      <c r="H919" s="125" t="n">
        <v>13</v>
      </c>
      <c r="I919" s="125">
        <f>D919-(2*(H919+F919))</f>
        <v/>
      </c>
      <c r="J919" s="125">
        <f>(2*E919/10*F919/10)+((D919-F919-F919)/10*G919/10)+((H919/10+H919/10)^2)-(PI()*H919/10*H919/10)</f>
        <v/>
      </c>
      <c r="K919" s="125">
        <f>((E919-G919)/2)/F919</f>
        <v/>
      </c>
      <c r="L919" s="125">
        <f>I919/G919</f>
        <v/>
      </c>
      <c r="M919" s="125">
        <f>(E919*2+F919*4+((E919-G919)/2-H919)*4+2*PI()*H919+(D919-2*F919-2*H919)*2)/1000</f>
        <v/>
      </c>
      <c r="N919" s="5" t="n">
        <v>109000</v>
      </c>
      <c r="O919" s="5" t="n">
        <v>3740</v>
      </c>
      <c r="P919" s="125" t="n">
        <v>24.7</v>
      </c>
      <c r="Q919" s="125" t="n">
        <v>4.6</v>
      </c>
      <c r="R919" s="5" t="n">
        <v>3630</v>
      </c>
      <c r="S919" s="125" t="n">
        <v>374</v>
      </c>
      <c r="T919" s="5" t="n">
        <v>4130</v>
      </c>
      <c r="U919" s="125" t="n">
        <v>581</v>
      </c>
      <c r="X919" s="129">
        <f t="array" ref="X919">_xlfn.IFS((D919/F919) &lt;= (640/SQRT($AT$32)), "Compact", L919 &lt;= ($AT$32*(0.79-(0.002*((E919-G919/2)/(2*F919))*SQRT($AT$32)))), "Non-Compact", L919 &gt; ($AT$32*(0.79-(0.002*((E919-G919/2)/(2*F919))*SQRT($AT$32)))), "Slender")</f>
        <v/>
      </c>
      <c r="Y919" s="129">
        <f t="array" ref="Y919">_xlfn.IFS(K919 &lt;= (65/SQRT($AT$32)), "Compact", K919 &lt;= (95/SQRT($AT$32)), "Non-Compact", K919 &gt; (95/SQRT($AT$32)), "Slender")</f>
        <v/>
      </c>
      <c r="Z919" s="125">
        <f>E919/F919</f>
        <v/>
      </c>
      <c r="AA919" s="125">
        <f>D919/G919</f>
        <v/>
      </c>
      <c r="AB919" s="125">
        <f t="array" ref="AB919">_xlfn.IFS(Z919 &lt;= 9, "1", Z919 &lt;= 12, "2", Z919 &lt;= 15, "3", Z919 &gt; 15, "4")</f>
        <v/>
      </c>
      <c r="AC919" s="125">
        <f t="array" ref="AC919">_xlfn.IFS(AA919 &lt;= 200, "1", L919 &lt;= 300, "2", L919 &lt;= 400, "3", L919 &gt; 400, "4")</f>
        <v/>
      </c>
      <c r="AF919" s="129">
        <f>SQRT((((VLOOKUP($AT$4,$A$4:$D$1021,4,FALSE))-D919)^2)+(((VLOOKUP($AT$4,$A$4:$E$1021,5,FALSE))-E919)^2)+(((VLOOKUP($AT$4,$A$4:$N$1021,14,FALSE))-N919)^2)+(((VLOOKUP($AT$4,$A$4:$O$1021,15,FALSE))-O919)^2))</f>
        <v/>
      </c>
      <c r="AG919" s="129" t="n"/>
      <c r="AI919" s="129">
        <f>SQRT((((VLOOKUP($AT$4,$A$4:$D$1021,4,FALSE))-D919)^2)+(((VLOOKUP($AT$4,$A$4:$E$1021,5,FALSE))-E919)^2)+(((VLOOKUP($AT$4,$A$4:$R$1021,18,FALSE))-R919)^2)+(((VLOOKUP($AT$4,$A$4:$S$1021,19,FALSE))-S919)^2))</f>
        <v/>
      </c>
      <c r="AJ919" s="125" t="inlineStr">
        <is>
          <t>HY600X140</t>
        </is>
      </c>
      <c r="AK919" s="125" t="n"/>
      <c r="AL919" s="125" t="n"/>
      <c r="AM919" s="125">
        <f>SQRT(((VLOOKUP($AT$4,$A$4:$J$1021,10,FALSE))-J919)^2)</f>
        <v/>
      </c>
      <c r="AN919" s="125" t="n"/>
      <c r="AO919" s="125" t="n"/>
      <c r="AP919" s="125">
        <f>SQRT(((VLOOKUP($AT$4,$A$4:$R$1021,18,FALSE))-R919)^2)</f>
        <v/>
      </c>
      <c r="AQ919" s="125" t="inlineStr">
        <is>
          <t>HY600X140</t>
        </is>
      </c>
      <c r="BB919" s="125">
        <f>SQRT(($J$1022-J919)^2)</f>
        <v/>
      </c>
      <c r="BC919" s="125">
        <f>SQRT(($R$1022-R919)^2)</f>
        <v/>
      </c>
      <c r="BD919" s="125" t="inlineStr">
        <is>
          <t>HY600X140</t>
        </is>
      </c>
      <c r="BI919">
        <f>SQRT(($J$1023-J919)^2)</f>
        <v/>
      </c>
      <c r="BJ919">
        <f>SQRT(($R$1023-R919)^2)</f>
        <v/>
      </c>
      <c r="BK919" s="125" t="inlineStr">
        <is>
          <t>HY600X140</t>
        </is>
      </c>
      <c r="BP919">
        <f>SQRT(($J$1024-J919)^2)</f>
        <v/>
      </c>
      <c r="BQ919">
        <f>SQRT(($R$1024-R919)^2)</f>
        <v/>
      </c>
      <c r="BR919" s="125" t="inlineStr">
        <is>
          <t>HY600X140</t>
        </is>
      </c>
      <c r="BW919">
        <f>SQRT(($J$1025-J919)^2)</f>
        <v/>
      </c>
      <c r="BX919">
        <f>SQRT(($R$1025-R919)^2)</f>
        <v/>
      </c>
      <c r="BY919" s="125" t="inlineStr">
        <is>
          <t>HY600X140</t>
        </is>
      </c>
      <c r="CD919">
        <f>SQRT(($J$1026-J919)^2)</f>
        <v/>
      </c>
      <c r="CE919">
        <f>SQRT(($R$1026-R919)^2)</f>
        <v/>
      </c>
      <c r="CF919" s="125" t="inlineStr">
        <is>
          <t>HY600X140</t>
        </is>
      </c>
    </row>
    <row r="920">
      <c r="A920" s="125" t="inlineStr">
        <is>
          <t>HY600X131</t>
        </is>
      </c>
      <c r="B920" s="129" t="inlineStr">
        <is>
          <t>HY</t>
        </is>
      </c>
      <c r="C920" s="125" t="n">
        <v>131</v>
      </c>
      <c r="D920" s="125" t="n">
        <v>600</v>
      </c>
      <c r="E920" s="125" t="n">
        <v>200</v>
      </c>
      <c r="F920" s="125" t="n">
        <v>25</v>
      </c>
      <c r="G920" s="125" t="n">
        <v>12</v>
      </c>
      <c r="H920" s="125" t="n">
        <v>13</v>
      </c>
      <c r="I920" s="125">
        <f>D920-(2*(H920+F920))</f>
        <v/>
      </c>
      <c r="J920" s="125">
        <f>(2*E920/10*F920/10)+((D920-F920-F920)/10*G920/10)+((H920/10+H920/10)^2)-(PI()*H920/10*H920/10)</f>
        <v/>
      </c>
      <c r="K920" s="125">
        <f>((E920-G920)/2)/F920</f>
        <v/>
      </c>
      <c r="L920" s="125">
        <f>I920/G920</f>
        <v/>
      </c>
      <c r="M920" s="125">
        <f>(E920*2+F920*4+((E920-G920)/2-H920)*4+2*PI()*H920+(D920-2*F920-2*H920)*2)/1000</f>
        <v/>
      </c>
      <c r="N920" s="5" t="n">
        <v>100000</v>
      </c>
      <c r="O920" s="5" t="n">
        <v>3340</v>
      </c>
      <c r="P920" s="125" t="n">
        <v>24.5</v>
      </c>
      <c r="Q920" s="125" t="n">
        <v>4.5</v>
      </c>
      <c r="R920" s="5" t="n">
        <v>3350</v>
      </c>
      <c r="S920" s="125" t="n">
        <v>334</v>
      </c>
      <c r="T920" s="5" t="n">
        <v>3820</v>
      </c>
      <c r="U920" s="125" t="n">
        <v>521</v>
      </c>
      <c r="X920" s="129">
        <f t="array" ref="X920">_xlfn.IFS((D920/F920) &lt;= (640/SQRT($AT$32)), "Compact", L920 &lt;= ($AT$32*(0.79-(0.002*((E920-G920/2)/(2*F920))*SQRT($AT$32)))), "Non-Compact", L920 &gt; ($AT$32*(0.79-(0.002*((E920-G920/2)/(2*F920))*SQRT($AT$32)))), "Slender")</f>
        <v/>
      </c>
      <c r="Y920" s="129">
        <f t="array" ref="Y920">_xlfn.IFS(K920 &lt;= (65/SQRT($AT$32)), "Compact", K920 &lt;= (95/SQRT($AT$32)), "Non-Compact", K920 &gt; (95/SQRT($AT$32)), "Slender")</f>
        <v/>
      </c>
      <c r="Z920" s="125">
        <f>E920/F920</f>
        <v/>
      </c>
      <c r="AA920" s="125">
        <f>D920/G920</f>
        <v/>
      </c>
      <c r="AB920" s="125">
        <f t="array" ref="AB920">_xlfn.IFS(Z920 &lt;= 9, "1", Z920 &lt;= 12, "2", Z920 &lt;= 15, "3", Z920 &gt; 15, "4")</f>
        <v/>
      </c>
      <c r="AC920" s="125">
        <f t="array" ref="AC920">_xlfn.IFS(AA920 &lt;= 200, "1", L920 &lt;= 300, "2", L920 &lt;= 400, "3", L920 &gt; 400, "4")</f>
        <v/>
      </c>
      <c r="AF920" s="129">
        <f>SQRT((((VLOOKUP($AT$4,$A$4:$D$1021,4,FALSE))-D920)^2)+(((VLOOKUP($AT$4,$A$4:$E$1021,5,FALSE))-E920)^2)+(((VLOOKUP($AT$4,$A$4:$N$1021,14,FALSE))-N920)^2)+(((VLOOKUP($AT$4,$A$4:$O$1021,15,FALSE))-O920)^2))</f>
        <v/>
      </c>
      <c r="AG920" s="129" t="n"/>
      <c r="AI920" s="129">
        <f>SQRT((((VLOOKUP($AT$4,$A$4:$D$1021,4,FALSE))-D920)^2)+(((VLOOKUP($AT$4,$A$4:$E$1021,5,FALSE))-E920)^2)+(((VLOOKUP($AT$4,$A$4:$R$1021,18,FALSE))-R920)^2)+(((VLOOKUP($AT$4,$A$4:$S$1021,19,FALSE))-S920)^2))</f>
        <v/>
      </c>
      <c r="AJ920" s="125" t="inlineStr">
        <is>
          <t>HY600X131</t>
        </is>
      </c>
      <c r="AK920" s="125" t="n"/>
      <c r="AL920" s="125" t="n"/>
      <c r="AM920" s="125">
        <f>SQRT(((VLOOKUP($AT$4,$A$4:$J$1021,10,FALSE))-J920)^2)</f>
        <v/>
      </c>
      <c r="AN920" s="125" t="n"/>
      <c r="AO920" s="125" t="n"/>
      <c r="AP920" s="125">
        <f>SQRT(((VLOOKUP($AT$4,$A$4:$R$1021,18,FALSE))-R920)^2)</f>
        <v/>
      </c>
      <c r="AQ920" s="125" t="inlineStr">
        <is>
          <t>HY600X131</t>
        </is>
      </c>
      <c r="BB920" s="125">
        <f>SQRT(($J$1022-J920)^2)</f>
        <v/>
      </c>
      <c r="BC920" s="125">
        <f>SQRT(($R$1022-R920)^2)</f>
        <v/>
      </c>
      <c r="BD920" s="125" t="inlineStr">
        <is>
          <t>HY600X131</t>
        </is>
      </c>
      <c r="BI920">
        <f>SQRT(($J$1023-J920)^2)</f>
        <v/>
      </c>
      <c r="BJ920">
        <f>SQRT(($R$1023-R920)^2)</f>
        <v/>
      </c>
      <c r="BK920" s="125" t="inlineStr">
        <is>
          <t>HY600X131</t>
        </is>
      </c>
      <c r="BP920">
        <f>SQRT(($J$1024-J920)^2)</f>
        <v/>
      </c>
      <c r="BQ920">
        <f>SQRT(($R$1024-R920)^2)</f>
        <v/>
      </c>
      <c r="BR920" s="125" t="inlineStr">
        <is>
          <t>HY600X131</t>
        </is>
      </c>
      <c r="BW920">
        <f>SQRT(($J$1025-J920)^2)</f>
        <v/>
      </c>
      <c r="BX920">
        <f>SQRT(($R$1025-R920)^2)</f>
        <v/>
      </c>
      <c r="BY920" s="125" t="inlineStr">
        <is>
          <t>HY600X131</t>
        </is>
      </c>
      <c r="CD920">
        <f>SQRT(($J$1026-J920)^2)</f>
        <v/>
      </c>
      <c r="CE920">
        <f>SQRT(($R$1026-R920)^2)</f>
        <v/>
      </c>
      <c r="CF920" s="125" t="inlineStr">
        <is>
          <t>HY600X131</t>
        </is>
      </c>
    </row>
    <row r="921">
      <c r="A921" s="125" t="inlineStr">
        <is>
          <t>HY600X123</t>
        </is>
      </c>
      <c r="B921" s="129" t="inlineStr">
        <is>
          <t>HY</t>
        </is>
      </c>
      <c r="C921" s="125" t="n">
        <v>123</v>
      </c>
      <c r="D921" s="125" t="n">
        <v>600</v>
      </c>
      <c r="E921" s="125" t="n">
        <v>200</v>
      </c>
      <c r="F921" s="125" t="n">
        <v>22</v>
      </c>
      <c r="G921" s="125" t="n">
        <v>12</v>
      </c>
      <c r="H921" s="125" t="n">
        <v>13</v>
      </c>
      <c r="I921" s="125">
        <f>D921-(2*(H921+F921))</f>
        <v/>
      </c>
      <c r="J921" s="125">
        <f>(2*E921/10*F921/10)+((D921-F921-F921)/10*G921/10)+((H921/10+H921/10)^2)-(PI()*H921/10*H921/10)</f>
        <v/>
      </c>
      <c r="K921" s="125">
        <f>((E921-G921)/2)/F921</f>
        <v/>
      </c>
      <c r="L921" s="125">
        <f>I921/G921</f>
        <v/>
      </c>
      <c r="M921" s="125">
        <f>(E921*2+F921*4+((E921-G921)/2-H921)*4+2*PI()*H921+(D921-2*F921-2*H921)*2)/1000</f>
        <v/>
      </c>
      <c r="N921" s="5" t="n">
        <v>91800</v>
      </c>
      <c r="O921" s="5" t="n">
        <v>2940</v>
      </c>
      <c r="P921" s="125" t="n">
        <v>24.2</v>
      </c>
      <c r="Q921" s="125" t="n">
        <v>4.3</v>
      </c>
      <c r="R921" s="5" t="n">
        <v>3060</v>
      </c>
      <c r="S921" s="125" t="n">
        <v>294</v>
      </c>
      <c r="T921" s="5" t="n">
        <v>3510</v>
      </c>
      <c r="U921" s="125" t="n">
        <v>461</v>
      </c>
      <c r="X921" s="129">
        <f t="array" ref="X921">_xlfn.IFS((D921/F921) &lt;= (640/SQRT($AT$32)), "Compact", L921 &lt;= ($AT$32*(0.79-(0.002*((E921-G921/2)/(2*F921))*SQRT($AT$32)))), "Non-Compact", L921 &gt; ($AT$32*(0.79-(0.002*((E921-G921/2)/(2*F921))*SQRT($AT$32)))), "Slender")</f>
        <v/>
      </c>
      <c r="Y921" s="129">
        <f t="array" ref="Y921">_xlfn.IFS(K921 &lt;= (65/SQRT($AT$32)), "Compact", K921 &lt;= (95/SQRT($AT$32)), "Non-Compact", K921 &gt; (95/SQRT($AT$32)), "Slender")</f>
        <v/>
      </c>
      <c r="Z921" s="125">
        <f>E921/F921</f>
        <v/>
      </c>
      <c r="AA921" s="125">
        <f>D921/G921</f>
        <v/>
      </c>
      <c r="AB921" s="125">
        <f t="array" ref="AB921">_xlfn.IFS(Z921 &lt;= 9, "1", Z921 &lt;= 12, "2", Z921 &lt;= 15, "3", Z921 &gt; 15, "4")</f>
        <v/>
      </c>
      <c r="AC921" s="125">
        <f t="array" ref="AC921">_xlfn.IFS(AA921 &lt;= 200, "1", L921 &lt;= 300, "2", L921 &lt;= 400, "3", L921 &gt; 400, "4")</f>
        <v/>
      </c>
      <c r="AF921" s="129">
        <f>SQRT((((VLOOKUP($AT$4,$A$4:$D$1021,4,FALSE))-D921)^2)+(((VLOOKUP($AT$4,$A$4:$E$1021,5,FALSE))-E921)^2)+(((VLOOKUP($AT$4,$A$4:$N$1021,14,FALSE))-N921)^2)+(((VLOOKUP($AT$4,$A$4:$O$1021,15,FALSE))-O921)^2))</f>
        <v/>
      </c>
      <c r="AG921" s="129" t="n"/>
      <c r="AI921" s="129">
        <f>SQRT((((VLOOKUP($AT$4,$A$4:$D$1021,4,FALSE))-D921)^2)+(((VLOOKUP($AT$4,$A$4:$E$1021,5,FALSE))-E921)^2)+(((VLOOKUP($AT$4,$A$4:$R$1021,18,FALSE))-R921)^2)+(((VLOOKUP($AT$4,$A$4:$S$1021,19,FALSE))-S921)^2))</f>
        <v/>
      </c>
      <c r="AJ921" s="125" t="inlineStr">
        <is>
          <t>HY600X123</t>
        </is>
      </c>
      <c r="AK921" s="125" t="n"/>
      <c r="AL921" s="125" t="n"/>
      <c r="AM921" s="125">
        <f>SQRT(((VLOOKUP($AT$4,$A$4:$J$1021,10,FALSE))-J921)^2)</f>
        <v/>
      </c>
      <c r="AN921" s="125" t="n"/>
      <c r="AO921" s="125" t="n"/>
      <c r="AP921" s="125">
        <f>SQRT(((VLOOKUP($AT$4,$A$4:$R$1021,18,FALSE))-R921)^2)</f>
        <v/>
      </c>
      <c r="AQ921" s="125" t="inlineStr">
        <is>
          <t>HY600X123</t>
        </is>
      </c>
      <c r="BB921" s="125">
        <f>SQRT(($J$1022-J921)^2)</f>
        <v/>
      </c>
      <c r="BC921" s="125">
        <f>SQRT(($R$1022-R921)^2)</f>
        <v/>
      </c>
      <c r="BD921" s="125" t="inlineStr">
        <is>
          <t>HY600X123</t>
        </is>
      </c>
      <c r="BI921">
        <f>SQRT(($J$1023-J921)^2)</f>
        <v/>
      </c>
      <c r="BJ921">
        <f>SQRT(($R$1023-R921)^2)</f>
        <v/>
      </c>
      <c r="BK921" s="125" t="inlineStr">
        <is>
          <t>HY600X123</t>
        </is>
      </c>
      <c r="BP921">
        <f>SQRT(($J$1024-J921)^2)</f>
        <v/>
      </c>
      <c r="BQ921">
        <f>SQRT(($R$1024-R921)^2)</f>
        <v/>
      </c>
      <c r="BR921" s="125" t="inlineStr">
        <is>
          <t>HY600X123</t>
        </is>
      </c>
      <c r="BW921">
        <f>SQRT(($J$1025-J921)^2)</f>
        <v/>
      </c>
      <c r="BX921">
        <f>SQRT(($R$1025-R921)^2)</f>
        <v/>
      </c>
      <c r="BY921" s="125" t="inlineStr">
        <is>
          <t>HY600X123</t>
        </is>
      </c>
      <c r="CD921">
        <f>SQRT(($J$1026-J921)^2)</f>
        <v/>
      </c>
      <c r="CE921">
        <f>SQRT(($R$1026-R921)^2)</f>
        <v/>
      </c>
      <c r="CF921" s="125" t="inlineStr">
        <is>
          <t>HY600X123</t>
        </is>
      </c>
    </row>
    <row r="922">
      <c r="A922" s="125" t="inlineStr">
        <is>
          <t>HY600X114</t>
        </is>
      </c>
      <c r="B922" s="129" t="inlineStr">
        <is>
          <t>HY</t>
        </is>
      </c>
      <c r="C922" s="125" t="n">
        <v>114</v>
      </c>
      <c r="D922" s="125" t="n">
        <v>600</v>
      </c>
      <c r="E922" s="125" t="n">
        <v>200</v>
      </c>
      <c r="F922" s="125" t="n">
        <v>19</v>
      </c>
      <c r="G922" s="125" t="n">
        <v>12</v>
      </c>
      <c r="H922" s="125" t="n">
        <v>13</v>
      </c>
      <c r="I922" s="125">
        <f>D922-(2*(H922+F922))</f>
        <v/>
      </c>
      <c r="J922" s="125">
        <f>(2*E922/10*F922/10)+((D922-F922-F922)/10*G922/10)+((H922/10+H922/10)^2)-(PI()*H922/10*H922/10)</f>
        <v/>
      </c>
      <c r="K922" s="125">
        <f>((E922-G922)/2)/F922</f>
        <v/>
      </c>
      <c r="L922" s="125">
        <f>I922/G922</f>
        <v/>
      </c>
      <c r="M922" s="125">
        <f>(E922*2+F922*4+((E922-G922)/2-H922)*4+2*PI()*H922+(D922-2*F922-2*H922)*2)/1000</f>
        <v/>
      </c>
      <c r="N922" s="5" t="n">
        <v>83000</v>
      </c>
      <c r="O922" s="5" t="n">
        <v>2540</v>
      </c>
      <c r="P922" s="125" t="n">
        <v>23.9</v>
      </c>
      <c r="Q922" s="125" t="n">
        <v>4.2</v>
      </c>
      <c r="R922" s="5" t="n">
        <v>2770</v>
      </c>
      <c r="S922" s="125" t="n">
        <v>254</v>
      </c>
      <c r="T922" s="5" t="n">
        <v>3200</v>
      </c>
      <c r="U922" s="125" t="n">
        <v>402</v>
      </c>
      <c r="X922" s="129">
        <f t="array" ref="X922">_xlfn.IFS((D922/F922) &lt;= (640/SQRT($AT$32)), "Compact", L922 &lt;= ($AT$32*(0.79-(0.002*((E922-G922/2)/(2*F922))*SQRT($AT$32)))), "Non-Compact", L922 &gt; ($AT$32*(0.79-(0.002*((E922-G922/2)/(2*F922))*SQRT($AT$32)))), "Slender")</f>
        <v/>
      </c>
      <c r="Y922" s="129">
        <f t="array" ref="Y922">_xlfn.IFS(K922 &lt;= (65/SQRT($AT$32)), "Compact", K922 &lt;= (95/SQRT($AT$32)), "Non-Compact", K922 &gt; (95/SQRT($AT$32)), "Slender")</f>
        <v/>
      </c>
      <c r="Z922" s="125">
        <f>E922/F922</f>
        <v/>
      </c>
      <c r="AA922" s="125">
        <f>D922/G922</f>
        <v/>
      </c>
      <c r="AB922" s="125">
        <f t="array" ref="AB922">_xlfn.IFS(Z922 &lt;= 9, "1", Z922 &lt;= 12, "2", Z922 &lt;= 15, "3", Z922 &gt; 15, "4")</f>
        <v/>
      </c>
      <c r="AC922" s="125">
        <f t="array" ref="AC922">_xlfn.IFS(AA922 &lt;= 200, "1", L922 &lt;= 300, "2", L922 &lt;= 400, "3", L922 &gt; 400, "4")</f>
        <v/>
      </c>
      <c r="AF922" s="129">
        <f>SQRT((((VLOOKUP($AT$4,$A$4:$D$1021,4,FALSE))-D922)^2)+(((VLOOKUP($AT$4,$A$4:$E$1021,5,FALSE))-E922)^2)+(((VLOOKUP($AT$4,$A$4:$N$1021,14,FALSE))-N922)^2)+(((VLOOKUP($AT$4,$A$4:$O$1021,15,FALSE))-O922)^2))</f>
        <v/>
      </c>
      <c r="AG922" s="129" t="n"/>
      <c r="AI922" s="129">
        <f>SQRT((((VLOOKUP($AT$4,$A$4:$D$1021,4,FALSE))-D922)^2)+(((VLOOKUP($AT$4,$A$4:$E$1021,5,FALSE))-E922)^2)+(((VLOOKUP($AT$4,$A$4:$R$1021,18,FALSE))-R922)^2)+(((VLOOKUP($AT$4,$A$4:$S$1021,19,FALSE))-S922)^2))</f>
        <v/>
      </c>
      <c r="AJ922" s="125" t="inlineStr">
        <is>
          <t>HY600X114</t>
        </is>
      </c>
      <c r="AK922" s="125" t="n"/>
      <c r="AL922" s="125" t="n"/>
      <c r="AM922" s="125">
        <f>SQRT(((VLOOKUP($AT$4,$A$4:$J$1021,10,FALSE))-J922)^2)</f>
        <v/>
      </c>
      <c r="AN922" s="125" t="n"/>
      <c r="AO922" s="125" t="n"/>
      <c r="AP922" s="125">
        <f>SQRT(((VLOOKUP($AT$4,$A$4:$R$1021,18,FALSE))-R922)^2)</f>
        <v/>
      </c>
      <c r="AQ922" s="125" t="inlineStr">
        <is>
          <t>HY600X114</t>
        </is>
      </c>
      <c r="BB922" s="125">
        <f>SQRT(($J$1022-J922)^2)</f>
        <v/>
      </c>
      <c r="BC922" s="125">
        <f>SQRT(($R$1022-R922)^2)</f>
        <v/>
      </c>
      <c r="BD922" s="125" t="inlineStr">
        <is>
          <t>HY600X114</t>
        </is>
      </c>
      <c r="BI922">
        <f>SQRT(($J$1023-J922)^2)</f>
        <v/>
      </c>
      <c r="BJ922">
        <f>SQRT(($R$1023-R922)^2)</f>
        <v/>
      </c>
      <c r="BK922" s="125" t="inlineStr">
        <is>
          <t>HY600X114</t>
        </is>
      </c>
      <c r="BP922">
        <f>SQRT(($J$1024-J922)^2)</f>
        <v/>
      </c>
      <c r="BQ922">
        <f>SQRT(($R$1024-R922)^2)</f>
        <v/>
      </c>
      <c r="BR922" s="125" t="inlineStr">
        <is>
          <t>HY600X114</t>
        </is>
      </c>
      <c r="BW922">
        <f>SQRT(($J$1025-J922)^2)</f>
        <v/>
      </c>
      <c r="BX922">
        <f>SQRT(($R$1025-R922)^2)</f>
        <v/>
      </c>
      <c r="BY922" s="125" t="inlineStr">
        <is>
          <t>HY600X114</t>
        </is>
      </c>
      <c r="CD922">
        <f>SQRT(($J$1026-J922)^2)</f>
        <v/>
      </c>
      <c r="CE922">
        <f>SQRT(($R$1026-R922)^2)</f>
        <v/>
      </c>
      <c r="CF922" s="125" t="inlineStr">
        <is>
          <t>HY600X114</t>
        </is>
      </c>
    </row>
    <row r="923">
      <c r="A923" s="125" t="inlineStr">
        <is>
          <t>HY600X105</t>
        </is>
      </c>
      <c r="B923" s="129" t="inlineStr">
        <is>
          <t>HY</t>
        </is>
      </c>
      <c r="C923" s="125" t="n">
        <v>105</v>
      </c>
      <c r="D923" s="125" t="n">
        <v>600</v>
      </c>
      <c r="E923" s="125" t="n">
        <v>200</v>
      </c>
      <c r="F923" s="125" t="n">
        <v>16</v>
      </c>
      <c r="G923" s="125" t="n">
        <v>12</v>
      </c>
      <c r="H923" s="125" t="n">
        <v>13</v>
      </c>
      <c r="I923" s="125">
        <f>D923-(2*(H923+F923))</f>
        <v/>
      </c>
      <c r="J923" s="125">
        <f>(2*E923/10*F923/10)+((D923-F923-F923)/10*G923/10)+((H923/10+H923/10)^2)-(PI()*H923/10*H923/10)</f>
        <v/>
      </c>
      <c r="K923" s="125">
        <f>((E923-G923)/2)/F923</f>
        <v/>
      </c>
      <c r="L923" s="125">
        <f>I923/G923</f>
        <v/>
      </c>
      <c r="M923" s="125">
        <f>(E923*2+F923*4+((E923-G923)/2-H923)*4+2*PI()*H923+(D923-2*F923-2*H923)*2)/1000</f>
        <v/>
      </c>
      <c r="N923" s="5" t="n">
        <v>74100</v>
      </c>
      <c r="O923" s="5" t="n">
        <v>2140</v>
      </c>
      <c r="P923" s="125" t="n">
        <v>23.5</v>
      </c>
      <c r="Q923" s="125" t="n">
        <v>4</v>
      </c>
      <c r="R923" s="5" t="n">
        <v>2470</v>
      </c>
      <c r="S923" s="125" t="n">
        <v>214</v>
      </c>
      <c r="T923" s="5" t="n">
        <v>2880</v>
      </c>
      <c r="U923" s="125" t="n">
        <v>342</v>
      </c>
      <c r="X923" s="129">
        <f t="array" ref="X923">_xlfn.IFS((D923/F923) &lt;= (640/SQRT($AT$32)), "Compact", L923 &lt;= ($AT$32*(0.79-(0.002*((E923-G923/2)/(2*F923))*SQRT($AT$32)))), "Non-Compact", L923 &gt; ($AT$32*(0.79-(0.002*((E923-G923/2)/(2*F923))*SQRT($AT$32)))), "Slender")</f>
        <v/>
      </c>
      <c r="Y923" s="129">
        <f t="array" ref="Y923">_xlfn.IFS(K923 &lt;= (65/SQRT($AT$32)), "Compact", K923 &lt;= (95/SQRT($AT$32)), "Non-Compact", K923 &gt; (95/SQRT($AT$32)), "Slender")</f>
        <v/>
      </c>
      <c r="Z923" s="125">
        <f>E923/F923</f>
        <v/>
      </c>
      <c r="AA923" s="125">
        <f>D923/G923</f>
        <v/>
      </c>
      <c r="AB923" s="125">
        <f t="array" ref="AB923">_xlfn.IFS(Z923 &lt;= 9, "1", Z923 &lt;= 12, "2", Z923 &lt;= 15, "3", Z923 &gt; 15, "4")</f>
        <v/>
      </c>
      <c r="AC923" s="125">
        <f t="array" ref="AC923">_xlfn.IFS(AA923 &lt;= 200, "1", L923 &lt;= 300, "2", L923 &lt;= 400, "3", L923 &gt; 400, "4")</f>
        <v/>
      </c>
      <c r="AF923" s="129">
        <f>SQRT((((VLOOKUP($AT$4,$A$4:$D$1021,4,FALSE))-D923)^2)+(((VLOOKUP($AT$4,$A$4:$E$1021,5,FALSE))-E923)^2)+(((VLOOKUP($AT$4,$A$4:$N$1021,14,FALSE))-N923)^2)+(((VLOOKUP($AT$4,$A$4:$O$1021,15,FALSE))-O923)^2))</f>
        <v/>
      </c>
      <c r="AG923" s="129" t="n"/>
      <c r="AI923" s="129">
        <f>SQRT((((VLOOKUP($AT$4,$A$4:$D$1021,4,FALSE))-D923)^2)+(((VLOOKUP($AT$4,$A$4:$E$1021,5,FALSE))-E923)^2)+(((VLOOKUP($AT$4,$A$4:$R$1021,18,FALSE))-R923)^2)+(((VLOOKUP($AT$4,$A$4:$S$1021,19,FALSE))-S923)^2))</f>
        <v/>
      </c>
      <c r="AJ923" s="125" t="inlineStr">
        <is>
          <t>HY600X105</t>
        </is>
      </c>
      <c r="AK923" s="125" t="n"/>
      <c r="AL923" s="125" t="n"/>
      <c r="AM923" s="125">
        <f>SQRT(((VLOOKUP($AT$4,$A$4:$J$1021,10,FALSE))-J923)^2)</f>
        <v/>
      </c>
      <c r="AN923" s="125" t="n"/>
      <c r="AO923" s="125" t="n"/>
      <c r="AP923" s="125">
        <f>SQRT(((VLOOKUP($AT$4,$A$4:$R$1021,18,FALSE))-R923)^2)</f>
        <v/>
      </c>
      <c r="AQ923" s="125" t="inlineStr">
        <is>
          <t>HY600X105</t>
        </is>
      </c>
      <c r="BB923" s="125">
        <f>SQRT(($J$1022-J923)^2)</f>
        <v/>
      </c>
      <c r="BC923" s="125">
        <f>SQRT(($R$1022-R923)^2)</f>
        <v/>
      </c>
      <c r="BD923" s="125" t="inlineStr">
        <is>
          <t>HY600X105</t>
        </is>
      </c>
      <c r="BI923">
        <f>SQRT(($J$1023-J923)^2)</f>
        <v/>
      </c>
      <c r="BJ923">
        <f>SQRT(($R$1023-R923)^2)</f>
        <v/>
      </c>
      <c r="BK923" s="125" t="inlineStr">
        <is>
          <t>HY600X105</t>
        </is>
      </c>
      <c r="BP923">
        <f>SQRT(($J$1024-J923)^2)</f>
        <v/>
      </c>
      <c r="BQ923">
        <f>SQRT(($R$1024-R923)^2)</f>
        <v/>
      </c>
      <c r="BR923" s="125" t="inlineStr">
        <is>
          <t>HY600X105</t>
        </is>
      </c>
      <c r="BW923">
        <f>SQRT(($J$1025-J923)^2)</f>
        <v/>
      </c>
      <c r="BX923">
        <f>SQRT(($R$1025-R923)^2)</f>
        <v/>
      </c>
      <c r="BY923" s="125" t="inlineStr">
        <is>
          <t>HY600X105</t>
        </is>
      </c>
      <c r="CD923">
        <f>SQRT(($J$1026-J923)^2)</f>
        <v/>
      </c>
      <c r="CE923">
        <f>SQRT(($R$1026-R923)^2)</f>
        <v/>
      </c>
      <c r="CF923" s="125" t="inlineStr">
        <is>
          <t>HY600X105</t>
        </is>
      </c>
    </row>
    <row r="924">
      <c r="A924" s="125" t="inlineStr">
        <is>
          <t>HY600X109</t>
        </is>
      </c>
      <c r="B924" s="129" t="inlineStr">
        <is>
          <t>HY</t>
        </is>
      </c>
      <c r="C924" s="125" t="n">
        <v>109</v>
      </c>
      <c r="D924" s="125" t="n">
        <v>600</v>
      </c>
      <c r="E924" s="125" t="n">
        <v>200</v>
      </c>
      <c r="F924" s="125" t="n">
        <v>22</v>
      </c>
      <c r="G924" s="125" t="n">
        <v>9</v>
      </c>
      <c r="H924" s="125" t="n">
        <v>13</v>
      </c>
      <c r="I924" s="125">
        <f>D924-(2*(H924+F924))</f>
        <v/>
      </c>
      <c r="J924" s="125">
        <f>(2*E924/10*F924/10)+((D924-F924-F924)/10*G924/10)+((H924/10+H924/10)^2)-(PI()*H924/10*H924/10)</f>
        <v/>
      </c>
      <c r="K924" s="125">
        <f>((E924-G924)/2)/F924</f>
        <v/>
      </c>
      <c r="L924" s="125">
        <f>I924/G924</f>
        <v/>
      </c>
      <c r="M924" s="125">
        <f>(E924*2+F924*4+((E924-G924)/2-H924)*4+2*PI()*H924+(D924-2*F924-2*H924)*2)/1000</f>
        <v/>
      </c>
      <c r="N924" s="5" t="n">
        <v>87500</v>
      </c>
      <c r="O924" s="5" t="n">
        <v>2940</v>
      </c>
      <c r="P924" s="125" t="n">
        <v>25</v>
      </c>
      <c r="Q924" s="125" t="n">
        <v>4.6</v>
      </c>
      <c r="R924" s="5" t="n">
        <v>2920</v>
      </c>
      <c r="S924" s="125" t="n">
        <v>294</v>
      </c>
      <c r="T924" s="5" t="n">
        <v>3280</v>
      </c>
      <c r="U924" s="125" t="n">
        <v>452</v>
      </c>
      <c r="X924" s="129">
        <f t="array" ref="X924">_xlfn.IFS((D924/F924) &lt;= (640/SQRT($AT$32)), "Compact", L924 &lt;= ($AT$32*(0.79-(0.002*((E924-G924/2)/(2*F924))*SQRT($AT$32)))), "Non-Compact", L924 &gt; ($AT$32*(0.79-(0.002*((E924-G924/2)/(2*F924))*SQRT($AT$32)))), "Slender")</f>
        <v/>
      </c>
      <c r="Y924" s="129">
        <f t="array" ref="Y924">_xlfn.IFS(K924 &lt;= (65/SQRT($AT$32)), "Compact", K924 &lt;= (95/SQRT($AT$32)), "Non-Compact", K924 &gt; (95/SQRT($AT$32)), "Slender")</f>
        <v/>
      </c>
      <c r="Z924" s="125">
        <f>E924/F924</f>
        <v/>
      </c>
      <c r="AA924" s="125">
        <f>D924/G924</f>
        <v/>
      </c>
      <c r="AB924" s="125">
        <f t="array" ref="AB924">_xlfn.IFS(Z924 &lt;= 9, "1", Z924 &lt;= 12, "2", Z924 &lt;= 15, "3", Z924 &gt; 15, "4")</f>
        <v/>
      </c>
      <c r="AC924" s="125">
        <f t="array" ref="AC924">_xlfn.IFS(AA924 &lt;= 200, "1", L924 &lt;= 300, "2", L924 &lt;= 400, "3", L924 &gt; 400, "4")</f>
        <v/>
      </c>
      <c r="AF924" s="129">
        <f>SQRT((((VLOOKUP($AT$4,$A$4:$D$1021,4,FALSE))-D924)^2)+(((VLOOKUP($AT$4,$A$4:$E$1021,5,FALSE))-E924)^2)+(((VLOOKUP($AT$4,$A$4:$N$1021,14,FALSE))-N924)^2)+(((VLOOKUP($AT$4,$A$4:$O$1021,15,FALSE))-O924)^2))</f>
        <v/>
      </c>
      <c r="AG924" s="129" t="n"/>
      <c r="AI924" s="129">
        <f>SQRT((((VLOOKUP($AT$4,$A$4:$D$1021,4,FALSE))-D924)^2)+(((VLOOKUP($AT$4,$A$4:$E$1021,5,FALSE))-E924)^2)+(((VLOOKUP($AT$4,$A$4:$R$1021,18,FALSE))-R924)^2)+(((VLOOKUP($AT$4,$A$4:$S$1021,19,FALSE))-S924)^2))</f>
        <v/>
      </c>
      <c r="AJ924" s="125" t="inlineStr">
        <is>
          <t>HY600X109</t>
        </is>
      </c>
      <c r="AK924" s="125" t="n"/>
      <c r="AL924" s="125" t="n"/>
      <c r="AM924" s="125">
        <f>SQRT(((VLOOKUP($AT$4,$A$4:$J$1021,10,FALSE))-J924)^2)</f>
        <v/>
      </c>
      <c r="AN924" s="125" t="n"/>
      <c r="AO924" s="125" t="n"/>
      <c r="AP924" s="125">
        <f>SQRT(((VLOOKUP($AT$4,$A$4:$R$1021,18,FALSE))-R924)^2)</f>
        <v/>
      </c>
      <c r="AQ924" s="125" t="inlineStr">
        <is>
          <t>HY600X109</t>
        </is>
      </c>
      <c r="BB924" s="125">
        <f>SQRT(($J$1022-J924)^2)</f>
        <v/>
      </c>
      <c r="BC924" s="125">
        <f>SQRT(($R$1022-R924)^2)</f>
        <v/>
      </c>
      <c r="BD924" s="125" t="inlineStr">
        <is>
          <t>HY600X109</t>
        </is>
      </c>
      <c r="BI924">
        <f>SQRT(($J$1023-J924)^2)</f>
        <v/>
      </c>
      <c r="BJ924">
        <f>SQRT(($R$1023-R924)^2)</f>
        <v/>
      </c>
      <c r="BK924" s="125" t="inlineStr">
        <is>
          <t>HY600X109</t>
        </is>
      </c>
      <c r="BP924">
        <f>SQRT(($J$1024-J924)^2)</f>
        <v/>
      </c>
      <c r="BQ924">
        <f>SQRT(($R$1024-R924)^2)</f>
        <v/>
      </c>
      <c r="BR924" s="125" t="inlineStr">
        <is>
          <t>HY600X109</t>
        </is>
      </c>
      <c r="BW924">
        <f>SQRT(($J$1025-J924)^2)</f>
        <v/>
      </c>
      <c r="BX924">
        <f>SQRT(($R$1025-R924)^2)</f>
        <v/>
      </c>
      <c r="BY924" s="125" t="inlineStr">
        <is>
          <t>HY600X109</t>
        </is>
      </c>
      <c r="CD924">
        <f>SQRT(($J$1026-J924)^2)</f>
        <v/>
      </c>
      <c r="CE924">
        <f>SQRT(($R$1026-R924)^2)</f>
        <v/>
      </c>
      <c r="CF924" s="125" t="inlineStr">
        <is>
          <t>HY600X109</t>
        </is>
      </c>
    </row>
    <row r="925">
      <c r="A925" s="125" t="inlineStr">
        <is>
          <t>HY600X101</t>
        </is>
      </c>
      <c r="B925" s="129" t="inlineStr">
        <is>
          <t>HY</t>
        </is>
      </c>
      <c r="C925" s="125" t="n">
        <v>101</v>
      </c>
      <c r="D925" s="125" t="n">
        <v>600</v>
      </c>
      <c r="E925" s="125" t="n">
        <v>200</v>
      </c>
      <c r="F925" s="125" t="n">
        <v>19</v>
      </c>
      <c r="G925" s="125" t="n">
        <v>9</v>
      </c>
      <c r="H925" s="125" t="n">
        <v>13</v>
      </c>
      <c r="I925" s="125">
        <f>D925-(2*(H925+F925))</f>
        <v/>
      </c>
      <c r="J925" s="125">
        <f>(2*E925/10*F925/10)+((D925-F925-F925)/10*G925/10)+((H925/10+H925/10)^2)-(PI()*H925/10*H925/10)</f>
        <v/>
      </c>
      <c r="K925" s="125">
        <f>((E925-G925)/2)/F925</f>
        <v/>
      </c>
      <c r="L925" s="125">
        <f>I925/G925</f>
        <v/>
      </c>
      <c r="M925" s="125">
        <f>(E925*2+F925*4+((E925-G925)/2-H925)*4+2*PI()*H925+(D925-2*F925-2*H925)*2)/1000</f>
        <v/>
      </c>
      <c r="N925" s="5" t="n">
        <v>78600</v>
      </c>
      <c r="O925" s="5" t="n">
        <v>2540</v>
      </c>
      <c r="P925" s="125" t="n">
        <v>24.8</v>
      </c>
      <c r="Q925" s="125" t="n">
        <v>4.5</v>
      </c>
      <c r="R925" s="5" t="n">
        <v>2620</v>
      </c>
      <c r="S925" s="125" t="n">
        <v>254</v>
      </c>
      <c r="T925" s="5" t="n">
        <v>2960</v>
      </c>
      <c r="U925" s="125" t="n">
        <v>392</v>
      </c>
      <c r="X925" s="129">
        <f t="array" ref="X925">_xlfn.IFS((D925/F925) &lt;= (640/SQRT($AT$32)), "Compact", L925 &lt;= ($AT$32*(0.79-(0.002*((E925-G925/2)/(2*F925))*SQRT($AT$32)))), "Non-Compact", L925 &gt; ($AT$32*(0.79-(0.002*((E925-G925/2)/(2*F925))*SQRT($AT$32)))), "Slender")</f>
        <v/>
      </c>
      <c r="Y925" s="129">
        <f t="array" ref="Y925">_xlfn.IFS(K925 &lt;= (65/SQRT($AT$32)), "Compact", K925 &lt;= (95/SQRT($AT$32)), "Non-Compact", K925 &gt; (95/SQRT($AT$32)), "Slender")</f>
        <v/>
      </c>
      <c r="Z925" s="125">
        <f>E925/F925</f>
        <v/>
      </c>
      <c r="AA925" s="125">
        <f>D925/G925</f>
        <v/>
      </c>
      <c r="AB925" s="125">
        <f t="array" ref="AB925">_xlfn.IFS(Z925 &lt;= 9, "1", Z925 &lt;= 12, "2", Z925 &lt;= 15, "3", Z925 &gt; 15, "4")</f>
        <v/>
      </c>
      <c r="AC925" s="125">
        <f t="array" ref="AC925">_xlfn.IFS(AA925 &lt;= 200, "1", L925 &lt;= 300, "2", L925 &lt;= 400, "3", L925 &gt; 400, "4")</f>
        <v/>
      </c>
      <c r="AF925" s="129">
        <f>SQRT((((VLOOKUP($AT$4,$A$4:$D$1021,4,FALSE))-D925)^2)+(((VLOOKUP($AT$4,$A$4:$E$1021,5,FALSE))-E925)^2)+(((VLOOKUP($AT$4,$A$4:$N$1021,14,FALSE))-N925)^2)+(((VLOOKUP($AT$4,$A$4:$O$1021,15,FALSE))-O925)^2))</f>
        <v/>
      </c>
      <c r="AG925" s="129" t="n"/>
      <c r="AI925" s="129">
        <f>SQRT((((VLOOKUP($AT$4,$A$4:$D$1021,4,FALSE))-D925)^2)+(((VLOOKUP($AT$4,$A$4:$E$1021,5,FALSE))-E925)^2)+(((VLOOKUP($AT$4,$A$4:$R$1021,18,FALSE))-R925)^2)+(((VLOOKUP($AT$4,$A$4:$S$1021,19,FALSE))-S925)^2))</f>
        <v/>
      </c>
      <c r="AJ925" s="125" t="inlineStr">
        <is>
          <t>HY600X101</t>
        </is>
      </c>
      <c r="AK925" s="125" t="n"/>
      <c r="AL925" s="125" t="n"/>
      <c r="AM925" s="125">
        <f>SQRT(((VLOOKUP($AT$4,$A$4:$J$1021,10,FALSE))-J925)^2)</f>
        <v/>
      </c>
      <c r="AN925" s="125" t="n"/>
      <c r="AO925" s="125" t="n"/>
      <c r="AP925" s="125">
        <f>SQRT(((VLOOKUP($AT$4,$A$4:$R$1021,18,FALSE))-R925)^2)</f>
        <v/>
      </c>
      <c r="AQ925" s="125" t="inlineStr">
        <is>
          <t>HY600X101</t>
        </is>
      </c>
      <c r="BB925" s="125">
        <f>SQRT(($J$1022-J925)^2)</f>
        <v/>
      </c>
      <c r="BC925" s="125">
        <f>SQRT(($R$1022-R925)^2)</f>
        <v/>
      </c>
      <c r="BD925" s="125" t="inlineStr">
        <is>
          <t>HY600X101</t>
        </is>
      </c>
      <c r="BI925">
        <f>SQRT(($J$1023-J925)^2)</f>
        <v/>
      </c>
      <c r="BJ925">
        <f>SQRT(($R$1023-R925)^2)</f>
        <v/>
      </c>
      <c r="BK925" s="125" t="inlineStr">
        <is>
          <t>HY600X101</t>
        </is>
      </c>
      <c r="BP925">
        <f>SQRT(($J$1024-J925)^2)</f>
        <v/>
      </c>
      <c r="BQ925">
        <f>SQRT(($R$1024-R925)^2)</f>
        <v/>
      </c>
      <c r="BR925" s="125" t="inlineStr">
        <is>
          <t>HY600X101</t>
        </is>
      </c>
      <c r="BW925">
        <f>SQRT(($J$1025-J925)^2)</f>
        <v/>
      </c>
      <c r="BX925">
        <f>SQRT(($R$1025-R925)^2)</f>
        <v/>
      </c>
      <c r="BY925" s="125" t="inlineStr">
        <is>
          <t>HY600X101</t>
        </is>
      </c>
      <c r="CD925">
        <f>SQRT(($J$1026-J925)^2)</f>
        <v/>
      </c>
      <c r="CE925">
        <f>SQRT(($R$1026-R925)^2)</f>
        <v/>
      </c>
      <c r="CF925" s="125" t="inlineStr">
        <is>
          <t>HY600X101</t>
        </is>
      </c>
    </row>
    <row r="926">
      <c r="A926" s="125" t="inlineStr">
        <is>
          <t>HY600X91.5</t>
        </is>
      </c>
      <c r="B926" s="129" t="inlineStr">
        <is>
          <t>HY</t>
        </is>
      </c>
      <c r="C926" s="125" t="n">
        <v>91.5</v>
      </c>
      <c r="D926" s="125" t="n">
        <v>600</v>
      </c>
      <c r="E926" s="125" t="n">
        <v>200</v>
      </c>
      <c r="F926" s="125" t="n">
        <v>16</v>
      </c>
      <c r="G926" s="125" t="n">
        <v>9</v>
      </c>
      <c r="H926" s="125" t="n">
        <v>13</v>
      </c>
      <c r="I926" s="125">
        <f>D926-(2*(H926+F926))</f>
        <v/>
      </c>
      <c r="J926" s="125">
        <f>(2*E926/10*F926/10)+((D926-F926-F926)/10*G926/10)+((H926/10+H926/10)^2)-(PI()*H926/10*H926/10)</f>
        <v/>
      </c>
      <c r="K926" s="125">
        <f>((E926-G926)/2)/F926</f>
        <v/>
      </c>
      <c r="L926" s="125">
        <f>I926/G926</f>
        <v/>
      </c>
      <c r="M926" s="125">
        <f>(E926*2+F926*4+((E926-G926)/2-H926)*4+2*PI()*H926+(D926-2*F926-2*H926)*2)/1000</f>
        <v/>
      </c>
      <c r="N926" s="5" t="n">
        <v>69500</v>
      </c>
      <c r="O926" s="5" t="n">
        <v>2140</v>
      </c>
      <c r="P926" s="125" t="n">
        <v>24.4</v>
      </c>
      <c r="Q926" s="125" t="n">
        <v>4.3</v>
      </c>
      <c r="R926" s="5" t="n">
        <v>2320</v>
      </c>
      <c r="S926" s="125" t="n">
        <v>214</v>
      </c>
      <c r="T926" s="5" t="n">
        <v>2640</v>
      </c>
      <c r="U926" s="125" t="n">
        <v>333</v>
      </c>
      <c r="X926" s="129">
        <f t="array" ref="X926">_xlfn.IFS((D926/F926) &lt;= (640/SQRT($AT$32)), "Compact", L926 &lt;= ($AT$32*(0.79-(0.002*((E926-G926/2)/(2*F926))*SQRT($AT$32)))), "Non-Compact", L926 &gt; ($AT$32*(0.79-(0.002*((E926-G926/2)/(2*F926))*SQRT($AT$32)))), "Slender")</f>
        <v/>
      </c>
      <c r="Y926" s="129">
        <f t="array" ref="Y926">_xlfn.IFS(K926 &lt;= (65/SQRT($AT$32)), "Compact", K926 &lt;= (95/SQRT($AT$32)), "Non-Compact", K926 &gt; (95/SQRT($AT$32)), "Slender")</f>
        <v/>
      </c>
      <c r="Z926" s="125">
        <f>E926/F926</f>
        <v/>
      </c>
      <c r="AA926" s="125">
        <f>D926/G926</f>
        <v/>
      </c>
      <c r="AB926" s="125">
        <f t="array" ref="AB926">_xlfn.IFS(Z926 &lt;= 9, "1", Z926 &lt;= 12, "2", Z926 &lt;= 15, "3", Z926 &gt; 15, "4")</f>
        <v/>
      </c>
      <c r="AC926" s="125">
        <f t="array" ref="AC926">_xlfn.IFS(AA926 &lt;= 200, "1", L926 &lt;= 300, "2", L926 &lt;= 400, "3", L926 &gt; 400, "4")</f>
        <v/>
      </c>
      <c r="AF926" s="129">
        <f>SQRT((((VLOOKUP($AT$4,$A$4:$D$1021,4,FALSE))-D926)^2)+(((VLOOKUP($AT$4,$A$4:$E$1021,5,FALSE))-E926)^2)+(((VLOOKUP($AT$4,$A$4:$N$1021,14,FALSE))-N926)^2)+(((VLOOKUP($AT$4,$A$4:$O$1021,15,FALSE))-O926)^2))</f>
        <v/>
      </c>
      <c r="AG926" s="129" t="n"/>
      <c r="AI926" s="129">
        <f>SQRT((((VLOOKUP($AT$4,$A$4:$D$1021,4,FALSE))-D926)^2)+(((VLOOKUP($AT$4,$A$4:$E$1021,5,FALSE))-E926)^2)+(((VLOOKUP($AT$4,$A$4:$R$1021,18,FALSE))-R926)^2)+(((VLOOKUP($AT$4,$A$4:$S$1021,19,FALSE))-S926)^2))</f>
        <v/>
      </c>
      <c r="AJ926" s="125" t="inlineStr">
        <is>
          <t>HY600X91.5</t>
        </is>
      </c>
      <c r="AK926" s="125" t="n"/>
      <c r="AL926" s="125" t="n"/>
      <c r="AM926" s="125">
        <f>SQRT(((VLOOKUP($AT$4,$A$4:$J$1021,10,FALSE))-J926)^2)</f>
        <v/>
      </c>
      <c r="AN926" s="125" t="n"/>
      <c r="AO926" s="125" t="n"/>
      <c r="AP926" s="125">
        <f>SQRT(((VLOOKUP($AT$4,$A$4:$R$1021,18,FALSE))-R926)^2)</f>
        <v/>
      </c>
      <c r="AQ926" s="125" t="inlineStr">
        <is>
          <t>HY600X91.5</t>
        </is>
      </c>
      <c r="BB926" s="125">
        <f>SQRT(($J$1022-J926)^2)</f>
        <v/>
      </c>
      <c r="BC926" s="125">
        <f>SQRT(($R$1022-R926)^2)</f>
        <v/>
      </c>
      <c r="BD926" s="125" t="inlineStr">
        <is>
          <t>HY600X91.5</t>
        </is>
      </c>
      <c r="BI926">
        <f>SQRT(($J$1023-J926)^2)</f>
        <v/>
      </c>
      <c r="BJ926">
        <f>SQRT(($R$1023-R926)^2)</f>
        <v/>
      </c>
      <c r="BK926" s="125" t="inlineStr">
        <is>
          <t>HY600X91.5</t>
        </is>
      </c>
      <c r="BP926">
        <f>SQRT(($J$1024-J926)^2)</f>
        <v/>
      </c>
      <c r="BQ926">
        <f>SQRT(($R$1024-R926)^2)</f>
        <v/>
      </c>
      <c r="BR926" s="125" t="inlineStr">
        <is>
          <t>HY600X91.5</t>
        </is>
      </c>
      <c r="BW926">
        <f>SQRT(($J$1025-J926)^2)</f>
        <v/>
      </c>
      <c r="BX926">
        <f>SQRT(($R$1025-R926)^2)</f>
        <v/>
      </c>
      <c r="BY926" s="125" t="inlineStr">
        <is>
          <t>HY600X91.5</t>
        </is>
      </c>
      <c r="CD926">
        <f>SQRT(($J$1026-J926)^2)</f>
        <v/>
      </c>
      <c r="CE926">
        <f>SQRT(($R$1026-R926)^2)</f>
        <v/>
      </c>
      <c r="CF926" s="125" t="inlineStr">
        <is>
          <t>HY600X91.5</t>
        </is>
      </c>
    </row>
    <row r="927">
      <c r="A927" s="125" t="inlineStr">
        <is>
          <t>HY600X79.5</t>
        </is>
      </c>
      <c r="B927" s="129" t="inlineStr">
        <is>
          <t>HY</t>
        </is>
      </c>
      <c r="C927" s="125" t="n">
        <v>79.5</v>
      </c>
      <c r="D927" s="125" t="n">
        <v>600</v>
      </c>
      <c r="E927" s="125" t="n">
        <v>200</v>
      </c>
      <c r="F927" s="125" t="n">
        <v>12</v>
      </c>
      <c r="G927" s="125" t="n">
        <v>9</v>
      </c>
      <c r="H927" s="125" t="n">
        <v>13</v>
      </c>
      <c r="I927" s="125">
        <f>D927-(2*(H927+F927))</f>
        <v/>
      </c>
      <c r="J927" s="125">
        <f>(2*E927/10*F927/10)+((D927-F927-F927)/10*G927/10)+((H927/10+H927/10)^2)-(PI()*H927/10*H927/10)</f>
        <v/>
      </c>
      <c r="K927" s="125">
        <f>((E927-G927)/2)/F927</f>
        <v/>
      </c>
      <c r="L927" s="125">
        <f>I927/G927</f>
        <v/>
      </c>
      <c r="M927" s="125">
        <f>(E927*2+F927*4+((E927-G927)/2-H927)*4+2*PI()*H927+(D927-2*F927-2*H927)*2)/1000</f>
        <v/>
      </c>
      <c r="N927" s="5" t="n">
        <v>57000</v>
      </c>
      <c r="O927" s="5" t="n">
        <v>1600</v>
      </c>
      <c r="P927" s="125" t="n">
        <v>23.7</v>
      </c>
      <c r="Q927" s="125" t="n">
        <v>4</v>
      </c>
      <c r="R927" s="5" t="n">
        <v>1900</v>
      </c>
      <c r="S927" s="125" t="n">
        <v>160</v>
      </c>
      <c r="T927" s="5" t="n">
        <v>2200</v>
      </c>
      <c r="U927" s="125" t="n">
        <v>253</v>
      </c>
      <c r="X927" s="129">
        <f t="array" ref="X927">_xlfn.IFS((D927/F927) &lt;= (640/SQRT($AT$32)), "Compact", L927 &lt;= ($AT$32*(0.79-(0.002*((E927-G927/2)/(2*F927))*SQRT($AT$32)))), "Non-Compact", L927 &gt; ($AT$32*(0.79-(0.002*((E927-G927/2)/(2*F927))*SQRT($AT$32)))), "Slender")</f>
        <v/>
      </c>
      <c r="Y927" s="129">
        <f t="array" ref="Y927">_xlfn.IFS(K927 &lt;= (65/SQRT($AT$32)), "Compact", K927 &lt;= (95/SQRT($AT$32)), "Non-Compact", K927 &gt; (95/SQRT($AT$32)), "Slender")</f>
        <v/>
      </c>
      <c r="Z927" s="125">
        <f>E927/F927</f>
        <v/>
      </c>
      <c r="AA927" s="125">
        <f>D927/G927</f>
        <v/>
      </c>
      <c r="AB927" s="125">
        <f t="array" ref="AB927">_xlfn.IFS(Z927 &lt;= 9, "1", Z927 &lt;= 12, "2", Z927 &lt;= 15, "3", Z927 &gt; 15, "4")</f>
        <v/>
      </c>
      <c r="AC927" s="125">
        <f t="array" ref="AC927">_xlfn.IFS(AA927 &lt;= 200, "1", L927 &lt;= 300, "2", L927 &lt;= 400, "3", L927 &gt; 400, "4")</f>
        <v/>
      </c>
      <c r="AF927" s="129">
        <f>SQRT((((VLOOKUP($AT$4,$A$4:$D$1021,4,FALSE))-D927)^2)+(((VLOOKUP($AT$4,$A$4:$E$1021,5,FALSE))-E927)^2)+(((VLOOKUP($AT$4,$A$4:$N$1021,14,FALSE))-N927)^2)+(((VLOOKUP($AT$4,$A$4:$O$1021,15,FALSE))-O927)^2))</f>
        <v/>
      </c>
      <c r="AG927" s="129" t="n"/>
      <c r="AI927" s="129">
        <f>SQRT((((VLOOKUP($AT$4,$A$4:$D$1021,4,FALSE))-D927)^2)+(((VLOOKUP($AT$4,$A$4:$E$1021,5,FALSE))-E927)^2)+(((VLOOKUP($AT$4,$A$4:$R$1021,18,FALSE))-R927)^2)+(((VLOOKUP($AT$4,$A$4:$S$1021,19,FALSE))-S927)^2))</f>
        <v/>
      </c>
      <c r="AJ927" s="125" t="inlineStr">
        <is>
          <t>HY600X79.5</t>
        </is>
      </c>
      <c r="AK927" s="125" t="n"/>
      <c r="AL927" s="125" t="n"/>
      <c r="AM927" s="125">
        <f>SQRT(((VLOOKUP($AT$4,$A$4:$J$1021,10,FALSE))-J927)^2)</f>
        <v/>
      </c>
      <c r="AN927" s="125" t="n"/>
      <c r="AO927" s="125" t="n"/>
      <c r="AP927" s="125">
        <f>SQRT(((VLOOKUP($AT$4,$A$4:$R$1021,18,FALSE))-R927)^2)</f>
        <v/>
      </c>
      <c r="AQ927" s="125" t="inlineStr">
        <is>
          <t>HY600X79.5</t>
        </is>
      </c>
      <c r="BB927" s="125">
        <f>SQRT(($J$1022-J927)^2)</f>
        <v/>
      </c>
      <c r="BC927" s="125">
        <f>SQRT(($R$1022-R927)^2)</f>
        <v/>
      </c>
      <c r="BD927" s="125" t="inlineStr">
        <is>
          <t>HY600X79.5</t>
        </is>
      </c>
      <c r="BI927">
        <f>SQRT(($J$1023-J927)^2)</f>
        <v/>
      </c>
      <c r="BJ927">
        <f>SQRT(($R$1023-R927)^2)</f>
        <v/>
      </c>
      <c r="BK927" s="125" t="inlineStr">
        <is>
          <t>HY600X79.5</t>
        </is>
      </c>
      <c r="BP927">
        <f>SQRT(($J$1024-J927)^2)</f>
        <v/>
      </c>
      <c r="BQ927">
        <f>SQRT(($R$1024-R927)^2)</f>
        <v/>
      </c>
      <c r="BR927" s="125" t="inlineStr">
        <is>
          <t>HY600X79.5</t>
        </is>
      </c>
      <c r="BW927">
        <f>SQRT(($J$1025-J927)^2)</f>
        <v/>
      </c>
      <c r="BX927">
        <f>SQRT(($R$1025-R927)^2)</f>
        <v/>
      </c>
      <c r="BY927" s="125" t="inlineStr">
        <is>
          <t>HY600X79.5</t>
        </is>
      </c>
      <c r="CD927">
        <f>SQRT(($J$1026-J927)^2)</f>
        <v/>
      </c>
      <c r="CE927">
        <f>SQRT(($R$1026-R927)^2)</f>
        <v/>
      </c>
      <c r="CF927" s="125" t="inlineStr">
        <is>
          <t>HY600X79.5</t>
        </is>
      </c>
    </row>
    <row r="928">
      <c r="A928" s="125" t="inlineStr">
        <is>
          <t>HY550X213</t>
        </is>
      </c>
      <c r="B928" s="129" t="inlineStr">
        <is>
          <t>HY</t>
        </is>
      </c>
      <c r="C928" s="125" t="n">
        <v>213</v>
      </c>
      <c r="D928" s="125" t="n">
        <v>550</v>
      </c>
      <c r="E928" s="125" t="n">
        <v>300</v>
      </c>
      <c r="F928" s="125" t="n">
        <v>32</v>
      </c>
      <c r="G928" s="125" t="n">
        <v>16</v>
      </c>
      <c r="H928" s="125" t="n">
        <v>13</v>
      </c>
      <c r="I928" s="125">
        <f>D928-(2*(H928+F928))</f>
        <v/>
      </c>
      <c r="J928" s="125">
        <f>(2*E928/10*F928/10)+((D928-F928-F928)/10*G928/10)+((H928/10+H928/10)^2)-(PI()*H928/10*H928/10)</f>
        <v/>
      </c>
      <c r="K928" s="125">
        <f>((E928-G928)/2)/F928</f>
        <v/>
      </c>
      <c r="L928" s="125">
        <f>I928/G928</f>
        <v/>
      </c>
      <c r="M928" s="125">
        <f>(E928*2+F928*4+((E928-G928)/2-H928)*4+2*PI()*H928+(D928-2*F928-2*H928)*2)/1000</f>
        <v/>
      </c>
      <c r="N928" s="5" t="n">
        <v>145000</v>
      </c>
      <c r="O928" s="5" t="n">
        <v>14400</v>
      </c>
      <c r="P928" s="125" t="n">
        <v>23.1</v>
      </c>
      <c r="Q928" s="125" t="n">
        <v>7.3</v>
      </c>
      <c r="R928" s="5" t="n">
        <v>5280</v>
      </c>
      <c r="S928" s="125" t="n">
        <v>961</v>
      </c>
      <c r="T928" s="5" t="n">
        <v>5950</v>
      </c>
      <c r="U928" s="5" t="n">
        <v>1470</v>
      </c>
      <c r="X928" s="129">
        <f t="array" ref="X928">_xlfn.IFS((D928/F928) &lt;= (640/SQRT($AT$32)), "Compact", L928 &lt;= ($AT$32*(0.79-(0.002*((E928-G928/2)/(2*F928))*SQRT($AT$32)))), "Non-Compact", L928 &gt; ($AT$32*(0.79-(0.002*((E928-G928/2)/(2*F928))*SQRT($AT$32)))), "Slender")</f>
        <v/>
      </c>
      <c r="Y928" s="129">
        <f t="array" ref="Y928">_xlfn.IFS(K928 &lt;= (65/SQRT($AT$32)), "Compact", K928 &lt;= (95/SQRT($AT$32)), "Non-Compact", K928 &gt; (95/SQRT($AT$32)), "Slender")</f>
        <v/>
      </c>
      <c r="Z928" s="125">
        <f>E928/F928</f>
        <v/>
      </c>
      <c r="AA928" s="125">
        <f>D928/G928</f>
        <v/>
      </c>
      <c r="AB928" s="125">
        <f t="array" ref="AB928">_xlfn.IFS(Z928 &lt;= 9, "1", Z928 &lt;= 12, "2", Z928 &lt;= 15, "3", Z928 &gt; 15, "4")</f>
        <v/>
      </c>
      <c r="AC928" s="125">
        <f t="array" ref="AC928">_xlfn.IFS(AA928 &lt;= 200, "1", L928 &lt;= 300, "2", L928 &lt;= 400, "3", L928 &gt; 400, "4")</f>
        <v/>
      </c>
      <c r="AF928" s="129">
        <f>SQRT((((VLOOKUP($AT$4,$A$4:$D$1021,4,FALSE))-D928)^2)+(((VLOOKUP($AT$4,$A$4:$E$1021,5,FALSE))-E928)^2)+(((VLOOKUP($AT$4,$A$4:$N$1021,14,FALSE))-N928)^2)+(((VLOOKUP($AT$4,$A$4:$O$1021,15,FALSE))-O928)^2))</f>
        <v/>
      </c>
      <c r="AG928" s="129" t="n"/>
      <c r="AI928" s="129">
        <f>SQRT((((VLOOKUP($AT$4,$A$4:$D$1021,4,FALSE))-D928)^2)+(((VLOOKUP($AT$4,$A$4:$E$1021,5,FALSE))-E928)^2)+(((VLOOKUP($AT$4,$A$4:$R$1021,18,FALSE))-R928)^2)+(((VLOOKUP($AT$4,$A$4:$S$1021,19,FALSE))-S928)^2))</f>
        <v/>
      </c>
      <c r="AJ928" s="125" t="inlineStr">
        <is>
          <t>HY550X213</t>
        </is>
      </c>
      <c r="AK928" s="125" t="n"/>
      <c r="AL928" s="125" t="n"/>
      <c r="AM928" s="125">
        <f>SQRT(((VLOOKUP($AT$4,$A$4:$J$1021,10,FALSE))-J928)^2)</f>
        <v/>
      </c>
      <c r="AN928" s="125" t="n"/>
      <c r="AO928" s="125" t="n"/>
      <c r="AP928" s="125">
        <f>SQRT(((VLOOKUP($AT$4,$A$4:$R$1021,18,FALSE))-R928)^2)</f>
        <v/>
      </c>
      <c r="AQ928" s="125" t="inlineStr">
        <is>
          <t>HY550X213</t>
        </is>
      </c>
      <c r="BB928" s="125">
        <f>SQRT(($J$1022-J928)^2)</f>
        <v/>
      </c>
      <c r="BC928" s="125">
        <f>SQRT(($R$1022-R928)^2)</f>
        <v/>
      </c>
      <c r="BD928" s="125" t="inlineStr">
        <is>
          <t>HY550X213</t>
        </is>
      </c>
      <c r="BI928">
        <f>SQRT(($J$1023-J928)^2)</f>
        <v/>
      </c>
      <c r="BJ928">
        <f>SQRT(($R$1023-R928)^2)</f>
        <v/>
      </c>
      <c r="BK928" s="125" t="inlineStr">
        <is>
          <t>HY550X213</t>
        </is>
      </c>
      <c r="BP928">
        <f>SQRT(($J$1024-J928)^2)</f>
        <v/>
      </c>
      <c r="BQ928">
        <f>SQRT(($R$1024-R928)^2)</f>
        <v/>
      </c>
      <c r="BR928" s="125" t="inlineStr">
        <is>
          <t>HY550X213</t>
        </is>
      </c>
      <c r="BW928">
        <f>SQRT(($J$1025-J928)^2)</f>
        <v/>
      </c>
      <c r="BX928">
        <f>SQRT(($R$1025-R928)^2)</f>
        <v/>
      </c>
      <c r="BY928" s="125" t="inlineStr">
        <is>
          <t>HY550X213</t>
        </is>
      </c>
      <c r="CD928">
        <f>SQRT(($J$1026-J928)^2)</f>
        <v/>
      </c>
      <c r="CE928">
        <f>SQRT(($R$1026-R928)^2)</f>
        <v/>
      </c>
      <c r="CF928" s="125" t="inlineStr">
        <is>
          <t>HY550X213</t>
        </is>
      </c>
    </row>
    <row r="929">
      <c r="A929" s="125" t="inlineStr">
        <is>
          <t>HY550X195</t>
        </is>
      </c>
      <c r="B929" s="129" t="inlineStr">
        <is>
          <t>HY</t>
        </is>
      </c>
      <c r="C929" s="125" t="n">
        <v>195</v>
      </c>
      <c r="D929" s="125" t="n">
        <v>550</v>
      </c>
      <c r="E929" s="125" t="n">
        <v>300</v>
      </c>
      <c r="F929" s="125" t="n">
        <v>28</v>
      </c>
      <c r="G929" s="125" t="n">
        <v>16</v>
      </c>
      <c r="H929" s="125" t="n">
        <v>13</v>
      </c>
      <c r="I929" s="125">
        <f>D929-(2*(H929+F929))</f>
        <v/>
      </c>
      <c r="J929" s="125">
        <f>(2*E929/10*F929/10)+((D929-F929-F929)/10*G929/10)+((H929/10+H929/10)^2)-(PI()*H929/10*H929/10)</f>
        <v/>
      </c>
      <c r="K929" s="125">
        <f>((E929-G929)/2)/F929</f>
        <v/>
      </c>
      <c r="L929" s="125">
        <f>I929/G929</f>
        <v/>
      </c>
      <c r="M929" s="125">
        <f>(E929*2+F929*4+((E929-G929)/2-H929)*4+2*PI()*H929+(D929-2*F929-2*H929)*2)/1000</f>
        <v/>
      </c>
      <c r="N929" s="5" t="n">
        <v>131000</v>
      </c>
      <c r="O929" s="5" t="n">
        <v>12600</v>
      </c>
      <c r="P929" s="125" t="n">
        <v>23</v>
      </c>
      <c r="Q929" s="125" t="n">
        <v>7.1</v>
      </c>
      <c r="R929" s="5" t="n">
        <v>4780</v>
      </c>
      <c r="S929" s="125" t="n">
        <v>841</v>
      </c>
      <c r="T929" s="5" t="n">
        <v>5400</v>
      </c>
      <c r="U929" s="5" t="n">
        <v>1290</v>
      </c>
      <c r="X929" s="129">
        <f t="array" ref="X929">_xlfn.IFS((D929/F929) &lt;= (640/SQRT($AT$32)), "Compact", L929 &lt;= ($AT$32*(0.79-(0.002*((E929-G929/2)/(2*F929))*SQRT($AT$32)))), "Non-Compact", L929 &gt; ($AT$32*(0.79-(0.002*((E929-G929/2)/(2*F929))*SQRT($AT$32)))), "Slender")</f>
        <v/>
      </c>
      <c r="Y929" s="129">
        <f t="array" ref="Y929">_xlfn.IFS(K929 &lt;= (65/SQRT($AT$32)), "Compact", K929 &lt;= (95/SQRT($AT$32)), "Non-Compact", K929 &gt; (95/SQRT($AT$32)), "Slender")</f>
        <v/>
      </c>
      <c r="Z929" s="125">
        <f>E929/F929</f>
        <v/>
      </c>
      <c r="AA929" s="125">
        <f>D929/G929</f>
        <v/>
      </c>
      <c r="AB929" s="125">
        <f t="array" ref="AB929">_xlfn.IFS(Z929 &lt;= 9, "1", Z929 &lt;= 12, "2", Z929 &lt;= 15, "3", Z929 &gt; 15, "4")</f>
        <v/>
      </c>
      <c r="AC929" s="125">
        <f t="array" ref="AC929">_xlfn.IFS(AA929 &lt;= 200, "1", L929 &lt;= 300, "2", L929 &lt;= 400, "3", L929 &gt; 400, "4")</f>
        <v/>
      </c>
      <c r="AF929" s="129">
        <f>SQRT((((VLOOKUP($AT$4,$A$4:$D$1021,4,FALSE))-D929)^2)+(((VLOOKUP($AT$4,$A$4:$E$1021,5,FALSE))-E929)^2)+(((VLOOKUP($AT$4,$A$4:$N$1021,14,FALSE))-N929)^2)+(((VLOOKUP($AT$4,$A$4:$O$1021,15,FALSE))-O929)^2))</f>
        <v/>
      </c>
      <c r="AG929" s="129" t="n"/>
      <c r="AI929" s="129">
        <f>SQRT((((VLOOKUP($AT$4,$A$4:$D$1021,4,FALSE))-D929)^2)+(((VLOOKUP($AT$4,$A$4:$E$1021,5,FALSE))-E929)^2)+(((VLOOKUP($AT$4,$A$4:$R$1021,18,FALSE))-R929)^2)+(((VLOOKUP($AT$4,$A$4:$S$1021,19,FALSE))-S929)^2))</f>
        <v/>
      </c>
      <c r="AJ929" s="125" t="inlineStr">
        <is>
          <t>HY550X195</t>
        </is>
      </c>
      <c r="AK929" s="125" t="n"/>
      <c r="AL929" s="125" t="n"/>
      <c r="AM929" s="125">
        <f>SQRT(((VLOOKUP($AT$4,$A$4:$J$1021,10,FALSE))-J929)^2)</f>
        <v/>
      </c>
      <c r="AN929" s="125" t="n"/>
      <c r="AO929" s="125" t="n"/>
      <c r="AP929" s="125">
        <f>SQRT(((VLOOKUP($AT$4,$A$4:$R$1021,18,FALSE))-R929)^2)</f>
        <v/>
      </c>
      <c r="AQ929" s="125" t="inlineStr">
        <is>
          <t>HY550X195</t>
        </is>
      </c>
      <c r="BB929" s="125">
        <f>SQRT(($J$1022-J929)^2)</f>
        <v/>
      </c>
      <c r="BC929" s="125">
        <f>SQRT(($R$1022-R929)^2)</f>
        <v/>
      </c>
      <c r="BD929" s="125" t="inlineStr">
        <is>
          <t>HY550X195</t>
        </is>
      </c>
      <c r="BI929">
        <f>SQRT(($J$1023-J929)^2)</f>
        <v/>
      </c>
      <c r="BJ929">
        <f>SQRT(($R$1023-R929)^2)</f>
        <v/>
      </c>
      <c r="BK929" s="125" t="inlineStr">
        <is>
          <t>HY550X195</t>
        </is>
      </c>
      <c r="BP929">
        <f>SQRT(($J$1024-J929)^2)</f>
        <v/>
      </c>
      <c r="BQ929">
        <f>SQRT(($R$1024-R929)^2)</f>
        <v/>
      </c>
      <c r="BR929" s="125" t="inlineStr">
        <is>
          <t>HY550X195</t>
        </is>
      </c>
      <c r="BW929">
        <f>SQRT(($J$1025-J929)^2)</f>
        <v/>
      </c>
      <c r="BX929">
        <f>SQRT(($R$1025-R929)^2)</f>
        <v/>
      </c>
      <c r="BY929" s="125" t="inlineStr">
        <is>
          <t>HY550X195</t>
        </is>
      </c>
      <c r="CD929">
        <f>SQRT(($J$1026-J929)^2)</f>
        <v/>
      </c>
      <c r="CE929">
        <f>SQRT(($R$1026-R929)^2)</f>
        <v/>
      </c>
      <c r="CF929" s="125" t="inlineStr">
        <is>
          <t>HY550X195</t>
        </is>
      </c>
    </row>
    <row r="930">
      <c r="A930" s="125" t="inlineStr">
        <is>
          <t>HY550X182</t>
        </is>
      </c>
      <c r="B930" s="129" t="inlineStr">
        <is>
          <t>HY</t>
        </is>
      </c>
      <c r="C930" s="125" t="n">
        <v>182</v>
      </c>
      <c r="D930" s="125" t="n">
        <v>550</v>
      </c>
      <c r="E930" s="125" t="n">
        <v>300</v>
      </c>
      <c r="F930" s="125" t="n">
        <v>25</v>
      </c>
      <c r="G930" s="125" t="n">
        <v>16</v>
      </c>
      <c r="H930" s="125" t="n">
        <v>13</v>
      </c>
      <c r="I930" s="125">
        <f>D930-(2*(H930+F930))</f>
        <v/>
      </c>
      <c r="J930" s="125">
        <f>(2*E930/10*F930/10)+((D930-F930-F930)/10*G930/10)+((H930/10+H930/10)^2)-(PI()*H930/10*H930/10)</f>
        <v/>
      </c>
      <c r="K930" s="125">
        <f>((E930-G930)/2)/F930</f>
        <v/>
      </c>
      <c r="L930" s="125">
        <f>I930/G930</f>
        <v/>
      </c>
      <c r="M930" s="125">
        <f>(E930*2+F930*4+((E930-G930)/2-H930)*4+2*PI()*H930+(D930-2*F930-2*H930)*2)/1000</f>
        <v/>
      </c>
      <c r="N930" s="5" t="n">
        <v>121000</v>
      </c>
      <c r="O930" s="5" t="n">
        <v>11300</v>
      </c>
      <c r="P930" s="125" t="n">
        <v>22.9</v>
      </c>
      <c r="Q930" s="125" t="n">
        <v>7</v>
      </c>
      <c r="R930" s="5" t="n">
        <v>4400</v>
      </c>
      <c r="S930" s="125" t="n">
        <v>751</v>
      </c>
      <c r="T930" s="5" t="n">
        <v>4970</v>
      </c>
      <c r="U930" s="5" t="n">
        <v>1160</v>
      </c>
      <c r="X930" s="129">
        <f t="array" ref="X930">_xlfn.IFS((D930/F930) &lt;= (640/SQRT($AT$32)), "Compact", L930 &lt;= ($AT$32*(0.79-(0.002*((E930-G930/2)/(2*F930))*SQRT($AT$32)))), "Non-Compact", L930 &gt; ($AT$32*(0.79-(0.002*((E930-G930/2)/(2*F930))*SQRT($AT$32)))), "Slender")</f>
        <v/>
      </c>
      <c r="Y930" s="129">
        <f t="array" ref="Y930">_xlfn.IFS(K930 &lt;= (65/SQRT($AT$32)), "Compact", K930 &lt;= (95/SQRT($AT$32)), "Non-Compact", K930 &gt; (95/SQRT($AT$32)), "Slender")</f>
        <v/>
      </c>
      <c r="Z930" s="125">
        <f>E930/F930</f>
        <v/>
      </c>
      <c r="AA930" s="125">
        <f>D930/G930</f>
        <v/>
      </c>
      <c r="AB930" s="125">
        <f t="array" ref="AB930">_xlfn.IFS(Z930 &lt;= 9, "1", Z930 &lt;= 12, "2", Z930 &lt;= 15, "3", Z930 &gt; 15, "4")</f>
        <v/>
      </c>
      <c r="AC930" s="125">
        <f t="array" ref="AC930">_xlfn.IFS(AA930 &lt;= 200, "1", L930 &lt;= 300, "2", L930 &lt;= 400, "3", L930 &gt; 400, "4")</f>
        <v/>
      </c>
      <c r="AF930" s="129">
        <f>SQRT((((VLOOKUP($AT$4,$A$4:$D$1021,4,FALSE))-D930)^2)+(((VLOOKUP($AT$4,$A$4:$E$1021,5,FALSE))-E930)^2)+(((VLOOKUP($AT$4,$A$4:$N$1021,14,FALSE))-N930)^2)+(((VLOOKUP($AT$4,$A$4:$O$1021,15,FALSE))-O930)^2))</f>
        <v/>
      </c>
      <c r="AG930" s="129" t="n"/>
      <c r="AI930" s="129">
        <f>SQRT((((VLOOKUP($AT$4,$A$4:$D$1021,4,FALSE))-D930)^2)+(((VLOOKUP($AT$4,$A$4:$E$1021,5,FALSE))-E930)^2)+(((VLOOKUP($AT$4,$A$4:$R$1021,18,FALSE))-R930)^2)+(((VLOOKUP($AT$4,$A$4:$S$1021,19,FALSE))-S930)^2))</f>
        <v/>
      </c>
      <c r="AJ930" s="125" t="inlineStr">
        <is>
          <t>HY550X182</t>
        </is>
      </c>
      <c r="AK930" s="125" t="n"/>
      <c r="AL930" s="125" t="n"/>
      <c r="AM930" s="125">
        <f>SQRT(((VLOOKUP($AT$4,$A$4:$J$1021,10,FALSE))-J930)^2)</f>
        <v/>
      </c>
      <c r="AN930" s="125" t="n"/>
      <c r="AO930" s="125" t="n"/>
      <c r="AP930" s="125">
        <f>SQRT(((VLOOKUP($AT$4,$A$4:$R$1021,18,FALSE))-R930)^2)</f>
        <v/>
      </c>
      <c r="AQ930" s="125" t="inlineStr">
        <is>
          <t>HY550X182</t>
        </is>
      </c>
      <c r="BB930" s="125">
        <f>SQRT(($J$1022-J930)^2)</f>
        <v/>
      </c>
      <c r="BC930" s="125">
        <f>SQRT(($R$1022-R930)^2)</f>
        <v/>
      </c>
      <c r="BD930" s="125" t="inlineStr">
        <is>
          <t>HY550X182</t>
        </is>
      </c>
      <c r="BI930">
        <f>SQRT(($J$1023-J930)^2)</f>
        <v/>
      </c>
      <c r="BJ930">
        <f>SQRT(($R$1023-R930)^2)</f>
        <v/>
      </c>
      <c r="BK930" s="125" t="inlineStr">
        <is>
          <t>HY550X182</t>
        </is>
      </c>
      <c r="BP930">
        <f>SQRT(($J$1024-J930)^2)</f>
        <v/>
      </c>
      <c r="BQ930">
        <f>SQRT(($R$1024-R930)^2)</f>
        <v/>
      </c>
      <c r="BR930" s="125" t="inlineStr">
        <is>
          <t>HY550X182</t>
        </is>
      </c>
      <c r="BW930">
        <f>SQRT(($J$1025-J930)^2)</f>
        <v/>
      </c>
      <c r="BX930">
        <f>SQRT(($R$1025-R930)^2)</f>
        <v/>
      </c>
      <c r="BY930" s="125" t="inlineStr">
        <is>
          <t>HY550X182</t>
        </is>
      </c>
      <c r="CD930">
        <f>SQRT(($J$1026-J930)^2)</f>
        <v/>
      </c>
      <c r="CE930">
        <f>SQRT(($R$1026-R930)^2)</f>
        <v/>
      </c>
      <c r="CF930" s="125" t="inlineStr">
        <is>
          <t>HY550X182</t>
        </is>
      </c>
    </row>
    <row r="931">
      <c r="A931" s="125" t="inlineStr">
        <is>
          <t>HY550X168</t>
        </is>
      </c>
      <c r="B931" s="129" t="inlineStr">
        <is>
          <t>HY</t>
        </is>
      </c>
      <c r="C931" s="125" t="n">
        <v>168</v>
      </c>
      <c r="D931" s="125" t="n">
        <v>550</v>
      </c>
      <c r="E931" s="125" t="n">
        <v>300</v>
      </c>
      <c r="F931" s="125" t="n">
        <v>22</v>
      </c>
      <c r="G931" s="125" t="n">
        <v>16</v>
      </c>
      <c r="H931" s="125" t="n">
        <v>13</v>
      </c>
      <c r="I931" s="125">
        <f>D931-(2*(H931+F931))</f>
        <v/>
      </c>
      <c r="J931" s="125">
        <f>(2*E931/10*F931/10)+((D931-F931-F931)/10*G931/10)+((H931/10+H931/10)^2)-(PI()*H931/10*H931/10)</f>
        <v/>
      </c>
      <c r="K931" s="125">
        <f>((E931-G931)/2)/F931</f>
        <v/>
      </c>
      <c r="L931" s="125">
        <f>I931/G931</f>
        <v/>
      </c>
      <c r="M931" s="125">
        <f>(E931*2+F931*4+((E931-G931)/2-H931)*4+2*PI()*H931+(D931-2*F931-2*H931)*2)/1000</f>
        <v/>
      </c>
      <c r="N931" s="5" t="n">
        <v>110000</v>
      </c>
      <c r="O931" s="5" t="n">
        <v>9920</v>
      </c>
      <c r="P931" s="125" t="n">
        <v>22.7</v>
      </c>
      <c r="Q931" s="125" t="n">
        <v>6.8</v>
      </c>
      <c r="R931" s="5" t="n">
        <v>4010</v>
      </c>
      <c r="S931" s="125" t="n">
        <v>661</v>
      </c>
      <c r="T931" s="5" t="n">
        <v>4550</v>
      </c>
      <c r="U931" s="5" t="n">
        <v>1020</v>
      </c>
      <c r="X931" s="129">
        <f t="array" ref="X931">_xlfn.IFS((D931/F931) &lt;= (640/SQRT($AT$32)), "Compact", L931 &lt;= ($AT$32*(0.79-(0.002*((E931-G931/2)/(2*F931))*SQRT($AT$32)))), "Non-Compact", L931 &gt; ($AT$32*(0.79-(0.002*((E931-G931/2)/(2*F931))*SQRT($AT$32)))), "Slender")</f>
        <v/>
      </c>
      <c r="Y931" s="129">
        <f t="array" ref="Y931">_xlfn.IFS(K931 &lt;= (65/SQRT($AT$32)), "Compact", K931 &lt;= (95/SQRT($AT$32)), "Non-Compact", K931 &gt; (95/SQRT($AT$32)), "Slender")</f>
        <v/>
      </c>
      <c r="Z931" s="125">
        <f>E931/F931</f>
        <v/>
      </c>
      <c r="AA931" s="125">
        <f>D931/G931</f>
        <v/>
      </c>
      <c r="AB931" s="125">
        <f t="array" ref="AB931">_xlfn.IFS(Z931 &lt;= 9, "1", Z931 &lt;= 12, "2", Z931 &lt;= 15, "3", Z931 &gt; 15, "4")</f>
        <v/>
      </c>
      <c r="AC931" s="125">
        <f t="array" ref="AC931">_xlfn.IFS(AA931 &lt;= 200, "1", L931 &lt;= 300, "2", L931 &lt;= 400, "3", L931 &gt; 400, "4")</f>
        <v/>
      </c>
      <c r="AF931" s="129">
        <f>SQRT((((VLOOKUP($AT$4,$A$4:$D$1021,4,FALSE))-D931)^2)+(((VLOOKUP($AT$4,$A$4:$E$1021,5,FALSE))-E931)^2)+(((VLOOKUP($AT$4,$A$4:$N$1021,14,FALSE))-N931)^2)+(((VLOOKUP($AT$4,$A$4:$O$1021,15,FALSE))-O931)^2))</f>
        <v/>
      </c>
      <c r="AG931" s="129" t="n"/>
      <c r="AI931" s="129">
        <f>SQRT((((VLOOKUP($AT$4,$A$4:$D$1021,4,FALSE))-D931)^2)+(((VLOOKUP($AT$4,$A$4:$E$1021,5,FALSE))-E931)^2)+(((VLOOKUP($AT$4,$A$4:$R$1021,18,FALSE))-R931)^2)+(((VLOOKUP($AT$4,$A$4:$S$1021,19,FALSE))-S931)^2))</f>
        <v/>
      </c>
      <c r="AJ931" s="125" t="inlineStr">
        <is>
          <t>HY550X168</t>
        </is>
      </c>
      <c r="AK931" s="125" t="n"/>
      <c r="AL931" s="125" t="n"/>
      <c r="AM931" s="125">
        <f>SQRT(((VLOOKUP($AT$4,$A$4:$J$1021,10,FALSE))-J931)^2)</f>
        <v/>
      </c>
      <c r="AN931" s="125" t="n"/>
      <c r="AO931" s="125" t="n"/>
      <c r="AP931" s="125">
        <f>SQRT(((VLOOKUP($AT$4,$A$4:$R$1021,18,FALSE))-R931)^2)</f>
        <v/>
      </c>
      <c r="AQ931" s="125" t="inlineStr">
        <is>
          <t>HY550X168</t>
        </is>
      </c>
      <c r="BB931" s="125">
        <f>SQRT(($J$1022-J931)^2)</f>
        <v/>
      </c>
      <c r="BC931" s="125">
        <f>SQRT(($R$1022-R931)^2)</f>
        <v/>
      </c>
      <c r="BD931" s="125" t="inlineStr">
        <is>
          <t>HY550X168</t>
        </is>
      </c>
      <c r="BI931">
        <f>SQRT(($J$1023-J931)^2)</f>
        <v/>
      </c>
      <c r="BJ931">
        <f>SQRT(($R$1023-R931)^2)</f>
        <v/>
      </c>
      <c r="BK931" s="125" t="inlineStr">
        <is>
          <t>HY550X168</t>
        </is>
      </c>
      <c r="BP931">
        <f>SQRT(($J$1024-J931)^2)</f>
        <v/>
      </c>
      <c r="BQ931">
        <f>SQRT(($R$1024-R931)^2)</f>
        <v/>
      </c>
      <c r="BR931" s="125" t="inlineStr">
        <is>
          <t>HY550X168</t>
        </is>
      </c>
      <c r="BW931">
        <f>SQRT(($J$1025-J931)^2)</f>
        <v/>
      </c>
      <c r="BX931">
        <f>SQRT(($R$1025-R931)^2)</f>
        <v/>
      </c>
      <c r="BY931" s="125" t="inlineStr">
        <is>
          <t>HY550X168</t>
        </is>
      </c>
      <c r="CD931">
        <f>SQRT(($J$1026-J931)^2)</f>
        <v/>
      </c>
      <c r="CE931">
        <f>SQRT(($R$1026-R931)^2)</f>
        <v/>
      </c>
      <c r="CF931" s="125" t="inlineStr">
        <is>
          <t>HY550X168</t>
        </is>
      </c>
    </row>
    <row r="932">
      <c r="A932" s="125" t="inlineStr">
        <is>
          <t>HY550X180</t>
        </is>
      </c>
      <c r="B932" s="129" t="inlineStr">
        <is>
          <t>HY</t>
        </is>
      </c>
      <c r="C932" s="125" t="n">
        <v>180</v>
      </c>
      <c r="D932" s="125" t="n">
        <v>550</v>
      </c>
      <c r="E932" s="125" t="n">
        <v>300</v>
      </c>
      <c r="F932" s="125" t="n">
        <v>28</v>
      </c>
      <c r="G932" s="125" t="n">
        <v>12</v>
      </c>
      <c r="H932" s="125" t="n">
        <v>13</v>
      </c>
      <c r="I932" s="125">
        <f>D932-(2*(H932+F932))</f>
        <v/>
      </c>
      <c r="J932" s="125">
        <f>(2*E932/10*F932/10)+((D932-F932-F932)/10*G932/10)+((H932/10+H932/10)^2)-(PI()*H932/10*H932/10)</f>
        <v/>
      </c>
      <c r="K932" s="125">
        <f>((E932-G932)/2)/F932</f>
        <v/>
      </c>
      <c r="L932" s="125">
        <f>I932/G932</f>
        <v/>
      </c>
      <c r="M932" s="125">
        <f>(E932*2+F932*4+((E932-G932)/2-H932)*4+2*PI()*H932+(D932-2*F932-2*H932)*2)/1000</f>
        <v/>
      </c>
      <c r="N932" s="5" t="n">
        <v>127000</v>
      </c>
      <c r="O932" s="5" t="n">
        <v>12600</v>
      </c>
      <c r="P932" s="125" t="n">
        <v>23.6</v>
      </c>
      <c r="Q932" s="125" t="n">
        <v>7.4</v>
      </c>
      <c r="R932" s="5" t="n">
        <v>4640</v>
      </c>
      <c r="S932" s="125" t="n">
        <v>841</v>
      </c>
      <c r="T932" s="5" t="n">
        <v>5150</v>
      </c>
      <c r="U932" s="5" t="n">
        <v>1280</v>
      </c>
      <c r="X932" s="129">
        <f t="array" ref="X932">_xlfn.IFS((D932/F932) &lt;= (640/SQRT($AT$32)), "Compact", L932 &lt;= ($AT$32*(0.79-(0.002*((E932-G932/2)/(2*F932))*SQRT($AT$32)))), "Non-Compact", L932 &gt; ($AT$32*(0.79-(0.002*((E932-G932/2)/(2*F932))*SQRT($AT$32)))), "Slender")</f>
        <v/>
      </c>
      <c r="Y932" s="129">
        <f t="array" ref="Y932">_xlfn.IFS(K932 &lt;= (65/SQRT($AT$32)), "Compact", K932 &lt;= (95/SQRT($AT$32)), "Non-Compact", K932 &gt; (95/SQRT($AT$32)), "Slender")</f>
        <v/>
      </c>
      <c r="Z932" s="125">
        <f>E932/F932</f>
        <v/>
      </c>
      <c r="AA932" s="125">
        <f>D932/G932</f>
        <v/>
      </c>
      <c r="AB932" s="125">
        <f t="array" ref="AB932">_xlfn.IFS(Z932 &lt;= 9, "1", Z932 &lt;= 12, "2", Z932 &lt;= 15, "3", Z932 &gt; 15, "4")</f>
        <v/>
      </c>
      <c r="AC932" s="125">
        <f t="array" ref="AC932">_xlfn.IFS(AA932 &lt;= 200, "1", L932 &lt;= 300, "2", L932 &lt;= 400, "3", L932 &gt; 400, "4")</f>
        <v/>
      </c>
      <c r="AF932" s="129">
        <f>SQRT((((VLOOKUP($AT$4,$A$4:$D$1021,4,FALSE))-D932)^2)+(((VLOOKUP($AT$4,$A$4:$E$1021,5,FALSE))-E932)^2)+(((VLOOKUP($AT$4,$A$4:$N$1021,14,FALSE))-N932)^2)+(((VLOOKUP($AT$4,$A$4:$O$1021,15,FALSE))-O932)^2))</f>
        <v/>
      </c>
      <c r="AG932" s="129" t="n"/>
      <c r="AI932" s="129">
        <f>SQRT((((VLOOKUP($AT$4,$A$4:$D$1021,4,FALSE))-D932)^2)+(((VLOOKUP($AT$4,$A$4:$E$1021,5,FALSE))-E932)^2)+(((VLOOKUP($AT$4,$A$4:$R$1021,18,FALSE))-R932)^2)+(((VLOOKUP($AT$4,$A$4:$S$1021,19,FALSE))-S932)^2))</f>
        <v/>
      </c>
      <c r="AJ932" s="125" t="inlineStr">
        <is>
          <t>HY550X180</t>
        </is>
      </c>
      <c r="AK932" s="125" t="n"/>
      <c r="AL932" s="125" t="n"/>
      <c r="AM932" s="125">
        <f>SQRT(((VLOOKUP($AT$4,$A$4:$J$1021,10,FALSE))-J932)^2)</f>
        <v/>
      </c>
      <c r="AN932" s="125" t="n"/>
      <c r="AO932" s="125" t="n"/>
      <c r="AP932" s="125">
        <f>SQRT(((VLOOKUP($AT$4,$A$4:$R$1021,18,FALSE))-R932)^2)</f>
        <v/>
      </c>
      <c r="AQ932" s="125" t="inlineStr">
        <is>
          <t>HY550X180</t>
        </is>
      </c>
      <c r="BB932" s="125">
        <f>SQRT(($J$1022-J932)^2)</f>
        <v/>
      </c>
      <c r="BC932" s="125">
        <f>SQRT(($R$1022-R932)^2)</f>
        <v/>
      </c>
      <c r="BD932" s="125" t="inlineStr">
        <is>
          <t>HY550X180</t>
        </is>
      </c>
      <c r="BI932">
        <f>SQRT(($J$1023-J932)^2)</f>
        <v/>
      </c>
      <c r="BJ932">
        <f>SQRT(($R$1023-R932)^2)</f>
        <v/>
      </c>
      <c r="BK932" s="125" t="inlineStr">
        <is>
          <t>HY550X180</t>
        </is>
      </c>
      <c r="BP932">
        <f>SQRT(($J$1024-J932)^2)</f>
        <v/>
      </c>
      <c r="BQ932">
        <f>SQRT(($R$1024-R932)^2)</f>
        <v/>
      </c>
      <c r="BR932" s="125" t="inlineStr">
        <is>
          <t>HY550X180</t>
        </is>
      </c>
      <c r="BW932">
        <f>SQRT(($J$1025-J932)^2)</f>
        <v/>
      </c>
      <c r="BX932">
        <f>SQRT(($R$1025-R932)^2)</f>
        <v/>
      </c>
      <c r="BY932" s="125" t="inlineStr">
        <is>
          <t>HY550X180</t>
        </is>
      </c>
      <c r="CD932">
        <f>SQRT(($J$1026-J932)^2)</f>
        <v/>
      </c>
      <c r="CE932">
        <f>SQRT(($R$1026-R932)^2)</f>
        <v/>
      </c>
      <c r="CF932" s="125" t="inlineStr">
        <is>
          <t>HY550X180</t>
        </is>
      </c>
    </row>
    <row r="933">
      <c r="A933" s="125" t="inlineStr">
        <is>
          <t>HY550X166</t>
        </is>
      </c>
      <c r="B933" s="129" t="inlineStr">
        <is>
          <t>HY</t>
        </is>
      </c>
      <c r="C933" s="125" t="n">
        <v>166</v>
      </c>
      <c r="D933" s="125" t="n">
        <v>550</v>
      </c>
      <c r="E933" s="125" t="n">
        <v>300</v>
      </c>
      <c r="F933" s="125" t="n">
        <v>25</v>
      </c>
      <c r="G933" s="125" t="n">
        <v>12</v>
      </c>
      <c r="H933" s="125" t="n">
        <v>13</v>
      </c>
      <c r="I933" s="125">
        <f>D933-(2*(H933+F933))</f>
        <v/>
      </c>
      <c r="J933" s="125">
        <f>(2*E933/10*F933/10)+((D933-F933-F933)/10*G933/10)+((H933/10+H933/10)^2)-(PI()*H933/10*H933/10)</f>
        <v/>
      </c>
      <c r="K933" s="125">
        <f>((E933-G933)/2)/F933</f>
        <v/>
      </c>
      <c r="L933" s="125">
        <f>I933/G933</f>
        <v/>
      </c>
      <c r="M933" s="125">
        <f>(E933*2+F933*4+((E933-G933)/2-H933)*4+2*PI()*H933+(D933-2*F933-2*H933)*2)/1000</f>
        <v/>
      </c>
      <c r="N933" s="5" t="n">
        <v>117000</v>
      </c>
      <c r="O933" s="5" t="n">
        <v>11300</v>
      </c>
      <c r="P933" s="125" t="n">
        <v>23.5</v>
      </c>
      <c r="Q933" s="125" t="n">
        <v>7.3</v>
      </c>
      <c r="R933" s="5" t="n">
        <v>4250</v>
      </c>
      <c r="S933" s="125" t="n">
        <v>751</v>
      </c>
      <c r="T933" s="5" t="n">
        <v>4720</v>
      </c>
      <c r="U933" s="5" t="n">
        <v>1140</v>
      </c>
      <c r="X933" s="129">
        <f t="array" ref="X933">_xlfn.IFS((D933/F933) &lt;= (640/SQRT($AT$32)), "Compact", L933 &lt;= ($AT$32*(0.79-(0.002*((E933-G933/2)/(2*F933))*SQRT($AT$32)))), "Non-Compact", L933 &gt; ($AT$32*(0.79-(0.002*((E933-G933/2)/(2*F933))*SQRT($AT$32)))), "Slender")</f>
        <v/>
      </c>
      <c r="Y933" s="129">
        <f t="array" ref="Y933">_xlfn.IFS(K933 &lt;= (65/SQRT($AT$32)), "Compact", K933 &lt;= (95/SQRT($AT$32)), "Non-Compact", K933 &gt; (95/SQRT($AT$32)), "Slender")</f>
        <v/>
      </c>
      <c r="Z933" s="125">
        <f>E933/F933</f>
        <v/>
      </c>
      <c r="AA933" s="125">
        <f>D933/G933</f>
        <v/>
      </c>
      <c r="AB933" s="125">
        <f t="array" ref="AB933">_xlfn.IFS(Z933 &lt;= 9, "1", Z933 &lt;= 12, "2", Z933 &lt;= 15, "3", Z933 &gt; 15, "4")</f>
        <v/>
      </c>
      <c r="AC933" s="125">
        <f t="array" ref="AC933">_xlfn.IFS(AA933 &lt;= 200, "1", L933 &lt;= 300, "2", L933 &lt;= 400, "3", L933 &gt; 400, "4")</f>
        <v/>
      </c>
      <c r="AF933" s="129">
        <f>SQRT((((VLOOKUP($AT$4,$A$4:$D$1021,4,FALSE))-D933)^2)+(((VLOOKUP($AT$4,$A$4:$E$1021,5,FALSE))-E933)^2)+(((VLOOKUP($AT$4,$A$4:$N$1021,14,FALSE))-N933)^2)+(((VLOOKUP($AT$4,$A$4:$O$1021,15,FALSE))-O933)^2))</f>
        <v/>
      </c>
      <c r="AG933" s="129" t="n"/>
      <c r="AI933" s="129">
        <f>SQRT((((VLOOKUP($AT$4,$A$4:$D$1021,4,FALSE))-D933)^2)+(((VLOOKUP($AT$4,$A$4:$E$1021,5,FALSE))-E933)^2)+(((VLOOKUP($AT$4,$A$4:$R$1021,18,FALSE))-R933)^2)+(((VLOOKUP($AT$4,$A$4:$S$1021,19,FALSE))-S933)^2))</f>
        <v/>
      </c>
      <c r="AJ933" s="125" t="inlineStr">
        <is>
          <t>HY550X166</t>
        </is>
      </c>
      <c r="AK933" s="125" t="n"/>
      <c r="AL933" s="125" t="n"/>
      <c r="AM933" s="125">
        <f>SQRT(((VLOOKUP($AT$4,$A$4:$J$1021,10,FALSE))-J933)^2)</f>
        <v/>
      </c>
      <c r="AN933" s="125" t="n"/>
      <c r="AO933" s="125" t="n"/>
      <c r="AP933" s="125">
        <f>SQRT(((VLOOKUP($AT$4,$A$4:$R$1021,18,FALSE))-R933)^2)</f>
        <v/>
      </c>
      <c r="AQ933" s="125" t="inlineStr">
        <is>
          <t>HY550X166</t>
        </is>
      </c>
      <c r="BB933" s="125">
        <f>SQRT(($J$1022-J933)^2)</f>
        <v/>
      </c>
      <c r="BC933" s="125">
        <f>SQRT(($R$1022-R933)^2)</f>
        <v/>
      </c>
      <c r="BD933" s="125" t="inlineStr">
        <is>
          <t>HY550X166</t>
        </is>
      </c>
      <c r="BI933">
        <f>SQRT(($J$1023-J933)^2)</f>
        <v/>
      </c>
      <c r="BJ933">
        <f>SQRT(($R$1023-R933)^2)</f>
        <v/>
      </c>
      <c r="BK933" s="125" t="inlineStr">
        <is>
          <t>HY550X166</t>
        </is>
      </c>
      <c r="BP933">
        <f>SQRT(($J$1024-J933)^2)</f>
        <v/>
      </c>
      <c r="BQ933">
        <f>SQRT(($R$1024-R933)^2)</f>
        <v/>
      </c>
      <c r="BR933" s="125" t="inlineStr">
        <is>
          <t>HY550X166</t>
        </is>
      </c>
      <c r="BW933">
        <f>SQRT(($J$1025-J933)^2)</f>
        <v/>
      </c>
      <c r="BX933">
        <f>SQRT(($R$1025-R933)^2)</f>
        <v/>
      </c>
      <c r="BY933" s="125" t="inlineStr">
        <is>
          <t>HY550X166</t>
        </is>
      </c>
      <c r="CD933">
        <f>SQRT(($J$1026-J933)^2)</f>
        <v/>
      </c>
      <c r="CE933">
        <f>SQRT(($R$1026-R933)^2)</f>
        <v/>
      </c>
      <c r="CF933" s="125" t="inlineStr">
        <is>
          <t>HY550X166</t>
        </is>
      </c>
    </row>
    <row r="934">
      <c r="A934" s="125" t="inlineStr">
        <is>
          <t>HY550X152</t>
        </is>
      </c>
      <c r="B934" s="129" t="inlineStr">
        <is>
          <t>HY</t>
        </is>
      </c>
      <c r="C934" s="125" t="n">
        <v>152</v>
      </c>
      <c r="D934" s="125" t="n">
        <v>550</v>
      </c>
      <c r="E934" s="125" t="n">
        <v>300</v>
      </c>
      <c r="F934" s="125" t="n">
        <v>22</v>
      </c>
      <c r="G934" s="125" t="n">
        <v>12</v>
      </c>
      <c r="H934" s="125" t="n">
        <v>13</v>
      </c>
      <c r="I934" s="125">
        <f>D934-(2*(H934+F934))</f>
        <v/>
      </c>
      <c r="J934" s="125">
        <f>(2*E934/10*F934/10)+((D934-F934-F934)/10*G934/10)+((H934/10+H934/10)^2)-(PI()*H934/10*H934/10)</f>
        <v/>
      </c>
      <c r="K934" s="125">
        <f>((E934-G934)/2)/F934</f>
        <v/>
      </c>
      <c r="L934" s="125">
        <f>I934/G934</f>
        <v/>
      </c>
      <c r="M934" s="125">
        <f>(E934*2+F934*4+((E934-G934)/2-H934)*4+2*PI()*H934+(D934-2*F934-2*H934)*2)/1000</f>
        <v/>
      </c>
      <c r="N934" s="5" t="n">
        <v>106000</v>
      </c>
      <c r="O934" s="5" t="n">
        <v>9910</v>
      </c>
      <c r="P934" s="125" t="n">
        <v>23.4</v>
      </c>
      <c r="Q934" s="125" t="n">
        <v>7.1</v>
      </c>
      <c r="R934" s="5" t="n">
        <v>3850</v>
      </c>
      <c r="S934" s="125" t="n">
        <v>661</v>
      </c>
      <c r="T934" s="5" t="n">
        <v>4290</v>
      </c>
      <c r="U934" s="5" t="n">
        <v>1010</v>
      </c>
      <c r="X934" s="129">
        <f t="array" ref="X934">_xlfn.IFS((D934/F934) &lt;= (640/SQRT($AT$32)), "Compact", L934 &lt;= ($AT$32*(0.79-(0.002*((E934-G934/2)/(2*F934))*SQRT($AT$32)))), "Non-Compact", L934 &gt; ($AT$32*(0.79-(0.002*((E934-G934/2)/(2*F934))*SQRT($AT$32)))), "Slender")</f>
        <v/>
      </c>
      <c r="Y934" s="129">
        <f t="array" ref="Y934">_xlfn.IFS(K934 &lt;= (65/SQRT($AT$32)), "Compact", K934 &lt;= (95/SQRT($AT$32)), "Non-Compact", K934 &gt; (95/SQRT($AT$32)), "Slender")</f>
        <v/>
      </c>
      <c r="Z934" s="125">
        <f>E934/F934</f>
        <v/>
      </c>
      <c r="AA934" s="125">
        <f>D934/G934</f>
        <v/>
      </c>
      <c r="AB934" s="125">
        <f t="array" ref="AB934">_xlfn.IFS(Z934 &lt;= 9, "1", Z934 &lt;= 12, "2", Z934 &lt;= 15, "3", Z934 &gt; 15, "4")</f>
        <v/>
      </c>
      <c r="AC934" s="125">
        <f t="array" ref="AC934">_xlfn.IFS(AA934 &lt;= 200, "1", L934 &lt;= 300, "2", L934 &lt;= 400, "3", L934 &gt; 400, "4")</f>
        <v/>
      </c>
      <c r="AF934" s="129">
        <f>SQRT((((VLOOKUP($AT$4,$A$4:$D$1021,4,FALSE))-D934)^2)+(((VLOOKUP($AT$4,$A$4:$E$1021,5,FALSE))-E934)^2)+(((VLOOKUP($AT$4,$A$4:$N$1021,14,FALSE))-N934)^2)+(((VLOOKUP($AT$4,$A$4:$O$1021,15,FALSE))-O934)^2))</f>
        <v/>
      </c>
      <c r="AG934" s="129" t="n"/>
      <c r="AI934" s="129">
        <f>SQRT((((VLOOKUP($AT$4,$A$4:$D$1021,4,FALSE))-D934)^2)+(((VLOOKUP($AT$4,$A$4:$E$1021,5,FALSE))-E934)^2)+(((VLOOKUP($AT$4,$A$4:$R$1021,18,FALSE))-R934)^2)+(((VLOOKUP($AT$4,$A$4:$S$1021,19,FALSE))-S934)^2))</f>
        <v/>
      </c>
      <c r="AJ934" s="125" t="inlineStr">
        <is>
          <t>HY550X152</t>
        </is>
      </c>
      <c r="AK934" s="125" t="n"/>
      <c r="AL934" s="125" t="n"/>
      <c r="AM934" s="125">
        <f>SQRT(((VLOOKUP($AT$4,$A$4:$J$1021,10,FALSE))-J934)^2)</f>
        <v/>
      </c>
      <c r="AN934" s="125" t="n"/>
      <c r="AO934" s="125" t="n"/>
      <c r="AP934" s="125">
        <f>SQRT(((VLOOKUP($AT$4,$A$4:$R$1021,18,FALSE))-R934)^2)</f>
        <v/>
      </c>
      <c r="AQ934" s="125" t="inlineStr">
        <is>
          <t>HY550X152</t>
        </is>
      </c>
      <c r="BB934" s="125">
        <f>SQRT(($J$1022-J934)^2)</f>
        <v/>
      </c>
      <c r="BC934" s="125">
        <f>SQRT(($R$1022-R934)^2)</f>
        <v/>
      </c>
      <c r="BD934" s="125" t="inlineStr">
        <is>
          <t>HY550X152</t>
        </is>
      </c>
      <c r="BI934">
        <f>SQRT(($J$1023-J934)^2)</f>
        <v/>
      </c>
      <c r="BJ934">
        <f>SQRT(($R$1023-R934)^2)</f>
        <v/>
      </c>
      <c r="BK934" s="125" t="inlineStr">
        <is>
          <t>HY550X152</t>
        </is>
      </c>
      <c r="BP934">
        <f>SQRT(($J$1024-J934)^2)</f>
        <v/>
      </c>
      <c r="BQ934">
        <f>SQRT(($R$1024-R934)^2)</f>
        <v/>
      </c>
      <c r="BR934" s="125" t="inlineStr">
        <is>
          <t>HY550X152</t>
        </is>
      </c>
      <c r="BW934">
        <f>SQRT(($J$1025-J934)^2)</f>
        <v/>
      </c>
      <c r="BX934">
        <f>SQRT(($R$1025-R934)^2)</f>
        <v/>
      </c>
      <c r="BY934" s="125" t="inlineStr">
        <is>
          <t>HY550X152</t>
        </is>
      </c>
      <c r="CD934">
        <f>SQRT(($J$1026-J934)^2)</f>
        <v/>
      </c>
      <c r="CE934">
        <f>SQRT(($R$1026-R934)^2)</f>
        <v/>
      </c>
      <c r="CF934" s="125" t="inlineStr">
        <is>
          <t>HY550X152</t>
        </is>
      </c>
    </row>
    <row r="935">
      <c r="A935" s="125" t="inlineStr">
        <is>
          <t>HY550X139</t>
        </is>
      </c>
      <c r="B935" s="129" t="inlineStr">
        <is>
          <t>HY</t>
        </is>
      </c>
      <c r="C935" s="125" t="n">
        <v>139</v>
      </c>
      <c r="D935" s="125" t="n">
        <v>550</v>
      </c>
      <c r="E935" s="125" t="n">
        <v>300</v>
      </c>
      <c r="F935" s="125" t="n">
        <v>19</v>
      </c>
      <c r="G935" s="125" t="n">
        <v>12</v>
      </c>
      <c r="H935" s="125" t="n">
        <v>13</v>
      </c>
      <c r="I935" s="125">
        <f>D935-(2*(H935+F935))</f>
        <v/>
      </c>
      <c r="J935" s="125">
        <f>(2*E935/10*F935/10)+((D935-F935-F935)/10*G935/10)+((H935/10+H935/10)^2)-(PI()*H935/10*H935/10)</f>
        <v/>
      </c>
      <c r="K935" s="125">
        <f>((E935-G935)/2)/F935</f>
        <v/>
      </c>
      <c r="L935" s="125">
        <f>I935/G935</f>
        <v/>
      </c>
      <c r="M935" s="125">
        <f>(E935*2+F935*4+((E935-G935)/2-H935)*4+2*PI()*H935+(D935-2*F935-2*H935)*2)/1000</f>
        <v/>
      </c>
      <c r="N935" s="5" t="n">
        <v>94700</v>
      </c>
      <c r="O935" s="5" t="n">
        <v>8560</v>
      </c>
      <c r="P935" s="125" t="n">
        <v>23.1</v>
      </c>
      <c r="Q935" s="125" t="n">
        <v>7</v>
      </c>
      <c r="R935" s="5" t="n">
        <v>3450</v>
      </c>
      <c r="S935" s="125" t="n">
        <v>571</v>
      </c>
      <c r="T935" s="5" t="n">
        <v>3850</v>
      </c>
      <c r="U935" s="125" t="n">
        <v>875</v>
      </c>
      <c r="X935" s="129">
        <f t="array" ref="X935">_xlfn.IFS((D935/F935) &lt;= (640/SQRT($AT$32)), "Compact", L935 &lt;= ($AT$32*(0.79-(0.002*((E935-G935/2)/(2*F935))*SQRT($AT$32)))), "Non-Compact", L935 &gt; ($AT$32*(0.79-(0.002*((E935-G935/2)/(2*F935))*SQRT($AT$32)))), "Slender")</f>
        <v/>
      </c>
      <c r="Y935" s="129">
        <f t="array" ref="Y935">_xlfn.IFS(K935 &lt;= (65/SQRT($AT$32)), "Compact", K935 &lt;= (95/SQRT($AT$32)), "Non-Compact", K935 &gt; (95/SQRT($AT$32)), "Slender")</f>
        <v/>
      </c>
      <c r="Z935" s="125">
        <f>E935/F935</f>
        <v/>
      </c>
      <c r="AA935" s="125">
        <f>D935/G935</f>
        <v/>
      </c>
      <c r="AB935" s="125">
        <f t="array" ref="AB935">_xlfn.IFS(Z935 &lt;= 9, "1", Z935 &lt;= 12, "2", Z935 &lt;= 15, "3", Z935 &gt; 15, "4")</f>
        <v/>
      </c>
      <c r="AC935" s="125">
        <f t="array" ref="AC935">_xlfn.IFS(AA935 &lt;= 200, "1", L935 &lt;= 300, "2", L935 &lt;= 400, "3", L935 &gt; 400, "4")</f>
        <v/>
      </c>
      <c r="AF935" s="129">
        <f>SQRT((((VLOOKUP($AT$4,$A$4:$D$1021,4,FALSE))-D935)^2)+(((VLOOKUP($AT$4,$A$4:$E$1021,5,FALSE))-E935)^2)+(((VLOOKUP($AT$4,$A$4:$N$1021,14,FALSE))-N935)^2)+(((VLOOKUP($AT$4,$A$4:$O$1021,15,FALSE))-O935)^2))</f>
        <v/>
      </c>
      <c r="AG935" s="129" t="n"/>
      <c r="AI935" s="129">
        <f>SQRT((((VLOOKUP($AT$4,$A$4:$D$1021,4,FALSE))-D935)^2)+(((VLOOKUP($AT$4,$A$4:$E$1021,5,FALSE))-E935)^2)+(((VLOOKUP($AT$4,$A$4:$R$1021,18,FALSE))-R935)^2)+(((VLOOKUP($AT$4,$A$4:$S$1021,19,FALSE))-S935)^2))</f>
        <v/>
      </c>
      <c r="AJ935" s="125" t="inlineStr">
        <is>
          <t>HY550X139</t>
        </is>
      </c>
      <c r="AK935" s="125" t="n"/>
      <c r="AL935" s="125" t="n"/>
      <c r="AM935" s="125">
        <f>SQRT(((VLOOKUP($AT$4,$A$4:$J$1021,10,FALSE))-J935)^2)</f>
        <v/>
      </c>
      <c r="AN935" s="125" t="n"/>
      <c r="AO935" s="125" t="n"/>
      <c r="AP935" s="125">
        <f>SQRT(((VLOOKUP($AT$4,$A$4:$R$1021,18,FALSE))-R935)^2)</f>
        <v/>
      </c>
      <c r="AQ935" s="125" t="inlineStr">
        <is>
          <t>HY550X139</t>
        </is>
      </c>
      <c r="BB935" s="125">
        <f>SQRT(($J$1022-J935)^2)</f>
        <v/>
      </c>
      <c r="BC935" s="125">
        <f>SQRT(($R$1022-R935)^2)</f>
        <v/>
      </c>
      <c r="BD935" s="125" t="inlineStr">
        <is>
          <t>HY550X139</t>
        </is>
      </c>
      <c r="BI935">
        <f>SQRT(($J$1023-J935)^2)</f>
        <v/>
      </c>
      <c r="BJ935">
        <f>SQRT(($R$1023-R935)^2)</f>
        <v/>
      </c>
      <c r="BK935" s="125" t="inlineStr">
        <is>
          <t>HY550X139</t>
        </is>
      </c>
      <c r="BP935">
        <f>SQRT(($J$1024-J935)^2)</f>
        <v/>
      </c>
      <c r="BQ935">
        <f>SQRT(($R$1024-R935)^2)</f>
        <v/>
      </c>
      <c r="BR935" s="125" t="inlineStr">
        <is>
          <t>HY550X139</t>
        </is>
      </c>
      <c r="BW935">
        <f>SQRT(($J$1025-J935)^2)</f>
        <v/>
      </c>
      <c r="BX935">
        <f>SQRT(($R$1025-R935)^2)</f>
        <v/>
      </c>
      <c r="BY935" s="125" t="inlineStr">
        <is>
          <t>HY550X139</t>
        </is>
      </c>
      <c r="CD935">
        <f>SQRT(($J$1026-J935)^2)</f>
        <v/>
      </c>
      <c r="CE935">
        <f>SQRT(($R$1026-R935)^2)</f>
        <v/>
      </c>
      <c r="CF935" s="125" t="inlineStr">
        <is>
          <t>HY550X139</t>
        </is>
      </c>
    </row>
    <row r="936">
      <c r="A936" s="125" t="inlineStr">
        <is>
          <t>HY550X125</t>
        </is>
      </c>
      <c r="B936" s="129" t="inlineStr">
        <is>
          <t>HY</t>
        </is>
      </c>
      <c r="C936" s="125" t="n">
        <v>125</v>
      </c>
      <c r="D936" s="125" t="n">
        <v>550</v>
      </c>
      <c r="E936" s="125" t="n">
        <v>300</v>
      </c>
      <c r="F936" s="125" t="n">
        <v>16</v>
      </c>
      <c r="G936" s="125" t="n">
        <v>12</v>
      </c>
      <c r="H936" s="125" t="n">
        <v>13</v>
      </c>
      <c r="I936" s="125">
        <f>D936-(2*(H936+F936))</f>
        <v/>
      </c>
      <c r="J936" s="125">
        <f>(2*E936/10*F936/10)+((D936-F936-F936)/10*G936/10)+((H936/10+H936/10)^2)-(PI()*H936/10*H936/10)</f>
        <v/>
      </c>
      <c r="K936" s="125">
        <f>((E936-G936)/2)/F936</f>
        <v/>
      </c>
      <c r="L936" s="125">
        <f>I936/G936</f>
        <v/>
      </c>
      <c r="M936" s="125">
        <f>(E936*2+F936*4+((E936-G936)/2-H936)*4+2*PI()*H936+(D936-2*F936-2*H936)*2)/1000</f>
        <v/>
      </c>
      <c r="N936" s="5" t="n">
        <v>83300</v>
      </c>
      <c r="O936" s="5" t="n">
        <v>7210</v>
      </c>
      <c r="P936" s="125" t="n">
        <v>22.8</v>
      </c>
      <c r="Q936" s="125" t="n">
        <v>6.7</v>
      </c>
      <c r="R936" s="5" t="n">
        <v>3030</v>
      </c>
      <c r="S936" s="125" t="n">
        <v>481</v>
      </c>
      <c r="T936" s="5" t="n">
        <v>3410</v>
      </c>
      <c r="U936" s="125" t="n">
        <v>740</v>
      </c>
      <c r="X936" s="129">
        <f t="array" ref="X936">_xlfn.IFS((D936/F936) &lt;= (640/SQRT($AT$32)), "Compact", L936 &lt;= ($AT$32*(0.79-(0.002*((E936-G936/2)/(2*F936))*SQRT($AT$32)))), "Non-Compact", L936 &gt; ($AT$32*(0.79-(0.002*((E936-G936/2)/(2*F936))*SQRT($AT$32)))), "Slender")</f>
        <v/>
      </c>
      <c r="Y936" s="129">
        <f t="array" ref="Y936">_xlfn.IFS(K936 &lt;= (65/SQRT($AT$32)), "Compact", K936 &lt;= (95/SQRT($AT$32)), "Non-Compact", K936 &gt; (95/SQRT($AT$32)), "Slender")</f>
        <v/>
      </c>
      <c r="Z936" s="125">
        <f>E936/F936</f>
        <v/>
      </c>
      <c r="AA936" s="125">
        <f>D936/G936</f>
        <v/>
      </c>
      <c r="AB936" s="125">
        <f t="array" ref="AB936">_xlfn.IFS(Z936 &lt;= 9, "1", Z936 &lt;= 12, "2", Z936 &lt;= 15, "3", Z936 &gt; 15, "4")</f>
        <v/>
      </c>
      <c r="AC936" s="125">
        <f t="array" ref="AC936">_xlfn.IFS(AA936 &lt;= 200, "1", L936 &lt;= 300, "2", L936 &lt;= 400, "3", L936 &gt; 400, "4")</f>
        <v/>
      </c>
      <c r="AF936" s="129">
        <f>SQRT((((VLOOKUP($AT$4,$A$4:$D$1021,4,FALSE))-D936)^2)+(((VLOOKUP($AT$4,$A$4:$E$1021,5,FALSE))-E936)^2)+(((VLOOKUP($AT$4,$A$4:$N$1021,14,FALSE))-N936)^2)+(((VLOOKUP($AT$4,$A$4:$O$1021,15,FALSE))-O936)^2))</f>
        <v/>
      </c>
      <c r="AG936" s="129" t="n"/>
      <c r="AI936" s="129">
        <f>SQRT((((VLOOKUP($AT$4,$A$4:$D$1021,4,FALSE))-D936)^2)+(((VLOOKUP($AT$4,$A$4:$E$1021,5,FALSE))-E936)^2)+(((VLOOKUP($AT$4,$A$4:$R$1021,18,FALSE))-R936)^2)+(((VLOOKUP($AT$4,$A$4:$S$1021,19,FALSE))-S936)^2))</f>
        <v/>
      </c>
      <c r="AJ936" s="125" t="inlineStr">
        <is>
          <t>HY550X125</t>
        </is>
      </c>
      <c r="AK936" s="125" t="n"/>
      <c r="AL936" s="125" t="n"/>
      <c r="AM936" s="125">
        <f>SQRT(((VLOOKUP($AT$4,$A$4:$J$1021,10,FALSE))-J936)^2)</f>
        <v/>
      </c>
      <c r="AN936" s="125" t="n"/>
      <c r="AO936" s="125" t="n"/>
      <c r="AP936" s="125">
        <f>SQRT(((VLOOKUP($AT$4,$A$4:$R$1021,18,FALSE))-R936)^2)</f>
        <v/>
      </c>
      <c r="AQ936" s="125" t="inlineStr">
        <is>
          <t>HY550X125</t>
        </is>
      </c>
      <c r="BB936" s="125">
        <f>SQRT(($J$1022-J936)^2)</f>
        <v/>
      </c>
      <c r="BC936" s="125">
        <f>SQRT(($R$1022-R936)^2)</f>
        <v/>
      </c>
      <c r="BD936" s="125" t="inlineStr">
        <is>
          <t>HY550X125</t>
        </is>
      </c>
      <c r="BI936">
        <f>SQRT(($J$1023-J936)^2)</f>
        <v/>
      </c>
      <c r="BJ936">
        <f>SQRT(($R$1023-R936)^2)</f>
        <v/>
      </c>
      <c r="BK936" s="125" t="inlineStr">
        <is>
          <t>HY550X125</t>
        </is>
      </c>
      <c r="BP936">
        <f>SQRT(($J$1024-J936)^2)</f>
        <v/>
      </c>
      <c r="BQ936">
        <f>SQRT(($R$1024-R936)^2)</f>
        <v/>
      </c>
      <c r="BR936" s="125" t="inlineStr">
        <is>
          <t>HY550X125</t>
        </is>
      </c>
      <c r="BW936">
        <f>SQRT(($J$1025-J936)^2)</f>
        <v/>
      </c>
      <c r="BX936">
        <f>SQRT(($R$1025-R936)^2)</f>
        <v/>
      </c>
      <c r="BY936" s="125" t="inlineStr">
        <is>
          <t>HY550X125</t>
        </is>
      </c>
      <c r="CD936">
        <f>SQRT(($J$1026-J936)^2)</f>
        <v/>
      </c>
      <c r="CE936">
        <f>SQRT(($R$1026-R936)^2)</f>
        <v/>
      </c>
      <c r="CF936" s="125" t="inlineStr">
        <is>
          <t>HY550X125</t>
        </is>
      </c>
    </row>
    <row r="937">
      <c r="A937" s="125" t="inlineStr">
        <is>
          <t>HY550X127</t>
        </is>
      </c>
      <c r="B937" s="129" t="inlineStr">
        <is>
          <t>HY</t>
        </is>
      </c>
      <c r="C937" s="125" t="n">
        <v>127</v>
      </c>
      <c r="D937" s="125" t="n">
        <v>550</v>
      </c>
      <c r="E937" s="125" t="n">
        <v>300</v>
      </c>
      <c r="F937" s="125" t="n">
        <v>19</v>
      </c>
      <c r="G937" s="125" t="n">
        <v>9</v>
      </c>
      <c r="H937" s="125" t="n">
        <v>13</v>
      </c>
      <c r="I937" s="125">
        <f>D937-(2*(H937+F937))</f>
        <v/>
      </c>
      <c r="J937" s="125">
        <f>(2*E937/10*F937/10)+((D937-F937-F937)/10*G937/10)+((H937/10+H937/10)^2)-(PI()*H937/10*H937/10)</f>
        <v/>
      </c>
      <c r="K937" s="125">
        <f>((E937-G937)/2)/F937</f>
        <v/>
      </c>
      <c r="L937" s="125">
        <f>I937/G937</f>
        <v/>
      </c>
      <c r="M937" s="125">
        <f>(E937*2+F937*4+((E937-G937)/2-H937)*4+2*PI()*H937+(D937-2*F937-2*H937)*2)/1000</f>
        <v/>
      </c>
      <c r="N937" s="5" t="n">
        <v>91400</v>
      </c>
      <c r="O937" s="5" t="n">
        <v>8550</v>
      </c>
      <c r="P937" s="125" t="n">
        <v>23.8</v>
      </c>
      <c r="Q937" s="125" t="n">
        <v>7.3</v>
      </c>
      <c r="R937" s="5" t="n">
        <v>3320</v>
      </c>
      <c r="S937" s="125" t="n">
        <v>570</v>
      </c>
      <c r="T937" s="5" t="n">
        <v>3650</v>
      </c>
      <c r="U937" s="125" t="n">
        <v>866</v>
      </c>
      <c r="X937" s="129">
        <f t="array" ref="X937">_xlfn.IFS((D937/F937) &lt;= (640/SQRT($AT$32)), "Compact", L937 &lt;= ($AT$32*(0.79-(0.002*((E937-G937/2)/(2*F937))*SQRT($AT$32)))), "Non-Compact", L937 &gt; ($AT$32*(0.79-(0.002*((E937-G937/2)/(2*F937))*SQRT($AT$32)))), "Slender")</f>
        <v/>
      </c>
      <c r="Y937" s="129">
        <f t="array" ref="Y937">_xlfn.IFS(K937 &lt;= (65/SQRT($AT$32)), "Compact", K937 &lt;= (95/SQRT($AT$32)), "Non-Compact", K937 &gt; (95/SQRT($AT$32)), "Slender")</f>
        <v/>
      </c>
      <c r="Z937" s="125">
        <f>E937/F937</f>
        <v/>
      </c>
      <c r="AA937" s="125">
        <f>D937/G937</f>
        <v/>
      </c>
      <c r="AB937" s="125">
        <f t="array" ref="AB937">_xlfn.IFS(Z937 &lt;= 9, "1", Z937 &lt;= 12, "2", Z937 &lt;= 15, "3", Z937 &gt; 15, "4")</f>
        <v/>
      </c>
      <c r="AC937" s="125">
        <f t="array" ref="AC937">_xlfn.IFS(AA937 &lt;= 200, "1", L937 &lt;= 300, "2", L937 &lt;= 400, "3", L937 &gt; 400, "4")</f>
        <v/>
      </c>
      <c r="AF937" s="129">
        <f>SQRT((((VLOOKUP($AT$4,$A$4:$D$1021,4,FALSE))-D937)^2)+(((VLOOKUP($AT$4,$A$4:$E$1021,5,FALSE))-E937)^2)+(((VLOOKUP($AT$4,$A$4:$N$1021,14,FALSE))-N937)^2)+(((VLOOKUP($AT$4,$A$4:$O$1021,15,FALSE))-O937)^2))</f>
        <v/>
      </c>
      <c r="AG937" s="129" t="n"/>
      <c r="AI937" s="129">
        <f>SQRT((((VLOOKUP($AT$4,$A$4:$D$1021,4,FALSE))-D937)^2)+(((VLOOKUP($AT$4,$A$4:$E$1021,5,FALSE))-E937)^2)+(((VLOOKUP($AT$4,$A$4:$R$1021,18,FALSE))-R937)^2)+(((VLOOKUP($AT$4,$A$4:$S$1021,19,FALSE))-S937)^2))</f>
        <v/>
      </c>
      <c r="AJ937" s="125" t="inlineStr">
        <is>
          <t>HY550X127</t>
        </is>
      </c>
      <c r="AK937" s="125" t="n"/>
      <c r="AL937" s="125" t="n"/>
      <c r="AM937" s="125">
        <f>SQRT(((VLOOKUP($AT$4,$A$4:$J$1021,10,FALSE))-J937)^2)</f>
        <v/>
      </c>
      <c r="AN937" s="125" t="n"/>
      <c r="AO937" s="125" t="n"/>
      <c r="AP937" s="125">
        <f>SQRT(((VLOOKUP($AT$4,$A$4:$R$1021,18,FALSE))-R937)^2)</f>
        <v/>
      </c>
      <c r="AQ937" s="125" t="inlineStr">
        <is>
          <t>HY550X127</t>
        </is>
      </c>
      <c r="BB937" s="125">
        <f>SQRT(($J$1022-J937)^2)</f>
        <v/>
      </c>
      <c r="BC937" s="125">
        <f>SQRT(($R$1022-R937)^2)</f>
        <v/>
      </c>
      <c r="BD937" s="125" t="inlineStr">
        <is>
          <t>HY550X127</t>
        </is>
      </c>
      <c r="BI937">
        <f>SQRT(($J$1023-J937)^2)</f>
        <v/>
      </c>
      <c r="BJ937">
        <f>SQRT(($R$1023-R937)^2)</f>
        <v/>
      </c>
      <c r="BK937" s="125" t="inlineStr">
        <is>
          <t>HY550X127</t>
        </is>
      </c>
      <c r="BP937">
        <f>SQRT(($J$1024-J937)^2)</f>
        <v/>
      </c>
      <c r="BQ937">
        <f>SQRT(($R$1024-R937)^2)</f>
        <v/>
      </c>
      <c r="BR937" s="125" t="inlineStr">
        <is>
          <t>HY550X127</t>
        </is>
      </c>
      <c r="BW937">
        <f>SQRT(($J$1025-J937)^2)</f>
        <v/>
      </c>
      <c r="BX937">
        <f>SQRT(($R$1025-R937)^2)</f>
        <v/>
      </c>
      <c r="BY937" s="125" t="inlineStr">
        <is>
          <t>HY550X127</t>
        </is>
      </c>
      <c r="CD937">
        <f>SQRT(($J$1026-J937)^2)</f>
        <v/>
      </c>
      <c r="CE937">
        <f>SQRT(($R$1026-R937)^2)</f>
        <v/>
      </c>
      <c r="CF937" s="125" t="inlineStr">
        <is>
          <t>HY550X127</t>
        </is>
      </c>
    </row>
    <row r="938">
      <c r="A938" s="125" t="inlineStr">
        <is>
          <t>HY550X113</t>
        </is>
      </c>
      <c r="B938" s="129" t="inlineStr">
        <is>
          <t>HY</t>
        </is>
      </c>
      <c r="C938" s="125" t="n">
        <v>113</v>
      </c>
      <c r="D938" s="125" t="n">
        <v>550</v>
      </c>
      <c r="E938" s="125" t="n">
        <v>300</v>
      </c>
      <c r="F938" s="125" t="n">
        <v>16</v>
      </c>
      <c r="G938" s="125" t="n">
        <v>9</v>
      </c>
      <c r="H938" s="125" t="n">
        <v>13</v>
      </c>
      <c r="I938" s="125">
        <f>D938-(2*(H938+F938))</f>
        <v/>
      </c>
      <c r="J938" s="125">
        <f>(2*E938/10*F938/10)+((D938-F938-F938)/10*G938/10)+((H938/10+H938/10)^2)-(PI()*H938/10*H938/10)</f>
        <v/>
      </c>
      <c r="K938" s="125">
        <f>((E938-G938)/2)/F938</f>
        <v/>
      </c>
      <c r="L938" s="125">
        <f>I938/G938</f>
        <v/>
      </c>
      <c r="M938" s="125">
        <f>(E938*2+F938*4+((E938-G938)/2-H938)*4+2*PI()*H938+(D938-2*F938-2*H938)*2)/1000</f>
        <v/>
      </c>
      <c r="N938" s="5" t="n">
        <v>79800</v>
      </c>
      <c r="O938" s="5" t="n">
        <v>7200</v>
      </c>
      <c r="P938" s="125" t="n">
        <v>23.5</v>
      </c>
      <c r="Q938" s="125" t="n">
        <v>7.1</v>
      </c>
      <c r="R938" s="5" t="n">
        <v>2900</v>
      </c>
      <c r="S938" s="125" t="n">
        <v>480</v>
      </c>
      <c r="T938" s="5" t="n">
        <v>3200</v>
      </c>
      <c r="U938" s="125" t="n">
        <v>732</v>
      </c>
      <c r="X938" s="129">
        <f t="array" ref="X938">_xlfn.IFS((D938/F938) &lt;= (640/SQRT($AT$32)), "Compact", L938 &lt;= ($AT$32*(0.79-(0.002*((E938-G938/2)/(2*F938))*SQRT($AT$32)))), "Non-Compact", L938 &gt; ($AT$32*(0.79-(0.002*((E938-G938/2)/(2*F938))*SQRT($AT$32)))), "Slender")</f>
        <v/>
      </c>
      <c r="Y938" s="129">
        <f t="array" ref="Y938">_xlfn.IFS(K938 &lt;= (65/SQRT($AT$32)), "Compact", K938 &lt;= (95/SQRT($AT$32)), "Non-Compact", K938 &gt; (95/SQRT($AT$32)), "Slender")</f>
        <v/>
      </c>
      <c r="Z938" s="125">
        <f>E938/F938</f>
        <v/>
      </c>
      <c r="AA938" s="125">
        <f>D938/G938</f>
        <v/>
      </c>
      <c r="AB938" s="125">
        <f t="array" ref="AB938">_xlfn.IFS(Z938 &lt;= 9, "1", Z938 &lt;= 12, "2", Z938 &lt;= 15, "3", Z938 &gt; 15, "4")</f>
        <v/>
      </c>
      <c r="AC938" s="125">
        <f t="array" ref="AC938">_xlfn.IFS(AA938 &lt;= 200, "1", L938 &lt;= 300, "2", L938 &lt;= 400, "3", L938 &gt; 400, "4")</f>
        <v/>
      </c>
      <c r="AF938" s="129">
        <f>SQRT((((VLOOKUP($AT$4,$A$4:$D$1021,4,FALSE))-D938)^2)+(((VLOOKUP($AT$4,$A$4:$E$1021,5,FALSE))-E938)^2)+(((VLOOKUP($AT$4,$A$4:$N$1021,14,FALSE))-N938)^2)+(((VLOOKUP($AT$4,$A$4:$O$1021,15,FALSE))-O938)^2))</f>
        <v/>
      </c>
      <c r="AG938" s="129" t="n"/>
      <c r="AI938" s="129">
        <f>SQRT((((VLOOKUP($AT$4,$A$4:$D$1021,4,FALSE))-D938)^2)+(((VLOOKUP($AT$4,$A$4:$E$1021,5,FALSE))-E938)^2)+(((VLOOKUP($AT$4,$A$4:$R$1021,18,FALSE))-R938)^2)+(((VLOOKUP($AT$4,$A$4:$S$1021,19,FALSE))-S938)^2))</f>
        <v/>
      </c>
      <c r="AJ938" s="125" t="inlineStr">
        <is>
          <t>HY550X113</t>
        </is>
      </c>
      <c r="AK938" s="125" t="n"/>
      <c r="AL938" s="125" t="n"/>
      <c r="AM938" s="125">
        <f>SQRT(((VLOOKUP($AT$4,$A$4:$J$1021,10,FALSE))-J938)^2)</f>
        <v/>
      </c>
      <c r="AN938" s="125" t="n"/>
      <c r="AO938" s="125" t="n"/>
      <c r="AP938" s="125">
        <f>SQRT(((VLOOKUP($AT$4,$A$4:$R$1021,18,FALSE))-R938)^2)</f>
        <v/>
      </c>
      <c r="AQ938" s="125" t="inlineStr">
        <is>
          <t>HY550X113</t>
        </is>
      </c>
      <c r="BB938" s="125">
        <f>SQRT(($J$1022-J938)^2)</f>
        <v/>
      </c>
      <c r="BC938" s="125">
        <f>SQRT(($R$1022-R938)^2)</f>
        <v/>
      </c>
      <c r="BD938" s="125" t="inlineStr">
        <is>
          <t>HY550X113</t>
        </is>
      </c>
      <c r="BI938">
        <f>SQRT(($J$1023-J938)^2)</f>
        <v/>
      </c>
      <c r="BJ938">
        <f>SQRT(($R$1023-R938)^2)</f>
        <v/>
      </c>
      <c r="BK938" s="125" t="inlineStr">
        <is>
          <t>HY550X113</t>
        </is>
      </c>
      <c r="BP938">
        <f>SQRT(($J$1024-J938)^2)</f>
        <v/>
      </c>
      <c r="BQ938">
        <f>SQRT(($R$1024-R938)^2)</f>
        <v/>
      </c>
      <c r="BR938" s="125" t="inlineStr">
        <is>
          <t>HY550X113</t>
        </is>
      </c>
      <c r="BW938">
        <f>SQRT(($J$1025-J938)^2)</f>
        <v/>
      </c>
      <c r="BX938">
        <f>SQRT(($R$1025-R938)^2)</f>
        <v/>
      </c>
      <c r="BY938" s="125" t="inlineStr">
        <is>
          <t>HY550X113</t>
        </is>
      </c>
      <c r="CD938">
        <f>SQRT(($J$1026-J938)^2)</f>
        <v/>
      </c>
      <c r="CE938">
        <f>SQRT(($R$1026-R938)^2)</f>
        <v/>
      </c>
      <c r="CF938" s="125" t="inlineStr">
        <is>
          <t>HY550X113</t>
        </is>
      </c>
    </row>
    <row r="939">
      <c r="A939" s="125" t="inlineStr">
        <is>
          <t>HY550X188</t>
        </is>
      </c>
      <c r="B939" s="129" t="inlineStr">
        <is>
          <t>HY</t>
        </is>
      </c>
      <c r="C939" s="125" t="n">
        <v>188</v>
      </c>
      <c r="D939" s="125" t="n">
        <v>550</v>
      </c>
      <c r="E939" s="125" t="n">
        <v>250</v>
      </c>
      <c r="F939" s="125" t="n">
        <v>32</v>
      </c>
      <c r="G939" s="125" t="n">
        <v>16</v>
      </c>
      <c r="H939" s="125" t="n">
        <v>13</v>
      </c>
      <c r="I939" s="125">
        <f>D939-(2*(H939+F939))</f>
        <v/>
      </c>
      <c r="J939" s="125">
        <f>(2*E939/10*F939/10)+((D939-F939-F939)/10*G939/10)+((H939/10+H939/10)^2)-(PI()*H939/10*H939/10)</f>
        <v/>
      </c>
      <c r="K939" s="125">
        <f>((E939-G939)/2)/F939</f>
        <v/>
      </c>
      <c r="L939" s="125">
        <f>I939/G939</f>
        <v/>
      </c>
      <c r="M939" s="125">
        <f>(E939*2+F939*4+((E939-G939)/2-H939)*4+2*PI()*H939+(D939-2*F939-2*H939)*2)/1000</f>
        <v/>
      </c>
      <c r="N939" s="5" t="n">
        <v>124000</v>
      </c>
      <c r="O939" s="5" t="n">
        <v>8350</v>
      </c>
      <c r="P939" s="125" t="n">
        <v>22.7</v>
      </c>
      <c r="Q939" s="125" t="n">
        <v>5.9</v>
      </c>
      <c r="R939" s="5" t="n">
        <v>4490</v>
      </c>
      <c r="S939" s="125" t="n">
        <v>668</v>
      </c>
      <c r="T939" s="5" t="n">
        <v>5120</v>
      </c>
      <c r="U939" s="5" t="n">
        <v>1030</v>
      </c>
      <c r="X939" s="129">
        <f t="array" ref="X939">_xlfn.IFS((D939/F939) &lt;= (640/SQRT($AT$32)), "Compact", L939 &lt;= ($AT$32*(0.79-(0.002*((E939-G939/2)/(2*F939))*SQRT($AT$32)))), "Non-Compact", L939 &gt; ($AT$32*(0.79-(0.002*((E939-G939/2)/(2*F939))*SQRT($AT$32)))), "Slender")</f>
        <v/>
      </c>
      <c r="Y939" s="129">
        <f t="array" ref="Y939">_xlfn.IFS(K939 &lt;= (65/SQRT($AT$32)), "Compact", K939 &lt;= (95/SQRT($AT$32)), "Non-Compact", K939 &gt; (95/SQRT($AT$32)), "Slender")</f>
        <v/>
      </c>
      <c r="Z939" s="125">
        <f>E939/F939</f>
        <v/>
      </c>
      <c r="AA939" s="125">
        <f>D939/G939</f>
        <v/>
      </c>
      <c r="AB939" s="125">
        <f t="array" ref="AB939">_xlfn.IFS(Z939 &lt;= 9, "1", Z939 &lt;= 12, "2", Z939 &lt;= 15, "3", Z939 &gt; 15, "4")</f>
        <v/>
      </c>
      <c r="AC939" s="125">
        <f t="array" ref="AC939">_xlfn.IFS(AA939 &lt;= 200, "1", L939 &lt;= 300, "2", L939 &lt;= 400, "3", L939 &gt; 400, "4")</f>
        <v/>
      </c>
      <c r="AF939" s="129">
        <f>SQRT((((VLOOKUP($AT$4,$A$4:$D$1021,4,FALSE))-D939)^2)+(((VLOOKUP($AT$4,$A$4:$E$1021,5,FALSE))-E939)^2)+(((VLOOKUP($AT$4,$A$4:$N$1021,14,FALSE))-N939)^2)+(((VLOOKUP($AT$4,$A$4:$O$1021,15,FALSE))-O939)^2))</f>
        <v/>
      </c>
      <c r="AG939" s="129" t="n"/>
      <c r="AI939" s="129">
        <f>SQRT((((VLOOKUP($AT$4,$A$4:$D$1021,4,FALSE))-D939)^2)+(((VLOOKUP($AT$4,$A$4:$E$1021,5,FALSE))-E939)^2)+(((VLOOKUP($AT$4,$A$4:$R$1021,18,FALSE))-R939)^2)+(((VLOOKUP($AT$4,$A$4:$S$1021,19,FALSE))-S939)^2))</f>
        <v/>
      </c>
      <c r="AJ939" s="125" t="inlineStr">
        <is>
          <t>HY550X188</t>
        </is>
      </c>
      <c r="AK939" s="125" t="n"/>
      <c r="AL939" s="125" t="n"/>
      <c r="AM939" s="125">
        <f>SQRT(((VLOOKUP($AT$4,$A$4:$J$1021,10,FALSE))-J939)^2)</f>
        <v/>
      </c>
      <c r="AN939" s="125" t="n"/>
      <c r="AO939" s="125" t="n"/>
      <c r="AP939" s="125">
        <f>SQRT(((VLOOKUP($AT$4,$A$4:$R$1021,18,FALSE))-R939)^2)</f>
        <v/>
      </c>
      <c r="AQ939" s="125" t="inlineStr">
        <is>
          <t>HY550X188</t>
        </is>
      </c>
      <c r="BB939" s="125">
        <f>SQRT(($J$1022-J939)^2)</f>
        <v/>
      </c>
      <c r="BC939" s="125">
        <f>SQRT(($R$1022-R939)^2)</f>
        <v/>
      </c>
      <c r="BD939" s="125" t="inlineStr">
        <is>
          <t>HY550X188</t>
        </is>
      </c>
      <c r="BI939">
        <f>SQRT(($J$1023-J939)^2)</f>
        <v/>
      </c>
      <c r="BJ939">
        <f>SQRT(($R$1023-R939)^2)</f>
        <v/>
      </c>
      <c r="BK939" s="125" t="inlineStr">
        <is>
          <t>HY550X188</t>
        </is>
      </c>
      <c r="BP939">
        <f>SQRT(($J$1024-J939)^2)</f>
        <v/>
      </c>
      <c r="BQ939">
        <f>SQRT(($R$1024-R939)^2)</f>
        <v/>
      </c>
      <c r="BR939" s="125" t="inlineStr">
        <is>
          <t>HY550X188</t>
        </is>
      </c>
      <c r="BW939">
        <f>SQRT(($J$1025-J939)^2)</f>
        <v/>
      </c>
      <c r="BX939">
        <f>SQRT(($R$1025-R939)^2)</f>
        <v/>
      </c>
      <c r="BY939" s="125" t="inlineStr">
        <is>
          <t>HY550X188</t>
        </is>
      </c>
      <c r="CD939">
        <f>SQRT(($J$1026-J939)^2)</f>
        <v/>
      </c>
      <c r="CE939">
        <f>SQRT(($R$1026-R939)^2)</f>
        <v/>
      </c>
      <c r="CF939" s="125" t="inlineStr">
        <is>
          <t>HY550X188</t>
        </is>
      </c>
    </row>
    <row r="940">
      <c r="A940" s="125" t="inlineStr">
        <is>
          <t>HY550X173</t>
        </is>
      </c>
      <c r="B940" s="129" t="inlineStr">
        <is>
          <t>HY</t>
        </is>
      </c>
      <c r="C940" s="125" t="n">
        <v>173</v>
      </c>
      <c r="D940" s="125" t="n">
        <v>550</v>
      </c>
      <c r="E940" s="125" t="n">
        <v>250</v>
      </c>
      <c r="F940" s="125" t="n">
        <v>28</v>
      </c>
      <c r="G940" s="125" t="n">
        <v>16</v>
      </c>
      <c r="H940" s="125" t="n">
        <v>13</v>
      </c>
      <c r="I940" s="125">
        <f>D940-(2*(H940+F940))</f>
        <v/>
      </c>
      <c r="J940" s="125">
        <f>(2*E940/10*F940/10)+((D940-F940-F940)/10*G940/10)+((H940/10+H940/10)^2)-(PI()*H940/10*H940/10)</f>
        <v/>
      </c>
      <c r="K940" s="125">
        <f>((E940-G940)/2)/F940</f>
        <v/>
      </c>
      <c r="L940" s="125">
        <f>I940/G940</f>
        <v/>
      </c>
      <c r="M940" s="125">
        <f>(E940*2+F940*4+((E940-G940)/2-H940)*4+2*PI()*H940+(D940-2*F940-2*H940)*2)/1000</f>
        <v/>
      </c>
      <c r="N940" s="5" t="n">
        <v>112000</v>
      </c>
      <c r="O940" s="5" t="n">
        <v>7310</v>
      </c>
      <c r="P940" s="125" t="n">
        <v>22.6</v>
      </c>
      <c r="Q940" s="125" t="n">
        <v>5.8</v>
      </c>
      <c r="R940" s="5" t="n">
        <v>4090</v>
      </c>
      <c r="S940" s="125" t="n">
        <v>585</v>
      </c>
      <c r="T940" s="5" t="n">
        <v>4670</v>
      </c>
      <c r="U940" s="125" t="n">
        <v>908</v>
      </c>
      <c r="X940" s="129">
        <f t="array" ref="X940">_xlfn.IFS((D940/F940) &lt;= (640/SQRT($AT$32)), "Compact", L940 &lt;= ($AT$32*(0.79-(0.002*((E940-G940/2)/(2*F940))*SQRT($AT$32)))), "Non-Compact", L940 &gt; ($AT$32*(0.79-(0.002*((E940-G940/2)/(2*F940))*SQRT($AT$32)))), "Slender")</f>
        <v/>
      </c>
      <c r="Y940" s="129">
        <f t="array" ref="Y940">_xlfn.IFS(K940 &lt;= (65/SQRT($AT$32)), "Compact", K940 &lt;= (95/SQRT($AT$32)), "Non-Compact", K940 &gt; (95/SQRT($AT$32)), "Slender")</f>
        <v/>
      </c>
      <c r="Z940" s="125">
        <f>E940/F940</f>
        <v/>
      </c>
      <c r="AA940" s="125">
        <f>D940/G940</f>
        <v/>
      </c>
      <c r="AB940" s="125">
        <f t="array" ref="AB940">_xlfn.IFS(Z940 &lt;= 9, "1", Z940 &lt;= 12, "2", Z940 &lt;= 15, "3", Z940 &gt; 15, "4")</f>
        <v/>
      </c>
      <c r="AC940" s="125">
        <f t="array" ref="AC940">_xlfn.IFS(AA940 &lt;= 200, "1", L940 &lt;= 300, "2", L940 &lt;= 400, "3", L940 &gt; 400, "4")</f>
        <v/>
      </c>
      <c r="AF940" s="129">
        <f>SQRT((((VLOOKUP($AT$4,$A$4:$D$1021,4,FALSE))-D940)^2)+(((VLOOKUP($AT$4,$A$4:$E$1021,5,FALSE))-E940)^2)+(((VLOOKUP($AT$4,$A$4:$N$1021,14,FALSE))-N940)^2)+(((VLOOKUP($AT$4,$A$4:$O$1021,15,FALSE))-O940)^2))</f>
        <v/>
      </c>
      <c r="AG940" s="129" t="n"/>
      <c r="AI940" s="129">
        <f>SQRT((((VLOOKUP($AT$4,$A$4:$D$1021,4,FALSE))-D940)^2)+(((VLOOKUP($AT$4,$A$4:$E$1021,5,FALSE))-E940)^2)+(((VLOOKUP($AT$4,$A$4:$R$1021,18,FALSE))-R940)^2)+(((VLOOKUP($AT$4,$A$4:$S$1021,19,FALSE))-S940)^2))</f>
        <v/>
      </c>
      <c r="AJ940" s="125" t="inlineStr">
        <is>
          <t>HY550X173</t>
        </is>
      </c>
      <c r="AK940" s="125" t="n"/>
      <c r="AL940" s="125" t="n"/>
      <c r="AM940" s="125">
        <f>SQRT(((VLOOKUP($AT$4,$A$4:$J$1021,10,FALSE))-J940)^2)</f>
        <v/>
      </c>
      <c r="AN940" s="125" t="n"/>
      <c r="AO940" s="125" t="n"/>
      <c r="AP940" s="125">
        <f>SQRT(((VLOOKUP($AT$4,$A$4:$R$1021,18,FALSE))-R940)^2)</f>
        <v/>
      </c>
      <c r="AQ940" s="125" t="inlineStr">
        <is>
          <t>HY550X173</t>
        </is>
      </c>
      <c r="BB940" s="125">
        <f>SQRT(($J$1022-J940)^2)</f>
        <v/>
      </c>
      <c r="BC940" s="125">
        <f>SQRT(($R$1022-R940)^2)</f>
        <v/>
      </c>
      <c r="BD940" s="125" t="inlineStr">
        <is>
          <t>HY550X173</t>
        </is>
      </c>
      <c r="BI940">
        <f>SQRT(($J$1023-J940)^2)</f>
        <v/>
      </c>
      <c r="BJ940">
        <f>SQRT(($R$1023-R940)^2)</f>
        <v/>
      </c>
      <c r="BK940" s="125" t="inlineStr">
        <is>
          <t>HY550X173</t>
        </is>
      </c>
      <c r="BP940">
        <f>SQRT(($J$1024-J940)^2)</f>
        <v/>
      </c>
      <c r="BQ940">
        <f>SQRT(($R$1024-R940)^2)</f>
        <v/>
      </c>
      <c r="BR940" s="125" t="inlineStr">
        <is>
          <t>HY550X173</t>
        </is>
      </c>
      <c r="BW940">
        <f>SQRT(($J$1025-J940)^2)</f>
        <v/>
      </c>
      <c r="BX940">
        <f>SQRT(($R$1025-R940)^2)</f>
        <v/>
      </c>
      <c r="BY940" s="125" t="inlineStr">
        <is>
          <t>HY550X173</t>
        </is>
      </c>
      <c r="CD940">
        <f>SQRT(($J$1026-J940)^2)</f>
        <v/>
      </c>
      <c r="CE940">
        <f>SQRT(($R$1026-R940)^2)</f>
        <v/>
      </c>
      <c r="CF940" s="125" t="inlineStr">
        <is>
          <t>HY550X173</t>
        </is>
      </c>
    </row>
    <row r="941">
      <c r="A941" s="125" t="inlineStr">
        <is>
          <t>HY550X162</t>
        </is>
      </c>
      <c r="B941" s="129" t="inlineStr">
        <is>
          <t>HY</t>
        </is>
      </c>
      <c r="C941" s="125" t="n">
        <v>162</v>
      </c>
      <c r="D941" s="125" t="n">
        <v>550</v>
      </c>
      <c r="E941" s="125" t="n">
        <v>250</v>
      </c>
      <c r="F941" s="125" t="n">
        <v>25</v>
      </c>
      <c r="G941" s="125" t="n">
        <v>16</v>
      </c>
      <c r="H941" s="125" t="n">
        <v>13</v>
      </c>
      <c r="I941" s="125">
        <f>D941-(2*(H941+F941))</f>
        <v/>
      </c>
      <c r="J941" s="125">
        <f>(2*E941/10*F941/10)+((D941-F941-F941)/10*G941/10)+((H941/10+H941/10)^2)-(PI()*H941/10*H941/10)</f>
        <v/>
      </c>
      <c r="K941" s="125">
        <f>((E941-G941)/2)/F941</f>
        <v/>
      </c>
      <c r="L941" s="125">
        <f>I941/G941</f>
        <v/>
      </c>
      <c r="M941" s="125">
        <f>(E941*2+F941*4+((E941-G941)/2-H941)*4+2*PI()*H941+(D941-2*F941-2*H941)*2)/1000</f>
        <v/>
      </c>
      <c r="N941" s="5" t="n">
        <v>104000</v>
      </c>
      <c r="O941" s="5" t="n">
        <v>6530</v>
      </c>
      <c r="P941" s="125" t="n">
        <v>22.4</v>
      </c>
      <c r="Q941" s="125" t="n">
        <v>5.6</v>
      </c>
      <c r="R941" s="5" t="n">
        <v>3770</v>
      </c>
      <c r="S941" s="125" t="n">
        <v>522</v>
      </c>
      <c r="T941" s="5" t="n">
        <v>4320</v>
      </c>
      <c r="U941" s="125" t="n">
        <v>815</v>
      </c>
      <c r="X941" s="129">
        <f t="array" ref="X941">_xlfn.IFS((D941/F941) &lt;= (640/SQRT($AT$32)), "Compact", L941 &lt;= ($AT$32*(0.79-(0.002*((E941-G941/2)/(2*F941))*SQRT($AT$32)))), "Non-Compact", L941 &gt; ($AT$32*(0.79-(0.002*((E941-G941/2)/(2*F941))*SQRT($AT$32)))), "Slender")</f>
        <v/>
      </c>
      <c r="Y941" s="129">
        <f t="array" ref="Y941">_xlfn.IFS(K941 &lt;= (65/SQRT($AT$32)), "Compact", K941 &lt;= (95/SQRT($AT$32)), "Non-Compact", K941 &gt; (95/SQRT($AT$32)), "Slender")</f>
        <v/>
      </c>
      <c r="Z941" s="125">
        <f>E941/F941</f>
        <v/>
      </c>
      <c r="AA941" s="125">
        <f>D941/G941</f>
        <v/>
      </c>
      <c r="AB941" s="125">
        <f t="array" ref="AB941">_xlfn.IFS(Z941 &lt;= 9, "1", Z941 &lt;= 12, "2", Z941 &lt;= 15, "3", Z941 &gt; 15, "4")</f>
        <v/>
      </c>
      <c r="AC941" s="125">
        <f t="array" ref="AC941">_xlfn.IFS(AA941 &lt;= 200, "1", L941 &lt;= 300, "2", L941 &lt;= 400, "3", L941 &gt; 400, "4")</f>
        <v/>
      </c>
      <c r="AF941" s="129">
        <f>SQRT((((VLOOKUP($AT$4,$A$4:$D$1021,4,FALSE))-D941)^2)+(((VLOOKUP($AT$4,$A$4:$E$1021,5,FALSE))-E941)^2)+(((VLOOKUP($AT$4,$A$4:$N$1021,14,FALSE))-N941)^2)+(((VLOOKUP($AT$4,$A$4:$O$1021,15,FALSE))-O941)^2))</f>
        <v/>
      </c>
      <c r="AG941" s="129" t="n"/>
      <c r="AI941" s="129">
        <f>SQRT((((VLOOKUP($AT$4,$A$4:$D$1021,4,FALSE))-D941)^2)+(((VLOOKUP($AT$4,$A$4:$E$1021,5,FALSE))-E941)^2)+(((VLOOKUP($AT$4,$A$4:$R$1021,18,FALSE))-R941)^2)+(((VLOOKUP($AT$4,$A$4:$S$1021,19,FALSE))-S941)^2))</f>
        <v/>
      </c>
      <c r="AJ941" s="125" t="inlineStr">
        <is>
          <t>HY550X162</t>
        </is>
      </c>
      <c r="AK941" s="125" t="n"/>
      <c r="AL941" s="125" t="n"/>
      <c r="AM941" s="125">
        <f>SQRT(((VLOOKUP($AT$4,$A$4:$J$1021,10,FALSE))-J941)^2)</f>
        <v/>
      </c>
      <c r="AN941" s="125" t="n"/>
      <c r="AO941" s="125" t="n"/>
      <c r="AP941" s="125">
        <f>SQRT(((VLOOKUP($AT$4,$A$4:$R$1021,18,FALSE))-R941)^2)</f>
        <v/>
      </c>
      <c r="AQ941" s="125" t="inlineStr">
        <is>
          <t>HY550X162</t>
        </is>
      </c>
      <c r="BB941" s="125">
        <f>SQRT(($J$1022-J941)^2)</f>
        <v/>
      </c>
      <c r="BC941" s="125">
        <f>SQRT(($R$1022-R941)^2)</f>
        <v/>
      </c>
      <c r="BD941" s="125" t="inlineStr">
        <is>
          <t>HY550X162</t>
        </is>
      </c>
      <c r="BI941">
        <f>SQRT(($J$1023-J941)^2)</f>
        <v/>
      </c>
      <c r="BJ941">
        <f>SQRT(($R$1023-R941)^2)</f>
        <v/>
      </c>
      <c r="BK941" s="125" t="inlineStr">
        <is>
          <t>HY550X162</t>
        </is>
      </c>
      <c r="BP941">
        <f>SQRT(($J$1024-J941)^2)</f>
        <v/>
      </c>
      <c r="BQ941">
        <f>SQRT(($R$1024-R941)^2)</f>
        <v/>
      </c>
      <c r="BR941" s="125" t="inlineStr">
        <is>
          <t>HY550X162</t>
        </is>
      </c>
      <c r="BW941">
        <f>SQRT(($J$1025-J941)^2)</f>
        <v/>
      </c>
      <c r="BX941">
        <f>SQRT(($R$1025-R941)^2)</f>
        <v/>
      </c>
      <c r="BY941" s="125" t="inlineStr">
        <is>
          <t>HY550X162</t>
        </is>
      </c>
      <c r="CD941">
        <f>SQRT(($J$1026-J941)^2)</f>
        <v/>
      </c>
      <c r="CE941">
        <f>SQRT(($R$1026-R941)^2)</f>
        <v/>
      </c>
      <c r="CF941" s="125" t="inlineStr">
        <is>
          <t>HY550X162</t>
        </is>
      </c>
    </row>
    <row r="942">
      <c r="A942" s="125" t="inlineStr">
        <is>
          <t>HY550X151</t>
        </is>
      </c>
      <c r="B942" s="129" t="inlineStr">
        <is>
          <t>HY</t>
        </is>
      </c>
      <c r="C942" s="125" t="n">
        <v>151</v>
      </c>
      <c r="D942" s="125" t="n">
        <v>550</v>
      </c>
      <c r="E942" s="125" t="n">
        <v>250</v>
      </c>
      <c r="F942" s="125" t="n">
        <v>22</v>
      </c>
      <c r="G942" s="125" t="n">
        <v>16</v>
      </c>
      <c r="H942" s="125" t="n">
        <v>13</v>
      </c>
      <c r="I942" s="125">
        <f>D942-(2*(H942+F942))</f>
        <v/>
      </c>
      <c r="J942" s="125">
        <f>(2*E942/10*F942/10)+((D942-F942-F942)/10*G942/10)+((H942/10+H942/10)^2)-(PI()*H942/10*H942/10)</f>
        <v/>
      </c>
      <c r="K942" s="125">
        <f>((E942-G942)/2)/F942</f>
        <v/>
      </c>
      <c r="L942" s="125">
        <f>I942/G942</f>
        <v/>
      </c>
      <c r="M942" s="125">
        <f>(E942*2+F942*4+((E942-G942)/2-H942)*4+2*PI()*H942+(D942-2*F942-2*H942)*2)/1000</f>
        <v/>
      </c>
      <c r="N942" s="5" t="n">
        <v>94900</v>
      </c>
      <c r="O942" s="5" t="n">
        <v>5750</v>
      </c>
      <c r="P942" s="125" t="n">
        <v>22.2</v>
      </c>
      <c r="Q942" s="125" t="n">
        <v>5.5</v>
      </c>
      <c r="R942" s="5" t="n">
        <v>3450</v>
      </c>
      <c r="S942" s="125" t="n">
        <v>460</v>
      </c>
      <c r="T942" s="5" t="n">
        <v>3960</v>
      </c>
      <c r="U942" s="125" t="n">
        <v>721</v>
      </c>
      <c r="X942" s="129">
        <f t="array" ref="X942">_xlfn.IFS((D942/F942) &lt;= (640/SQRT($AT$32)), "Compact", L942 &lt;= ($AT$32*(0.79-(0.002*((E942-G942/2)/(2*F942))*SQRT($AT$32)))), "Non-Compact", L942 &gt; ($AT$32*(0.79-(0.002*((E942-G942/2)/(2*F942))*SQRT($AT$32)))), "Slender")</f>
        <v/>
      </c>
      <c r="Y942" s="129">
        <f t="array" ref="Y942">_xlfn.IFS(K942 &lt;= (65/SQRT($AT$32)), "Compact", K942 &lt;= (95/SQRT($AT$32)), "Non-Compact", K942 &gt; (95/SQRT($AT$32)), "Slender")</f>
        <v/>
      </c>
      <c r="Z942" s="125">
        <f>E942/F942</f>
        <v/>
      </c>
      <c r="AA942" s="125">
        <f>D942/G942</f>
        <v/>
      </c>
      <c r="AB942" s="125">
        <f t="array" ref="AB942">_xlfn.IFS(Z942 &lt;= 9, "1", Z942 &lt;= 12, "2", Z942 &lt;= 15, "3", Z942 &gt; 15, "4")</f>
        <v/>
      </c>
      <c r="AC942" s="125">
        <f t="array" ref="AC942">_xlfn.IFS(AA942 &lt;= 200, "1", L942 &lt;= 300, "2", L942 &lt;= 400, "3", L942 &gt; 400, "4")</f>
        <v/>
      </c>
      <c r="AF942" s="129">
        <f>SQRT((((VLOOKUP($AT$4,$A$4:$D$1021,4,FALSE))-D942)^2)+(((VLOOKUP($AT$4,$A$4:$E$1021,5,FALSE))-E942)^2)+(((VLOOKUP($AT$4,$A$4:$N$1021,14,FALSE))-N942)^2)+(((VLOOKUP($AT$4,$A$4:$O$1021,15,FALSE))-O942)^2))</f>
        <v/>
      </c>
      <c r="AG942" s="129" t="n"/>
      <c r="AI942" s="129">
        <f>SQRT((((VLOOKUP($AT$4,$A$4:$D$1021,4,FALSE))-D942)^2)+(((VLOOKUP($AT$4,$A$4:$E$1021,5,FALSE))-E942)^2)+(((VLOOKUP($AT$4,$A$4:$R$1021,18,FALSE))-R942)^2)+(((VLOOKUP($AT$4,$A$4:$S$1021,19,FALSE))-S942)^2))</f>
        <v/>
      </c>
      <c r="AJ942" s="125" t="inlineStr">
        <is>
          <t>HY550X151</t>
        </is>
      </c>
      <c r="AK942" s="125" t="n"/>
      <c r="AL942" s="125" t="n"/>
      <c r="AM942" s="125">
        <f>SQRT(((VLOOKUP($AT$4,$A$4:$J$1021,10,FALSE))-J942)^2)</f>
        <v/>
      </c>
      <c r="AN942" s="125" t="n"/>
      <c r="AO942" s="125" t="n"/>
      <c r="AP942" s="125">
        <f>SQRT(((VLOOKUP($AT$4,$A$4:$R$1021,18,FALSE))-R942)^2)</f>
        <v/>
      </c>
      <c r="AQ942" s="125" t="inlineStr">
        <is>
          <t>HY550X151</t>
        </is>
      </c>
      <c r="BB942" s="125">
        <f>SQRT(($J$1022-J942)^2)</f>
        <v/>
      </c>
      <c r="BC942" s="125">
        <f>SQRT(($R$1022-R942)^2)</f>
        <v/>
      </c>
      <c r="BD942" s="125" t="inlineStr">
        <is>
          <t>HY550X151</t>
        </is>
      </c>
      <c r="BI942">
        <f>SQRT(($J$1023-J942)^2)</f>
        <v/>
      </c>
      <c r="BJ942">
        <f>SQRT(($R$1023-R942)^2)</f>
        <v/>
      </c>
      <c r="BK942" s="125" t="inlineStr">
        <is>
          <t>HY550X151</t>
        </is>
      </c>
      <c r="BP942">
        <f>SQRT(($J$1024-J942)^2)</f>
        <v/>
      </c>
      <c r="BQ942">
        <f>SQRT(($R$1024-R942)^2)</f>
        <v/>
      </c>
      <c r="BR942" s="125" t="inlineStr">
        <is>
          <t>HY550X151</t>
        </is>
      </c>
      <c r="BW942">
        <f>SQRT(($J$1025-J942)^2)</f>
        <v/>
      </c>
      <c r="BX942">
        <f>SQRT(($R$1025-R942)^2)</f>
        <v/>
      </c>
      <c r="BY942" s="125" t="inlineStr">
        <is>
          <t>HY550X151</t>
        </is>
      </c>
      <c r="CD942">
        <f>SQRT(($J$1026-J942)^2)</f>
        <v/>
      </c>
      <c r="CE942">
        <f>SQRT(($R$1026-R942)^2)</f>
        <v/>
      </c>
      <c r="CF942" s="125" t="inlineStr">
        <is>
          <t>HY550X151</t>
        </is>
      </c>
    </row>
    <row r="943">
      <c r="A943" s="125" t="inlineStr">
        <is>
          <t>HY550X158</t>
        </is>
      </c>
      <c r="B943" s="129" t="inlineStr">
        <is>
          <t>HY</t>
        </is>
      </c>
      <c r="C943" s="125" t="n">
        <v>158</v>
      </c>
      <c r="D943" s="125" t="n">
        <v>550</v>
      </c>
      <c r="E943" s="125" t="n">
        <v>250</v>
      </c>
      <c r="F943" s="125" t="n">
        <v>28</v>
      </c>
      <c r="G943" s="125" t="n">
        <v>12</v>
      </c>
      <c r="H943" s="125" t="n">
        <v>13</v>
      </c>
      <c r="I943" s="125">
        <f>D943-(2*(H943+F943))</f>
        <v/>
      </c>
      <c r="J943" s="125">
        <f>(2*E943/10*F943/10)+((D943-F943-F943)/10*G943/10)+((H943/10+H943/10)^2)-(PI()*H943/10*H943/10)</f>
        <v/>
      </c>
      <c r="K943" s="125">
        <f>((E943-G943)/2)/F943</f>
        <v/>
      </c>
      <c r="L943" s="125">
        <f>I943/G943</f>
        <v/>
      </c>
      <c r="M943" s="125">
        <f>(E943*2+F943*4+((E943-G943)/2-H943)*4+2*PI()*H943+(D943-2*F943-2*H943)*2)/1000</f>
        <v/>
      </c>
      <c r="N943" s="5" t="n">
        <v>108000</v>
      </c>
      <c r="O943" s="5" t="n">
        <v>7300</v>
      </c>
      <c r="P943" s="125" t="n">
        <v>23.2</v>
      </c>
      <c r="Q943" s="125" t="n">
        <v>6</v>
      </c>
      <c r="R943" s="5" t="n">
        <v>3940</v>
      </c>
      <c r="S943" s="125" t="n">
        <v>584</v>
      </c>
      <c r="T943" s="5" t="n">
        <v>4420</v>
      </c>
      <c r="U943" s="125" t="n">
        <v>894</v>
      </c>
      <c r="X943" s="129">
        <f t="array" ref="X943">_xlfn.IFS((D943/F943) &lt;= (640/SQRT($AT$32)), "Compact", L943 &lt;= ($AT$32*(0.79-(0.002*((E943-G943/2)/(2*F943))*SQRT($AT$32)))), "Non-Compact", L943 &gt; ($AT$32*(0.79-(0.002*((E943-G943/2)/(2*F943))*SQRT($AT$32)))), "Slender")</f>
        <v/>
      </c>
      <c r="Y943" s="129">
        <f t="array" ref="Y943">_xlfn.IFS(K943 &lt;= (65/SQRT($AT$32)), "Compact", K943 &lt;= (95/SQRT($AT$32)), "Non-Compact", K943 &gt; (95/SQRT($AT$32)), "Slender")</f>
        <v/>
      </c>
      <c r="Z943" s="125">
        <f>E943/F943</f>
        <v/>
      </c>
      <c r="AA943" s="125">
        <f>D943/G943</f>
        <v/>
      </c>
      <c r="AB943" s="125">
        <f t="array" ref="AB943">_xlfn.IFS(Z943 &lt;= 9, "1", Z943 &lt;= 12, "2", Z943 &lt;= 15, "3", Z943 &gt; 15, "4")</f>
        <v/>
      </c>
      <c r="AC943" s="125">
        <f t="array" ref="AC943">_xlfn.IFS(AA943 &lt;= 200, "1", L943 &lt;= 300, "2", L943 &lt;= 400, "3", L943 &gt; 400, "4")</f>
        <v/>
      </c>
      <c r="AF943" s="129">
        <f>SQRT((((VLOOKUP($AT$4,$A$4:$D$1021,4,FALSE))-D943)^2)+(((VLOOKUP($AT$4,$A$4:$E$1021,5,FALSE))-E943)^2)+(((VLOOKUP($AT$4,$A$4:$N$1021,14,FALSE))-N943)^2)+(((VLOOKUP($AT$4,$A$4:$O$1021,15,FALSE))-O943)^2))</f>
        <v/>
      </c>
      <c r="AG943" s="129" t="n"/>
      <c r="AI943" s="129">
        <f>SQRT((((VLOOKUP($AT$4,$A$4:$D$1021,4,FALSE))-D943)^2)+(((VLOOKUP($AT$4,$A$4:$E$1021,5,FALSE))-E943)^2)+(((VLOOKUP($AT$4,$A$4:$R$1021,18,FALSE))-R943)^2)+(((VLOOKUP($AT$4,$A$4:$S$1021,19,FALSE))-S943)^2))</f>
        <v/>
      </c>
      <c r="AJ943" s="125" t="inlineStr">
        <is>
          <t>HY550X158</t>
        </is>
      </c>
      <c r="AK943" s="125" t="n"/>
      <c r="AL943" s="125" t="n"/>
      <c r="AM943" s="125">
        <f>SQRT(((VLOOKUP($AT$4,$A$4:$J$1021,10,FALSE))-J943)^2)</f>
        <v/>
      </c>
      <c r="AN943" s="125" t="n"/>
      <c r="AO943" s="125" t="n"/>
      <c r="AP943" s="125">
        <f>SQRT(((VLOOKUP($AT$4,$A$4:$R$1021,18,FALSE))-R943)^2)</f>
        <v/>
      </c>
      <c r="AQ943" s="125" t="inlineStr">
        <is>
          <t>HY550X158</t>
        </is>
      </c>
      <c r="BB943" s="125">
        <f>SQRT(($J$1022-J943)^2)</f>
        <v/>
      </c>
      <c r="BC943" s="125">
        <f>SQRT(($R$1022-R943)^2)</f>
        <v/>
      </c>
      <c r="BD943" s="125" t="inlineStr">
        <is>
          <t>HY550X158</t>
        </is>
      </c>
      <c r="BI943">
        <f>SQRT(($J$1023-J943)^2)</f>
        <v/>
      </c>
      <c r="BJ943">
        <f>SQRT(($R$1023-R943)^2)</f>
        <v/>
      </c>
      <c r="BK943" s="125" t="inlineStr">
        <is>
          <t>HY550X158</t>
        </is>
      </c>
      <c r="BP943">
        <f>SQRT(($J$1024-J943)^2)</f>
        <v/>
      </c>
      <c r="BQ943">
        <f>SQRT(($R$1024-R943)^2)</f>
        <v/>
      </c>
      <c r="BR943" s="125" t="inlineStr">
        <is>
          <t>HY550X158</t>
        </is>
      </c>
      <c r="BW943">
        <f>SQRT(($J$1025-J943)^2)</f>
        <v/>
      </c>
      <c r="BX943">
        <f>SQRT(($R$1025-R943)^2)</f>
        <v/>
      </c>
      <c r="BY943" s="125" t="inlineStr">
        <is>
          <t>HY550X158</t>
        </is>
      </c>
      <c r="CD943">
        <f>SQRT(($J$1026-J943)^2)</f>
        <v/>
      </c>
      <c r="CE943">
        <f>SQRT(($R$1026-R943)^2)</f>
        <v/>
      </c>
      <c r="CF943" s="125" t="inlineStr">
        <is>
          <t>HY550X158</t>
        </is>
      </c>
    </row>
    <row r="944">
      <c r="A944" s="125" t="inlineStr">
        <is>
          <t>HY550X146</t>
        </is>
      </c>
      <c r="B944" s="129" t="inlineStr">
        <is>
          <t>HY</t>
        </is>
      </c>
      <c r="C944" s="125" t="n">
        <v>146</v>
      </c>
      <c r="D944" s="125" t="n">
        <v>550</v>
      </c>
      <c r="E944" s="125" t="n">
        <v>250</v>
      </c>
      <c r="F944" s="125" t="n">
        <v>25</v>
      </c>
      <c r="G944" s="125" t="n">
        <v>12</v>
      </c>
      <c r="H944" s="125" t="n">
        <v>13</v>
      </c>
      <c r="I944" s="125">
        <f>D944-(2*(H944+F944))</f>
        <v/>
      </c>
      <c r="J944" s="125">
        <f>(2*E944/10*F944/10)+((D944-F944-F944)/10*G944/10)+((H944/10+H944/10)^2)-(PI()*H944/10*H944/10)</f>
        <v/>
      </c>
      <c r="K944" s="125">
        <f>((E944-G944)/2)/F944</f>
        <v/>
      </c>
      <c r="L944" s="125">
        <f>I944/G944</f>
        <v/>
      </c>
      <c r="M944" s="125">
        <f>(E944*2+F944*4+((E944-G944)/2-H944)*4+2*PI()*H944+(D944-2*F944-2*H944)*2)/1000</f>
        <v/>
      </c>
      <c r="N944" s="5" t="n">
        <v>99600</v>
      </c>
      <c r="O944" s="5" t="n">
        <v>6520</v>
      </c>
      <c r="P944" s="125" t="n">
        <v>23.1</v>
      </c>
      <c r="Q944" s="125" t="n">
        <v>5.9</v>
      </c>
      <c r="R944" s="5" t="n">
        <v>3620</v>
      </c>
      <c r="S944" s="125" t="n">
        <v>522</v>
      </c>
      <c r="T944" s="5" t="n">
        <v>4070</v>
      </c>
      <c r="U944" s="125" t="n">
        <v>801</v>
      </c>
      <c r="X944" s="129">
        <f t="array" ref="X944">_xlfn.IFS((D944/F944) &lt;= (640/SQRT($AT$32)), "Compact", L944 &lt;= ($AT$32*(0.79-(0.002*((E944-G944/2)/(2*F944))*SQRT($AT$32)))), "Non-Compact", L944 &gt; ($AT$32*(0.79-(0.002*((E944-G944/2)/(2*F944))*SQRT($AT$32)))), "Slender")</f>
        <v/>
      </c>
      <c r="Y944" s="129">
        <f t="array" ref="Y944">_xlfn.IFS(K944 &lt;= (65/SQRT($AT$32)), "Compact", K944 &lt;= (95/SQRT($AT$32)), "Non-Compact", K944 &gt; (95/SQRT($AT$32)), "Slender")</f>
        <v/>
      </c>
      <c r="Z944" s="125">
        <f>E944/F944</f>
        <v/>
      </c>
      <c r="AA944" s="125">
        <f>D944/G944</f>
        <v/>
      </c>
      <c r="AB944" s="125">
        <f t="array" ref="AB944">_xlfn.IFS(Z944 &lt;= 9, "1", Z944 &lt;= 12, "2", Z944 &lt;= 15, "3", Z944 &gt; 15, "4")</f>
        <v/>
      </c>
      <c r="AC944" s="125">
        <f t="array" ref="AC944">_xlfn.IFS(AA944 &lt;= 200, "1", L944 &lt;= 300, "2", L944 &lt;= 400, "3", L944 &gt; 400, "4")</f>
        <v/>
      </c>
      <c r="AF944" s="129">
        <f>SQRT((((VLOOKUP($AT$4,$A$4:$D$1021,4,FALSE))-D944)^2)+(((VLOOKUP($AT$4,$A$4:$E$1021,5,FALSE))-E944)^2)+(((VLOOKUP($AT$4,$A$4:$N$1021,14,FALSE))-N944)^2)+(((VLOOKUP($AT$4,$A$4:$O$1021,15,FALSE))-O944)^2))</f>
        <v/>
      </c>
      <c r="AG944" s="129" t="n"/>
      <c r="AI944" s="129">
        <f>SQRT((((VLOOKUP($AT$4,$A$4:$D$1021,4,FALSE))-D944)^2)+(((VLOOKUP($AT$4,$A$4:$E$1021,5,FALSE))-E944)^2)+(((VLOOKUP($AT$4,$A$4:$R$1021,18,FALSE))-R944)^2)+(((VLOOKUP($AT$4,$A$4:$S$1021,19,FALSE))-S944)^2))</f>
        <v/>
      </c>
      <c r="AJ944" s="125" t="inlineStr">
        <is>
          <t>HY550X146</t>
        </is>
      </c>
      <c r="AK944" s="125" t="n"/>
      <c r="AL944" s="125" t="n"/>
      <c r="AM944" s="125">
        <f>SQRT(((VLOOKUP($AT$4,$A$4:$J$1021,10,FALSE))-J944)^2)</f>
        <v/>
      </c>
      <c r="AN944" s="125" t="n"/>
      <c r="AO944" s="125" t="n"/>
      <c r="AP944" s="125">
        <f>SQRT(((VLOOKUP($AT$4,$A$4:$R$1021,18,FALSE))-R944)^2)</f>
        <v/>
      </c>
      <c r="AQ944" s="125" t="inlineStr">
        <is>
          <t>HY550X146</t>
        </is>
      </c>
      <c r="BB944" s="125">
        <f>SQRT(($J$1022-J944)^2)</f>
        <v/>
      </c>
      <c r="BC944" s="125">
        <f>SQRT(($R$1022-R944)^2)</f>
        <v/>
      </c>
      <c r="BD944" s="125" t="inlineStr">
        <is>
          <t>HY550X146</t>
        </is>
      </c>
      <c r="BI944">
        <f>SQRT(($J$1023-J944)^2)</f>
        <v/>
      </c>
      <c r="BJ944">
        <f>SQRT(($R$1023-R944)^2)</f>
        <v/>
      </c>
      <c r="BK944" s="125" t="inlineStr">
        <is>
          <t>HY550X146</t>
        </is>
      </c>
      <c r="BP944">
        <f>SQRT(($J$1024-J944)^2)</f>
        <v/>
      </c>
      <c r="BQ944">
        <f>SQRT(($R$1024-R944)^2)</f>
        <v/>
      </c>
      <c r="BR944" s="125" t="inlineStr">
        <is>
          <t>HY550X146</t>
        </is>
      </c>
      <c r="BW944">
        <f>SQRT(($J$1025-J944)^2)</f>
        <v/>
      </c>
      <c r="BX944">
        <f>SQRT(($R$1025-R944)^2)</f>
        <v/>
      </c>
      <c r="BY944" s="125" t="inlineStr">
        <is>
          <t>HY550X146</t>
        </is>
      </c>
      <c r="CD944">
        <f>SQRT(($J$1026-J944)^2)</f>
        <v/>
      </c>
      <c r="CE944">
        <f>SQRT(($R$1026-R944)^2)</f>
        <v/>
      </c>
      <c r="CF944" s="125" t="inlineStr">
        <is>
          <t>HY550X146</t>
        </is>
      </c>
    </row>
    <row r="945">
      <c r="A945" s="125" t="inlineStr">
        <is>
          <t>HY550X135</t>
        </is>
      </c>
      <c r="B945" s="129" t="inlineStr">
        <is>
          <t>HY</t>
        </is>
      </c>
      <c r="C945" s="125" t="n">
        <v>135</v>
      </c>
      <c r="D945" s="125" t="n">
        <v>550</v>
      </c>
      <c r="E945" s="125" t="n">
        <v>250</v>
      </c>
      <c r="F945" s="125" t="n">
        <v>22</v>
      </c>
      <c r="G945" s="125" t="n">
        <v>12</v>
      </c>
      <c r="H945" s="125" t="n">
        <v>13</v>
      </c>
      <c r="I945" s="125">
        <f>D945-(2*(H945+F945))</f>
        <v/>
      </c>
      <c r="J945" s="125">
        <f>(2*E945/10*F945/10)+((D945-F945-F945)/10*G945/10)+((H945/10+H945/10)^2)-(PI()*H945/10*H945/10)</f>
        <v/>
      </c>
      <c r="K945" s="125">
        <f>((E945-G945)/2)/F945</f>
        <v/>
      </c>
      <c r="L945" s="125">
        <f>I945/G945</f>
        <v/>
      </c>
      <c r="M945" s="125">
        <f>(E945*2+F945*4+((E945-G945)/2-H945)*4+2*PI()*H945+(D945-2*F945-2*H945)*2)/1000</f>
        <v/>
      </c>
      <c r="N945" s="5" t="n">
        <v>90600</v>
      </c>
      <c r="O945" s="5" t="n">
        <v>5740</v>
      </c>
      <c r="P945" s="125" t="n">
        <v>22.9</v>
      </c>
      <c r="Q945" s="125" t="n">
        <v>5.8</v>
      </c>
      <c r="R945" s="5" t="n">
        <v>3290</v>
      </c>
      <c r="S945" s="125" t="n">
        <v>459</v>
      </c>
      <c r="T945" s="5" t="n">
        <v>3710</v>
      </c>
      <c r="U945" s="125" t="n">
        <v>707</v>
      </c>
      <c r="X945" s="129">
        <f t="array" ref="X945">_xlfn.IFS((D945/F945) &lt;= (640/SQRT($AT$32)), "Compact", L945 &lt;= ($AT$32*(0.79-(0.002*((E945-G945/2)/(2*F945))*SQRT($AT$32)))), "Non-Compact", L945 &gt; ($AT$32*(0.79-(0.002*((E945-G945/2)/(2*F945))*SQRT($AT$32)))), "Slender")</f>
        <v/>
      </c>
      <c r="Y945" s="129">
        <f t="array" ref="Y945">_xlfn.IFS(K945 &lt;= (65/SQRT($AT$32)), "Compact", K945 &lt;= (95/SQRT($AT$32)), "Non-Compact", K945 &gt; (95/SQRT($AT$32)), "Slender")</f>
        <v/>
      </c>
      <c r="Z945" s="125">
        <f>E945/F945</f>
        <v/>
      </c>
      <c r="AA945" s="125">
        <f>D945/G945</f>
        <v/>
      </c>
      <c r="AB945" s="125">
        <f t="array" ref="AB945">_xlfn.IFS(Z945 &lt;= 9, "1", Z945 &lt;= 12, "2", Z945 &lt;= 15, "3", Z945 &gt; 15, "4")</f>
        <v/>
      </c>
      <c r="AC945" s="125">
        <f t="array" ref="AC945">_xlfn.IFS(AA945 &lt;= 200, "1", L945 &lt;= 300, "2", L945 &lt;= 400, "3", L945 &gt; 400, "4")</f>
        <v/>
      </c>
      <c r="AF945" s="129">
        <f>SQRT((((VLOOKUP($AT$4,$A$4:$D$1021,4,FALSE))-D945)^2)+(((VLOOKUP($AT$4,$A$4:$E$1021,5,FALSE))-E945)^2)+(((VLOOKUP($AT$4,$A$4:$N$1021,14,FALSE))-N945)^2)+(((VLOOKUP($AT$4,$A$4:$O$1021,15,FALSE))-O945)^2))</f>
        <v/>
      </c>
      <c r="AG945" s="129" t="n"/>
      <c r="AI945" s="129">
        <f>SQRT((((VLOOKUP($AT$4,$A$4:$D$1021,4,FALSE))-D945)^2)+(((VLOOKUP($AT$4,$A$4:$E$1021,5,FALSE))-E945)^2)+(((VLOOKUP($AT$4,$A$4:$R$1021,18,FALSE))-R945)^2)+(((VLOOKUP($AT$4,$A$4:$S$1021,19,FALSE))-S945)^2))</f>
        <v/>
      </c>
      <c r="AJ945" s="125" t="inlineStr">
        <is>
          <t>HY550X135</t>
        </is>
      </c>
      <c r="AK945" s="125" t="n"/>
      <c r="AL945" s="125" t="n"/>
      <c r="AM945" s="125">
        <f>SQRT(((VLOOKUP($AT$4,$A$4:$J$1021,10,FALSE))-J945)^2)</f>
        <v/>
      </c>
      <c r="AN945" s="125" t="n"/>
      <c r="AO945" s="125" t="n"/>
      <c r="AP945" s="125">
        <f>SQRT(((VLOOKUP($AT$4,$A$4:$R$1021,18,FALSE))-R945)^2)</f>
        <v/>
      </c>
      <c r="AQ945" s="125" t="inlineStr">
        <is>
          <t>HY550X135</t>
        </is>
      </c>
      <c r="BB945" s="125">
        <f>SQRT(($J$1022-J945)^2)</f>
        <v/>
      </c>
      <c r="BC945" s="125">
        <f>SQRT(($R$1022-R945)^2)</f>
        <v/>
      </c>
      <c r="BD945" s="125" t="inlineStr">
        <is>
          <t>HY550X135</t>
        </is>
      </c>
      <c r="BI945">
        <f>SQRT(($J$1023-J945)^2)</f>
        <v/>
      </c>
      <c r="BJ945">
        <f>SQRT(($R$1023-R945)^2)</f>
        <v/>
      </c>
      <c r="BK945" s="125" t="inlineStr">
        <is>
          <t>HY550X135</t>
        </is>
      </c>
      <c r="BP945">
        <f>SQRT(($J$1024-J945)^2)</f>
        <v/>
      </c>
      <c r="BQ945">
        <f>SQRT(($R$1024-R945)^2)</f>
        <v/>
      </c>
      <c r="BR945" s="125" t="inlineStr">
        <is>
          <t>HY550X135</t>
        </is>
      </c>
      <c r="BW945">
        <f>SQRT(($J$1025-J945)^2)</f>
        <v/>
      </c>
      <c r="BX945">
        <f>SQRT(($R$1025-R945)^2)</f>
        <v/>
      </c>
      <c r="BY945" s="125" t="inlineStr">
        <is>
          <t>HY550X135</t>
        </is>
      </c>
      <c r="CD945">
        <f>SQRT(($J$1026-J945)^2)</f>
        <v/>
      </c>
      <c r="CE945">
        <f>SQRT(($R$1026-R945)^2)</f>
        <v/>
      </c>
      <c r="CF945" s="125" t="inlineStr">
        <is>
          <t>HY550X135</t>
        </is>
      </c>
    </row>
    <row r="946">
      <c r="A946" s="125" t="inlineStr">
        <is>
          <t>HY550X124</t>
        </is>
      </c>
      <c r="B946" s="129" t="inlineStr">
        <is>
          <t>HY</t>
        </is>
      </c>
      <c r="C946" s="125" t="n">
        <v>124</v>
      </c>
      <c r="D946" s="125" t="n">
        <v>550</v>
      </c>
      <c r="E946" s="125" t="n">
        <v>250</v>
      </c>
      <c r="F946" s="125" t="n">
        <v>19</v>
      </c>
      <c r="G946" s="125" t="n">
        <v>12</v>
      </c>
      <c r="H946" s="125" t="n">
        <v>13</v>
      </c>
      <c r="I946" s="125">
        <f>D946-(2*(H946+F946))</f>
        <v/>
      </c>
      <c r="J946" s="125">
        <f>(2*E946/10*F946/10)+((D946-F946-F946)/10*G946/10)+((H946/10+H946/10)^2)-(PI()*H946/10*H946/10)</f>
        <v/>
      </c>
      <c r="K946" s="125">
        <f>((E946-G946)/2)/F946</f>
        <v/>
      </c>
      <c r="L946" s="125">
        <f>I946/G946</f>
        <v/>
      </c>
      <c r="M946" s="125">
        <f>(E946*2+F946*4+((E946-G946)/2-H946)*4+2*PI()*H946+(D946-2*F946-2*H946)*2)/1000</f>
        <v/>
      </c>
      <c r="N946" s="5" t="n">
        <v>81300</v>
      </c>
      <c r="O946" s="5" t="n">
        <v>4960</v>
      </c>
      <c r="P946" s="125" t="n">
        <v>22.7</v>
      </c>
      <c r="Q946" s="125" t="n">
        <v>5.6</v>
      </c>
      <c r="R946" s="5" t="n">
        <v>2960</v>
      </c>
      <c r="S946" s="125" t="n">
        <v>397</v>
      </c>
      <c r="T946" s="5" t="n">
        <v>3350</v>
      </c>
      <c r="U946" s="125" t="n">
        <v>613</v>
      </c>
      <c r="X946" s="129">
        <f t="array" ref="X946">_xlfn.IFS((D946/F946) &lt;= (640/SQRT($AT$32)), "Compact", L946 &lt;= ($AT$32*(0.79-(0.002*((E946-G946/2)/(2*F946))*SQRT($AT$32)))), "Non-Compact", L946 &gt; ($AT$32*(0.79-(0.002*((E946-G946/2)/(2*F946))*SQRT($AT$32)))), "Slender")</f>
        <v/>
      </c>
      <c r="Y946" s="129">
        <f t="array" ref="Y946">_xlfn.IFS(K946 &lt;= (65/SQRT($AT$32)), "Compact", K946 &lt;= (95/SQRT($AT$32)), "Non-Compact", K946 &gt; (95/SQRT($AT$32)), "Slender")</f>
        <v/>
      </c>
      <c r="Z946" s="125">
        <f>E946/F946</f>
        <v/>
      </c>
      <c r="AA946" s="125">
        <f>D946/G946</f>
        <v/>
      </c>
      <c r="AB946" s="125">
        <f t="array" ref="AB946">_xlfn.IFS(Z946 &lt;= 9, "1", Z946 &lt;= 12, "2", Z946 &lt;= 15, "3", Z946 &gt; 15, "4")</f>
        <v/>
      </c>
      <c r="AC946" s="125">
        <f t="array" ref="AC946">_xlfn.IFS(AA946 &lt;= 200, "1", L946 &lt;= 300, "2", L946 &lt;= 400, "3", L946 &gt; 400, "4")</f>
        <v/>
      </c>
      <c r="AF946" s="129">
        <f>SQRT((((VLOOKUP($AT$4,$A$4:$D$1021,4,FALSE))-D946)^2)+(((VLOOKUP($AT$4,$A$4:$E$1021,5,FALSE))-E946)^2)+(((VLOOKUP($AT$4,$A$4:$N$1021,14,FALSE))-N946)^2)+(((VLOOKUP($AT$4,$A$4:$O$1021,15,FALSE))-O946)^2))</f>
        <v/>
      </c>
      <c r="AG946" s="129" t="n"/>
      <c r="AI946" s="129">
        <f>SQRT((((VLOOKUP($AT$4,$A$4:$D$1021,4,FALSE))-D946)^2)+(((VLOOKUP($AT$4,$A$4:$E$1021,5,FALSE))-E946)^2)+(((VLOOKUP($AT$4,$A$4:$R$1021,18,FALSE))-R946)^2)+(((VLOOKUP($AT$4,$A$4:$S$1021,19,FALSE))-S946)^2))</f>
        <v/>
      </c>
      <c r="AJ946" s="125" t="inlineStr">
        <is>
          <t>HY550X124</t>
        </is>
      </c>
      <c r="AK946" s="125" t="n"/>
      <c r="AL946" s="125" t="n"/>
      <c r="AM946" s="125">
        <f>SQRT(((VLOOKUP($AT$4,$A$4:$J$1021,10,FALSE))-J946)^2)</f>
        <v/>
      </c>
      <c r="AN946" s="125" t="n"/>
      <c r="AO946" s="125" t="n"/>
      <c r="AP946" s="125">
        <f>SQRT(((VLOOKUP($AT$4,$A$4:$R$1021,18,FALSE))-R946)^2)</f>
        <v/>
      </c>
      <c r="AQ946" s="125" t="inlineStr">
        <is>
          <t>HY550X124</t>
        </is>
      </c>
      <c r="BB946" s="125">
        <f>SQRT(($J$1022-J946)^2)</f>
        <v/>
      </c>
      <c r="BC946" s="125">
        <f>SQRT(($R$1022-R946)^2)</f>
        <v/>
      </c>
      <c r="BD946" s="125" t="inlineStr">
        <is>
          <t>HY550X124</t>
        </is>
      </c>
      <c r="BI946">
        <f>SQRT(($J$1023-J946)^2)</f>
        <v/>
      </c>
      <c r="BJ946">
        <f>SQRT(($R$1023-R946)^2)</f>
        <v/>
      </c>
      <c r="BK946" s="125" t="inlineStr">
        <is>
          <t>HY550X124</t>
        </is>
      </c>
      <c r="BP946">
        <f>SQRT(($J$1024-J946)^2)</f>
        <v/>
      </c>
      <c r="BQ946">
        <f>SQRT(($R$1024-R946)^2)</f>
        <v/>
      </c>
      <c r="BR946" s="125" t="inlineStr">
        <is>
          <t>HY550X124</t>
        </is>
      </c>
      <c r="BW946">
        <f>SQRT(($J$1025-J946)^2)</f>
        <v/>
      </c>
      <c r="BX946">
        <f>SQRT(($R$1025-R946)^2)</f>
        <v/>
      </c>
      <c r="BY946" s="125" t="inlineStr">
        <is>
          <t>HY550X124</t>
        </is>
      </c>
      <c r="CD946">
        <f>SQRT(($J$1026-J946)^2)</f>
        <v/>
      </c>
      <c r="CE946">
        <f>SQRT(($R$1026-R946)^2)</f>
        <v/>
      </c>
      <c r="CF946" s="125" t="inlineStr">
        <is>
          <t>HY550X124</t>
        </is>
      </c>
    </row>
    <row r="947">
      <c r="A947" s="125" t="inlineStr">
        <is>
          <t>HY550X113</t>
        </is>
      </c>
      <c r="B947" s="129" t="inlineStr">
        <is>
          <t>HY</t>
        </is>
      </c>
      <c r="C947" s="125" t="n">
        <v>113</v>
      </c>
      <c r="D947" s="125" t="n">
        <v>550</v>
      </c>
      <c r="E947" s="125" t="n">
        <v>250</v>
      </c>
      <c r="F947" s="125" t="n">
        <v>16</v>
      </c>
      <c r="G947" s="125" t="n">
        <v>12</v>
      </c>
      <c r="H947" s="125" t="n">
        <v>13</v>
      </c>
      <c r="I947" s="125">
        <f>D947-(2*(H947+F947))</f>
        <v/>
      </c>
      <c r="J947" s="125">
        <f>(2*E947/10*F947/10)+((D947-F947-F947)/10*G947/10)+((H947/10+H947/10)^2)-(PI()*H947/10*H947/10)</f>
        <v/>
      </c>
      <c r="K947" s="125">
        <f>((E947-G947)/2)/F947</f>
        <v/>
      </c>
      <c r="L947" s="125">
        <f>I947/G947</f>
        <v/>
      </c>
      <c r="M947" s="125">
        <f>(E947*2+F947*4+((E947-G947)/2-H947)*4+2*PI()*H947+(D947-2*F947-2*H947)*2)/1000</f>
        <v/>
      </c>
      <c r="N947" s="5" t="n">
        <v>71900</v>
      </c>
      <c r="O947" s="5" t="n">
        <v>4180</v>
      </c>
      <c r="P947" s="125" t="n">
        <v>22.4</v>
      </c>
      <c r="Q947" s="125" t="n">
        <v>5.4</v>
      </c>
      <c r="R947" s="5" t="n">
        <v>2610</v>
      </c>
      <c r="S947" s="125" t="n">
        <v>334</v>
      </c>
      <c r="T947" s="5" t="n">
        <v>2980</v>
      </c>
      <c r="U947" s="125" t="n">
        <v>520</v>
      </c>
      <c r="X947" s="129">
        <f t="array" ref="X947">_xlfn.IFS((D947/F947) &lt;= (640/SQRT($AT$32)), "Compact", L947 &lt;= ($AT$32*(0.79-(0.002*((E947-G947/2)/(2*F947))*SQRT($AT$32)))), "Non-Compact", L947 &gt; ($AT$32*(0.79-(0.002*((E947-G947/2)/(2*F947))*SQRT($AT$32)))), "Slender")</f>
        <v/>
      </c>
      <c r="Y947" s="129">
        <f t="array" ref="Y947">_xlfn.IFS(K947 &lt;= (65/SQRT($AT$32)), "Compact", K947 &lt;= (95/SQRT($AT$32)), "Non-Compact", K947 &gt; (95/SQRT($AT$32)), "Slender")</f>
        <v/>
      </c>
      <c r="Z947" s="125">
        <f>E947/F947</f>
        <v/>
      </c>
      <c r="AA947" s="125">
        <f>D947/G947</f>
        <v/>
      </c>
      <c r="AB947" s="125">
        <f t="array" ref="AB947">_xlfn.IFS(Z947 &lt;= 9, "1", Z947 &lt;= 12, "2", Z947 &lt;= 15, "3", Z947 &gt; 15, "4")</f>
        <v/>
      </c>
      <c r="AC947" s="125">
        <f t="array" ref="AC947">_xlfn.IFS(AA947 &lt;= 200, "1", L947 &lt;= 300, "2", L947 &lt;= 400, "3", L947 &gt; 400, "4")</f>
        <v/>
      </c>
      <c r="AF947" s="129">
        <f>SQRT((((VLOOKUP($AT$4,$A$4:$D$1021,4,FALSE))-D947)^2)+(((VLOOKUP($AT$4,$A$4:$E$1021,5,FALSE))-E947)^2)+(((VLOOKUP($AT$4,$A$4:$N$1021,14,FALSE))-N947)^2)+(((VLOOKUP($AT$4,$A$4:$O$1021,15,FALSE))-O947)^2))</f>
        <v/>
      </c>
      <c r="AG947" s="129" t="n"/>
      <c r="AI947" s="129">
        <f>SQRT((((VLOOKUP($AT$4,$A$4:$D$1021,4,FALSE))-D947)^2)+(((VLOOKUP($AT$4,$A$4:$E$1021,5,FALSE))-E947)^2)+(((VLOOKUP($AT$4,$A$4:$R$1021,18,FALSE))-R947)^2)+(((VLOOKUP($AT$4,$A$4:$S$1021,19,FALSE))-S947)^2))</f>
        <v/>
      </c>
      <c r="AJ947" s="125" t="inlineStr">
        <is>
          <t>HY550X113</t>
        </is>
      </c>
      <c r="AK947" s="125" t="n"/>
      <c r="AL947" s="125" t="n"/>
      <c r="AM947" s="125">
        <f>SQRT(((VLOOKUP($AT$4,$A$4:$J$1021,10,FALSE))-J947)^2)</f>
        <v/>
      </c>
      <c r="AN947" s="125" t="n"/>
      <c r="AO947" s="125" t="n"/>
      <c r="AP947" s="125">
        <f>SQRT(((VLOOKUP($AT$4,$A$4:$R$1021,18,FALSE))-R947)^2)</f>
        <v/>
      </c>
      <c r="AQ947" s="125" t="inlineStr">
        <is>
          <t>HY550X113</t>
        </is>
      </c>
      <c r="BB947" s="125">
        <f>SQRT(($J$1022-J947)^2)</f>
        <v/>
      </c>
      <c r="BC947" s="125">
        <f>SQRT(($R$1022-R947)^2)</f>
        <v/>
      </c>
      <c r="BD947" s="125" t="inlineStr">
        <is>
          <t>HY550X113</t>
        </is>
      </c>
      <c r="BI947">
        <f>SQRT(($J$1023-J947)^2)</f>
        <v/>
      </c>
      <c r="BJ947">
        <f>SQRT(($R$1023-R947)^2)</f>
        <v/>
      </c>
      <c r="BK947" s="125" t="inlineStr">
        <is>
          <t>HY550X113</t>
        </is>
      </c>
      <c r="BP947">
        <f>SQRT(($J$1024-J947)^2)</f>
        <v/>
      </c>
      <c r="BQ947">
        <f>SQRT(($R$1024-R947)^2)</f>
        <v/>
      </c>
      <c r="BR947" s="125" t="inlineStr">
        <is>
          <t>HY550X113</t>
        </is>
      </c>
      <c r="BW947">
        <f>SQRT(($J$1025-J947)^2)</f>
        <v/>
      </c>
      <c r="BX947">
        <f>SQRT(($R$1025-R947)^2)</f>
        <v/>
      </c>
      <c r="BY947" s="125" t="inlineStr">
        <is>
          <t>HY550X113</t>
        </is>
      </c>
      <c r="CD947">
        <f>SQRT(($J$1026-J947)^2)</f>
        <v/>
      </c>
      <c r="CE947">
        <f>SQRT(($R$1026-R947)^2)</f>
        <v/>
      </c>
      <c r="CF947" s="125" t="inlineStr">
        <is>
          <t>HY550X113</t>
        </is>
      </c>
    </row>
    <row r="948">
      <c r="A948" s="125" t="inlineStr">
        <is>
          <t>HY550X123</t>
        </is>
      </c>
      <c r="B948" s="129" t="inlineStr">
        <is>
          <t>HY</t>
        </is>
      </c>
      <c r="C948" s="125" t="n">
        <v>123</v>
      </c>
      <c r="D948" s="125" t="n">
        <v>550</v>
      </c>
      <c r="E948" s="125" t="n">
        <v>250</v>
      </c>
      <c r="F948" s="125" t="n">
        <v>22</v>
      </c>
      <c r="G948" s="125" t="n">
        <v>9</v>
      </c>
      <c r="H948" s="125" t="n">
        <v>13</v>
      </c>
      <c r="I948" s="125">
        <f>D948-(2*(H948+F948))</f>
        <v/>
      </c>
      <c r="J948" s="125">
        <f>(2*E948/10*F948/10)+((D948-F948-F948)/10*G948/10)+((H948/10+H948/10)^2)-(PI()*H948/10*H948/10)</f>
        <v/>
      </c>
      <c r="K948" s="125">
        <f>((E948-G948)/2)/F948</f>
        <v/>
      </c>
      <c r="L948" s="125">
        <f>I948/G948</f>
        <v/>
      </c>
      <c r="M948" s="125">
        <f>(E948*2+F948*4+((E948-G948)/2-H948)*4+2*PI()*H948+(D948-2*F948-2*H948)*2)/1000</f>
        <v/>
      </c>
      <c r="N948" s="5" t="n">
        <v>87300</v>
      </c>
      <c r="O948" s="5" t="n">
        <v>5730</v>
      </c>
      <c r="P948" s="125" t="n">
        <v>23.6</v>
      </c>
      <c r="Q948" s="125" t="n">
        <v>6</v>
      </c>
      <c r="R948" s="5" t="n">
        <v>3180</v>
      </c>
      <c r="S948" s="125" t="n">
        <v>459</v>
      </c>
      <c r="T948" s="5" t="n">
        <v>3520</v>
      </c>
      <c r="U948" s="125" t="n">
        <v>699</v>
      </c>
      <c r="X948" s="129">
        <f t="array" ref="X948">_xlfn.IFS((D948/F948) &lt;= (640/SQRT($AT$32)), "Compact", L948 &lt;= ($AT$32*(0.79-(0.002*((E948-G948/2)/(2*F948))*SQRT($AT$32)))), "Non-Compact", L948 &gt; ($AT$32*(0.79-(0.002*((E948-G948/2)/(2*F948))*SQRT($AT$32)))), "Slender")</f>
        <v/>
      </c>
      <c r="Y948" s="129">
        <f t="array" ref="Y948">_xlfn.IFS(K948 &lt;= (65/SQRT($AT$32)), "Compact", K948 &lt;= (95/SQRT($AT$32)), "Non-Compact", K948 &gt; (95/SQRT($AT$32)), "Slender")</f>
        <v/>
      </c>
      <c r="Z948" s="125">
        <f>E948/F948</f>
        <v/>
      </c>
      <c r="AA948" s="125">
        <f>D948/G948</f>
        <v/>
      </c>
      <c r="AB948" s="125">
        <f t="array" ref="AB948">_xlfn.IFS(Z948 &lt;= 9, "1", Z948 &lt;= 12, "2", Z948 &lt;= 15, "3", Z948 &gt; 15, "4")</f>
        <v/>
      </c>
      <c r="AC948" s="125">
        <f t="array" ref="AC948">_xlfn.IFS(AA948 &lt;= 200, "1", L948 &lt;= 300, "2", L948 &lt;= 400, "3", L948 &gt; 400, "4")</f>
        <v/>
      </c>
      <c r="AF948" s="129">
        <f>SQRT((((VLOOKUP($AT$4,$A$4:$D$1021,4,FALSE))-D948)^2)+(((VLOOKUP($AT$4,$A$4:$E$1021,5,FALSE))-E948)^2)+(((VLOOKUP($AT$4,$A$4:$N$1021,14,FALSE))-N948)^2)+(((VLOOKUP($AT$4,$A$4:$O$1021,15,FALSE))-O948)^2))</f>
        <v/>
      </c>
      <c r="AG948" s="129" t="n"/>
      <c r="AI948" s="129">
        <f>SQRT((((VLOOKUP($AT$4,$A$4:$D$1021,4,FALSE))-D948)^2)+(((VLOOKUP($AT$4,$A$4:$E$1021,5,FALSE))-E948)^2)+(((VLOOKUP($AT$4,$A$4:$R$1021,18,FALSE))-R948)^2)+(((VLOOKUP($AT$4,$A$4:$S$1021,19,FALSE))-S948)^2))</f>
        <v/>
      </c>
      <c r="AJ948" s="125" t="inlineStr">
        <is>
          <t>HY550X123</t>
        </is>
      </c>
      <c r="AK948" s="125" t="n"/>
      <c r="AL948" s="125" t="n"/>
      <c r="AM948" s="125">
        <f>SQRT(((VLOOKUP($AT$4,$A$4:$J$1021,10,FALSE))-J948)^2)</f>
        <v/>
      </c>
      <c r="AN948" s="125" t="n"/>
      <c r="AO948" s="125" t="n"/>
      <c r="AP948" s="125">
        <f>SQRT(((VLOOKUP($AT$4,$A$4:$R$1021,18,FALSE))-R948)^2)</f>
        <v/>
      </c>
      <c r="AQ948" s="125" t="inlineStr">
        <is>
          <t>HY550X123</t>
        </is>
      </c>
      <c r="BB948" s="125">
        <f>SQRT(($J$1022-J948)^2)</f>
        <v/>
      </c>
      <c r="BC948" s="125">
        <f>SQRT(($R$1022-R948)^2)</f>
        <v/>
      </c>
      <c r="BD948" s="125" t="inlineStr">
        <is>
          <t>HY550X123</t>
        </is>
      </c>
      <c r="BI948">
        <f>SQRT(($J$1023-J948)^2)</f>
        <v/>
      </c>
      <c r="BJ948">
        <f>SQRT(($R$1023-R948)^2)</f>
        <v/>
      </c>
      <c r="BK948" s="125" t="inlineStr">
        <is>
          <t>HY550X123</t>
        </is>
      </c>
      <c r="BP948">
        <f>SQRT(($J$1024-J948)^2)</f>
        <v/>
      </c>
      <c r="BQ948">
        <f>SQRT(($R$1024-R948)^2)</f>
        <v/>
      </c>
      <c r="BR948" s="125" t="inlineStr">
        <is>
          <t>HY550X123</t>
        </is>
      </c>
      <c r="BW948">
        <f>SQRT(($J$1025-J948)^2)</f>
        <v/>
      </c>
      <c r="BX948">
        <f>SQRT(($R$1025-R948)^2)</f>
        <v/>
      </c>
      <c r="BY948" s="125" t="inlineStr">
        <is>
          <t>HY550X123</t>
        </is>
      </c>
      <c r="CD948">
        <f>SQRT(($J$1026-J948)^2)</f>
        <v/>
      </c>
      <c r="CE948">
        <f>SQRT(($R$1026-R948)^2)</f>
        <v/>
      </c>
      <c r="CF948" s="125" t="inlineStr">
        <is>
          <t>HY550X123</t>
        </is>
      </c>
    </row>
    <row r="949">
      <c r="A949" s="125" t="inlineStr">
        <is>
          <t>HY550X112</t>
        </is>
      </c>
      <c r="B949" s="129" t="inlineStr">
        <is>
          <t>HY</t>
        </is>
      </c>
      <c r="C949" s="125" t="n">
        <v>112</v>
      </c>
      <c r="D949" s="125" t="n">
        <v>550</v>
      </c>
      <c r="E949" s="125" t="n">
        <v>250</v>
      </c>
      <c r="F949" s="125" t="n">
        <v>19</v>
      </c>
      <c r="G949" s="125" t="n">
        <v>9</v>
      </c>
      <c r="H949" s="125" t="n">
        <v>13</v>
      </c>
      <c r="I949" s="125">
        <f>D949-(2*(H949+F949))</f>
        <v/>
      </c>
      <c r="J949" s="125">
        <f>(2*E949/10*F949/10)+((D949-F949-F949)/10*G949/10)+((H949/10+H949/10)^2)-(PI()*H949/10*H949/10)</f>
        <v/>
      </c>
      <c r="K949" s="125">
        <f>((E949-G949)/2)/F949</f>
        <v/>
      </c>
      <c r="L949" s="125">
        <f>I949/G949</f>
        <v/>
      </c>
      <c r="M949" s="125">
        <f>(E949*2+F949*4+((E949-G949)/2-H949)*4+2*PI()*H949+(D949-2*F949-2*H949)*2)/1000</f>
        <v/>
      </c>
      <c r="N949" s="5" t="n">
        <v>78000</v>
      </c>
      <c r="O949" s="5" t="n">
        <v>4950</v>
      </c>
      <c r="P949" s="125" t="n">
        <v>23.4</v>
      </c>
      <c r="Q949" s="125" t="n">
        <v>5.9</v>
      </c>
      <c r="R949" s="5" t="n">
        <v>2840</v>
      </c>
      <c r="S949" s="125" t="n">
        <v>396</v>
      </c>
      <c r="T949" s="5" t="n">
        <v>3150</v>
      </c>
      <c r="U949" s="125" t="n">
        <v>605</v>
      </c>
      <c r="X949" s="129">
        <f t="array" ref="X949">_xlfn.IFS((D949/F949) &lt;= (640/SQRT($AT$32)), "Compact", L949 &lt;= ($AT$32*(0.79-(0.002*((E949-G949/2)/(2*F949))*SQRT($AT$32)))), "Non-Compact", L949 &gt; ($AT$32*(0.79-(0.002*((E949-G949/2)/(2*F949))*SQRT($AT$32)))), "Slender")</f>
        <v/>
      </c>
      <c r="Y949" s="129">
        <f t="array" ref="Y949">_xlfn.IFS(K949 &lt;= (65/SQRT($AT$32)), "Compact", K949 &lt;= (95/SQRT($AT$32)), "Non-Compact", K949 &gt; (95/SQRT($AT$32)), "Slender")</f>
        <v/>
      </c>
      <c r="Z949" s="125">
        <f>E949/F949</f>
        <v/>
      </c>
      <c r="AA949" s="125">
        <f>D949/G949</f>
        <v/>
      </c>
      <c r="AB949" s="125">
        <f t="array" ref="AB949">_xlfn.IFS(Z949 &lt;= 9, "1", Z949 &lt;= 12, "2", Z949 &lt;= 15, "3", Z949 &gt; 15, "4")</f>
        <v/>
      </c>
      <c r="AC949" s="125">
        <f t="array" ref="AC949">_xlfn.IFS(AA949 &lt;= 200, "1", L949 &lt;= 300, "2", L949 &lt;= 400, "3", L949 &gt; 400, "4")</f>
        <v/>
      </c>
      <c r="AF949" s="129">
        <f>SQRT((((VLOOKUP($AT$4,$A$4:$D$1021,4,FALSE))-D949)^2)+(((VLOOKUP($AT$4,$A$4:$E$1021,5,FALSE))-E949)^2)+(((VLOOKUP($AT$4,$A$4:$N$1021,14,FALSE))-N949)^2)+(((VLOOKUP($AT$4,$A$4:$O$1021,15,FALSE))-O949)^2))</f>
        <v/>
      </c>
      <c r="AG949" s="129" t="n"/>
      <c r="AI949" s="129">
        <f>SQRT((((VLOOKUP($AT$4,$A$4:$D$1021,4,FALSE))-D949)^2)+(((VLOOKUP($AT$4,$A$4:$E$1021,5,FALSE))-E949)^2)+(((VLOOKUP($AT$4,$A$4:$R$1021,18,FALSE))-R949)^2)+(((VLOOKUP($AT$4,$A$4:$S$1021,19,FALSE))-S949)^2))</f>
        <v/>
      </c>
      <c r="AJ949" s="125" t="inlineStr">
        <is>
          <t>HY550X112</t>
        </is>
      </c>
      <c r="AK949" s="125" t="n"/>
      <c r="AL949" s="125" t="n"/>
      <c r="AM949" s="125">
        <f>SQRT(((VLOOKUP($AT$4,$A$4:$J$1021,10,FALSE))-J949)^2)</f>
        <v/>
      </c>
      <c r="AN949" s="125" t="n"/>
      <c r="AO949" s="125" t="n"/>
      <c r="AP949" s="125">
        <f>SQRT(((VLOOKUP($AT$4,$A$4:$R$1021,18,FALSE))-R949)^2)</f>
        <v/>
      </c>
      <c r="AQ949" s="125" t="inlineStr">
        <is>
          <t>HY550X112</t>
        </is>
      </c>
      <c r="BB949" s="125">
        <f>SQRT(($J$1022-J949)^2)</f>
        <v/>
      </c>
      <c r="BC949" s="125">
        <f>SQRT(($R$1022-R949)^2)</f>
        <v/>
      </c>
      <c r="BD949" s="125" t="inlineStr">
        <is>
          <t>HY550X112</t>
        </is>
      </c>
      <c r="BI949">
        <f>SQRT(($J$1023-J949)^2)</f>
        <v/>
      </c>
      <c r="BJ949">
        <f>SQRT(($R$1023-R949)^2)</f>
        <v/>
      </c>
      <c r="BK949" s="125" t="inlineStr">
        <is>
          <t>HY550X112</t>
        </is>
      </c>
      <c r="BP949">
        <f>SQRT(($J$1024-J949)^2)</f>
        <v/>
      </c>
      <c r="BQ949">
        <f>SQRT(($R$1024-R949)^2)</f>
        <v/>
      </c>
      <c r="BR949" s="125" t="inlineStr">
        <is>
          <t>HY550X112</t>
        </is>
      </c>
      <c r="BW949">
        <f>SQRT(($J$1025-J949)^2)</f>
        <v/>
      </c>
      <c r="BX949">
        <f>SQRT(($R$1025-R949)^2)</f>
        <v/>
      </c>
      <c r="BY949" s="125" t="inlineStr">
        <is>
          <t>HY550X112</t>
        </is>
      </c>
      <c r="CD949">
        <f>SQRT(($J$1026-J949)^2)</f>
        <v/>
      </c>
      <c r="CE949">
        <f>SQRT(($R$1026-R949)^2)</f>
        <v/>
      </c>
      <c r="CF949" s="125" t="inlineStr">
        <is>
          <t>HY550X112</t>
        </is>
      </c>
    </row>
    <row r="950">
      <c r="A950" s="125" t="inlineStr">
        <is>
          <t>HY550X101</t>
        </is>
      </c>
      <c r="B950" s="129" t="inlineStr">
        <is>
          <t>HY</t>
        </is>
      </c>
      <c r="C950" s="125" t="n">
        <v>101</v>
      </c>
      <c r="D950" s="125" t="n">
        <v>550</v>
      </c>
      <c r="E950" s="125" t="n">
        <v>250</v>
      </c>
      <c r="F950" s="125" t="n">
        <v>16</v>
      </c>
      <c r="G950" s="125" t="n">
        <v>9</v>
      </c>
      <c r="H950" s="125" t="n">
        <v>13</v>
      </c>
      <c r="I950" s="125">
        <f>D950-(2*(H950+F950))</f>
        <v/>
      </c>
      <c r="J950" s="125">
        <f>(2*E950/10*F950/10)+((D950-F950-F950)/10*G950/10)+((H950/10+H950/10)^2)-(PI()*H950/10*H950/10)</f>
        <v/>
      </c>
      <c r="K950" s="125">
        <f>((E950-G950)/2)/F950</f>
        <v/>
      </c>
      <c r="L950" s="125">
        <f>I950/G950</f>
        <v/>
      </c>
      <c r="M950" s="125">
        <f>(E950*2+F950*4+((E950-G950)/2-H950)*4+2*PI()*H950+(D950-2*F950-2*H950)*2)/1000</f>
        <v/>
      </c>
      <c r="N950" s="5" t="n">
        <v>68400</v>
      </c>
      <c r="O950" s="5" t="n">
        <v>4170</v>
      </c>
      <c r="P950" s="125" t="n">
        <v>23.1</v>
      </c>
      <c r="Q950" s="125" t="n">
        <v>5.7</v>
      </c>
      <c r="R950" s="5" t="n">
        <v>2490</v>
      </c>
      <c r="S950" s="125" t="n">
        <v>334</v>
      </c>
      <c r="T950" s="5" t="n">
        <v>2780</v>
      </c>
      <c r="U950" s="125" t="n">
        <v>512</v>
      </c>
      <c r="X950" s="129">
        <f t="array" ref="X950">_xlfn.IFS((D950/F950) &lt;= (640/SQRT($AT$32)), "Compact", L950 &lt;= ($AT$32*(0.79-(0.002*((E950-G950/2)/(2*F950))*SQRT($AT$32)))), "Non-Compact", L950 &gt; ($AT$32*(0.79-(0.002*((E950-G950/2)/(2*F950))*SQRT($AT$32)))), "Slender")</f>
        <v/>
      </c>
      <c r="Y950" s="129">
        <f t="array" ref="Y950">_xlfn.IFS(K950 &lt;= (65/SQRT($AT$32)), "Compact", K950 &lt;= (95/SQRT($AT$32)), "Non-Compact", K950 &gt; (95/SQRT($AT$32)), "Slender")</f>
        <v/>
      </c>
      <c r="Z950" s="125">
        <f>E950/F950</f>
        <v/>
      </c>
      <c r="AA950" s="125">
        <f>D950/G950</f>
        <v/>
      </c>
      <c r="AB950" s="125">
        <f t="array" ref="AB950">_xlfn.IFS(Z950 &lt;= 9, "1", Z950 &lt;= 12, "2", Z950 &lt;= 15, "3", Z950 &gt; 15, "4")</f>
        <v/>
      </c>
      <c r="AC950" s="125">
        <f t="array" ref="AC950">_xlfn.IFS(AA950 &lt;= 200, "1", L950 &lt;= 300, "2", L950 &lt;= 400, "3", L950 &gt; 400, "4")</f>
        <v/>
      </c>
      <c r="AF950" s="129">
        <f>SQRT((((VLOOKUP($AT$4,$A$4:$D$1021,4,FALSE))-D950)^2)+(((VLOOKUP($AT$4,$A$4:$E$1021,5,FALSE))-E950)^2)+(((VLOOKUP($AT$4,$A$4:$N$1021,14,FALSE))-N950)^2)+(((VLOOKUP($AT$4,$A$4:$O$1021,15,FALSE))-O950)^2))</f>
        <v/>
      </c>
      <c r="AG950" s="129" t="n"/>
      <c r="AI950" s="129">
        <f>SQRT((((VLOOKUP($AT$4,$A$4:$D$1021,4,FALSE))-D950)^2)+(((VLOOKUP($AT$4,$A$4:$E$1021,5,FALSE))-E950)^2)+(((VLOOKUP($AT$4,$A$4:$R$1021,18,FALSE))-R950)^2)+(((VLOOKUP($AT$4,$A$4:$S$1021,19,FALSE))-S950)^2))</f>
        <v/>
      </c>
      <c r="AJ950" s="125" t="inlineStr">
        <is>
          <t>HY550X101</t>
        </is>
      </c>
      <c r="AK950" s="125" t="n"/>
      <c r="AL950" s="125" t="n"/>
      <c r="AM950" s="125">
        <f>SQRT(((VLOOKUP($AT$4,$A$4:$J$1021,10,FALSE))-J950)^2)</f>
        <v/>
      </c>
      <c r="AN950" s="125" t="n"/>
      <c r="AO950" s="125" t="n"/>
      <c r="AP950" s="125">
        <f>SQRT(((VLOOKUP($AT$4,$A$4:$R$1021,18,FALSE))-R950)^2)</f>
        <v/>
      </c>
      <c r="AQ950" s="125" t="inlineStr">
        <is>
          <t>HY550X101</t>
        </is>
      </c>
      <c r="BB950" s="125">
        <f>SQRT(($J$1022-J950)^2)</f>
        <v/>
      </c>
      <c r="BC950" s="125">
        <f>SQRT(($R$1022-R950)^2)</f>
        <v/>
      </c>
      <c r="BD950" s="125" t="inlineStr">
        <is>
          <t>HY550X101</t>
        </is>
      </c>
      <c r="BI950">
        <f>SQRT(($J$1023-J950)^2)</f>
        <v/>
      </c>
      <c r="BJ950">
        <f>SQRT(($R$1023-R950)^2)</f>
        <v/>
      </c>
      <c r="BK950" s="125" t="inlineStr">
        <is>
          <t>HY550X101</t>
        </is>
      </c>
      <c r="BP950">
        <f>SQRT(($J$1024-J950)^2)</f>
        <v/>
      </c>
      <c r="BQ950">
        <f>SQRT(($R$1024-R950)^2)</f>
        <v/>
      </c>
      <c r="BR950" s="125" t="inlineStr">
        <is>
          <t>HY550X101</t>
        </is>
      </c>
      <c r="BW950">
        <f>SQRT(($J$1025-J950)^2)</f>
        <v/>
      </c>
      <c r="BX950">
        <f>SQRT(($R$1025-R950)^2)</f>
        <v/>
      </c>
      <c r="BY950" s="125" t="inlineStr">
        <is>
          <t>HY550X101</t>
        </is>
      </c>
      <c r="CD950">
        <f>SQRT(($J$1026-J950)^2)</f>
        <v/>
      </c>
      <c r="CE950">
        <f>SQRT(($R$1026-R950)^2)</f>
        <v/>
      </c>
      <c r="CF950" s="125" t="inlineStr">
        <is>
          <t>HY550X101</t>
        </is>
      </c>
    </row>
    <row r="951">
      <c r="A951" s="125" t="inlineStr">
        <is>
          <t>HY550X127</t>
        </is>
      </c>
      <c r="B951" s="129" t="inlineStr">
        <is>
          <t>HY</t>
        </is>
      </c>
      <c r="C951" s="125" t="n">
        <v>127</v>
      </c>
      <c r="D951" s="125" t="n">
        <v>550</v>
      </c>
      <c r="E951" s="125" t="n">
        <v>200</v>
      </c>
      <c r="F951" s="125" t="n">
        <v>25</v>
      </c>
      <c r="G951" s="125" t="n">
        <v>12</v>
      </c>
      <c r="H951" s="125" t="n">
        <v>13</v>
      </c>
      <c r="I951" s="125">
        <f>D951-(2*(H951+F951))</f>
        <v/>
      </c>
      <c r="J951" s="125">
        <f>(2*E951/10*F951/10)+((D951-F951-F951)/10*G951/10)+((H951/10+H951/10)^2)-(PI()*H951/10*H951/10)</f>
        <v/>
      </c>
      <c r="K951" s="125">
        <f>((E951-G951)/2)/F951</f>
        <v/>
      </c>
      <c r="L951" s="125">
        <f>I951/G951</f>
        <v/>
      </c>
      <c r="M951" s="125">
        <f>(E951*2+F951*4+((E951-G951)/2-H951)*4+2*PI()*H951+(D951-2*F951-2*H951)*2)/1000</f>
        <v/>
      </c>
      <c r="N951" s="5" t="n">
        <v>82300</v>
      </c>
      <c r="O951" s="5" t="n">
        <v>3340</v>
      </c>
      <c r="P951" s="125" t="n">
        <v>22.6</v>
      </c>
      <c r="Q951" s="125" t="n">
        <v>4.6</v>
      </c>
      <c r="R951" s="5" t="n">
        <v>2990</v>
      </c>
      <c r="S951" s="125" t="n">
        <v>334</v>
      </c>
      <c r="T951" s="5" t="n">
        <v>3410</v>
      </c>
      <c r="U951" s="125" t="n">
        <v>519</v>
      </c>
      <c r="X951" s="129">
        <f t="array" ref="X951">_xlfn.IFS((D951/F951) &lt;= (640/SQRT($AT$32)), "Compact", L951 &lt;= ($AT$32*(0.79-(0.002*((E951-G951/2)/(2*F951))*SQRT($AT$32)))), "Non-Compact", L951 &gt; ($AT$32*(0.79-(0.002*((E951-G951/2)/(2*F951))*SQRT($AT$32)))), "Slender")</f>
        <v/>
      </c>
      <c r="Y951" s="129">
        <f t="array" ref="Y951">_xlfn.IFS(K951 &lt;= (65/SQRT($AT$32)), "Compact", K951 &lt;= (95/SQRT($AT$32)), "Non-Compact", K951 &gt; (95/SQRT($AT$32)), "Slender")</f>
        <v/>
      </c>
      <c r="Z951" s="125">
        <f>E951/F951</f>
        <v/>
      </c>
      <c r="AA951" s="125">
        <f>D951/G951</f>
        <v/>
      </c>
      <c r="AB951" s="125">
        <f t="array" ref="AB951">_xlfn.IFS(Z951 &lt;= 9, "1", Z951 &lt;= 12, "2", Z951 &lt;= 15, "3", Z951 &gt; 15, "4")</f>
        <v/>
      </c>
      <c r="AC951" s="125">
        <f t="array" ref="AC951">_xlfn.IFS(AA951 &lt;= 200, "1", L951 &lt;= 300, "2", L951 &lt;= 400, "3", L951 &gt; 400, "4")</f>
        <v/>
      </c>
      <c r="AF951" s="129">
        <f>SQRT((((VLOOKUP($AT$4,$A$4:$D$1021,4,FALSE))-D951)^2)+(((VLOOKUP($AT$4,$A$4:$E$1021,5,FALSE))-E951)^2)+(((VLOOKUP($AT$4,$A$4:$N$1021,14,FALSE))-N951)^2)+(((VLOOKUP($AT$4,$A$4:$O$1021,15,FALSE))-O951)^2))</f>
        <v/>
      </c>
      <c r="AG951" s="129" t="n"/>
      <c r="AI951" s="129">
        <f>SQRT((((VLOOKUP($AT$4,$A$4:$D$1021,4,FALSE))-D951)^2)+(((VLOOKUP($AT$4,$A$4:$E$1021,5,FALSE))-E951)^2)+(((VLOOKUP($AT$4,$A$4:$R$1021,18,FALSE))-R951)^2)+(((VLOOKUP($AT$4,$A$4:$S$1021,19,FALSE))-S951)^2))</f>
        <v/>
      </c>
      <c r="AJ951" s="125" t="inlineStr">
        <is>
          <t>HY550X127</t>
        </is>
      </c>
      <c r="AK951" s="125" t="n"/>
      <c r="AL951" s="125" t="n"/>
      <c r="AM951" s="125">
        <f>SQRT(((VLOOKUP($AT$4,$A$4:$J$1021,10,FALSE))-J951)^2)</f>
        <v/>
      </c>
      <c r="AN951" s="125" t="n"/>
      <c r="AO951" s="125" t="n"/>
      <c r="AP951" s="125">
        <f>SQRT(((VLOOKUP($AT$4,$A$4:$R$1021,18,FALSE))-R951)^2)</f>
        <v/>
      </c>
      <c r="AQ951" s="125" t="inlineStr">
        <is>
          <t>HY550X127</t>
        </is>
      </c>
      <c r="BB951" s="125">
        <f>SQRT(($J$1022-J951)^2)</f>
        <v/>
      </c>
      <c r="BC951" s="125">
        <f>SQRT(($R$1022-R951)^2)</f>
        <v/>
      </c>
      <c r="BD951" s="125" t="inlineStr">
        <is>
          <t>HY550X127</t>
        </is>
      </c>
      <c r="BI951">
        <f>SQRT(($J$1023-J951)^2)</f>
        <v/>
      </c>
      <c r="BJ951">
        <f>SQRT(($R$1023-R951)^2)</f>
        <v/>
      </c>
      <c r="BK951" s="125" t="inlineStr">
        <is>
          <t>HY550X127</t>
        </is>
      </c>
      <c r="BP951">
        <f>SQRT(($J$1024-J951)^2)</f>
        <v/>
      </c>
      <c r="BQ951">
        <f>SQRT(($R$1024-R951)^2)</f>
        <v/>
      </c>
      <c r="BR951" s="125" t="inlineStr">
        <is>
          <t>HY550X127</t>
        </is>
      </c>
      <c r="BW951">
        <f>SQRT(($J$1025-J951)^2)</f>
        <v/>
      </c>
      <c r="BX951">
        <f>SQRT(($R$1025-R951)^2)</f>
        <v/>
      </c>
      <c r="BY951" s="125" t="inlineStr">
        <is>
          <t>HY550X127</t>
        </is>
      </c>
      <c r="CD951">
        <f>SQRT(($J$1026-J951)^2)</f>
        <v/>
      </c>
      <c r="CE951">
        <f>SQRT(($R$1026-R951)^2)</f>
        <v/>
      </c>
      <c r="CF951" s="125" t="inlineStr">
        <is>
          <t>HY550X127</t>
        </is>
      </c>
    </row>
    <row r="952">
      <c r="A952" s="125" t="inlineStr">
        <is>
          <t>HY550X118</t>
        </is>
      </c>
      <c r="B952" s="129" t="inlineStr">
        <is>
          <t>HY</t>
        </is>
      </c>
      <c r="C952" s="125" t="n">
        <v>118</v>
      </c>
      <c r="D952" s="125" t="n">
        <v>550</v>
      </c>
      <c r="E952" s="125" t="n">
        <v>200</v>
      </c>
      <c r="F952" s="125" t="n">
        <v>22</v>
      </c>
      <c r="G952" s="125" t="n">
        <v>12</v>
      </c>
      <c r="H952" s="125" t="n">
        <v>13</v>
      </c>
      <c r="I952" s="125">
        <f>D952-(2*(H952+F952))</f>
        <v/>
      </c>
      <c r="J952" s="125">
        <f>(2*E952/10*F952/10)+((D952-F952-F952)/10*G952/10)+((H952/10+H952/10)^2)-(PI()*H952/10*H952/10)</f>
        <v/>
      </c>
      <c r="K952" s="125">
        <f>((E952-G952)/2)/F952</f>
        <v/>
      </c>
      <c r="L952" s="125">
        <f>I952/G952</f>
        <v/>
      </c>
      <c r="M952" s="125">
        <f>(E952*2+F952*4+((E952-G952)/2-H952)*4+2*PI()*H952+(D952-2*F952-2*H952)*2)/1000</f>
        <v/>
      </c>
      <c r="N952" s="5" t="n">
        <v>75200</v>
      </c>
      <c r="O952" s="5" t="n">
        <v>2940</v>
      </c>
      <c r="P952" s="125" t="n">
        <v>22.4</v>
      </c>
      <c r="Q952" s="125" t="n">
        <v>4.4</v>
      </c>
      <c r="R952" s="5" t="n">
        <v>2740</v>
      </c>
      <c r="S952" s="125" t="n">
        <v>294</v>
      </c>
      <c r="T952" s="5" t="n">
        <v>3130</v>
      </c>
      <c r="U952" s="125" t="n">
        <v>460</v>
      </c>
      <c r="X952" s="129">
        <f t="array" ref="X952">_xlfn.IFS((D952/F952) &lt;= (640/SQRT($AT$32)), "Compact", L952 &lt;= ($AT$32*(0.79-(0.002*((E952-G952/2)/(2*F952))*SQRT($AT$32)))), "Non-Compact", L952 &gt; ($AT$32*(0.79-(0.002*((E952-G952/2)/(2*F952))*SQRT($AT$32)))), "Slender")</f>
        <v/>
      </c>
      <c r="Y952" s="129">
        <f t="array" ref="Y952">_xlfn.IFS(K952 &lt;= (65/SQRT($AT$32)), "Compact", K952 &lt;= (95/SQRT($AT$32)), "Non-Compact", K952 &gt; (95/SQRT($AT$32)), "Slender")</f>
        <v/>
      </c>
      <c r="Z952" s="125">
        <f>E952/F952</f>
        <v/>
      </c>
      <c r="AA952" s="125">
        <f>D952/G952</f>
        <v/>
      </c>
      <c r="AB952" s="125">
        <f t="array" ref="AB952">_xlfn.IFS(Z952 &lt;= 9, "1", Z952 &lt;= 12, "2", Z952 &lt;= 15, "3", Z952 &gt; 15, "4")</f>
        <v/>
      </c>
      <c r="AC952" s="125">
        <f t="array" ref="AC952">_xlfn.IFS(AA952 &lt;= 200, "1", L952 &lt;= 300, "2", L952 &lt;= 400, "3", L952 &gt; 400, "4")</f>
        <v/>
      </c>
      <c r="AF952" s="129">
        <f>SQRT((((VLOOKUP($AT$4,$A$4:$D$1021,4,FALSE))-D952)^2)+(((VLOOKUP($AT$4,$A$4:$E$1021,5,FALSE))-E952)^2)+(((VLOOKUP($AT$4,$A$4:$N$1021,14,FALSE))-N952)^2)+(((VLOOKUP($AT$4,$A$4:$O$1021,15,FALSE))-O952)^2))</f>
        <v/>
      </c>
      <c r="AG952" s="129" t="n"/>
      <c r="AI952" s="129">
        <f>SQRT((((VLOOKUP($AT$4,$A$4:$D$1021,4,FALSE))-D952)^2)+(((VLOOKUP($AT$4,$A$4:$E$1021,5,FALSE))-E952)^2)+(((VLOOKUP($AT$4,$A$4:$R$1021,18,FALSE))-R952)^2)+(((VLOOKUP($AT$4,$A$4:$S$1021,19,FALSE))-S952)^2))</f>
        <v/>
      </c>
      <c r="AJ952" s="125" t="inlineStr">
        <is>
          <t>HY550X118</t>
        </is>
      </c>
      <c r="AK952" s="125" t="n"/>
      <c r="AL952" s="125" t="n"/>
      <c r="AM952" s="125">
        <f>SQRT(((VLOOKUP($AT$4,$A$4:$J$1021,10,FALSE))-J952)^2)</f>
        <v/>
      </c>
      <c r="AN952" s="125" t="n"/>
      <c r="AO952" s="125" t="n"/>
      <c r="AP952" s="125">
        <f>SQRT(((VLOOKUP($AT$4,$A$4:$R$1021,18,FALSE))-R952)^2)</f>
        <v/>
      </c>
      <c r="AQ952" s="125" t="inlineStr">
        <is>
          <t>HY550X118</t>
        </is>
      </c>
      <c r="BB952" s="125">
        <f>SQRT(($J$1022-J952)^2)</f>
        <v/>
      </c>
      <c r="BC952" s="125">
        <f>SQRT(($R$1022-R952)^2)</f>
        <v/>
      </c>
      <c r="BD952" s="125" t="inlineStr">
        <is>
          <t>HY550X118</t>
        </is>
      </c>
      <c r="BI952">
        <f>SQRT(($J$1023-J952)^2)</f>
        <v/>
      </c>
      <c r="BJ952">
        <f>SQRT(($R$1023-R952)^2)</f>
        <v/>
      </c>
      <c r="BK952" s="125" t="inlineStr">
        <is>
          <t>HY550X118</t>
        </is>
      </c>
      <c r="BP952">
        <f>SQRT(($J$1024-J952)^2)</f>
        <v/>
      </c>
      <c r="BQ952">
        <f>SQRT(($R$1024-R952)^2)</f>
        <v/>
      </c>
      <c r="BR952" s="125" t="inlineStr">
        <is>
          <t>HY550X118</t>
        </is>
      </c>
      <c r="BW952">
        <f>SQRT(($J$1025-J952)^2)</f>
        <v/>
      </c>
      <c r="BX952">
        <f>SQRT(($R$1025-R952)^2)</f>
        <v/>
      </c>
      <c r="BY952" s="125" t="inlineStr">
        <is>
          <t>HY550X118</t>
        </is>
      </c>
      <c r="CD952">
        <f>SQRT(($J$1026-J952)^2)</f>
        <v/>
      </c>
      <c r="CE952">
        <f>SQRT(($R$1026-R952)^2)</f>
        <v/>
      </c>
      <c r="CF952" s="125" t="inlineStr">
        <is>
          <t>HY550X118</t>
        </is>
      </c>
    </row>
    <row r="953">
      <c r="A953" s="125" t="inlineStr">
        <is>
          <t>HY550X109</t>
        </is>
      </c>
      <c r="B953" s="129" t="inlineStr">
        <is>
          <t>HY</t>
        </is>
      </c>
      <c r="C953" s="125" t="n">
        <v>109</v>
      </c>
      <c r="D953" s="125" t="n">
        <v>550</v>
      </c>
      <c r="E953" s="125" t="n">
        <v>200</v>
      </c>
      <c r="F953" s="125" t="n">
        <v>19</v>
      </c>
      <c r="G953" s="125" t="n">
        <v>12</v>
      </c>
      <c r="H953" s="125" t="n">
        <v>13</v>
      </c>
      <c r="I953" s="125">
        <f>D953-(2*(H953+F953))</f>
        <v/>
      </c>
      <c r="J953" s="125">
        <f>(2*E953/10*F953/10)+((D953-F953-F953)/10*G953/10)+((H953/10+H953/10)^2)-(PI()*H953/10*H953/10)</f>
        <v/>
      </c>
      <c r="K953" s="125">
        <f>((E953-G953)/2)/F953</f>
        <v/>
      </c>
      <c r="L953" s="125">
        <f>I953/G953</f>
        <v/>
      </c>
      <c r="M953" s="125">
        <f>(E953*2+F953*4+((E953-G953)/2-H953)*4+2*PI()*H953+(D953-2*F953-2*H953)*2)/1000</f>
        <v/>
      </c>
      <c r="N953" s="5" t="n">
        <v>67900</v>
      </c>
      <c r="O953" s="5" t="n">
        <v>2540</v>
      </c>
      <c r="P953" s="125" t="n">
        <v>22.1</v>
      </c>
      <c r="Q953" s="125" t="n">
        <v>4.3</v>
      </c>
      <c r="R953" s="5" t="n">
        <v>2470</v>
      </c>
      <c r="S953" s="125" t="n">
        <v>254</v>
      </c>
      <c r="T953" s="5" t="n">
        <v>2840</v>
      </c>
      <c r="U953" s="125" t="n">
        <v>400</v>
      </c>
      <c r="X953" s="129">
        <f t="array" ref="X953">_xlfn.IFS((D953/F953) &lt;= (640/SQRT($AT$32)), "Compact", L953 &lt;= ($AT$32*(0.79-(0.002*((E953-G953/2)/(2*F953))*SQRT($AT$32)))), "Non-Compact", L953 &gt; ($AT$32*(0.79-(0.002*((E953-G953/2)/(2*F953))*SQRT($AT$32)))), "Slender")</f>
        <v/>
      </c>
      <c r="Y953" s="129">
        <f t="array" ref="Y953">_xlfn.IFS(K953 &lt;= (65/SQRT($AT$32)), "Compact", K953 &lt;= (95/SQRT($AT$32)), "Non-Compact", K953 &gt; (95/SQRT($AT$32)), "Slender")</f>
        <v/>
      </c>
      <c r="Z953" s="125">
        <f>E953/F953</f>
        <v/>
      </c>
      <c r="AA953" s="125">
        <f>D953/G953</f>
        <v/>
      </c>
      <c r="AB953" s="125">
        <f t="array" ref="AB953">_xlfn.IFS(Z953 &lt;= 9, "1", Z953 &lt;= 12, "2", Z953 &lt;= 15, "3", Z953 &gt; 15, "4")</f>
        <v/>
      </c>
      <c r="AC953" s="125">
        <f t="array" ref="AC953">_xlfn.IFS(AA953 &lt;= 200, "1", L953 &lt;= 300, "2", L953 &lt;= 400, "3", L953 &gt; 400, "4")</f>
        <v/>
      </c>
      <c r="AF953" s="129">
        <f>SQRT((((VLOOKUP($AT$4,$A$4:$D$1021,4,FALSE))-D953)^2)+(((VLOOKUP($AT$4,$A$4:$E$1021,5,FALSE))-E953)^2)+(((VLOOKUP($AT$4,$A$4:$N$1021,14,FALSE))-N953)^2)+(((VLOOKUP($AT$4,$A$4:$O$1021,15,FALSE))-O953)^2))</f>
        <v/>
      </c>
      <c r="AG953" s="129" t="n"/>
      <c r="AI953" s="129">
        <f>SQRT((((VLOOKUP($AT$4,$A$4:$D$1021,4,FALSE))-D953)^2)+(((VLOOKUP($AT$4,$A$4:$E$1021,5,FALSE))-E953)^2)+(((VLOOKUP($AT$4,$A$4:$R$1021,18,FALSE))-R953)^2)+(((VLOOKUP($AT$4,$A$4:$S$1021,19,FALSE))-S953)^2))</f>
        <v/>
      </c>
      <c r="AJ953" s="125" t="inlineStr">
        <is>
          <t>HY550X109</t>
        </is>
      </c>
      <c r="AK953" s="125" t="n"/>
      <c r="AL953" s="125" t="n"/>
      <c r="AM953" s="125">
        <f>SQRT(((VLOOKUP($AT$4,$A$4:$J$1021,10,FALSE))-J953)^2)</f>
        <v/>
      </c>
      <c r="AN953" s="125" t="n"/>
      <c r="AO953" s="125" t="n"/>
      <c r="AP953" s="125">
        <f>SQRT(((VLOOKUP($AT$4,$A$4:$R$1021,18,FALSE))-R953)^2)</f>
        <v/>
      </c>
      <c r="AQ953" s="125" t="inlineStr">
        <is>
          <t>HY550X109</t>
        </is>
      </c>
      <c r="BB953" s="125">
        <f>SQRT(($J$1022-J953)^2)</f>
        <v/>
      </c>
      <c r="BC953" s="125">
        <f>SQRT(($R$1022-R953)^2)</f>
        <v/>
      </c>
      <c r="BD953" s="125" t="inlineStr">
        <is>
          <t>HY550X109</t>
        </is>
      </c>
      <c r="BI953">
        <f>SQRT(($J$1023-J953)^2)</f>
        <v/>
      </c>
      <c r="BJ953">
        <f>SQRT(($R$1023-R953)^2)</f>
        <v/>
      </c>
      <c r="BK953" s="125" t="inlineStr">
        <is>
          <t>HY550X109</t>
        </is>
      </c>
      <c r="BP953">
        <f>SQRT(($J$1024-J953)^2)</f>
        <v/>
      </c>
      <c r="BQ953">
        <f>SQRT(($R$1024-R953)^2)</f>
        <v/>
      </c>
      <c r="BR953" s="125" t="inlineStr">
        <is>
          <t>HY550X109</t>
        </is>
      </c>
      <c r="BW953">
        <f>SQRT(($J$1025-J953)^2)</f>
        <v/>
      </c>
      <c r="BX953">
        <f>SQRT(($R$1025-R953)^2)</f>
        <v/>
      </c>
      <c r="BY953" s="125" t="inlineStr">
        <is>
          <t>HY550X109</t>
        </is>
      </c>
      <c r="CD953">
        <f>SQRT(($J$1026-J953)^2)</f>
        <v/>
      </c>
      <c r="CE953">
        <f>SQRT(($R$1026-R953)^2)</f>
        <v/>
      </c>
      <c r="CF953" s="125" t="inlineStr">
        <is>
          <t>HY550X109</t>
        </is>
      </c>
    </row>
    <row r="954">
      <c r="A954" s="125" t="inlineStr">
        <is>
          <t>HY550X100</t>
        </is>
      </c>
      <c r="B954" s="129" t="inlineStr">
        <is>
          <t>HY</t>
        </is>
      </c>
      <c r="C954" s="125" t="n">
        <v>100</v>
      </c>
      <c r="D954" s="125" t="n">
        <v>550</v>
      </c>
      <c r="E954" s="125" t="n">
        <v>200</v>
      </c>
      <c r="F954" s="125" t="n">
        <v>16</v>
      </c>
      <c r="G954" s="125" t="n">
        <v>12</v>
      </c>
      <c r="H954" s="125" t="n">
        <v>13</v>
      </c>
      <c r="I954" s="125">
        <f>D954-(2*(H954+F954))</f>
        <v/>
      </c>
      <c r="J954" s="125">
        <f>(2*E954/10*F954/10)+((D954-F954-F954)/10*G954/10)+((H954/10+H954/10)^2)-(PI()*H954/10*H954/10)</f>
        <v/>
      </c>
      <c r="K954" s="125">
        <f>((E954-G954)/2)/F954</f>
        <v/>
      </c>
      <c r="L954" s="125">
        <f>I954/G954</f>
        <v/>
      </c>
      <c r="M954" s="125">
        <f>(E954*2+F954*4+((E954-G954)/2-H954)*4+2*PI()*H954+(D954-2*F954-2*H954)*2)/1000</f>
        <v/>
      </c>
      <c r="N954" s="5" t="n">
        <v>60500</v>
      </c>
      <c r="O954" s="5" t="n">
        <v>2140</v>
      </c>
      <c r="P954" s="125" t="n">
        <v>21.8</v>
      </c>
      <c r="Q954" s="125" t="n">
        <v>4.1</v>
      </c>
      <c r="R954" s="5" t="n">
        <v>2200</v>
      </c>
      <c r="S954" s="125" t="n">
        <v>214</v>
      </c>
      <c r="T954" s="5" t="n">
        <v>2550</v>
      </c>
      <c r="U954" s="125" t="n">
        <v>340</v>
      </c>
      <c r="X954" s="129">
        <f t="array" ref="X954">_xlfn.IFS((D954/F954) &lt;= (640/SQRT($AT$32)), "Compact", L954 &lt;= ($AT$32*(0.79-(0.002*((E954-G954/2)/(2*F954))*SQRT($AT$32)))), "Non-Compact", L954 &gt; ($AT$32*(0.79-(0.002*((E954-G954/2)/(2*F954))*SQRT($AT$32)))), "Slender")</f>
        <v/>
      </c>
      <c r="Y954" s="129">
        <f t="array" ref="Y954">_xlfn.IFS(K954 &lt;= (65/SQRT($AT$32)), "Compact", K954 &lt;= (95/SQRT($AT$32)), "Non-Compact", K954 &gt; (95/SQRT($AT$32)), "Slender")</f>
        <v/>
      </c>
      <c r="Z954" s="125">
        <f>E954/F954</f>
        <v/>
      </c>
      <c r="AA954" s="125">
        <f>D954/G954</f>
        <v/>
      </c>
      <c r="AB954" s="125">
        <f t="array" ref="AB954">_xlfn.IFS(Z954 &lt;= 9, "1", Z954 &lt;= 12, "2", Z954 &lt;= 15, "3", Z954 &gt; 15, "4")</f>
        <v/>
      </c>
      <c r="AC954" s="125">
        <f t="array" ref="AC954">_xlfn.IFS(AA954 &lt;= 200, "1", L954 &lt;= 300, "2", L954 &lt;= 400, "3", L954 &gt; 400, "4")</f>
        <v/>
      </c>
      <c r="AF954" s="129">
        <f>SQRT((((VLOOKUP($AT$4,$A$4:$D$1021,4,FALSE))-D954)^2)+(((VLOOKUP($AT$4,$A$4:$E$1021,5,FALSE))-E954)^2)+(((VLOOKUP($AT$4,$A$4:$N$1021,14,FALSE))-N954)^2)+(((VLOOKUP($AT$4,$A$4:$O$1021,15,FALSE))-O954)^2))</f>
        <v/>
      </c>
      <c r="AG954" s="129" t="n"/>
      <c r="AI954" s="129">
        <f>SQRT((((VLOOKUP($AT$4,$A$4:$D$1021,4,FALSE))-D954)^2)+(((VLOOKUP($AT$4,$A$4:$E$1021,5,FALSE))-E954)^2)+(((VLOOKUP($AT$4,$A$4:$R$1021,18,FALSE))-R954)^2)+(((VLOOKUP($AT$4,$A$4:$S$1021,19,FALSE))-S954)^2))</f>
        <v/>
      </c>
      <c r="AJ954" s="125" t="inlineStr">
        <is>
          <t>HY550X100</t>
        </is>
      </c>
      <c r="AK954" s="125" t="n"/>
      <c r="AL954" s="125" t="n"/>
      <c r="AM954" s="125">
        <f>SQRT(((VLOOKUP($AT$4,$A$4:$J$1021,10,FALSE))-J954)^2)</f>
        <v/>
      </c>
      <c r="AN954" s="125" t="n"/>
      <c r="AO954" s="125" t="n"/>
      <c r="AP954" s="125">
        <f>SQRT(((VLOOKUP($AT$4,$A$4:$R$1021,18,FALSE))-R954)^2)</f>
        <v/>
      </c>
      <c r="AQ954" s="125" t="inlineStr">
        <is>
          <t>HY550X100</t>
        </is>
      </c>
      <c r="BB954" s="125">
        <f>SQRT(($J$1022-J954)^2)</f>
        <v/>
      </c>
      <c r="BC954" s="125">
        <f>SQRT(($R$1022-R954)^2)</f>
        <v/>
      </c>
      <c r="BD954" s="125" t="inlineStr">
        <is>
          <t>HY550X100</t>
        </is>
      </c>
      <c r="BI954">
        <f>SQRT(($J$1023-J954)^2)</f>
        <v/>
      </c>
      <c r="BJ954">
        <f>SQRT(($R$1023-R954)^2)</f>
        <v/>
      </c>
      <c r="BK954" s="125" t="inlineStr">
        <is>
          <t>HY550X100</t>
        </is>
      </c>
      <c r="BP954">
        <f>SQRT(($J$1024-J954)^2)</f>
        <v/>
      </c>
      <c r="BQ954">
        <f>SQRT(($R$1024-R954)^2)</f>
        <v/>
      </c>
      <c r="BR954" s="125" t="inlineStr">
        <is>
          <t>HY550X100</t>
        </is>
      </c>
      <c r="BW954">
        <f>SQRT(($J$1025-J954)^2)</f>
        <v/>
      </c>
      <c r="BX954">
        <f>SQRT(($R$1025-R954)^2)</f>
        <v/>
      </c>
      <c r="BY954" s="125" t="inlineStr">
        <is>
          <t>HY550X100</t>
        </is>
      </c>
      <c r="CD954">
        <f>SQRT(($J$1026-J954)^2)</f>
        <v/>
      </c>
      <c r="CE954">
        <f>SQRT(($R$1026-R954)^2)</f>
        <v/>
      </c>
      <c r="CF954" s="125" t="inlineStr">
        <is>
          <t>HY550X100</t>
        </is>
      </c>
    </row>
    <row r="955">
      <c r="A955" s="125" t="inlineStr">
        <is>
          <t>HY550X106</t>
        </is>
      </c>
      <c r="B955" s="129" t="inlineStr">
        <is>
          <t>HY</t>
        </is>
      </c>
      <c r="C955" s="125" t="n">
        <v>106</v>
      </c>
      <c r="D955" s="125" t="n">
        <v>550</v>
      </c>
      <c r="E955" s="125" t="n">
        <v>200</v>
      </c>
      <c r="F955" s="125" t="n">
        <v>22</v>
      </c>
      <c r="G955" s="125" t="n">
        <v>9</v>
      </c>
      <c r="H955" s="125" t="n">
        <v>13</v>
      </c>
      <c r="I955" s="125">
        <f>D955-(2*(H955+F955))</f>
        <v/>
      </c>
      <c r="J955" s="125">
        <f>(2*E955/10*F955/10)+((D955-F955-F955)/10*G955/10)+((H955/10+H955/10)^2)-(PI()*H955/10*H955/10)</f>
        <v/>
      </c>
      <c r="K955" s="125">
        <f>((E955-G955)/2)/F955</f>
        <v/>
      </c>
      <c r="L955" s="125">
        <f>I955/G955</f>
        <v/>
      </c>
      <c r="M955" s="125">
        <f>(E955*2+F955*4+((E955-G955)/2-H955)*4+2*PI()*H955+(D955-2*F955-2*H955)*2)/1000</f>
        <v/>
      </c>
      <c r="N955" s="5" t="n">
        <v>72000</v>
      </c>
      <c r="O955" s="5" t="n">
        <v>2940</v>
      </c>
      <c r="P955" s="125" t="n">
        <v>23.1</v>
      </c>
      <c r="Q955" s="125" t="n">
        <v>4.7</v>
      </c>
      <c r="R955" s="5" t="n">
        <v>2620</v>
      </c>
      <c r="S955" s="125" t="n">
        <v>294</v>
      </c>
      <c r="T955" s="5" t="n">
        <v>2940</v>
      </c>
      <c r="U955" s="125" t="n">
        <v>451</v>
      </c>
      <c r="X955" s="129">
        <f t="array" ref="X955">_xlfn.IFS((D955/F955) &lt;= (640/SQRT($AT$32)), "Compact", L955 &lt;= ($AT$32*(0.79-(0.002*((E955-G955/2)/(2*F955))*SQRT($AT$32)))), "Non-Compact", L955 &gt; ($AT$32*(0.79-(0.002*((E955-G955/2)/(2*F955))*SQRT($AT$32)))), "Slender")</f>
        <v/>
      </c>
      <c r="Y955" s="129">
        <f t="array" ref="Y955">_xlfn.IFS(K955 &lt;= (65/SQRT($AT$32)), "Compact", K955 &lt;= (95/SQRT($AT$32)), "Non-Compact", K955 &gt; (95/SQRT($AT$32)), "Slender")</f>
        <v/>
      </c>
      <c r="Z955" s="125">
        <f>E955/F955</f>
        <v/>
      </c>
      <c r="AA955" s="125">
        <f>D955/G955</f>
        <v/>
      </c>
      <c r="AB955" s="125">
        <f t="array" ref="AB955">_xlfn.IFS(Z955 &lt;= 9, "1", Z955 &lt;= 12, "2", Z955 &lt;= 15, "3", Z955 &gt; 15, "4")</f>
        <v/>
      </c>
      <c r="AC955" s="125">
        <f t="array" ref="AC955">_xlfn.IFS(AA955 &lt;= 200, "1", L955 &lt;= 300, "2", L955 &lt;= 400, "3", L955 &gt; 400, "4")</f>
        <v/>
      </c>
      <c r="AF955" s="129">
        <f>SQRT((((VLOOKUP($AT$4,$A$4:$D$1021,4,FALSE))-D955)^2)+(((VLOOKUP($AT$4,$A$4:$E$1021,5,FALSE))-E955)^2)+(((VLOOKUP($AT$4,$A$4:$N$1021,14,FALSE))-N955)^2)+(((VLOOKUP($AT$4,$A$4:$O$1021,15,FALSE))-O955)^2))</f>
        <v/>
      </c>
      <c r="AG955" s="129" t="n"/>
      <c r="AI955" s="129">
        <f>SQRT((((VLOOKUP($AT$4,$A$4:$D$1021,4,FALSE))-D955)^2)+(((VLOOKUP($AT$4,$A$4:$E$1021,5,FALSE))-E955)^2)+(((VLOOKUP($AT$4,$A$4:$R$1021,18,FALSE))-R955)^2)+(((VLOOKUP($AT$4,$A$4:$S$1021,19,FALSE))-S955)^2))</f>
        <v/>
      </c>
      <c r="AJ955" s="125" t="inlineStr">
        <is>
          <t>HY550X106</t>
        </is>
      </c>
      <c r="AK955" s="125" t="n"/>
      <c r="AL955" s="125" t="n"/>
      <c r="AM955" s="125">
        <f>SQRT(((VLOOKUP($AT$4,$A$4:$J$1021,10,FALSE))-J955)^2)</f>
        <v/>
      </c>
      <c r="AN955" s="125" t="n"/>
      <c r="AO955" s="125" t="n"/>
      <c r="AP955" s="125">
        <f>SQRT(((VLOOKUP($AT$4,$A$4:$R$1021,18,FALSE))-R955)^2)</f>
        <v/>
      </c>
      <c r="AQ955" s="125" t="inlineStr">
        <is>
          <t>HY550X106</t>
        </is>
      </c>
      <c r="BB955" s="125">
        <f>SQRT(($J$1022-J955)^2)</f>
        <v/>
      </c>
      <c r="BC955" s="125">
        <f>SQRT(($R$1022-R955)^2)</f>
        <v/>
      </c>
      <c r="BD955" s="125" t="inlineStr">
        <is>
          <t>HY550X106</t>
        </is>
      </c>
      <c r="BI955">
        <f>SQRT(($J$1023-J955)^2)</f>
        <v/>
      </c>
      <c r="BJ955">
        <f>SQRT(($R$1023-R955)^2)</f>
        <v/>
      </c>
      <c r="BK955" s="125" t="inlineStr">
        <is>
          <t>HY550X106</t>
        </is>
      </c>
      <c r="BP955">
        <f>SQRT(($J$1024-J955)^2)</f>
        <v/>
      </c>
      <c r="BQ955">
        <f>SQRT(($R$1024-R955)^2)</f>
        <v/>
      </c>
      <c r="BR955" s="125" t="inlineStr">
        <is>
          <t>HY550X106</t>
        </is>
      </c>
      <c r="BW955">
        <f>SQRT(($J$1025-J955)^2)</f>
        <v/>
      </c>
      <c r="BX955">
        <f>SQRT(($R$1025-R955)^2)</f>
        <v/>
      </c>
      <c r="BY955" s="125" t="inlineStr">
        <is>
          <t>HY550X106</t>
        </is>
      </c>
      <c r="CD955">
        <f>SQRT(($J$1026-J955)^2)</f>
        <v/>
      </c>
      <c r="CE955">
        <f>SQRT(($R$1026-R955)^2)</f>
        <v/>
      </c>
      <c r="CF955" s="125" t="inlineStr">
        <is>
          <t>HY550X106</t>
        </is>
      </c>
    </row>
    <row r="956">
      <c r="A956" s="125" t="inlineStr">
        <is>
          <t>HY550X97</t>
        </is>
      </c>
      <c r="B956" s="129" t="inlineStr">
        <is>
          <t>HY</t>
        </is>
      </c>
      <c r="C956" s="125" t="n">
        <v>97</v>
      </c>
      <c r="D956" s="125" t="n">
        <v>550</v>
      </c>
      <c r="E956" s="125" t="n">
        <v>200</v>
      </c>
      <c r="F956" s="125" t="n">
        <v>19</v>
      </c>
      <c r="G956" s="125" t="n">
        <v>9</v>
      </c>
      <c r="H956" s="125" t="n">
        <v>13</v>
      </c>
      <c r="I956" s="125">
        <f>D956-(2*(H956+F956))</f>
        <v/>
      </c>
      <c r="J956" s="125">
        <f>(2*E956/10*F956/10)+((D956-F956-F956)/10*G956/10)+((H956/10+H956/10)^2)-(PI()*H956/10*H956/10)</f>
        <v/>
      </c>
      <c r="K956" s="125">
        <f>((E956-G956)/2)/F956</f>
        <v/>
      </c>
      <c r="L956" s="125">
        <f>I956/G956</f>
        <v/>
      </c>
      <c r="M956" s="125">
        <f>(E956*2+F956*4+((E956-G956)/2-H956)*4+2*PI()*H956+(D956-2*F956-2*H956)*2)/1000</f>
        <v/>
      </c>
      <c r="N956" s="5" t="n">
        <v>64600</v>
      </c>
      <c r="O956" s="5" t="n">
        <v>2540</v>
      </c>
      <c r="P956" s="125" t="n">
        <v>22.9</v>
      </c>
      <c r="Q956" s="125" t="n">
        <v>4.5</v>
      </c>
      <c r="R956" s="5" t="n">
        <v>2350</v>
      </c>
      <c r="S956" s="125" t="n">
        <v>254</v>
      </c>
      <c r="T956" s="5" t="n">
        <v>2640</v>
      </c>
      <c r="U956" s="125" t="n">
        <v>391</v>
      </c>
      <c r="X956" s="129">
        <f t="array" ref="X956">_xlfn.IFS((D956/F956) &lt;= (640/SQRT($AT$32)), "Compact", L956 &lt;= ($AT$32*(0.79-(0.002*((E956-G956/2)/(2*F956))*SQRT($AT$32)))), "Non-Compact", L956 &gt; ($AT$32*(0.79-(0.002*((E956-G956/2)/(2*F956))*SQRT($AT$32)))), "Slender")</f>
        <v/>
      </c>
      <c r="Y956" s="129">
        <f t="array" ref="Y956">_xlfn.IFS(K956 &lt;= (65/SQRT($AT$32)), "Compact", K956 &lt;= (95/SQRT($AT$32)), "Non-Compact", K956 &gt; (95/SQRT($AT$32)), "Slender")</f>
        <v/>
      </c>
      <c r="Z956" s="125">
        <f>E956/F956</f>
        <v/>
      </c>
      <c r="AA956" s="125">
        <f>D956/G956</f>
        <v/>
      </c>
      <c r="AB956" s="125">
        <f t="array" ref="AB956">_xlfn.IFS(Z956 &lt;= 9, "1", Z956 &lt;= 12, "2", Z956 &lt;= 15, "3", Z956 &gt; 15, "4")</f>
        <v/>
      </c>
      <c r="AC956" s="125">
        <f t="array" ref="AC956">_xlfn.IFS(AA956 &lt;= 200, "1", L956 &lt;= 300, "2", L956 &lt;= 400, "3", L956 &gt; 400, "4")</f>
        <v/>
      </c>
      <c r="AF956" s="129">
        <f>SQRT((((VLOOKUP($AT$4,$A$4:$D$1021,4,FALSE))-D956)^2)+(((VLOOKUP($AT$4,$A$4:$E$1021,5,FALSE))-E956)^2)+(((VLOOKUP($AT$4,$A$4:$N$1021,14,FALSE))-N956)^2)+(((VLOOKUP($AT$4,$A$4:$O$1021,15,FALSE))-O956)^2))</f>
        <v/>
      </c>
      <c r="AG956" s="129" t="n"/>
      <c r="AI956" s="129">
        <f>SQRT((((VLOOKUP($AT$4,$A$4:$D$1021,4,FALSE))-D956)^2)+(((VLOOKUP($AT$4,$A$4:$E$1021,5,FALSE))-E956)^2)+(((VLOOKUP($AT$4,$A$4:$R$1021,18,FALSE))-R956)^2)+(((VLOOKUP($AT$4,$A$4:$S$1021,19,FALSE))-S956)^2))</f>
        <v/>
      </c>
      <c r="AJ956" s="125" t="inlineStr">
        <is>
          <t>HY550X97</t>
        </is>
      </c>
      <c r="AK956" s="125" t="n"/>
      <c r="AL956" s="125" t="n"/>
      <c r="AM956" s="125">
        <f>SQRT(((VLOOKUP($AT$4,$A$4:$J$1021,10,FALSE))-J956)^2)</f>
        <v/>
      </c>
      <c r="AN956" s="125" t="n"/>
      <c r="AO956" s="125" t="n"/>
      <c r="AP956" s="125">
        <f>SQRT(((VLOOKUP($AT$4,$A$4:$R$1021,18,FALSE))-R956)^2)</f>
        <v/>
      </c>
      <c r="AQ956" s="125" t="inlineStr">
        <is>
          <t>HY550X97</t>
        </is>
      </c>
      <c r="BB956" s="125">
        <f>SQRT(($J$1022-J956)^2)</f>
        <v/>
      </c>
      <c r="BC956" s="125">
        <f>SQRT(($R$1022-R956)^2)</f>
        <v/>
      </c>
      <c r="BD956" s="125" t="inlineStr">
        <is>
          <t>HY550X97</t>
        </is>
      </c>
      <c r="BI956">
        <f>SQRT(($J$1023-J956)^2)</f>
        <v/>
      </c>
      <c r="BJ956">
        <f>SQRT(($R$1023-R956)^2)</f>
        <v/>
      </c>
      <c r="BK956" s="125" t="inlineStr">
        <is>
          <t>HY550X97</t>
        </is>
      </c>
      <c r="BP956">
        <f>SQRT(($J$1024-J956)^2)</f>
        <v/>
      </c>
      <c r="BQ956">
        <f>SQRT(($R$1024-R956)^2)</f>
        <v/>
      </c>
      <c r="BR956" s="125" t="inlineStr">
        <is>
          <t>HY550X97</t>
        </is>
      </c>
      <c r="BW956">
        <f>SQRT(($J$1025-J956)^2)</f>
        <v/>
      </c>
      <c r="BX956">
        <f>SQRT(($R$1025-R956)^2)</f>
        <v/>
      </c>
      <c r="BY956" s="125" t="inlineStr">
        <is>
          <t>HY550X97</t>
        </is>
      </c>
      <c r="CD956">
        <f>SQRT(($J$1026-J956)^2)</f>
        <v/>
      </c>
      <c r="CE956">
        <f>SQRT(($R$1026-R956)^2)</f>
        <v/>
      </c>
      <c r="CF956" s="125" t="inlineStr">
        <is>
          <t>HY550X97</t>
        </is>
      </c>
    </row>
    <row r="957">
      <c r="A957" s="125" t="inlineStr">
        <is>
          <t>HY550X88</t>
        </is>
      </c>
      <c r="B957" s="129" t="inlineStr">
        <is>
          <t>HY</t>
        </is>
      </c>
      <c r="C957" s="125" t="n">
        <v>88</v>
      </c>
      <c r="D957" s="125" t="n">
        <v>550</v>
      </c>
      <c r="E957" s="125" t="n">
        <v>200</v>
      </c>
      <c r="F957" s="125" t="n">
        <v>16</v>
      </c>
      <c r="G957" s="125" t="n">
        <v>9</v>
      </c>
      <c r="H957" s="125" t="n">
        <v>13</v>
      </c>
      <c r="I957" s="125">
        <f>D957-(2*(H957+F957))</f>
        <v/>
      </c>
      <c r="J957" s="125">
        <f>(2*E957/10*F957/10)+((D957-F957-F957)/10*G957/10)+((H957/10+H957/10)^2)-(PI()*H957/10*H957/10)</f>
        <v/>
      </c>
      <c r="K957" s="125">
        <f>((E957-G957)/2)/F957</f>
        <v/>
      </c>
      <c r="L957" s="125">
        <f>I957/G957</f>
        <v/>
      </c>
      <c r="M957" s="125">
        <f>(E957*2+F957*4+((E957-G957)/2-H957)*4+2*PI()*H957+(D957-2*F957-2*H957)*2)/1000</f>
        <v/>
      </c>
      <c r="N957" s="5" t="n">
        <v>57000</v>
      </c>
      <c r="O957" s="5" t="n">
        <v>2140</v>
      </c>
      <c r="P957" s="125" t="n">
        <v>22.6</v>
      </c>
      <c r="Q957" s="125" t="n">
        <v>4.4</v>
      </c>
      <c r="R957" s="5" t="n">
        <v>2070</v>
      </c>
      <c r="S957" s="125" t="n">
        <v>214</v>
      </c>
      <c r="T957" s="5" t="n">
        <v>2350</v>
      </c>
      <c r="U957" s="125" t="n">
        <v>332</v>
      </c>
      <c r="X957" s="129">
        <f t="array" ref="X957">_xlfn.IFS((D957/F957) &lt;= (640/SQRT($AT$32)), "Compact", L957 &lt;= ($AT$32*(0.79-(0.002*((E957-G957/2)/(2*F957))*SQRT($AT$32)))), "Non-Compact", L957 &gt; ($AT$32*(0.79-(0.002*((E957-G957/2)/(2*F957))*SQRT($AT$32)))), "Slender")</f>
        <v/>
      </c>
      <c r="Y957" s="129">
        <f t="array" ref="Y957">_xlfn.IFS(K957 &lt;= (65/SQRT($AT$32)), "Compact", K957 &lt;= (95/SQRT($AT$32)), "Non-Compact", K957 &gt; (95/SQRT($AT$32)), "Slender")</f>
        <v/>
      </c>
      <c r="Z957" s="125">
        <f>E957/F957</f>
        <v/>
      </c>
      <c r="AA957" s="125">
        <f>D957/G957</f>
        <v/>
      </c>
      <c r="AB957" s="125">
        <f t="array" ref="AB957">_xlfn.IFS(Z957 &lt;= 9, "1", Z957 &lt;= 12, "2", Z957 &lt;= 15, "3", Z957 &gt; 15, "4")</f>
        <v/>
      </c>
      <c r="AC957" s="125">
        <f t="array" ref="AC957">_xlfn.IFS(AA957 &lt;= 200, "1", L957 &lt;= 300, "2", L957 &lt;= 400, "3", L957 &gt; 400, "4")</f>
        <v/>
      </c>
      <c r="AF957" s="129">
        <f>SQRT((((VLOOKUP($AT$4,$A$4:$D$1021,4,FALSE))-D957)^2)+(((VLOOKUP($AT$4,$A$4:$E$1021,5,FALSE))-E957)^2)+(((VLOOKUP($AT$4,$A$4:$N$1021,14,FALSE))-N957)^2)+(((VLOOKUP($AT$4,$A$4:$O$1021,15,FALSE))-O957)^2))</f>
        <v/>
      </c>
      <c r="AG957" s="129" t="n"/>
      <c r="AI957" s="129">
        <f>SQRT((((VLOOKUP($AT$4,$A$4:$D$1021,4,FALSE))-D957)^2)+(((VLOOKUP($AT$4,$A$4:$E$1021,5,FALSE))-E957)^2)+(((VLOOKUP($AT$4,$A$4:$R$1021,18,FALSE))-R957)^2)+(((VLOOKUP($AT$4,$A$4:$S$1021,19,FALSE))-S957)^2))</f>
        <v/>
      </c>
      <c r="AJ957" s="125" t="inlineStr">
        <is>
          <t>HY550X88</t>
        </is>
      </c>
      <c r="AK957" s="125" t="n"/>
      <c r="AL957" s="125" t="n"/>
      <c r="AM957" s="125">
        <f>SQRT(((VLOOKUP($AT$4,$A$4:$J$1021,10,FALSE))-J957)^2)</f>
        <v/>
      </c>
      <c r="AN957" s="125" t="n"/>
      <c r="AO957" s="125" t="n"/>
      <c r="AP957" s="125">
        <f>SQRT(((VLOOKUP($AT$4,$A$4:$R$1021,18,FALSE))-R957)^2)</f>
        <v/>
      </c>
      <c r="AQ957" s="125" t="inlineStr">
        <is>
          <t>HY550X88</t>
        </is>
      </c>
      <c r="BB957" s="125">
        <f>SQRT(($J$1022-J957)^2)</f>
        <v/>
      </c>
      <c r="BC957" s="125">
        <f>SQRT(($R$1022-R957)^2)</f>
        <v/>
      </c>
      <c r="BD957" s="125" t="inlineStr">
        <is>
          <t>HY550X88</t>
        </is>
      </c>
      <c r="BI957">
        <f>SQRT(($J$1023-J957)^2)</f>
        <v/>
      </c>
      <c r="BJ957">
        <f>SQRT(($R$1023-R957)^2)</f>
        <v/>
      </c>
      <c r="BK957" s="125" t="inlineStr">
        <is>
          <t>HY550X88</t>
        </is>
      </c>
      <c r="BP957">
        <f>SQRT(($J$1024-J957)^2)</f>
        <v/>
      </c>
      <c r="BQ957">
        <f>SQRT(($R$1024-R957)^2)</f>
        <v/>
      </c>
      <c r="BR957" s="125" t="inlineStr">
        <is>
          <t>HY550X88</t>
        </is>
      </c>
      <c r="BW957">
        <f>SQRT(($J$1025-J957)^2)</f>
        <v/>
      </c>
      <c r="BX957">
        <f>SQRT(($R$1025-R957)^2)</f>
        <v/>
      </c>
      <c r="BY957" s="125" t="inlineStr">
        <is>
          <t>HY550X88</t>
        </is>
      </c>
      <c r="CD957">
        <f>SQRT(($J$1026-J957)^2)</f>
        <v/>
      </c>
      <c r="CE957">
        <f>SQRT(($R$1026-R957)^2)</f>
        <v/>
      </c>
      <c r="CF957" s="125" t="inlineStr">
        <is>
          <t>HY550X88</t>
        </is>
      </c>
    </row>
    <row r="958">
      <c r="A958" s="125" t="inlineStr">
        <is>
          <t>HY550X76</t>
        </is>
      </c>
      <c r="B958" s="129" t="inlineStr">
        <is>
          <t>HY</t>
        </is>
      </c>
      <c r="C958" s="125" t="n">
        <v>76</v>
      </c>
      <c r="D958" s="125" t="n">
        <v>550</v>
      </c>
      <c r="E958" s="125" t="n">
        <v>200</v>
      </c>
      <c r="F958" s="125" t="n">
        <v>12</v>
      </c>
      <c r="G958" s="125" t="n">
        <v>9</v>
      </c>
      <c r="H958" s="125" t="n">
        <v>13</v>
      </c>
      <c r="I958" s="125">
        <f>D958-(2*(H958+F958))</f>
        <v/>
      </c>
      <c r="J958" s="125">
        <f>(2*E958/10*F958/10)+((D958-F958-F958)/10*G958/10)+((H958/10+H958/10)^2)-(PI()*H958/10*H958/10)</f>
        <v/>
      </c>
      <c r="K958" s="125">
        <f>((E958-G958)/2)/F958</f>
        <v/>
      </c>
      <c r="L958" s="125">
        <f>I958/G958</f>
        <v/>
      </c>
      <c r="M958" s="125">
        <f>(E958*2+F958*4+((E958-G958)/2-H958)*4+2*PI()*H958+(D958-2*F958-2*H958)*2)/1000</f>
        <v/>
      </c>
      <c r="N958" s="5" t="n">
        <v>46600</v>
      </c>
      <c r="O958" s="5" t="n">
        <v>1600</v>
      </c>
      <c r="P958" s="125" t="n">
        <v>22</v>
      </c>
      <c r="Q958" s="125" t="n">
        <v>4.1</v>
      </c>
      <c r="R958" s="5" t="n">
        <v>1700</v>
      </c>
      <c r="S958" s="125" t="n">
        <v>160</v>
      </c>
      <c r="T958" s="5" t="n">
        <v>1950</v>
      </c>
      <c r="U958" s="125" t="n">
        <v>252</v>
      </c>
      <c r="X958" s="129">
        <f t="array" ref="X958">_xlfn.IFS((D958/F958) &lt;= (640/SQRT($AT$32)), "Compact", L958 &lt;= ($AT$32*(0.79-(0.002*((E958-G958/2)/(2*F958))*SQRT($AT$32)))), "Non-Compact", L958 &gt; ($AT$32*(0.79-(0.002*((E958-G958/2)/(2*F958))*SQRT($AT$32)))), "Slender")</f>
        <v/>
      </c>
      <c r="Y958" s="129">
        <f t="array" ref="Y958">_xlfn.IFS(K958 &lt;= (65/SQRT($AT$32)), "Compact", K958 &lt;= (95/SQRT($AT$32)), "Non-Compact", K958 &gt; (95/SQRT($AT$32)), "Slender")</f>
        <v/>
      </c>
      <c r="Z958" s="125">
        <f>E958/F958</f>
        <v/>
      </c>
      <c r="AA958" s="125">
        <f>D958/G958</f>
        <v/>
      </c>
      <c r="AB958" s="125">
        <f t="array" ref="AB958">_xlfn.IFS(Z958 &lt;= 9, "1", Z958 &lt;= 12, "2", Z958 &lt;= 15, "3", Z958 &gt; 15, "4")</f>
        <v/>
      </c>
      <c r="AC958" s="125">
        <f t="array" ref="AC958">_xlfn.IFS(AA958 &lt;= 200, "1", L958 &lt;= 300, "2", L958 &lt;= 400, "3", L958 &gt; 400, "4")</f>
        <v/>
      </c>
      <c r="AF958" s="129">
        <f>SQRT((((VLOOKUP($AT$4,$A$4:$D$1021,4,FALSE))-D958)^2)+(((VLOOKUP($AT$4,$A$4:$E$1021,5,FALSE))-E958)^2)+(((VLOOKUP($AT$4,$A$4:$N$1021,14,FALSE))-N958)^2)+(((VLOOKUP($AT$4,$A$4:$O$1021,15,FALSE))-O958)^2))</f>
        <v/>
      </c>
      <c r="AG958" s="129" t="n"/>
      <c r="AI958" s="129">
        <f>SQRT((((VLOOKUP($AT$4,$A$4:$D$1021,4,FALSE))-D958)^2)+(((VLOOKUP($AT$4,$A$4:$E$1021,5,FALSE))-E958)^2)+(((VLOOKUP($AT$4,$A$4:$R$1021,18,FALSE))-R958)^2)+(((VLOOKUP($AT$4,$A$4:$S$1021,19,FALSE))-S958)^2))</f>
        <v/>
      </c>
      <c r="AJ958" s="125" t="inlineStr">
        <is>
          <t>HY550X76</t>
        </is>
      </c>
      <c r="AK958" s="125" t="n"/>
      <c r="AL958" s="125" t="n"/>
      <c r="AM958" s="125">
        <f>SQRT(((VLOOKUP($AT$4,$A$4:$J$1021,10,FALSE))-J958)^2)</f>
        <v/>
      </c>
      <c r="AN958" s="125" t="n"/>
      <c r="AO958" s="125" t="n"/>
      <c r="AP958" s="125">
        <f>SQRT(((VLOOKUP($AT$4,$A$4:$R$1021,18,FALSE))-R958)^2)</f>
        <v/>
      </c>
      <c r="AQ958" s="125" t="inlineStr">
        <is>
          <t>HY550X76</t>
        </is>
      </c>
      <c r="BB958" s="125">
        <f>SQRT(($J$1022-J958)^2)</f>
        <v/>
      </c>
      <c r="BC958" s="125">
        <f>SQRT(($R$1022-R958)^2)</f>
        <v/>
      </c>
      <c r="BD958" s="125" t="inlineStr">
        <is>
          <t>HY550X76</t>
        </is>
      </c>
      <c r="BI958">
        <f>SQRT(($J$1023-J958)^2)</f>
        <v/>
      </c>
      <c r="BJ958">
        <f>SQRT(($R$1023-R958)^2)</f>
        <v/>
      </c>
      <c r="BK958" s="125" t="inlineStr">
        <is>
          <t>HY550X76</t>
        </is>
      </c>
      <c r="BP958">
        <f>SQRT(($J$1024-J958)^2)</f>
        <v/>
      </c>
      <c r="BQ958">
        <f>SQRT(($R$1024-R958)^2)</f>
        <v/>
      </c>
      <c r="BR958" s="125" t="inlineStr">
        <is>
          <t>HY550X76</t>
        </is>
      </c>
      <c r="BW958">
        <f>SQRT(($J$1025-J958)^2)</f>
        <v/>
      </c>
      <c r="BX958">
        <f>SQRT(($R$1025-R958)^2)</f>
        <v/>
      </c>
      <c r="BY958" s="125" t="inlineStr">
        <is>
          <t>HY550X76</t>
        </is>
      </c>
      <c r="CD958">
        <f>SQRT(($J$1026-J958)^2)</f>
        <v/>
      </c>
      <c r="CE958">
        <f>SQRT(($R$1026-R958)^2)</f>
        <v/>
      </c>
      <c r="CF958" s="125" t="inlineStr">
        <is>
          <t>HY550X76</t>
        </is>
      </c>
    </row>
    <row r="959">
      <c r="A959" s="125" t="inlineStr">
        <is>
          <t>HY500X207</t>
        </is>
      </c>
      <c r="B959" s="129" t="inlineStr">
        <is>
          <t>HY</t>
        </is>
      </c>
      <c r="C959" s="125" t="n">
        <v>207</v>
      </c>
      <c r="D959" s="125" t="n">
        <v>500</v>
      </c>
      <c r="E959" s="125" t="n">
        <v>300</v>
      </c>
      <c r="F959" s="125" t="n">
        <v>32</v>
      </c>
      <c r="G959" s="125" t="n">
        <v>16</v>
      </c>
      <c r="H959" s="125" t="n">
        <v>13</v>
      </c>
      <c r="I959" s="125">
        <f>D959-(2*(H959+F959))</f>
        <v/>
      </c>
      <c r="J959" s="125">
        <f>(2*E959/10*F959/10)+((D959-F959-F959)/10*G959/10)+((H959/10+H959/10)^2)-(PI()*H959/10*H959/10)</f>
        <v/>
      </c>
      <c r="K959" s="125">
        <f>((E959-G959)/2)/F959</f>
        <v/>
      </c>
      <c r="L959" s="125">
        <f>I959/G959</f>
        <v/>
      </c>
      <c r="M959" s="125">
        <f>(E959*2+F959*4+((E959-G959)/2-H959)*4+2*PI()*H959+(D959-2*F959-2*H959)*2)/1000</f>
        <v/>
      </c>
      <c r="N959" s="5" t="n">
        <v>117000</v>
      </c>
      <c r="O959" s="5" t="n">
        <v>14400</v>
      </c>
      <c r="P959" s="125" t="n">
        <v>21.1</v>
      </c>
      <c r="Q959" s="125" t="n">
        <v>7.4</v>
      </c>
      <c r="R959" s="5" t="n">
        <v>4680</v>
      </c>
      <c r="S959" s="125" t="n">
        <v>961</v>
      </c>
      <c r="T959" s="5" t="n">
        <v>5280</v>
      </c>
      <c r="U959" s="5" t="n">
        <v>1470</v>
      </c>
      <c r="X959" s="129">
        <f t="array" ref="X959">_xlfn.IFS((D959/F959) &lt;= (640/SQRT($AT$32)), "Compact", L959 &lt;= ($AT$32*(0.79-(0.002*((E959-G959/2)/(2*F959))*SQRT($AT$32)))), "Non-Compact", L959 &gt; ($AT$32*(0.79-(0.002*((E959-G959/2)/(2*F959))*SQRT($AT$32)))), "Slender")</f>
        <v/>
      </c>
      <c r="Y959" s="129">
        <f t="array" ref="Y959">_xlfn.IFS(K959 &lt;= (65/SQRT($AT$32)), "Compact", K959 &lt;= (95/SQRT($AT$32)), "Non-Compact", K959 &gt; (95/SQRT($AT$32)), "Slender")</f>
        <v/>
      </c>
      <c r="Z959" s="125">
        <f>E959/F959</f>
        <v/>
      </c>
      <c r="AA959" s="125">
        <f>D959/G959</f>
        <v/>
      </c>
      <c r="AB959" s="125">
        <f t="array" ref="AB959">_xlfn.IFS(Z959 &lt;= 9, "1", Z959 &lt;= 12, "2", Z959 &lt;= 15, "3", Z959 &gt; 15, "4")</f>
        <v/>
      </c>
      <c r="AC959" s="125">
        <f t="array" ref="AC959">_xlfn.IFS(AA959 &lt;= 200, "1", L959 &lt;= 300, "2", L959 &lt;= 400, "3", L959 &gt; 400, "4")</f>
        <v/>
      </c>
      <c r="AF959" s="129">
        <f>SQRT((((VLOOKUP($AT$4,$A$4:$D$1021,4,FALSE))-D959)^2)+(((VLOOKUP($AT$4,$A$4:$E$1021,5,FALSE))-E959)^2)+(((VLOOKUP($AT$4,$A$4:$N$1021,14,FALSE))-N959)^2)+(((VLOOKUP($AT$4,$A$4:$O$1021,15,FALSE))-O959)^2))</f>
        <v/>
      </c>
      <c r="AG959" s="129" t="n"/>
      <c r="AI959" s="129">
        <f>SQRT((((VLOOKUP($AT$4,$A$4:$D$1021,4,FALSE))-D959)^2)+(((VLOOKUP($AT$4,$A$4:$E$1021,5,FALSE))-E959)^2)+(((VLOOKUP($AT$4,$A$4:$R$1021,18,FALSE))-R959)^2)+(((VLOOKUP($AT$4,$A$4:$S$1021,19,FALSE))-S959)^2))</f>
        <v/>
      </c>
      <c r="AJ959" s="125" t="inlineStr">
        <is>
          <t>HY500X207</t>
        </is>
      </c>
      <c r="AK959" s="125" t="n"/>
      <c r="AL959" s="125" t="n"/>
      <c r="AM959" s="125">
        <f>SQRT(((VLOOKUP($AT$4,$A$4:$J$1021,10,FALSE))-J959)^2)</f>
        <v/>
      </c>
      <c r="AN959" s="125" t="n"/>
      <c r="AO959" s="125" t="n"/>
      <c r="AP959" s="125">
        <f>SQRT(((VLOOKUP($AT$4,$A$4:$R$1021,18,FALSE))-R959)^2)</f>
        <v/>
      </c>
      <c r="AQ959" s="125" t="inlineStr">
        <is>
          <t>HY500X207</t>
        </is>
      </c>
      <c r="BB959" s="125">
        <f>SQRT(($J$1022-J959)^2)</f>
        <v/>
      </c>
      <c r="BC959" s="125">
        <f>SQRT(($R$1022-R959)^2)</f>
        <v/>
      </c>
      <c r="BD959" s="125" t="inlineStr">
        <is>
          <t>HY500X207</t>
        </is>
      </c>
      <c r="BI959">
        <f>SQRT(($J$1023-J959)^2)</f>
        <v/>
      </c>
      <c r="BJ959">
        <f>SQRT(($R$1023-R959)^2)</f>
        <v/>
      </c>
      <c r="BK959" s="125" t="inlineStr">
        <is>
          <t>HY500X207</t>
        </is>
      </c>
      <c r="BP959">
        <f>SQRT(($J$1024-J959)^2)</f>
        <v/>
      </c>
      <c r="BQ959">
        <f>SQRT(($R$1024-R959)^2)</f>
        <v/>
      </c>
      <c r="BR959" s="125" t="inlineStr">
        <is>
          <t>HY500X207</t>
        </is>
      </c>
      <c r="BW959">
        <f>SQRT(($J$1025-J959)^2)</f>
        <v/>
      </c>
      <c r="BX959">
        <f>SQRT(($R$1025-R959)^2)</f>
        <v/>
      </c>
      <c r="BY959" s="125" t="inlineStr">
        <is>
          <t>HY500X207</t>
        </is>
      </c>
      <c r="CD959">
        <f>SQRT(($J$1026-J959)^2)</f>
        <v/>
      </c>
      <c r="CE959">
        <f>SQRT(($R$1026-R959)^2)</f>
        <v/>
      </c>
      <c r="CF959" s="125" t="inlineStr">
        <is>
          <t>HY500X207</t>
        </is>
      </c>
    </row>
    <row r="960">
      <c r="A960" s="125" t="inlineStr">
        <is>
          <t>HY500X189</t>
        </is>
      </c>
      <c r="B960" s="129" t="inlineStr">
        <is>
          <t>HY</t>
        </is>
      </c>
      <c r="C960" s="125" t="n">
        <v>189</v>
      </c>
      <c r="D960" s="125" t="n">
        <v>500</v>
      </c>
      <c r="E960" s="125" t="n">
        <v>300</v>
      </c>
      <c r="F960" s="125" t="n">
        <v>28</v>
      </c>
      <c r="G960" s="125" t="n">
        <v>16</v>
      </c>
      <c r="H960" s="125" t="n">
        <v>13</v>
      </c>
      <c r="I960" s="125">
        <f>D960-(2*(H960+F960))</f>
        <v/>
      </c>
      <c r="J960" s="125">
        <f>(2*E960/10*F960/10)+((D960-F960-F960)/10*G960/10)+((H960/10+H960/10)^2)-(PI()*H960/10*H960/10)</f>
        <v/>
      </c>
      <c r="K960" s="125">
        <f>((E960-G960)/2)/F960</f>
        <v/>
      </c>
      <c r="L960" s="125">
        <f>I960/G960</f>
        <v/>
      </c>
      <c r="M960" s="125">
        <f>(E960*2+F960*4+((E960-G960)/2-H960)*4+2*PI()*H960+(D960-2*F960-2*H960)*2)/1000</f>
        <v/>
      </c>
      <c r="N960" s="5" t="n">
        <v>106000</v>
      </c>
      <c r="O960" s="5" t="n">
        <v>12600</v>
      </c>
      <c r="P960" s="125" t="n">
        <v>21</v>
      </c>
      <c r="Q960" s="125" t="n">
        <v>7.2</v>
      </c>
      <c r="R960" s="5" t="n">
        <v>4240</v>
      </c>
      <c r="S960" s="125" t="n">
        <v>841</v>
      </c>
      <c r="T960" s="5" t="n">
        <v>4790</v>
      </c>
      <c r="U960" s="5" t="n">
        <v>1290</v>
      </c>
      <c r="X960" s="129">
        <f t="array" ref="X960">_xlfn.IFS((D960/F960) &lt;= (640/SQRT($AT$32)), "Compact", L960 &lt;= ($AT$32*(0.79-(0.002*((E960-G960/2)/(2*F960))*SQRT($AT$32)))), "Non-Compact", L960 &gt; ($AT$32*(0.79-(0.002*((E960-G960/2)/(2*F960))*SQRT($AT$32)))), "Slender")</f>
        <v/>
      </c>
      <c r="Y960" s="129">
        <f t="array" ref="Y960">_xlfn.IFS(K960 &lt;= (65/SQRT($AT$32)), "Compact", K960 &lt;= (95/SQRT($AT$32)), "Non-Compact", K960 &gt; (95/SQRT($AT$32)), "Slender")</f>
        <v/>
      </c>
      <c r="Z960" s="125">
        <f>E960/F960</f>
        <v/>
      </c>
      <c r="AA960" s="125">
        <f>D960/G960</f>
        <v/>
      </c>
      <c r="AB960" s="125">
        <f t="array" ref="AB960">_xlfn.IFS(Z960 &lt;= 9, "1", Z960 &lt;= 12, "2", Z960 &lt;= 15, "3", Z960 &gt; 15, "4")</f>
        <v/>
      </c>
      <c r="AC960" s="125">
        <f t="array" ref="AC960">_xlfn.IFS(AA960 &lt;= 200, "1", L960 &lt;= 300, "2", L960 &lt;= 400, "3", L960 &gt; 400, "4")</f>
        <v/>
      </c>
      <c r="AF960" s="129">
        <f>SQRT((((VLOOKUP($AT$4,$A$4:$D$1021,4,FALSE))-D960)^2)+(((VLOOKUP($AT$4,$A$4:$E$1021,5,FALSE))-E960)^2)+(((VLOOKUP($AT$4,$A$4:$N$1021,14,FALSE))-N960)^2)+(((VLOOKUP($AT$4,$A$4:$O$1021,15,FALSE))-O960)^2))</f>
        <v/>
      </c>
      <c r="AG960" s="129" t="n"/>
      <c r="AI960" s="129">
        <f>SQRT((((VLOOKUP($AT$4,$A$4:$D$1021,4,FALSE))-D960)^2)+(((VLOOKUP($AT$4,$A$4:$E$1021,5,FALSE))-E960)^2)+(((VLOOKUP($AT$4,$A$4:$R$1021,18,FALSE))-R960)^2)+(((VLOOKUP($AT$4,$A$4:$S$1021,19,FALSE))-S960)^2))</f>
        <v/>
      </c>
      <c r="AJ960" s="125" t="inlineStr">
        <is>
          <t>HY500X189</t>
        </is>
      </c>
      <c r="AK960" s="125" t="n"/>
      <c r="AL960" s="125" t="n"/>
      <c r="AM960" s="125">
        <f>SQRT(((VLOOKUP($AT$4,$A$4:$J$1021,10,FALSE))-J960)^2)</f>
        <v/>
      </c>
      <c r="AN960" s="125" t="n"/>
      <c r="AO960" s="125" t="n"/>
      <c r="AP960" s="125">
        <f>SQRT(((VLOOKUP($AT$4,$A$4:$R$1021,18,FALSE))-R960)^2)</f>
        <v/>
      </c>
      <c r="AQ960" s="125" t="inlineStr">
        <is>
          <t>HY500X189</t>
        </is>
      </c>
      <c r="BB960" s="125">
        <f>SQRT(($J$1022-J960)^2)</f>
        <v/>
      </c>
      <c r="BC960" s="125">
        <f>SQRT(($R$1022-R960)^2)</f>
        <v/>
      </c>
      <c r="BD960" s="125" t="inlineStr">
        <is>
          <t>HY500X189</t>
        </is>
      </c>
      <c r="BI960">
        <f>SQRT(($J$1023-J960)^2)</f>
        <v/>
      </c>
      <c r="BJ960">
        <f>SQRT(($R$1023-R960)^2)</f>
        <v/>
      </c>
      <c r="BK960" s="125" t="inlineStr">
        <is>
          <t>HY500X189</t>
        </is>
      </c>
      <c r="BP960">
        <f>SQRT(($J$1024-J960)^2)</f>
        <v/>
      </c>
      <c r="BQ960">
        <f>SQRT(($R$1024-R960)^2)</f>
        <v/>
      </c>
      <c r="BR960" s="125" t="inlineStr">
        <is>
          <t>HY500X189</t>
        </is>
      </c>
      <c r="BW960">
        <f>SQRT(($J$1025-J960)^2)</f>
        <v/>
      </c>
      <c r="BX960">
        <f>SQRT(($R$1025-R960)^2)</f>
        <v/>
      </c>
      <c r="BY960" s="125" t="inlineStr">
        <is>
          <t>HY500X189</t>
        </is>
      </c>
      <c r="CD960">
        <f>SQRT(($J$1026-J960)^2)</f>
        <v/>
      </c>
      <c r="CE960">
        <f>SQRT(($R$1026-R960)^2)</f>
        <v/>
      </c>
      <c r="CF960" s="125" t="inlineStr">
        <is>
          <t>HY500X189</t>
        </is>
      </c>
    </row>
    <row r="961">
      <c r="A961" s="125" t="inlineStr">
        <is>
          <t>HY500X175</t>
        </is>
      </c>
      <c r="B961" s="129" t="inlineStr">
        <is>
          <t>HY</t>
        </is>
      </c>
      <c r="C961" s="125" t="n">
        <v>175</v>
      </c>
      <c r="D961" s="125" t="n">
        <v>500</v>
      </c>
      <c r="E961" s="125" t="n">
        <v>300</v>
      </c>
      <c r="F961" s="125" t="n">
        <v>25</v>
      </c>
      <c r="G961" s="125" t="n">
        <v>16</v>
      </c>
      <c r="H961" s="125" t="n">
        <v>13</v>
      </c>
      <c r="I961" s="125">
        <f>D961-(2*(H961+F961))</f>
        <v/>
      </c>
      <c r="J961" s="125">
        <f>(2*E961/10*F961/10)+((D961-F961-F961)/10*G961/10)+((H961/10+H961/10)^2)-(PI()*H961/10*H961/10)</f>
        <v/>
      </c>
      <c r="K961" s="125">
        <f>((E961-G961)/2)/F961</f>
        <v/>
      </c>
      <c r="L961" s="125">
        <f>I961/G961</f>
        <v/>
      </c>
      <c r="M961" s="125">
        <f>(E961*2+F961*4+((E961-G961)/2-H961)*4+2*PI()*H961+(D961-2*F961-2*H961)*2)/1000</f>
        <v/>
      </c>
      <c r="N961" s="5" t="n">
        <v>97600</v>
      </c>
      <c r="O961" s="5" t="n">
        <v>11300</v>
      </c>
      <c r="P961" s="125" t="n">
        <v>20.9</v>
      </c>
      <c r="Q961" s="125" t="n">
        <v>7.1</v>
      </c>
      <c r="R961" s="5" t="n">
        <v>3900</v>
      </c>
      <c r="S961" s="125" t="n">
        <v>751</v>
      </c>
      <c r="T961" s="5" t="n">
        <v>4400</v>
      </c>
      <c r="U961" s="5" t="n">
        <v>1160</v>
      </c>
      <c r="X961" s="129">
        <f t="array" ref="X961">_xlfn.IFS((D961/F961) &lt;= (640/SQRT($AT$32)), "Compact", L961 &lt;= ($AT$32*(0.79-(0.002*((E961-G961/2)/(2*F961))*SQRT($AT$32)))), "Non-Compact", L961 &gt; ($AT$32*(0.79-(0.002*((E961-G961/2)/(2*F961))*SQRT($AT$32)))), "Slender")</f>
        <v/>
      </c>
      <c r="Y961" s="129">
        <f t="array" ref="Y961">_xlfn.IFS(K961 &lt;= (65/SQRT($AT$32)), "Compact", K961 &lt;= (95/SQRT($AT$32)), "Non-Compact", K961 &gt; (95/SQRT($AT$32)), "Slender")</f>
        <v/>
      </c>
      <c r="Z961" s="125">
        <f>E961/F961</f>
        <v/>
      </c>
      <c r="AA961" s="125">
        <f>D961/G961</f>
        <v/>
      </c>
      <c r="AB961" s="125">
        <f t="array" ref="AB961">_xlfn.IFS(Z961 &lt;= 9, "1", Z961 &lt;= 12, "2", Z961 &lt;= 15, "3", Z961 &gt; 15, "4")</f>
        <v/>
      </c>
      <c r="AC961" s="125">
        <f t="array" ref="AC961">_xlfn.IFS(AA961 &lt;= 200, "1", L961 &lt;= 300, "2", L961 &lt;= 400, "3", L961 &gt; 400, "4")</f>
        <v/>
      </c>
      <c r="AF961" s="129">
        <f>SQRT((((VLOOKUP($AT$4,$A$4:$D$1021,4,FALSE))-D961)^2)+(((VLOOKUP($AT$4,$A$4:$E$1021,5,FALSE))-E961)^2)+(((VLOOKUP($AT$4,$A$4:$N$1021,14,FALSE))-N961)^2)+(((VLOOKUP($AT$4,$A$4:$O$1021,15,FALSE))-O961)^2))</f>
        <v/>
      </c>
      <c r="AG961" s="129" t="n"/>
      <c r="AI961" s="129">
        <f>SQRT((((VLOOKUP($AT$4,$A$4:$D$1021,4,FALSE))-D961)^2)+(((VLOOKUP($AT$4,$A$4:$E$1021,5,FALSE))-E961)^2)+(((VLOOKUP($AT$4,$A$4:$R$1021,18,FALSE))-R961)^2)+(((VLOOKUP($AT$4,$A$4:$S$1021,19,FALSE))-S961)^2))</f>
        <v/>
      </c>
      <c r="AJ961" s="125" t="inlineStr">
        <is>
          <t>HY500X175</t>
        </is>
      </c>
      <c r="AK961" s="125" t="n"/>
      <c r="AL961" s="125" t="n"/>
      <c r="AM961" s="125">
        <f>SQRT(((VLOOKUP($AT$4,$A$4:$J$1021,10,FALSE))-J961)^2)</f>
        <v/>
      </c>
      <c r="AN961" s="125" t="n"/>
      <c r="AO961" s="125" t="n"/>
      <c r="AP961" s="125">
        <f>SQRT(((VLOOKUP($AT$4,$A$4:$R$1021,18,FALSE))-R961)^2)</f>
        <v/>
      </c>
      <c r="AQ961" s="125" t="inlineStr">
        <is>
          <t>HY500X175</t>
        </is>
      </c>
      <c r="BB961" s="125">
        <f>SQRT(($J$1022-J961)^2)</f>
        <v/>
      </c>
      <c r="BC961" s="125">
        <f>SQRT(($R$1022-R961)^2)</f>
        <v/>
      </c>
      <c r="BD961" s="125" t="inlineStr">
        <is>
          <t>HY500X175</t>
        </is>
      </c>
      <c r="BI961">
        <f>SQRT(($J$1023-J961)^2)</f>
        <v/>
      </c>
      <c r="BJ961">
        <f>SQRT(($R$1023-R961)^2)</f>
        <v/>
      </c>
      <c r="BK961" s="125" t="inlineStr">
        <is>
          <t>HY500X175</t>
        </is>
      </c>
      <c r="BP961">
        <f>SQRT(($J$1024-J961)^2)</f>
        <v/>
      </c>
      <c r="BQ961">
        <f>SQRT(($R$1024-R961)^2)</f>
        <v/>
      </c>
      <c r="BR961" s="125" t="inlineStr">
        <is>
          <t>HY500X175</t>
        </is>
      </c>
      <c r="BW961">
        <f>SQRT(($J$1025-J961)^2)</f>
        <v/>
      </c>
      <c r="BX961">
        <f>SQRT(($R$1025-R961)^2)</f>
        <v/>
      </c>
      <c r="BY961" s="125" t="inlineStr">
        <is>
          <t>HY500X175</t>
        </is>
      </c>
      <c r="CD961">
        <f>SQRT(($J$1026-J961)^2)</f>
        <v/>
      </c>
      <c r="CE961">
        <f>SQRT(($R$1026-R961)^2)</f>
        <v/>
      </c>
      <c r="CF961" s="125" t="inlineStr">
        <is>
          <t>HY500X175</t>
        </is>
      </c>
    </row>
    <row r="962">
      <c r="A962" s="125" t="inlineStr">
        <is>
          <t>HY500X162</t>
        </is>
      </c>
      <c r="B962" s="129" t="inlineStr">
        <is>
          <t>HY</t>
        </is>
      </c>
      <c r="C962" s="125" t="n">
        <v>162</v>
      </c>
      <c r="D962" s="125" t="n">
        <v>500</v>
      </c>
      <c r="E962" s="125" t="n">
        <v>300</v>
      </c>
      <c r="F962" s="125" t="n">
        <v>22</v>
      </c>
      <c r="G962" s="125" t="n">
        <v>16</v>
      </c>
      <c r="H962" s="125" t="n">
        <v>13</v>
      </c>
      <c r="I962" s="125">
        <f>D962-(2*(H962+F962))</f>
        <v/>
      </c>
      <c r="J962" s="125">
        <f>(2*E962/10*F962/10)+((D962-F962-F962)/10*G962/10)+((H962/10+H962/10)^2)-(PI()*H962/10*H962/10)</f>
        <v/>
      </c>
      <c r="K962" s="125">
        <f>((E962-G962)/2)/F962</f>
        <v/>
      </c>
      <c r="L962" s="125">
        <f>I962/G962</f>
        <v/>
      </c>
      <c r="M962" s="125">
        <f>(E962*2+F962*4+((E962-G962)/2-H962)*4+2*PI()*H962+(D962-2*F962-2*H962)*2)/1000</f>
        <v/>
      </c>
      <c r="N962" s="5" t="n">
        <v>88800</v>
      </c>
      <c r="O962" s="5" t="n">
        <v>9920</v>
      </c>
      <c r="P962" s="125" t="n">
        <v>20.7</v>
      </c>
      <c r="Q962" s="125" t="n">
        <v>6.9</v>
      </c>
      <c r="R962" s="5" t="n">
        <v>3550</v>
      </c>
      <c r="S962" s="125" t="n">
        <v>661</v>
      </c>
      <c r="T962" s="5" t="n">
        <v>4020</v>
      </c>
      <c r="U962" s="5" t="n">
        <v>1020</v>
      </c>
      <c r="X962" s="129">
        <f t="array" ref="X962">_xlfn.IFS((D962/F962) &lt;= (640/SQRT($AT$32)), "Compact", L962 &lt;= ($AT$32*(0.79-(0.002*((E962-G962/2)/(2*F962))*SQRT($AT$32)))), "Non-Compact", L962 &gt; ($AT$32*(0.79-(0.002*((E962-G962/2)/(2*F962))*SQRT($AT$32)))), "Slender")</f>
        <v/>
      </c>
      <c r="Y962" s="129">
        <f t="array" ref="Y962">_xlfn.IFS(K962 &lt;= (65/SQRT($AT$32)), "Compact", K962 &lt;= (95/SQRT($AT$32)), "Non-Compact", K962 &gt; (95/SQRT($AT$32)), "Slender")</f>
        <v/>
      </c>
      <c r="Z962" s="125">
        <f>E962/F962</f>
        <v/>
      </c>
      <c r="AA962" s="125">
        <f>D962/G962</f>
        <v/>
      </c>
      <c r="AB962" s="125">
        <f t="array" ref="AB962">_xlfn.IFS(Z962 &lt;= 9, "1", Z962 &lt;= 12, "2", Z962 &lt;= 15, "3", Z962 &gt; 15, "4")</f>
        <v/>
      </c>
      <c r="AC962" s="125">
        <f t="array" ref="AC962">_xlfn.IFS(AA962 &lt;= 200, "1", L962 &lt;= 300, "2", L962 &lt;= 400, "3", L962 &gt; 400, "4")</f>
        <v/>
      </c>
      <c r="AF962" s="129">
        <f>SQRT((((VLOOKUP($AT$4,$A$4:$D$1021,4,FALSE))-D962)^2)+(((VLOOKUP($AT$4,$A$4:$E$1021,5,FALSE))-E962)^2)+(((VLOOKUP($AT$4,$A$4:$N$1021,14,FALSE))-N962)^2)+(((VLOOKUP($AT$4,$A$4:$O$1021,15,FALSE))-O962)^2))</f>
        <v/>
      </c>
      <c r="AG962" s="129" t="n"/>
      <c r="AI962" s="129">
        <f>SQRT((((VLOOKUP($AT$4,$A$4:$D$1021,4,FALSE))-D962)^2)+(((VLOOKUP($AT$4,$A$4:$E$1021,5,FALSE))-E962)^2)+(((VLOOKUP($AT$4,$A$4:$R$1021,18,FALSE))-R962)^2)+(((VLOOKUP($AT$4,$A$4:$S$1021,19,FALSE))-S962)^2))</f>
        <v/>
      </c>
      <c r="AJ962" s="125" t="inlineStr">
        <is>
          <t>HY500X162</t>
        </is>
      </c>
      <c r="AK962" s="125" t="n"/>
      <c r="AL962" s="125" t="n"/>
      <c r="AM962" s="125">
        <f>SQRT(((VLOOKUP($AT$4,$A$4:$J$1021,10,FALSE))-J962)^2)</f>
        <v/>
      </c>
      <c r="AN962" s="125" t="n"/>
      <c r="AO962" s="125" t="n"/>
      <c r="AP962" s="125">
        <f>SQRT(((VLOOKUP($AT$4,$A$4:$R$1021,18,FALSE))-R962)^2)</f>
        <v/>
      </c>
      <c r="AQ962" s="125" t="inlineStr">
        <is>
          <t>HY500X162</t>
        </is>
      </c>
      <c r="BB962" s="125">
        <f>SQRT(($J$1022-J962)^2)</f>
        <v/>
      </c>
      <c r="BC962" s="125">
        <f>SQRT(($R$1022-R962)^2)</f>
        <v/>
      </c>
      <c r="BD962" s="125" t="inlineStr">
        <is>
          <t>HY500X162</t>
        </is>
      </c>
      <c r="BI962">
        <f>SQRT(($J$1023-J962)^2)</f>
        <v/>
      </c>
      <c r="BJ962">
        <f>SQRT(($R$1023-R962)^2)</f>
        <v/>
      </c>
      <c r="BK962" s="125" t="inlineStr">
        <is>
          <t>HY500X162</t>
        </is>
      </c>
      <c r="BP962">
        <f>SQRT(($J$1024-J962)^2)</f>
        <v/>
      </c>
      <c r="BQ962">
        <f>SQRT(($R$1024-R962)^2)</f>
        <v/>
      </c>
      <c r="BR962" s="125" t="inlineStr">
        <is>
          <t>HY500X162</t>
        </is>
      </c>
      <c r="BW962">
        <f>SQRT(($J$1025-J962)^2)</f>
        <v/>
      </c>
      <c r="BX962">
        <f>SQRT(($R$1025-R962)^2)</f>
        <v/>
      </c>
      <c r="BY962" s="125" t="inlineStr">
        <is>
          <t>HY500X162</t>
        </is>
      </c>
      <c r="CD962">
        <f>SQRT(($J$1026-J962)^2)</f>
        <v/>
      </c>
      <c r="CE962">
        <f>SQRT(($R$1026-R962)^2)</f>
        <v/>
      </c>
      <c r="CF962" s="125" t="inlineStr">
        <is>
          <t>HY500X162</t>
        </is>
      </c>
    </row>
    <row r="963">
      <c r="A963" s="125" t="inlineStr">
        <is>
          <t>HY500X149</t>
        </is>
      </c>
      <c r="B963" s="129" t="inlineStr">
        <is>
          <t>HY</t>
        </is>
      </c>
      <c r="C963" s="125" t="n">
        <v>149</v>
      </c>
      <c r="D963" s="125" t="n">
        <v>500</v>
      </c>
      <c r="E963" s="125" t="n">
        <v>300</v>
      </c>
      <c r="F963" s="125" t="n">
        <v>19</v>
      </c>
      <c r="G963" s="125" t="n">
        <v>16</v>
      </c>
      <c r="H963" s="125" t="n">
        <v>13</v>
      </c>
      <c r="I963" s="125">
        <f>D963-(2*(H963+F963))</f>
        <v/>
      </c>
      <c r="J963" s="125">
        <f>(2*E963/10*F963/10)+((D963-F963-F963)/10*G963/10)+((H963/10+H963/10)^2)-(PI()*H963/10*H963/10)</f>
        <v/>
      </c>
      <c r="K963" s="125">
        <f>((E963-G963)/2)/F963</f>
        <v/>
      </c>
      <c r="L963" s="125">
        <f>I963/G963</f>
        <v/>
      </c>
      <c r="M963" s="125">
        <f>(E963*2+F963*4+((E963-G963)/2-H963)*4+2*PI()*H963+(D963-2*F963-2*H963)*2)/1000</f>
        <v/>
      </c>
      <c r="N963" s="5" t="n">
        <v>79900</v>
      </c>
      <c r="O963" s="5" t="n">
        <v>8570</v>
      </c>
      <c r="P963" s="125" t="n">
        <v>20.5</v>
      </c>
      <c r="Q963" s="125" t="n">
        <v>6.7</v>
      </c>
      <c r="R963" s="5" t="n">
        <v>3200</v>
      </c>
      <c r="S963" s="125" t="n">
        <v>571</v>
      </c>
      <c r="T963" s="5" t="n">
        <v>3630</v>
      </c>
      <c r="U963" s="125" t="n">
        <v>886</v>
      </c>
      <c r="X963" s="129">
        <f t="array" ref="X963">_xlfn.IFS((D963/F963) &lt;= (640/SQRT($AT$32)), "Compact", L963 &lt;= ($AT$32*(0.79-(0.002*((E963-G963/2)/(2*F963))*SQRT($AT$32)))), "Non-Compact", L963 &gt; ($AT$32*(0.79-(0.002*((E963-G963/2)/(2*F963))*SQRT($AT$32)))), "Slender")</f>
        <v/>
      </c>
      <c r="Y963" s="129">
        <f t="array" ref="Y963">_xlfn.IFS(K963 &lt;= (65/SQRT($AT$32)), "Compact", K963 &lt;= (95/SQRT($AT$32)), "Non-Compact", K963 &gt; (95/SQRT($AT$32)), "Slender")</f>
        <v/>
      </c>
      <c r="Z963" s="125">
        <f>E963/F963</f>
        <v/>
      </c>
      <c r="AA963" s="125">
        <f>D963/G963</f>
        <v/>
      </c>
      <c r="AB963" s="125">
        <f t="array" ref="AB963">_xlfn.IFS(Z963 &lt;= 9, "1", Z963 &lt;= 12, "2", Z963 &lt;= 15, "3", Z963 &gt; 15, "4")</f>
        <v/>
      </c>
      <c r="AC963" s="125">
        <f t="array" ref="AC963">_xlfn.IFS(AA963 &lt;= 200, "1", L963 &lt;= 300, "2", L963 &lt;= 400, "3", L963 &gt; 400, "4")</f>
        <v/>
      </c>
      <c r="AF963" s="129">
        <f>SQRT((((VLOOKUP($AT$4,$A$4:$D$1021,4,FALSE))-D963)^2)+(((VLOOKUP($AT$4,$A$4:$E$1021,5,FALSE))-E963)^2)+(((VLOOKUP($AT$4,$A$4:$N$1021,14,FALSE))-N963)^2)+(((VLOOKUP($AT$4,$A$4:$O$1021,15,FALSE))-O963)^2))</f>
        <v/>
      </c>
      <c r="AG963" s="129" t="n"/>
      <c r="AI963" s="129">
        <f>SQRT((((VLOOKUP($AT$4,$A$4:$D$1021,4,FALSE))-D963)^2)+(((VLOOKUP($AT$4,$A$4:$E$1021,5,FALSE))-E963)^2)+(((VLOOKUP($AT$4,$A$4:$R$1021,18,FALSE))-R963)^2)+(((VLOOKUP($AT$4,$A$4:$S$1021,19,FALSE))-S963)^2))</f>
        <v/>
      </c>
      <c r="AJ963" s="125" t="inlineStr">
        <is>
          <t>HY500X149</t>
        </is>
      </c>
      <c r="AK963" s="125" t="n"/>
      <c r="AL963" s="125" t="n"/>
      <c r="AM963" s="125">
        <f>SQRT(((VLOOKUP($AT$4,$A$4:$J$1021,10,FALSE))-J963)^2)</f>
        <v/>
      </c>
      <c r="AN963" s="125" t="n"/>
      <c r="AO963" s="125" t="n"/>
      <c r="AP963" s="125">
        <f>SQRT(((VLOOKUP($AT$4,$A$4:$R$1021,18,FALSE))-R963)^2)</f>
        <v/>
      </c>
      <c r="AQ963" s="125" t="inlineStr">
        <is>
          <t>HY500X149</t>
        </is>
      </c>
      <c r="BB963" s="125">
        <f>SQRT(($J$1022-J963)^2)</f>
        <v/>
      </c>
      <c r="BC963" s="125">
        <f>SQRT(($R$1022-R963)^2)</f>
        <v/>
      </c>
      <c r="BD963" s="125" t="inlineStr">
        <is>
          <t>HY500X149</t>
        </is>
      </c>
      <c r="BI963">
        <f>SQRT(($J$1023-J963)^2)</f>
        <v/>
      </c>
      <c r="BJ963">
        <f>SQRT(($R$1023-R963)^2)</f>
        <v/>
      </c>
      <c r="BK963" s="125" t="inlineStr">
        <is>
          <t>HY500X149</t>
        </is>
      </c>
      <c r="BP963">
        <f>SQRT(($J$1024-J963)^2)</f>
        <v/>
      </c>
      <c r="BQ963">
        <f>SQRT(($R$1024-R963)^2)</f>
        <v/>
      </c>
      <c r="BR963" s="125" t="inlineStr">
        <is>
          <t>HY500X149</t>
        </is>
      </c>
      <c r="BW963">
        <f>SQRT(($J$1025-J963)^2)</f>
        <v/>
      </c>
      <c r="BX963">
        <f>SQRT(($R$1025-R963)^2)</f>
        <v/>
      </c>
      <c r="BY963" s="125" t="inlineStr">
        <is>
          <t>HY500X149</t>
        </is>
      </c>
      <c r="CD963">
        <f>SQRT(($J$1026-J963)^2)</f>
        <v/>
      </c>
      <c r="CE963">
        <f>SQRT(($R$1026-R963)^2)</f>
        <v/>
      </c>
      <c r="CF963" s="125" t="inlineStr">
        <is>
          <t>HY500X149</t>
        </is>
      </c>
    </row>
    <row r="964">
      <c r="A964" s="125" t="inlineStr">
        <is>
          <t>HY500X175</t>
        </is>
      </c>
      <c r="B964" s="129" t="inlineStr">
        <is>
          <t>HY</t>
        </is>
      </c>
      <c r="C964" s="125" t="n">
        <v>175</v>
      </c>
      <c r="D964" s="125" t="n">
        <v>500</v>
      </c>
      <c r="E964" s="125" t="n">
        <v>300</v>
      </c>
      <c r="F964" s="125" t="n">
        <v>28</v>
      </c>
      <c r="G964" s="125" t="n">
        <v>12</v>
      </c>
      <c r="H964" s="125" t="n">
        <v>13</v>
      </c>
      <c r="I964" s="125">
        <f>D964-(2*(H964+F964))</f>
        <v/>
      </c>
      <c r="J964" s="125">
        <f>(2*E964/10*F964/10)+((D964-F964-F964)/10*G964/10)+((H964/10+H964/10)^2)-(PI()*H964/10*H964/10)</f>
        <v/>
      </c>
      <c r="K964" s="125">
        <f>((E964-G964)/2)/F964</f>
        <v/>
      </c>
      <c r="L964" s="125">
        <f>I964/G964</f>
        <v/>
      </c>
      <c r="M964" s="125">
        <f>(E964*2+F964*4+((E964-G964)/2-H964)*4+2*PI()*H964+(D964-2*F964-2*H964)*2)/1000</f>
        <v/>
      </c>
      <c r="N964" s="5" t="n">
        <v>103000</v>
      </c>
      <c r="O964" s="5" t="n">
        <v>12600</v>
      </c>
      <c r="P964" s="125" t="n">
        <v>21.5</v>
      </c>
      <c r="Q964" s="125" t="n">
        <v>7.5</v>
      </c>
      <c r="R964" s="5" t="n">
        <v>4130</v>
      </c>
      <c r="S964" s="125" t="n">
        <v>841</v>
      </c>
      <c r="T964" s="5" t="n">
        <v>4590</v>
      </c>
      <c r="U964" s="5" t="n">
        <v>1280</v>
      </c>
      <c r="X964" s="129">
        <f t="array" ref="X964">_xlfn.IFS((D964/F964) &lt;= (640/SQRT($AT$32)), "Compact", L964 &lt;= ($AT$32*(0.79-(0.002*((E964-G964/2)/(2*F964))*SQRT($AT$32)))), "Non-Compact", L964 &gt; ($AT$32*(0.79-(0.002*((E964-G964/2)/(2*F964))*SQRT($AT$32)))), "Slender")</f>
        <v/>
      </c>
      <c r="Y964" s="129">
        <f t="array" ref="Y964">_xlfn.IFS(K964 &lt;= (65/SQRT($AT$32)), "Compact", K964 &lt;= (95/SQRT($AT$32)), "Non-Compact", K964 &gt; (95/SQRT($AT$32)), "Slender")</f>
        <v/>
      </c>
      <c r="Z964" s="125">
        <f>E964/F964</f>
        <v/>
      </c>
      <c r="AA964" s="125">
        <f>D964/G964</f>
        <v/>
      </c>
      <c r="AB964" s="125">
        <f t="array" ref="AB964">_xlfn.IFS(Z964 &lt;= 9, "1", Z964 &lt;= 12, "2", Z964 &lt;= 15, "3", Z964 &gt; 15, "4")</f>
        <v/>
      </c>
      <c r="AC964" s="125">
        <f t="array" ref="AC964">_xlfn.IFS(AA964 &lt;= 200, "1", L964 &lt;= 300, "2", L964 &lt;= 400, "3", L964 &gt; 400, "4")</f>
        <v/>
      </c>
      <c r="AF964" s="129">
        <f>SQRT((((VLOOKUP($AT$4,$A$4:$D$1021,4,FALSE))-D964)^2)+(((VLOOKUP($AT$4,$A$4:$E$1021,5,FALSE))-E964)^2)+(((VLOOKUP($AT$4,$A$4:$N$1021,14,FALSE))-N964)^2)+(((VLOOKUP($AT$4,$A$4:$O$1021,15,FALSE))-O964)^2))</f>
        <v/>
      </c>
      <c r="AG964" s="129" t="n"/>
      <c r="AI964" s="129">
        <f>SQRT((((VLOOKUP($AT$4,$A$4:$D$1021,4,FALSE))-D964)^2)+(((VLOOKUP($AT$4,$A$4:$E$1021,5,FALSE))-E964)^2)+(((VLOOKUP($AT$4,$A$4:$R$1021,18,FALSE))-R964)^2)+(((VLOOKUP($AT$4,$A$4:$S$1021,19,FALSE))-S964)^2))</f>
        <v/>
      </c>
      <c r="AJ964" s="125" t="inlineStr">
        <is>
          <t>HY500X175</t>
        </is>
      </c>
      <c r="AK964" s="125" t="n"/>
      <c r="AL964" s="125" t="n"/>
      <c r="AM964" s="125">
        <f>SQRT(((VLOOKUP($AT$4,$A$4:$J$1021,10,FALSE))-J964)^2)</f>
        <v/>
      </c>
      <c r="AN964" s="125" t="n"/>
      <c r="AO964" s="125" t="n"/>
      <c r="AP964" s="125">
        <f>SQRT(((VLOOKUP($AT$4,$A$4:$R$1021,18,FALSE))-R964)^2)</f>
        <v/>
      </c>
      <c r="AQ964" s="125" t="inlineStr">
        <is>
          <t>HY500X175</t>
        </is>
      </c>
      <c r="BB964" s="125">
        <f>SQRT(($J$1022-J964)^2)</f>
        <v/>
      </c>
      <c r="BC964" s="125">
        <f>SQRT(($R$1022-R964)^2)</f>
        <v/>
      </c>
      <c r="BD964" s="125" t="inlineStr">
        <is>
          <t>HY500X175</t>
        </is>
      </c>
      <c r="BI964">
        <f>SQRT(($J$1023-J964)^2)</f>
        <v/>
      </c>
      <c r="BJ964">
        <f>SQRT(($R$1023-R964)^2)</f>
        <v/>
      </c>
      <c r="BK964" s="125" t="inlineStr">
        <is>
          <t>HY500X175</t>
        </is>
      </c>
      <c r="BP964">
        <f>SQRT(($J$1024-J964)^2)</f>
        <v/>
      </c>
      <c r="BQ964">
        <f>SQRT(($R$1024-R964)^2)</f>
        <v/>
      </c>
      <c r="BR964" s="125" t="inlineStr">
        <is>
          <t>HY500X175</t>
        </is>
      </c>
      <c r="BW964">
        <f>SQRT(($J$1025-J964)^2)</f>
        <v/>
      </c>
      <c r="BX964">
        <f>SQRT(($R$1025-R964)^2)</f>
        <v/>
      </c>
      <c r="BY964" s="125" t="inlineStr">
        <is>
          <t>HY500X175</t>
        </is>
      </c>
      <c r="CD964">
        <f>SQRT(($J$1026-J964)^2)</f>
        <v/>
      </c>
      <c r="CE964">
        <f>SQRT(($R$1026-R964)^2)</f>
        <v/>
      </c>
      <c r="CF964" s="125" t="inlineStr">
        <is>
          <t>HY500X175</t>
        </is>
      </c>
    </row>
    <row r="965">
      <c r="A965" s="125" t="inlineStr">
        <is>
          <t>HY500X161</t>
        </is>
      </c>
      <c r="B965" s="129" t="inlineStr">
        <is>
          <t>HY</t>
        </is>
      </c>
      <c r="C965" s="125" t="n">
        <v>161</v>
      </c>
      <c r="D965" s="125" t="n">
        <v>500</v>
      </c>
      <c r="E965" s="125" t="n">
        <v>300</v>
      </c>
      <c r="F965" s="125" t="n">
        <v>25</v>
      </c>
      <c r="G965" s="125" t="n">
        <v>12</v>
      </c>
      <c r="H965" s="125" t="n">
        <v>13</v>
      </c>
      <c r="I965" s="125">
        <f>D965-(2*(H965+F965))</f>
        <v/>
      </c>
      <c r="J965" s="125">
        <f>(2*E965/10*F965/10)+((D965-F965-F965)/10*G965/10)+((H965/10+H965/10)^2)-(PI()*H965/10*H965/10)</f>
        <v/>
      </c>
      <c r="K965" s="125">
        <f>((E965-G965)/2)/F965</f>
        <v/>
      </c>
      <c r="L965" s="125">
        <f>I965/G965</f>
        <v/>
      </c>
      <c r="M965" s="125">
        <f>(E965*2+F965*4+((E965-G965)/2-H965)*4+2*PI()*H965+(D965-2*F965-2*H965)*2)/1000</f>
        <v/>
      </c>
      <c r="N965" s="5" t="n">
        <v>94500</v>
      </c>
      <c r="O965" s="5" t="n">
        <v>11300</v>
      </c>
      <c r="P965" s="125" t="n">
        <v>21.4</v>
      </c>
      <c r="Q965" s="125" t="n">
        <v>7.4</v>
      </c>
      <c r="R965" s="5" t="n">
        <v>3780</v>
      </c>
      <c r="S965" s="125" t="n">
        <v>751</v>
      </c>
      <c r="T965" s="5" t="n">
        <v>4200</v>
      </c>
      <c r="U965" s="5" t="n">
        <v>1140</v>
      </c>
      <c r="X965" s="129">
        <f t="array" ref="X965">_xlfn.IFS((D965/F965) &lt;= (640/SQRT($AT$32)), "Compact", L965 &lt;= ($AT$32*(0.79-(0.002*((E965-G965/2)/(2*F965))*SQRT($AT$32)))), "Non-Compact", L965 &gt; ($AT$32*(0.79-(0.002*((E965-G965/2)/(2*F965))*SQRT($AT$32)))), "Slender")</f>
        <v/>
      </c>
      <c r="Y965" s="129">
        <f t="array" ref="Y965">_xlfn.IFS(K965 &lt;= (65/SQRT($AT$32)), "Compact", K965 &lt;= (95/SQRT($AT$32)), "Non-Compact", K965 &gt; (95/SQRT($AT$32)), "Slender")</f>
        <v/>
      </c>
      <c r="Z965" s="125">
        <f>E965/F965</f>
        <v/>
      </c>
      <c r="AA965" s="125">
        <f>D965/G965</f>
        <v/>
      </c>
      <c r="AB965" s="125">
        <f t="array" ref="AB965">_xlfn.IFS(Z965 &lt;= 9, "1", Z965 &lt;= 12, "2", Z965 &lt;= 15, "3", Z965 &gt; 15, "4")</f>
        <v/>
      </c>
      <c r="AC965" s="125">
        <f t="array" ref="AC965">_xlfn.IFS(AA965 &lt;= 200, "1", L965 &lt;= 300, "2", L965 &lt;= 400, "3", L965 &gt; 400, "4")</f>
        <v/>
      </c>
      <c r="AF965" s="129">
        <f>SQRT((((VLOOKUP($AT$4,$A$4:$D$1021,4,FALSE))-D965)^2)+(((VLOOKUP($AT$4,$A$4:$E$1021,5,FALSE))-E965)^2)+(((VLOOKUP($AT$4,$A$4:$N$1021,14,FALSE))-N965)^2)+(((VLOOKUP($AT$4,$A$4:$O$1021,15,FALSE))-O965)^2))</f>
        <v/>
      </c>
      <c r="AG965" s="129" t="n"/>
      <c r="AI965" s="129">
        <f>SQRT((((VLOOKUP($AT$4,$A$4:$D$1021,4,FALSE))-D965)^2)+(((VLOOKUP($AT$4,$A$4:$E$1021,5,FALSE))-E965)^2)+(((VLOOKUP($AT$4,$A$4:$R$1021,18,FALSE))-R965)^2)+(((VLOOKUP($AT$4,$A$4:$S$1021,19,FALSE))-S965)^2))</f>
        <v/>
      </c>
      <c r="AJ965" s="125" t="inlineStr">
        <is>
          <t>HY500X161</t>
        </is>
      </c>
      <c r="AK965" s="125" t="n"/>
      <c r="AL965" s="125" t="n"/>
      <c r="AM965" s="125">
        <f>SQRT(((VLOOKUP($AT$4,$A$4:$J$1021,10,FALSE))-J965)^2)</f>
        <v/>
      </c>
      <c r="AN965" s="125" t="n"/>
      <c r="AO965" s="125" t="n"/>
      <c r="AP965" s="125">
        <f>SQRT(((VLOOKUP($AT$4,$A$4:$R$1021,18,FALSE))-R965)^2)</f>
        <v/>
      </c>
      <c r="AQ965" s="125" t="inlineStr">
        <is>
          <t>HY500X161</t>
        </is>
      </c>
      <c r="BB965" s="125">
        <f>SQRT(($J$1022-J965)^2)</f>
        <v/>
      </c>
      <c r="BC965" s="125">
        <f>SQRT(($R$1022-R965)^2)</f>
        <v/>
      </c>
      <c r="BD965" s="125" t="inlineStr">
        <is>
          <t>HY500X161</t>
        </is>
      </c>
      <c r="BI965">
        <f>SQRT(($J$1023-J965)^2)</f>
        <v/>
      </c>
      <c r="BJ965">
        <f>SQRT(($R$1023-R965)^2)</f>
        <v/>
      </c>
      <c r="BK965" s="125" t="inlineStr">
        <is>
          <t>HY500X161</t>
        </is>
      </c>
      <c r="BP965">
        <f>SQRT(($J$1024-J965)^2)</f>
        <v/>
      </c>
      <c r="BQ965">
        <f>SQRT(($R$1024-R965)^2)</f>
        <v/>
      </c>
      <c r="BR965" s="125" t="inlineStr">
        <is>
          <t>HY500X161</t>
        </is>
      </c>
      <c r="BW965">
        <f>SQRT(($J$1025-J965)^2)</f>
        <v/>
      </c>
      <c r="BX965">
        <f>SQRT(($R$1025-R965)^2)</f>
        <v/>
      </c>
      <c r="BY965" s="125" t="inlineStr">
        <is>
          <t>HY500X161</t>
        </is>
      </c>
      <c r="CD965">
        <f>SQRT(($J$1026-J965)^2)</f>
        <v/>
      </c>
      <c r="CE965">
        <f>SQRT(($R$1026-R965)^2)</f>
        <v/>
      </c>
      <c r="CF965" s="125" t="inlineStr">
        <is>
          <t>HY500X161</t>
        </is>
      </c>
    </row>
    <row r="966">
      <c r="A966" s="125" t="inlineStr">
        <is>
          <t>HY500X148</t>
        </is>
      </c>
      <c r="B966" s="129" t="inlineStr">
        <is>
          <t>HY</t>
        </is>
      </c>
      <c r="C966" s="125" t="n">
        <v>148</v>
      </c>
      <c r="D966" s="125" t="n">
        <v>500</v>
      </c>
      <c r="E966" s="125" t="n">
        <v>300</v>
      </c>
      <c r="F966" s="125" t="n">
        <v>22</v>
      </c>
      <c r="G966" s="125" t="n">
        <v>12</v>
      </c>
      <c r="H966" s="125" t="n">
        <v>13</v>
      </c>
      <c r="I966" s="125">
        <f>D966-(2*(H966+F966))</f>
        <v/>
      </c>
      <c r="J966" s="125">
        <f>(2*E966/10*F966/10)+((D966-F966-F966)/10*G966/10)+((H966/10+H966/10)^2)-(PI()*H966/10*H966/10)</f>
        <v/>
      </c>
      <c r="K966" s="125">
        <f>((E966-G966)/2)/F966</f>
        <v/>
      </c>
      <c r="L966" s="125">
        <f>I966/G966</f>
        <v/>
      </c>
      <c r="M966" s="125">
        <f>(E966*2+F966*4+((E966-G966)/2-H966)*4+2*PI()*H966+(D966-2*F966-2*H966)*2)/1000</f>
        <v/>
      </c>
      <c r="N966" s="5" t="n">
        <v>85700</v>
      </c>
      <c r="O966" s="5" t="n">
        <v>9910</v>
      </c>
      <c r="P966" s="125" t="n">
        <v>21.3</v>
      </c>
      <c r="Q966" s="125" t="n">
        <v>7.3</v>
      </c>
      <c r="R966" s="5" t="n">
        <v>3430</v>
      </c>
      <c r="S966" s="125" t="n">
        <v>661</v>
      </c>
      <c r="T966" s="5" t="n">
        <v>3810</v>
      </c>
      <c r="U966" s="5" t="n">
        <v>1010</v>
      </c>
      <c r="X966" s="129">
        <f t="array" ref="X966">_xlfn.IFS((D966/F966) &lt;= (640/SQRT($AT$32)), "Compact", L966 &lt;= ($AT$32*(0.79-(0.002*((E966-G966/2)/(2*F966))*SQRT($AT$32)))), "Non-Compact", L966 &gt; ($AT$32*(0.79-(0.002*((E966-G966/2)/(2*F966))*SQRT($AT$32)))), "Slender")</f>
        <v/>
      </c>
      <c r="Y966" s="129">
        <f t="array" ref="Y966">_xlfn.IFS(K966 &lt;= (65/SQRT($AT$32)), "Compact", K966 &lt;= (95/SQRT($AT$32)), "Non-Compact", K966 &gt; (95/SQRT($AT$32)), "Slender")</f>
        <v/>
      </c>
      <c r="Z966" s="125">
        <f>E966/F966</f>
        <v/>
      </c>
      <c r="AA966" s="125">
        <f>D966/G966</f>
        <v/>
      </c>
      <c r="AB966" s="125">
        <f t="array" ref="AB966">_xlfn.IFS(Z966 &lt;= 9, "1", Z966 &lt;= 12, "2", Z966 &lt;= 15, "3", Z966 &gt; 15, "4")</f>
        <v/>
      </c>
      <c r="AC966" s="125">
        <f t="array" ref="AC966">_xlfn.IFS(AA966 &lt;= 200, "1", L966 &lt;= 300, "2", L966 &lt;= 400, "3", L966 &gt; 400, "4")</f>
        <v/>
      </c>
      <c r="AF966" s="129">
        <f>SQRT((((VLOOKUP($AT$4,$A$4:$D$1021,4,FALSE))-D966)^2)+(((VLOOKUP($AT$4,$A$4:$E$1021,5,FALSE))-E966)^2)+(((VLOOKUP($AT$4,$A$4:$N$1021,14,FALSE))-N966)^2)+(((VLOOKUP($AT$4,$A$4:$O$1021,15,FALSE))-O966)^2))</f>
        <v/>
      </c>
      <c r="AG966" s="129" t="n"/>
      <c r="AI966" s="129">
        <f>SQRT((((VLOOKUP($AT$4,$A$4:$D$1021,4,FALSE))-D966)^2)+(((VLOOKUP($AT$4,$A$4:$E$1021,5,FALSE))-E966)^2)+(((VLOOKUP($AT$4,$A$4:$R$1021,18,FALSE))-R966)^2)+(((VLOOKUP($AT$4,$A$4:$S$1021,19,FALSE))-S966)^2))</f>
        <v/>
      </c>
      <c r="AJ966" s="125" t="inlineStr">
        <is>
          <t>HY500X148</t>
        </is>
      </c>
      <c r="AK966" s="125" t="n"/>
      <c r="AL966" s="125" t="n"/>
      <c r="AM966" s="125">
        <f>SQRT(((VLOOKUP($AT$4,$A$4:$J$1021,10,FALSE))-J966)^2)</f>
        <v/>
      </c>
      <c r="AN966" s="125" t="n"/>
      <c r="AO966" s="125" t="n"/>
      <c r="AP966" s="125">
        <f>SQRT(((VLOOKUP($AT$4,$A$4:$R$1021,18,FALSE))-R966)^2)</f>
        <v/>
      </c>
      <c r="AQ966" s="125" t="inlineStr">
        <is>
          <t>HY500X148</t>
        </is>
      </c>
      <c r="BB966" s="125">
        <f>SQRT(($J$1022-J966)^2)</f>
        <v/>
      </c>
      <c r="BC966" s="125">
        <f>SQRT(($R$1022-R966)^2)</f>
        <v/>
      </c>
      <c r="BD966" s="125" t="inlineStr">
        <is>
          <t>HY500X148</t>
        </is>
      </c>
      <c r="BI966">
        <f>SQRT(($J$1023-J966)^2)</f>
        <v/>
      </c>
      <c r="BJ966">
        <f>SQRT(($R$1023-R966)^2)</f>
        <v/>
      </c>
      <c r="BK966" s="125" t="inlineStr">
        <is>
          <t>HY500X148</t>
        </is>
      </c>
      <c r="BP966">
        <f>SQRT(($J$1024-J966)^2)</f>
        <v/>
      </c>
      <c r="BQ966">
        <f>SQRT(($R$1024-R966)^2)</f>
        <v/>
      </c>
      <c r="BR966" s="125" t="inlineStr">
        <is>
          <t>HY500X148</t>
        </is>
      </c>
      <c r="BW966">
        <f>SQRT(($J$1025-J966)^2)</f>
        <v/>
      </c>
      <c r="BX966">
        <f>SQRT(($R$1025-R966)^2)</f>
        <v/>
      </c>
      <c r="BY966" s="125" t="inlineStr">
        <is>
          <t>HY500X148</t>
        </is>
      </c>
      <c r="CD966">
        <f>SQRT(($J$1026-J966)^2)</f>
        <v/>
      </c>
      <c r="CE966">
        <f>SQRT(($R$1026-R966)^2)</f>
        <v/>
      </c>
      <c r="CF966" s="125" t="inlineStr">
        <is>
          <t>HY500X148</t>
        </is>
      </c>
    </row>
    <row r="967">
      <c r="A967" s="125" t="inlineStr">
        <is>
          <t>HY500X134</t>
        </is>
      </c>
      <c r="B967" s="129" t="inlineStr">
        <is>
          <t>HY</t>
        </is>
      </c>
      <c r="C967" s="125" t="n">
        <v>134</v>
      </c>
      <c r="D967" s="125" t="n">
        <v>500</v>
      </c>
      <c r="E967" s="125" t="n">
        <v>300</v>
      </c>
      <c r="F967" s="125" t="n">
        <v>19</v>
      </c>
      <c r="G967" s="125" t="n">
        <v>12</v>
      </c>
      <c r="H967" s="125" t="n">
        <v>13</v>
      </c>
      <c r="I967" s="125">
        <f>D967-(2*(H967+F967))</f>
        <v/>
      </c>
      <c r="J967" s="125">
        <f>(2*E967/10*F967/10)+((D967-F967-F967)/10*G967/10)+((H967/10+H967/10)^2)-(PI()*H967/10*H967/10)</f>
        <v/>
      </c>
      <c r="K967" s="125">
        <f>((E967-G967)/2)/F967</f>
        <v/>
      </c>
      <c r="L967" s="125">
        <f>I967/G967</f>
        <v/>
      </c>
      <c r="M967" s="125">
        <f>(E967*2+F967*4+((E967-G967)/2-H967)*4+2*PI()*H967+(D967-2*F967-2*H967)*2)/1000</f>
        <v/>
      </c>
      <c r="N967" s="5" t="n">
        <v>76600</v>
      </c>
      <c r="O967" s="5" t="n">
        <v>8560</v>
      </c>
      <c r="P967" s="125" t="n">
        <v>21.2</v>
      </c>
      <c r="Q967" s="125" t="n">
        <v>7.1</v>
      </c>
      <c r="R967" s="5" t="n">
        <v>3060</v>
      </c>
      <c r="S967" s="125" t="n">
        <v>571</v>
      </c>
      <c r="T967" s="5" t="n">
        <v>3420</v>
      </c>
      <c r="U967" s="125" t="n">
        <v>873</v>
      </c>
      <c r="X967" s="129">
        <f t="array" ref="X967">_xlfn.IFS((D967/F967) &lt;= (640/SQRT($AT$32)), "Compact", L967 &lt;= ($AT$32*(0.79-(0.002*((E967-G967/2)/(2*F967))*SQRT($AT$32)))), "Non-Compact", L967 &gt; ($AT$32*(0.79-(0.002*((E967-G967/2)/(2*F967))*SQRT($AT$32)))), "Slender")</f>
        <v/>
      </c>
      <c r="Y967" s="129">
        <f t="array" ref="Y967">_xlfn.IFS(K967 &lt;= (65/SQRT($AT$32)), "Compact", K967 &lt;= (95/SQRT($AT$32)), "Non-Compact", K967 &gt; (95/SQRT($AT$32)), "Slender")</f>
        <v/>
      </c>
      <c r="Z967" s="125">
        <f>E967/F967</f>
        <v/>
      </c>
      <c r="AA967" s="125">
        <f>D967/G967</f>
        <v/>
      </c>
      <c r="AB967" s="125">
        <f t="array" ref="AB967">_xlfn.IFS(Z967 &lt;= 9, "1", Z967 &lt;= 12, "2", Z967 &lt;= 15, "3", Z967 &gt; 15, "4")</f>
        <v/>
      </c>
      <c r="AC967" s="125">
        <f t="array" ref="AC967">_xlfn.IFS(AA967 &lt;= 200, "1", L967 &lt;= 300, "2", L967 &lt;= 400, "3", L967 &gt; 400, "4")</f>
        <v/>
      </c>
      <c r="AF967" s="129">
        <f>SQRT((((VLOOKUP($AT$4,$A$4:$D$1021,4,FALSE))-D967)^2)+(((VLOOKUP($AT$4,$A$4:$E$1021,5,FALSE))-E967)^2)+(((VLOOKUP($AT$4,$A$4:$N$1021,14,FALSE))-N967)^2)+(((VLOOKUP($AT$4,$A$4:$O$1021,15,FALSE))-O967)^2))</f>
        <v/>
      </c>
      <c r="AG967" s="129" t="n"/>
      <c r="AI967" s="129">
        <f>SQRT((((VLOOKUP($AT$4,$A$4:$D$1021,4,FALSE))-D967)^2)+(((VLOOKUP($AT$4,$A$4:$E$1021,5,FALSE))-E967)^2)+(((VLOOKUP($AT$4,$A$4:$R$1021,18,FALSE))-R967)^2)+(((VLOOKUP($AT$4,$A$4:$S$1021,19,FALSE))-S967)^2))</f>
        <v/>
      </c>
      <c r="AJ967" s="125" t="inlineStr">
        <is>
          <t>HY500X134</t>
        </is>
      </c>
      <c r="AK967" s="125" t="n"/>
      <c r="AL967" s="125" t="n"/>
      <c r="AM967" s="125">
        <f>SQRT(((VLOOKUP($AT$4,$A$4:$J$1021,10,FALSE))-J967)^2)</f>
        <v/>
      </c>
      <c r="AN967" s="125" t="n"/>
      <c r="AO967" s="125" t="n"/>
      <c r="AP967" s="125">
        <f>SQRT(((VLOOKUP($AT$4,$A$4:$R$1021,18,FALSE))-R967)^2)</f>
        <v/>
      </c>
      <c r="AQ967" s="125" t="inlineStr">
        <is>
          <t>HY500X134</t>
        </is>
      </c>
      <c r="BB967" s="125">
        <f>SQRT(($J$1022-J967)^2)</f>
        <v/>
      </c>
      <c r="BC967" s="125">
        <f>SQRT(($R$1022-R967)^2)</f>
        <v/>
      </c>
      <c r="BD967" s="125" t="inlineStr">
        <is>
          <t>HY500X134</t>
        </is>
      </c>
      <c r="BI967">
        <f>SQRT(($J$1023-J967)^2)</f>
        <v/>
      </c>
      <c r="BJ967">
        <f>SQRT(($R$1023-R967)^2)</f>
        <v/>
      </c>
      <c r="BK967" s="125" t="inlineStr">
        <is>
          <t>HY500X134</t>
        </is>
      </c>
      <c r="BP967">
        <f>SQRT(($J$1024-J967)^2)</f>
        <v/>
      </c>
      <c r="BQ967">
        <f>SQRT(($R$1024-R967)^2)</f>
        <v/>
      </c>
      <c r="BR967" s="125" t="inlineStr">
        <is>
          <t>HY500X134</t>
        </is>
      </c>
      <c r="BW967">
        <f>SQRT(($J$1025-J967)^2)</f>
        <v/>
      </c>
      <c r="BX967">
        <f>SQRT(($R$1025-R967)^2)</f>
        <v/>
      </c>
      <c r="BY967" s="125" t="inlineStr">
        <is>
          <t>HY500X134</t>
        </is>
      </c>
      <c r="CD967">
        <f>SQRT(($J$1026-J967)^2)</f>
        <v/>
      </c>
      <c r="CE967">
        <f>SQRT(($R$1026-R967)^2)</f>
        <v/>
      </c>
      <c r="CF967" s="125" t="inlineStr">
        <is>
          <t>HY500X134</t>
        </is>
      </c>
    </row>
    <row r="968">
      <c r="A968" s="125" t="inlineStr">
        <is>
          <t>HY500X121</t>
        </is>
      </c>
      <c r="B968" s="129" t="inlineStr">
        <is>
          <t>HY</t>
        </is>
      </c>
      <c r="C968" s="125" t="n">
        <v>121</v>
      </c>
      <c r="D968" s="125" t="n">
        <v>500</v>
      </c>
      <c r="E968" s="125" t="n">
        <v>300</v>
      </c>
      <c r="F968" s="125" t="n">
        <v>16</v>
      </c>
      <c r="G968" s="125" t="n">
        <v>12</v>
      </c>
      <c r="H968" s="125" t="n">
        <v>13</v>
      </c>
      <c r="I968" s="125">
        <f>D968-(2*(H968+F968))</f>
        <v/>
      </c>
      <c r="J968" s="125">
        <f>(2*E968/10*F968/10)+((D968-F968-F968)/10*G968/10)+((H968/10+H968/10)^2)-(PI()*H968/10*H968/10)</f>
        <v/>
      </c>
      <c r="K968" s="125">
        <f>((E968-G968)/2)/F968</f>
        <v/>
      </c>
      <c r="L968" s="125">
        <f>I968/G968</f>
        <v/>
      </c>
      <c r="M968" s="125">
        <f>(E968*2+F968*4+((E968-G968)/2-H968)*4+2*PI()*H968+(D968-2*F968-2*H968)*2)/1000</f>
        <v/>
      </c>
      <c r="N968" s="5" t="n">
        <v>67300</v>
      </c>
      <c r="O968" s="5" t="n">
        <v>7210</v>
      </c>
      <c r="P968" s="125" t="n">
        <v>20.9</v>
      </c>
      <c r="Q968" s="125" t="n">
        <v>6.9</v>
      </c>
      <c r="R968" s="5" t="n">
        <v>2690</v>
      </c>
      <c r="S968" s="125" t="n">
        <v>481</v>
      </c>
      <c r="T968" s="5" t="n">
        <v>3010</v>
      </c>
      <c r="U968" s="125" t="n">
        <v>738</v>
      </c>
      <c r="X968" s="129">
        <f t="array" ref="X968">_xlfn.IFS((D968/F968) &lt;= (640/SQRT($AT$32)), "Compact", L968 &lt;= ($AT$32*(0.79-(0.002*((E968-G968/2)/(2*F968))*SQRT($AT$32)))), "Non-Compact", L968 &gt; ($AT$32*(0.79-(0.002*((E968-G968/2)/(2*F968))*SQRT($AT$32)))), "Slender")</f>
        <v/>
      </c>
      <c r="Y968" s="129">
        <f t="array" ref="Y968">_xlfn.IFS(K968 &lt;= (65/SQRT($AT$32)), "Compact", K968 &lt;= (95/SQRT($AT$32)), "Non-Compact", K968 &gt; (95/SQRT($AT$32)), "Slender")</f>
        <v/>
      </c>
      <c r="Z968" s="125">
        <f>E968/F968</f>
        <v/>
      </c>
      <c r="AA968" s="125">
        <f>D968/G968</f>
        <v/>
      </c>
      <c r="AB968" s="125">
        <f t="array" ref="AB968">_xlfn.IFS(Z968 &lt;= 9, "1", Z968 &lt;= 12, "2", Z968 &lt;= 15, "3", Z968 &gt; 15, "4")</f>
        <v/>
      </c>
      <c r="AC968" s="125">
        <f t="array" ref="AC968">_xlfn.IFS(AA968 &lt;= 200, "1", L968 &lt;= 300, "2", L968 &lt;= 400, "3", L968 &gt; 400, "4")</f>
        <v/>
      </c>
      <c r="AF968" s="129">
        <f>SQRT((((VLOOKUP($AT$4,$A$4:$D$1021,4,FALSE))-D968)^2)+(((VLOOKUP($AT$4,$A$4:$E$1021,5,FALSE))-E968)^2)+(((VLOOKUP($AT$4,$A$4:$N$1021,14,FALSE))-N968)^2)+(((VLOOKUP($AT$4,$A$4:$O$1021,15,FALSE))-O968)^2))</f>
        <v/>
      </c>
      <c r="AG968" s="129" t="n"/>
      <c r="AI968" s="129">
        <f>SQRT((((VLOOKUP($AT$4,$A$4:$D$1021,4,FALSE))-D968)^2)+(((VLOOKUP($AT$4,$A$4:$E$1021,5,FALSE))-E968)^2)+(((VLOOKUP($AT$4,$A$4:$R$1021,18,FALSE))-R968)^2)+(((VLOOKUP($AT$4,$A$4:$S$1021,19,FALSE))-S968)^2))</f>
        <v/>
      </c>
      <c r="AJ968" s="125" t="inlineStr">
        <is>
          <t>HY500X121</t>
        </is>
      </c>
      <c r="AK968" s="125" t="n"/>
      <c r="AL968" s="125" t="n"/>
      <c r="AM968" s="125">
        <f>SQRT(((VLOOKUP($AT$4,$A$4:$J$1021,10,FALSE))-J968)^2)</f>
        <v/>
      </c>
      <c r="AN968" s="125" t="n"/>
      <c r="AO968" s="125" t="n"/>
      <c r="AP968" s="125">
        <f>SQRT(((VLOOKUP($AT$4,$A$4:$R$1021,18,FALSE))-R968)^2)</f>
        <v/>
      </c>
      <c r="AQ968" s="125" t="inlineStr">
        <is>
          <t>HY500X121</t>
        </is>
      </c>
      <c r="BB968" s="125">
        <f>SQRT(($J$1022-J968)^2)</f>
        <v/>
      </c>
      <c r="BC968" s="125">
        <f>SQRT(($R$1022-R968)^2)</f>
        <v/>
      </c>
      <c r="BD968" s="125" t="inlineStr">
        <is>
          <t>HY500X121</t>
        </is>
      </c>
      <c r="BI968">
        <f>SQRT(($J$1023-J968)^2)</f>
        <v/>
      </c>
      <c r="BJ968">
        <f>SQRT(($R$1023-R968)^2)</f>
        <v/>
      </c>
      <c r="BK968" s="125" t="inlineStr">
        <is>
          <t>HY500X121</t>
        </is>
      </c>
      <c r="BP968">
        <f>SQRT(($J$1024-J968)^2)</f>
        <v/>
      </c>
      <c r="BQ968">
        <f>SQRT(($R$1024-R968)^2)</f>
        <v/>
      </c>
      <c r="BR968" s="125" t="inlineStr">
        <is>
          <t>HY500X121</t>
        </is>
      </c>
      <c r="BW968">
        <f>SQRT(($J$1025-J968)^2)</f>
        <v/>
      </c>
      <c r="BX968">
        <f>SQRT(($R$1025-R968)^2)</f>
        <v/>
      </c>
      <c r="BY968" s="125" t="inlineStr">
        <is>
          <t>HY500X121</t>
        </is>
      </c>
      <c r="CD968">
        <f>SQRT(($J$1026-J968)^2)</f>
        <v/>
      </c>
      <c r="CE968">
        <f>SQRT(($R$1026-R968)^2)</f>
        <v/>
      </c>
      <c r="CF968" s="125" t="inlineStr">
        <is>
          <t>HY500X121</t>
        </is>
      </c>
    </row>
    <row r="969">
      <c r="A969" s="125" t="inlineStr">
        <is>
          <t>HY500X123</t>
        </is>
      </c>
      <c r="B969" s="129" t="inlineStr">
        <is>
          <t>HY</t>
        </is>
      </c>
      <c r="C969" s="125" t="n">
        <v>123</v>
      </c>
      <c r="D969" s="125" t="n">
        <v>500</v>
      </c>
      <c r="E969" s="125" t="n">
        <v>300</v>
      </c>
      <c r="F969" s="125" t="n">
        <v>19</v>
      </c>
      <c r="G969" s="125" t="n">
        <v>9</v>
      </c>
      <c r="H969" s="125" t="n">
        <v>13</v>
      </c>
      <c r="I969" s="125">
        <f>D969-(2*(H969+F969))</f>
        <v/>
      </c>
      <c r="J969" s="125">
        <f>(2*E969/10*F969/10)+((D969-F969-F969)/10*G969/10)+((H969/10+H969/10)^2)-(PI()*H969/10*H969/10)</f>
        <v/>
      </c>
      <c r="K969" s="125">
        <f>((E969-G969)/2)/F969</f>
        <v/>
      </c>
      <c r="L969" s="125">
        <f>I969/G969</f>
        <v/>
      </c>
      <c r="M969" s="125">
        <f>(E969*2+F969*4+((E969-G969)/2-H969)*4+2*PI()*H969+(D969-2*F969-2*H969)*2)/1000</f>
        <v/>
      </c>
      <c r="N969" s="5" t="n">
        <v>74100</v>
      </c>
      <c r="O969" s="5" t="n">
        <v>8550</v>
      </c>
      <c r="P969" s="125" t="n">
        <v>21.7</v>
      </c>
      <c r="Q969" s="125" t="n">
        <v>7.4</v>
      </c>
      <c r="R969" s="5" t="n">
        <v>2960</v>
      </c>
      <c r="S969" s="125" t="n">
        <v>570</v>
      </c>
      <c r="T969" s="5" t="n">
        <v>3260</v>
      </c>
      <c r="U969" s="125" t="n">
        <v>865</v>
      </c>
      <c r="X969" s="129">
        <f t="array" ref="X969">_xlfn.IFS((D969/F969) &lt;= (640/SQRT($AT$32)), "Compact", L969 &lt;= ($AT$32*(0.79-(0.002*((E969-G969/2)/(2*F969))*SQRT($AT$32)))), "Non-Compact", L969 &gt; ($AT$32*(0.79-(0.002*((E969-G969/2)/(2*F969))*SQRT($AT$32)))), "Slender")</f>
        <v/>
      </c>
      <c r="Y969" s="129">
        <f t="array" ref="Y969">_xlfn.IFS(K969 &lt;= (65/SQRT($AT$32)), "Compact", K969 &lt;= (95/SQRT($AT$32)), "Non-Compact", K969 &gt; (95/SQRT($AT$32)), "Slender")</f>
        <v/>
      </c>
      <c r="Z969" s="125">
        <f>E969/F969</f>
        <v/>
      </c>
      <c r="AA969" s="125">
        <f>D969/G969</f>
        <v/>
      </c>
      <c r="AB969" s="125">
        <f t="array" ref="AB969">_xlfn.IFS(Z969 &lt;= 9, "1", Z969 &lt;= 12, "2", Z969 &lt;= 15, "3", Z969 &gt; 15, "4")</f>
        <v/>
      </c>
      <c r="AC969" s="125">
        <f t="array" ref="AC969">_xlfn.IFS(AA969 &lt;= 200, "1", L969 &lt;= 300, "2", L969 &lt;= 400, "3", L969 &gt; 400, "4")</f>
        <v/>
      </c>
      <c r="AF969" s="129">
        <f>SQRT((((VLOOKUP($AT$4,$A$4:$D$1021,4,FALSE))-D969)^2)+(((VLOOKUP($AT$4,$A$4:$E$1021,5,FALSE))-E969)^2)+(((VLOOKUP($AT$4,$A$4:$N$1021,14,FALSE))-N969)^2)+(((VLOOKUP($AT$4,$A$4:$O$1021,15,FALSE))-O969)^2))</f>
        <v/>
      </c>
      <c r="AG969" s="129" t="n"/>
      <c r="AI969" s="129">
        <f>SQRT((((VLOOKUP($AT$4,$A$4:$D$1021,4,FALSE))-D969)^2)+(((VLOOKUP($AT$4,$A$4:$E$1021,5,FALSE))-E969)^2)+(((VLOOKUP($AT$4,$A$4:$R$1021,18,FALSE))-R969)^2)+(((VLOOKUP($AT$4,$A$4:$S$1021,19,FALSE))-S969)^2))</f>
        <v/>
      </c>
      <c r="AJ969" s="125" t="inlineStr">
        <is>
          <t>HY500X123</t>
        </is>
      </c>
      <c r="AK969" s="125" t="n"/>
      <c r="AL969" s="125" t="n"/>
      <c r="AM969" s="125">
        <f>SQRT(((VLOOKUP($AT$4,$A$4:$J$1021,10,FALSE))-J969)^2)</f>
        <v/>
      </c>
      <c r="AN969" s="125" t="n"/>
      <c r="AO969" s="125" t="n"/>
      <c r="AP969" s="125">
        <f>SQRT(((VLOOKUP($AT$4,$A$4:$R$1021,18,FALSE))-R969)^2)</f>
        <v/>
      </c>
      <c r="AQ969" s="125" t="inlineStr">
        <is>
          <t>HY500X123</t>
        </is>
      </c>
      <c r="BB969" s="125">
        <f>SQRT(($J$1022-J969)^2)</f>
        <v/>
      </c>
      <c r="BC969" s="125">
        <f>SQRT(($R$1022-R969)^2)</f>
        <v/>
      </c>
      <c r="BD969" s="125" t="inlineStr">
        <is>
          <t>HY500X123</t>
        </is>
      </c>
      <c r="BI969">
        <f>SQRT(($J$1023-J969)^2)</f>
        <v/>
      </c>
      <c r="BJ969">
        <f>SQRT(($R$1023-R969)^2)</f>
        <v/>
      </c>
      <c r="BK969" s="125" t="inlineStr">
        <is>
          <t>HY500X123</t>
        </is>
      </c>
      <c r="BP969">
        <f>SQRT(($J$1024-J969)^2)</f>
        <v/>
      </c>
      <c r="BQ969">
        <f>SQRT(($R$1024-R969)^2)</f>
        <v/>
      </c>
      <c r="BR969" s="125" t="inlineStr">
        <is>
          <t>HY500X123</t>
        </is>
      </c>
      <c r="BW969">
        <f>SQRT(($J$1025-J969)^2)</f>
        <v/>
      </c>
      <c r="BX969">
        <f>SQRT(($R$1025-R969)^2)</f>
        <v/>
      </c>
      <c r="BY969" s="125" t="inlineStr">
        <is>
          <t>HY500X123</t>
        </is>
      </c>
      <c r="CD969">
        <f>SQRT(($J$1026-J969)^2)</f>
        <v/>
      </c>
      <c r="CE969">
        <f>SQRT(($R$1026-R969)^2)</f>
        <v/>
      </c>
      <c r="CF969" s="125" t="inlineStr">
        <is>
          <t>HY500X123</t>
        </is>
      </c>
    </row>
    <row r="970">
      <c r="A970" s="125" t="inlineStr">
        <is>
          <t>HY500X110</t>
        </is>
      </c>
      <c r="B970" s="129" t="inlineStr">
        <is>
          <t>HY</t>
        </is>
      </c>
      <c r="C970" s="125" t="n">
        <v>110</v>
      </c>
      <c r="D970" s="125" t="n">
        <v>500</v>
      </c>
      <c r="E970" s="125" t="n">
        <v>300</v>
      </c>
      <c r="F970" s="125" t="n">
        <v>16</v>
      </c>
      <c r="G970" s="125" t="n">
        <v>9</v>
      </c>
      <c r="H970" s="125" t="n">
        <v>13</v>
      </c>
      <c r="I970" s="125">
        <f>D970-(2*(H970+F970))</f>
        <v/>
      </c>
      <c r="J970" s="125">
        <f>(2*E970/10*F970/10)+((D970-F970-F970)/10*G970/10)+((H970/10+H970/10)^2)-(PI()*H970/10*H970/10)</f>
        <v/>
      </c>
      <c r="K970" s="125">
        <f>((E970-G970)/2)/F970</f>
        <v/>
      </c>
      <c r="L970" s="125">
        <f>I970/G970</f>
        <v/>
      </c>
      <c r="M970" s="125">
        <f>(E970*2+F970*4+((E970-G970)/2-H970)*4+2*PI()*H970+(D970-2*F970-2*H970)*2)/1000</f>
        <v/>
      </c>
      <c r="N970" s="5" t="n">
        <v>64700</v>
      </c>
      <c r="O970" s="5" t="n">
        <v>7200</v>
      </c>
      <c r="P970" s="125" t="n">
        <v>21.5</v>
      </c>
      <c r="Q970" s="125" t="n">
        <v>7.2</v>
      </c>
      <c r="R970" s="5" t="n">
        <v>2590</v>
      </c>
      <c r="S970" s="125" t="n">
        <v>480</v>
      </c>
      <c r="T970" s="5" t="n">
        <v>2850</v>
      </c>
      <c r="U970" s="125" t="n">
        <v>731</v>
      </c>
      <c r="X970" s="129">
        <f t="array" ref="X970">_xlfn.IFS((D970/F970) &lt;= (640/SQRT($AT$32)), "Compact", L970 &lt;= ($AT$32*(0.79-(0.002*((E970-G970/2)/(2*F970))*SQRT($AT$32)))), "Non-Compact", L970 &gt; ($AT$32*(0.79-(0.002*((E970-G970/2)/(2*F970))*SQRT($AT$32)))), "Slender")</f>
        <v/>
      </c>
      <c r="Y970" s="129">
        <f t="array" ref="Y970">_xlfn.IFS(K970 &lt;= (65/SQRT($AT$32)), "Compact", K970 &lt;= (95/SQRT($AT$32)), "Non-Compact", K970 &gt; (95/SQRT($AT$32)), "Slender")</f>
        <v/>
      </c>
      <c r="Z970" s="125">
        <f>E970/F970</f>
        <v/>
      </c>
      <c r="AA970" s="125">
        <f>D970/G970</f>
        <v/>
      </c>
      <c r="AB970" s="125">
        <f t="array" ref="AB970">_xlfn.IFS(Z970 &lt;= 9, "1", Z970 &lt;= 12, "2", Z970 &lt;= 15, "3", Z970 &gt; 15, "4")</f>
        <v/>
      </c>
      <c r="AC970" s="125">
        <f t="array" ref="AC970">_xlfn.IFS(AA970 &lt;= 200, "1", L970 &lt;= 300, "2", L970 &lt;= 400, "3", L970 &gt; 400, "4")</f>
        <v/>
      </c>
      <c r="AF970" s="129">
        <f>SQRT((((VLOOKUP($AT$4,$A$4:$D$1021,4,FALSE))-D970)^2)+(((VLOOKUP($AT$4,$A$4:$E$1021,5,FALSE))-E970)^2)+(((VLOOKUP($AT$4,$A$4:$N$1021,14,FALSE))-N970)^2)+(((VLOOKUP($AT$4,$A$4:$O$1021,15,FALSE))-O970)^2))</f>
        <v/>
      </c>
      <c r="AG970" s="129" t="n"/>
      <c r="AI970" s="129">
        <f>SQRT((((VLOOKUP($AT$4,$A$4:$D$1021,4,FALSE))-D970)^2)+(((VLOOKUP($AT$4,$A$4:$E$1021,5,FALSE))-E970)^2)+(((VLOOKUP($AT$4,$A$4:$R$1021,18,FALSE))-R970)^2)+(((VLOOKUP($AT$4,$A$4:$S$1021,19,FALSE))-S970)^2))</f>
        <v/>
      </c>
      <c r="AJ970" s="125" t="inlineStr">
        <is>
          <t>HY500X110</t>
        </is>
      </c>
      <c r="AK970" s="125" t="n"/>
      <c r="AL970" s="125" t="n"/>
      <c r="AM970" s="125">
        <f>SQRT(((VLOOKUP($AT$4,$A$4:$J$1021,10,FALSE))-J970)^2)</f>
        <v/>
      </c>
      <c r="AN970" s="125" t="n"/>
      <c r="AO970" s="125" t="n"/>
      <c r="AP970" s="125">
        <f>SQRT(((VLOOKUP($AT$4,$A$4:$R$1021,18,FALSE))-R970)^2)</f>
        <v/>
      </c>
      <c r="AQ970" s="125" t="inlineStr">
        <is>
          <t>HY500X110</t>
        </is>
      </c>
      <c r="BB970" s="125">
        <f>SQRT(($J$1022-J970)^2)</f>
        <v/>
      </c>
      <c r="BC970" s="125">
        <f>SQRT(($R$1022-R970)^2)</f>
        <v/>
      </c>
      <c r="BD970" s="125" t="inlineStr">
        <is>
          <t>HY500X110</t>
        </is>
      </c>
      <c r="BI970">
        <f>SQRT(($J$1023-J970)^2)</f>
        <v/>
      </c>
      <c r="BJ970">
        <f>SQRT(($R$1023-R970)^2)</f>
        <v/>
      </c>
      <c r="BK970" s="125" t="inlineStr">
        <is>
          <t>HY500X110</t>
        </is>
      </c>
      <c r="BP970">
        <f>SQRT(($J$1024-J970)^2)</f>
        <v/>
      </c>
      <c r="BQ970">
        <f>SQRT(($R$1024-R970)^2)</f>
        <v/>
      </c>
      <c r="BR970" s="125" t="inlineStr">
        <is>
          <t>HY500X110</t>
        </is>
      </c>
      <c r="BW970">
        <f>SQRT(($J$1025-J970)^2)</f>
        <v/>
      </c>
      <c r="BX970">
        <f>SQRT(($R$1025-R970)^2)</f>
        <v/>
      </c>
      <c r="BY970" s="125" t="inlineStr">
        <is>
          <t>HY500X110</t>
        </is>
      </c>
      <c r="CD970">
        <f>SQRT(($J$1026-J970)^2)</f>
        <v/>
      </c>
      <c r="CE970">
        <f>SQRT(($R$1026-R970)^2)</f>
        <v/>
      </c>
      <c r="CF970" s="125" t="inlineStr">
        <is>
          <t>HY500X110</t>
        </is>
      </c>
    </row>
    <row r="971">
      <c r="A971" s="125" t="inlineStr">
        <is>
          <t>HY500X153</t>
        </is>
      </c>
      <c r="B971" s="129" t="inlineStr">
        <is>
          <t>HY</t>
        </is>
      </c>
      <c r="C971" s="125" t="n">
        <v>153</v>
      </c>
      <c r="D971" s="125" t="n">
        <v>500</v>
      </c>
      <c r="E971" s="125" t="n">
        <v>250</v>
      </c>
      <c r="F971" s="125" t="n">
        <v>28</v>
      </c>
      <c r="G971" s="125" t="n">
        <v>12</v>
      </c>
      <c r="H971" s="125" t="n">
        <v>13</v>
      </c>
      <c r="I971" s="125">
        <f>D971-(2*(H971+F971))</f>
        <v/>
      </c>
      <c r="J971" s="125">
        <f>(2*E971/10*F971/10)+((D971-F971-F971)/10*G971/10)+((H971/10+H971/10)^2)-(PI()*H971/10*H971/10)</f>
        <v/>
      </c>
      <c r="K971" s="125">
        <f>((E971-G971)/2)/F971</f>
        <v/>
      </c>
      <c r="L971" s="125">
        <f>I971/G971</f>
        <v/>
      </c>
      <c r="M971" s="125">
        <f>(E971*2+F971*4+((E971-G971)/2-H971)*4+2*PI()*H971+(D971-2*F971-2*H971)*2)/1000</f>
        <v/>
      </c>
      <c r="N971" s="5" t="n">
        <v>87500</v>
      </c>
      <c r="O971" s="5" t="n">
        <v>7300</v>
      </c>
      <c r="P971" s="125" t="n">
        <v>21.2</v>
      </c>
      <c r="Q971" s="125" t="n">
        <v>6.1</v>
      </c>
      <c r="R971" s="5" t="n">
        <v>3500</v>
      </c>
      <c r="S971" s="125" t="n">
        <v>584</v>
      </c>
      <c r="T971" s="5" t="n">
        <v>3930</v>
      </c>
      <c r="U971" s="125" t="n">
        <v>892</v>
      </c>
      <c r="X971" s="129">
        <f t="array" ref="X971">_xlfn.IFS((D971/F971) &lt;= (640/SQRT($AT$32)), "Compact", L971 &lt;= ($AT$32*(0.79-(0.002*((E971-G971/2)/(2*F971))*SQRT($AT$32)))), "Non-Compact", L971 &gt; ($AT$32*(0.79-(0.002*((E971-G971/2)/(2*F971))*SQRT($AT$32)))), "Slender")</f>
        <v/>
      </c>
      <c r="Y971" s="129">
        <f t="array" ref="Y971">_xlfn.IFS(K971 &lt;= (65/SQRT($AT$32)), "Compact", K971 &lt;= (95/SQRT($AT$32)), "Non-Compact", K971 &gt; (95/SQRT($AT$32)), "Slender")</f>
        <v/>
      </c>
      <c r="Z971" s="125">
        <f>E971/F971</f>
        <v/>
      </c>
      <c r="AA971" s="125">
        <f>D971/G971</f>
        <v/>
      </c>
      <c r="AB971" s="125">
        <f t="array" ref="AB971">_xlfn.IFS(Z971 &lt;= 9, "1", Z971 &lt;= 12, "2", Z971 &lt;= 15, "3", Z971 &gt; 15, "4")</f>
        <v/>
      </c>
      <c r="AC971" s="125">
        <f t="array" ref="AC971">_xlfn.IFS(AA971 &lt;= 200, "1", L971 &lt;= 300, "2", L971 &lt;= 400, "3", L971 &gt; 400, "4")</f>
        <v/>
      </c>
      <c r="AF971" s="129">
        <f>SQRT((((VLOOKUP($AT$4,$A$4:$D$1021,4,FALSE))-D971)^2)+(((VLOOKUP($AT$4,$A$4:$E$1021,5,FALSE))-E971)^2)+(((VLOOKUP($AT$4,$A$4:$N$1021,14,FALSE))-N971)^2)+(((VLOOKUP($AT$4,$A$4:$O$1021,15,FALSE))-O971)^2))</f>
        <v/>
      </c>
      <c r="AG971" s="129" t="n"/>
      <c r="AI971" s="129">
        <f>SQRT((((VLOOKUP($AT$4,$A$4:$D$1021,4,FALSE))-D971)^2)+(((VLOOKUP($AT$4,$A$4:$E$1021,5,FALSE))-E971)^2)+(((VLOOKUP($AT$4,$A$4:$R$1021,18,FALSE))-R971)^2)+(((VLOOKUP($AT$4,$A$4:$S$1021,19,FALSE))-S971)^2))</f>
        <v/>
      </c>
      <c r="AJ971" s="125" t="inlineStr">
        <is>
          <t>HY500X153</t>
        </is>
      </c>
      <c r="AK971" s="125" t="n"/>
      <c r="AL971" s="125" t="n"/>
      <c r="AM971" s="125">
        <f>SQRT(((VLOOKUP($AT$4,$A$4:$J$1021,10,FALSE))-J971)^2)</f>
        <v/>
      </c>
      <c r="AN971" s="125" t="n"/>
      <c r="AO971" s="125" t="n"/>
      <c r="AP971" s="125">
        <f>SQRT(((VLOOKUP($AT$4,$A$4:$R$1021,18,FALSE))-R971)^2)</f>
        <v/>
      </c>
      <c r="AQ971" s="125" t="inlineStr">
        <is>
          <t>HY500X153</t>
        </is>
      </c>
      <c r="BB971" s="125">
        <f>SQRT(($J$1022-J971)^2)</f>
        <v/>
      </c>
      <c r="BC971" s="125">
        <f>SQRT(($R$1022-R971)^2)</f>
        <v/>
      </c>
      <c r="BD971" s="125" t="inlineStr">
        <is>
          <t>HY500X153</t>
        </is>
      </c>
      <c r="BI971">
        <f>SQRT(($J$1023-J971)^2)</f>
        <v/>
      </c>
      <c r="BJ971">
        <f>SQRT(($R$1023-R971)^2)</f>
        <v/>
      </c>
      <c r="BK971" s="125" t="inlineStr">
        <is>
          <t>HY500X153</t>
        </is>
      </c>
      <c r="BP971">
        <f>SQRT(($J$1024-J971)^2)</f>
        <v/>
      </c>
      <c r="BQ971">
        <f>SQRT(($R$1024-R971)^2)</f>
        <v/>
      </c>
      <c r="BR971" s="125" t="inlineStr">
        <is>
          <t>HY500X153</t>
        </is>
      </c>
      <c r="BW971">
        <f>SQRT(($J$1025-J971)^2)</f>
        <v/>
      </c>
      <c r="BX971">
        <f>SQRT(($R$1025-R971)^2)</f>
        <v/>
      </c>
      <c r="BY971" s="125" t="inlineStr">
        <is>
          <t>HY500X153</t>
        </is>
      </c>
      <c r="CD971">
        <f>SQRT(($J$1026-J971)^2)</f>
        <v/>
      </c>
      <c r="CE971">
        <f>SQRT(($R$1026-R971)^2)</f>
        <v/>
      </c>
      <c r="CF971" s="125" t="inlineStr">
        <is>
          <t>HY500X153</t>
        </is>
      </c>
    </row>
    <row r="972">
      <c r="A972" s="125" t="inlineStr">
        <is>
          <t>HY500X142</t>
        </is>
      </c>
      <c r="B972" s="129" t="inlineStr">
        <is>
          <t>HY</t>
        </is>
      </c>
      <c r="C972" s="125" t="n">
        <v>142</v>
      </c>
      <c r="D972" s="125" t="n">
        <v>500</v>
      </c>
      <c r="E972" s="125" t="n">
        <v>250</v>
      </c>
      <c r="F972" s="125" t="n">
        <v>25</v>
      </c>
      <c r="G972" s="125" t="n">
        <v>12</v>
      </c>
      <c r="H972" s="125" t="n">
        <v>13</v>
      </c>
      <c r="I972" s="125">
        <f>D972-(2*(H972+F972))</f>
        <v/>
      </c>
      <c r="J972" s="125">
        <f>(2*E972/10*F972/10)+((D972-F972-F972)/10*G972/10)+((H972/10+H972/10)^2)-(PI()*H972/10*H972/10)</f>
        <v/>
      </c>
      <c r="K972" s="125">
        <f>((E972-G972)/2)/F972</f>
        <v/>
      </c>
      <c r="L972" s="125">
        <f>I972/G972</f>
        <v/>
      </c>
      <c r="M972" s="125">
        <f>(E972*2+F972*4+((E972-G972)/2-H972)*4+2*PI()*H972+(D972-2*F972-2*H972)*2)/1000</f>
        <v/>
      </c>
      <c r="N972" s="5" t="n">
        <v>80400</v>
      </c>
      <c r="O972" s="5" t="n">
        <v>6520</v>
      </c>
      <c r="P972" s="125" t="n">
        <v>21.1</v>
      </c>
      <c r="Q972" s="125" t="n">
        <v>6</v>
      </c>
      <c r="R972" s="5" t="n">
        <v>3220</v>
      </c>
      <c r="S972" s="125" t="n">
        <v>521</v>
      </c>
      <c r="T972" s="5" t="n">
        <v>3610</v>
      </c>
      <c r="U972" s="125" t="n">
        <v>799</v>
      </c>
      <c r="X972" s="129">
        <f t="array" ref="X972">_xlfn.IFS((D972/F972) &lt;= (640/SQRT($AT$32)), "Compact", L972 &lt;= ($AT$32*(0.79-(0.002*((E972-G972/2)/(2*F972))*SQRT($AT$32)))), "Non-Compact", L972 &gt; ($AT$32*(0.79-(0.002*((E972-G972/2)/(2*F972))*SQRT($AT$32)))), "Slender")</f>
        <v/>
      </c>
      <c r="Y972" s="129">
        <f t="array" ref="Y972">_xlfn.IFS(K972 &lt;= (65/SQRT($AT$32)), "Compact", K972 &lt;= (95/SQRT($AT$32)), "Non-Compact", K972 &gt; (95/SQRT($AT$32)), "Slender")</f>
        <v/>
      </c>
      <c r="Z972" s="125">
        <f>E972/F972</f>
        <v/>
      </c>
      <c r="AA972" s="125">
        <f>D972/G972</f>
        <v/>
      </c>
      <c r="AB972" s="125">
        <f t="array" ref="AB972">_xlfn.IFS(Z972 &lt;= 9, "1", Z972 &lt;= 12, "2", Z972 &lt;= 15, "3", Z972 &gt; 15, "4")</f>
        <v/>
      </c>
      <c r="AC972" s="125">
        <f t="array" ref="AC972">_xlfn.IFS(AA972 &lt;= 200, "1", L972 &lt;= 300, "2", L972 &lt;= 400, "3", L972 &gt; 400, "4")</f>
        <v/>
      </c>
      <c r="AF972" s="129">
        <f>SQRT((((VLOOKUP($AT$4,$A$4:$D$1021,4,FALSE))-D972)^2)+(((VLOOKUP($AT$4,$A$4:$E$1021,5,FALSE))-E972)^2)+(((VLOOKUP($AT$4,$A$4:$N$1021,14,FALSE))-N972)^2)+(((VLOOKUP($AT$4,$A$4:$O$1021,15,FALSE))-O972)^2))</f>
        <v/>
      </c>
      <c r="AG972" s="129" t="n"/>
      <c r="AI972" s="129">
        <f>SQRT((((VLOOKUP($AT$4,$A$4:$D$1021,4,FALSE))-D972)^2)+(((VLOOKUP($AT$4,$A$4:$E$1021,5,FALSE))-E972)^2)+(((VLOOKUP($AT$4,$A$4:$R$1021,18,FALSE))-R972)^2)+(((VLOOKUP($AT$4,$A$4:$S$1021,19,FALSE))-S972)^2))</f>
        <v/>
      </c>
      <c r="AJ972" s="125" t="inlineStr">
        <is>
          <t>HY500X142</t>
        </is>
      </c>
      <c r="AK972" s="125" t="n"/>
      <c r="AL972" s="125" t="n"/>
      <c r="AM972" s="125">
        <f>SQRT(((VLOOKUP($AT$4,$A$4:$J$1021,10,FALSE))-J972)^2)</f>
        <v/>
      </c>
      <c r="AN972" s="125" t="n"/>
      <c r="AO972" s="125" t="n"/>
      <c r="AP972" s="125">
        <f>SQRT(((VLOOKUP($AT$4,$A$4:$R$1021,18,FALSE))-R972)^2)</f>
        <v/>
      </c>
      <c r="AQ972" s="125" t="inlineStr">
        <is>
          <t>HY500X142</t>
        </is>
      </c>
      <c r="BB972" s="125">
        <f>SQRT(($J$1022-J972)^2)</f>
        <v/>
      </c>
      <c r="BC972" s="125">
        <f>SQRT(($R$1022-R972)^2)</f>
        <v/>
      </c>
      <c r="BD972" s="125" t="inlineStr">
        <is>
          <t>HY500X142</t>
        </is>
      </c>
      <c r="BI972">
        <f>SQRT(($J$1023-J972)^2)</f>
        <v/>
      </c>
      <c r="BJ972">
        <f>SQRT(($R$1023-R972)^2)</f>
        <v/>
      </c>
      <c r="BK972" s="125" t="inlineStr">
        <is>
          <t>HY500X142</t>
        </is>
      </c>
      <c r="BP972">
        <f>SQRT(($J$1024-J972)^2)</f>
        <v/>
      </c>
      <c r="BQ972">
        <f>SQRT(($R$1024-R972)^2)</f>
        <v/>
      </c>
      <c r="BR972" s="125" t="inlineStr">
        <is>
          <t>HY500X142</t>
        </is>
      </c>
      <c r="BW972">
        <f>SQRT(($J$1025-J972)^2)</f>
        <v/>
      </c>
      <c r="BX972">
        <f>SQRT(($R$1025-R972)^2)</f>
        <v/>
      </c>
      <c r="BY972" s="125" t="inlineStr">
        <is>
          <t>HY500X142</t>
        </is>
      </c>
      <c r="CD972">
        <f>SQRT(($J$1026-J972)^2)</f>
        <v/>
      </c>
      <c r="CE972">
        <f>SQRT(($R$1026-R972)^2)</f>
        <v/>
      </c>
      <c r="CF972" s="125" t="inlineStr">
        <is>
          <t>HY500X142</t>
        </is>
      </c>
    </row>
    <row r="973">
      <c r="A973" s="125" t="inlineStr">
        <is>
          <t>HY500X130</t>
        </is>
      </c>
      <c r="B973" s="129" t="inlineStr">
        <is>
          <t>HY</t>
        </is>
      </c>
      <c r="C973" s="125" t="n">
        <v>130</v>
      </c>
      <c r="D973" s="125" t="n">
        <v>500</v>
      </c>
      <c r="E973" s="125" t="n">
        <v>250</v>
      </c>
      <c r="F973" s="125" t="n">
        <v>22</v>
      </c>
      <c r="G973" s="125" t="n">
        <v>12</v>
      </c>
      <c r="H973" s="125" t="n">
        <v>13</v>
      </c>
      <c r="I973" s="125">
        <f>D973-(2*(H973+F973))</f>
        <v/>
      </c>
      <c r="J973" s="125">
        <f>(2*E973/10*F973/10)+((D973-F973-F973)/10*G973/10)+((H973/10+H973/10)^2)-(PI()*H973/10*H973/10)</f>
        <v/>
      </c>
      <c r="K973" s="125">
        <f>((E973-G973)/2)/F973</f>
        <v/>
      </c>
      <c r="L973" s="125">
        <f>I973/G973</f>
        <v/>
      </c>
      <c r="M973" s="125">
        <f>(E973*2+F973*4+((E973-G973)/2-H973)*4+2*PI()*H973+(D973-2*F973-2*H973)*2)/1000</f>
        <v/>
      </c>
      <c r="N973" s="5" t="n">
        <v>73100</v>
      </c>
      <c r="O973" s="5" t="n">
        <v>5740</v>
      </c>
      <c r="P973" s="125" t="n">
        <v>21</v>
      </c>
      <c r="Q973" s="125" t="n">
        <v>5.9</v>
      </c>
      <c r="R973" s="5" t="n">
        <v>2920</v>
      </c>
      <c r="S973" s="125" t="n">
        <v>459</v>
      </c>
      <c r="T973" s="5" t="n">
        <v>3290</v>
      </c>
      <c r="U973" s="125" t="n">
        <v>705</v>
      </c>
      <c r="X973" s="129">
        <f t="array" ref="X973">_xlfn.IFS((D973/F973) &lt;= (640/SQRT($AT$32)), "Compact", L973 &lt;= ($AT$32*(0.79-(0.002*((E973-G973/2)/(2*F973))*SQRT($AT$32)))), "Non-Compact", L973 &gt; ($AT$32*(0.79-(0.002*((E973-G973/2)/(2*F973))*SQRT($AT$32)))), "Slender")</f>
        <v/>
      </c>
      <c r="Y973" s="129">
        <f t="array" ref="Y973">_xlfn.IFS(K973 &lt;= (65/SQRT($AT$32)), "Compact", K973 &lt;= (95/SQRT($AT$32)), "Non-Compact", K973 &gt; (95/SQRT($AT$32)), "Slender")</f>
        <v/>
      </c>
      <c r="Z973" s="125">
        <f>E973/F973</f>
        <v/>
      </c>
      <c r="AA973" s="125">
        <f>D973/G973</f>
        <v/>
      </c>
      <c r="AB973" s="125">
        <f t="array" ref="AB973">_xlfn.IFS(Z973 &lt;= 9, "1", Z973 &lt;= 12, "2", Z973 &lt;= 15, "3", Z973 &gt; 15, "4")</f>
        <v/>
      </c>
      <c r="AC973" s="125">
        <f t="array" ref="AC973">_xlfn.IFS(AA973 &lt;= 200, "1", L973 &lt;= 300, "2", L973 &lt;= 400, "3", L973 &gt; 400, "4")</f>
        <v/>
      </c>
      <c r="AF973" s="129">
        <f>SQRT((((VLOOKUP($AT$4,$A$4:$D$1021,4,FALSE))-D973)^2)+(((VLOOKUP($AT$4,$A$4:$E$1021,5,FALSE))-E973)^2)+(((VLOOKUP($AT$4,$A$4:$N$1021,14,FALSE))-N973)^2)+(((VLOOKUP($AT$4,$A$4:$O$1021,15,FALSE))-O973)^2))</f>
        <v/>
      </c>
      <c r="AG973" s="129" t="n"/>
      <c r="AI973" s="129">
        <f>SQRT((((VLOOKUP($AT$4,$A$4:$D$1021,4,FALSE))-D973)^2)+(((VLOOKUP($AT$4,$A$4:$E$1021,5,FALSE))-E973)^2)+(((VLOOKUP($AT$4,$A$4:$R$1021,18,FALSE))-R973)^2)+(((VLOOKUP($AT$4,$A$4:$S$1021,19,FALSE))-S973)^2))</f>
        <v/>
      </c>
      <c r="AJ973" s="125" t="inlineStr">
        <is>
          <t>HY500X130</t>
        </is>
      </c>
      <c r="AK973" s="125" t="n"/>
      <c r="AL973" s="125" t="n"/>
      <c r="AM973" s="125">
        <f>SQRT(((VLOOKUP($AT$4,$A$4:$J$1021,10,FALSE))-J973)^2)</f>
        <v/>
      </c>
      <c r="AN973" s="125" t="n"/>
      <c r="AO973" s="125" t="n"/>
      <c r="AP973" s="125">
        <f>SQRT(((VLOOKUP($AT$4,$A$4:$R$1021,18,FALSE))-R973)^2)</f>
        <v/>
      </c>
      <c r="AQ973" s="125" t="inlineStr">
        <is>
          <t>HY500X130</t>
        </is>
      </c>
      <c r="BB973" s="125">
        <f>SQRT(($J$1022-J973)^2)</f>
        <v/>
      </c>
      <c r="BC973" s="125">
        <f>SQRT(($R$1022-R973)^2)</f>
        <v/>
      </c>
      <c r="BD973" s="125" t="inlineStr">
        <is>
          <t>HY500X130</t>
        </is>
      </c>
      <c r="BI973">
        <f>SQRT(($J$1023-J973)^2)</f>
        <v/>
      </c>
      <c r="BJ973">
        <f>SQRT(($R$1023-R973)^2)</f>
        <v/>
      </c>
      <c r="BK973" s="125" t="inlineStr">
        <is>
          <t>HY500X130</t>
        </is>
      </c>
      <c r="BP973">
        <f>SQRT(($J$1024-J973)^2)</f>
        <v/>
      </c>
      <c r="BQ973">
        <f>SQRT(($R$1024-R973)^2)</f>
        <v/>
      </c>
      <c r="BR973" s="125" t="inlineStr">
        <is>
          <t>HY500X130</t>
        </is>
      </c>
      <c r="BW973">
        <f>SQRT(($J$1025-J973)^2)</f>
        <v/>
      </c>
      <c r="BX973">
        <f>SQRT(($R$1025-R973)^2)</f>
        <v/>
      </c>
      <c r="BY973" s="125" t="inlineStr">
        <is>
          <t>HY500X130</t>
        </is>
      </c>
      <c r="CD973">
        <f>SQRT(($J$1026-J973)^2)</f>
        <v/>
      </c>
      <c r="CE973">
        <f>SQRT(($R$1026-R973)^2)</f>
        <v/>
      </c>
      <c r="CF973" s="125" t="inlineStr">
        <is>
          <t>HY500X130</t>
        </is>
      </c>
    </row>
    <row r="974">
      <c r="A974" s="125" t="inlineStr">
        <is>
          <t>HY500X119</t>
        </is>
      </c>
      <c r="B974" s="129" t="inlineStr">
        <is>
          <t>HY</t>
        </is>
      </c>
      <c r="C974" s="125" t="n">
        <v>119</v>
      </c>
      <c r="D974" s="125" t="n">
        <v>500</v>
      </c>
      <c r="E974" s="125" t="n">
        <v>250</v>
      </c>
      <c r="F974" s="125" t="n">
        <v>19</v>
      </c>
      <c r="G974" s="125" t="n">
        <v>12</v>
      </c>
      <c r="H974" s="125" t="n">
        <v>13</v>
      </c>
      <c r="I974" s="125">
        <f>D974-(2*(H974+F974))</f>
        <v/>
      </c>
      <c r="J974" s="125">
        <f>(2*E974/10*F974/10)+((D974-F974-F974)/10*G974/10)+((H974/10+H974/10)^2)-(PI()*H974/10*H974/10)</f>
        <v/>
      </c>
      <c r="K974" s="125">
        <f>((E974-G974)/2)/F974</f>
        <v/>
      </c>
      <c r="L974" s="125">
        <f>I974/G974</f>
        <v/>
      </c>
      <c r="M974" s="125">
        <f>(E974*2+F974*4+((E974-G974)/2-H974)*4+2*PI()*H974+(D974-2*F974-2*H974)*2)/1000</f>
        <v/>
      </c>
      <c r="N974" s="5" t="n">
        <v>65600</v>
      </c>
      <c r="O974" s="5" t="n">
        <v>4960</v>
      </c>
      <c r="P974" s="125" t="n">
        <v>20.8</v>
      </c>
      <c r="Q974" s="125" t="n">
        <v>5.7</v>
      </c>
      <c r="R974" s="5" t="n">
        <v>2620</v>
      </c>
      <c r="S974" s="125" t="n">
        <v>396</v>
      </c>
      <c r="T974" s="5" t="n">
        <v>2960</v>
      </c>
      <c r="U974" s="125" t="n">
        <v>612</v>
      </c>
      <c r="X974" s="129">
        <f t="array" ref="X974">_xlfn.IFS((D974/F974) &lt;= (640/SQRT($AT$32)), "Compact", L974 &lt;= ($AT$32*(0.79-(0.002*((E974-G974/2)/(2*F974))*SQRT($AT$32)))), "Non-Compact", L974 &gt; ($AT$32*(0.79-(0.002*((E974-G974/2)/(2*F974))*SQRT($AT$32)))), "Slender")</f>
        <v/>
      </c>
      <c r="Y974" s="129">
        <f t="array" ref="Y974">_xlfn.IFS(K974 &lt;= (65/SQRT($AT$32)), "Compact", K974 &lt;= (95/SQRT($AT$32)), "Non-Compact", K974 &gt; (95/SQRT($AT$32)), "Slender")</f>
        <v/>
      </c>
      <c r="Z974" s="125">
        <f>E974/F974</f>
        <v/>
      </c>
      <c r="AA974" s="125">
        <f>D974/G974</f>
        <v/>
      </c>
      <c r="AB974" s="125">
        <f t="array" ref="AB974">_xlfn.IFS(Z974 &lt;= 9, "1", Z974 &lt;= 12, "2", Z974 &lt;= 15, "3", Z974 &gt; 15, "4")</f>
        <v/>
      </c>
      <c r="AC974" s="125">
        <f t="array" ref="AC974">_xlfn.IFS(AA974 &lt;= 200, "1", L974 &lt;= 300, "2", L974 &lt;= 400, "3", L974 &gt; 400, "4")</f>
        <v/>
      </c>
      <c r="AF974" s="129">
        <f>SQRT((((VLOOKUP($AT$4,$A$4:$D$1021,4,FALSE))-D974)^2)+(((VLOOKUP($AT$4,$A$4:$E$1021,5,FALSE))-E974)^2)+(((VLOOKUP($AT$4,$A$4:$N$1021,14,FALSE))-N974)^2)+(((VLOOKUP($AT$4,$A$4:$O$1021,15,FALSE))-O974)^2))</f>
        <v/>
      </c>
      <c r="AG974" s="129" t="n"/>
      <c r="AI974" s="129">
        <f>SQRT((((VLOOKUP($AT$4,$A$4:$D$1021,4,FALSE))-D974)^2)+(((VLOOKUP($AT$4,$A$4:$E$1021,5,FALSE))-E974)^2)+(((VLOOKUP($AT$4,$A$4:$R$1021,18,FALSE))-R974)^2)+(((VLOOKUP($AT$4,$A$4:$S$1021,19,FALSE))-S974)^2))</f>
        <v/>
      </c>
      <c r="AJ974" s="125" t="inlineStr">
        <is>
          <t>HY500X119</t>
        </is>
      </c>
      <c r="AK974" s="125" t="n"/>
      <c r="AL974" s="125" t="n"/>
      <c r="AM974" s="125">
        <f>SQRT(((VLOOKUP($AT$4,$A$4:$J$1021,10,FALSE))-J974)^2)</f>
        <v/>
      </c>
      <c r="AN974" s="125" t="n"/>
      <c r="AO974" s="125" t="n"/>
      <c r="AP974" s="125">
        <f>SQRT(((VLOOKUP($AT$4,$A$4:$R$1021,18,FALSE))-R974)^2)</f>
        <v/>
      </c>
      <c r="AQ974" s="125" t="inlineStr">
        <is>
          <t>HY500X119</t>
        </is>
      </c>
      <c r="BB974" s="125">
        <f>SQRT(($J$1022-J974)^2)</f>
        <v/>
      </c>
      <c r="BC974" s="125">
        <f>SQRT(($R$1022-R974)^2)</f>
        <v/>
      </c>
      <c r="BD974" s="125" t="inlineStr">
        <is>
          <t>HY500X119</t>
        </is>
      </c>
      <c r="BI974">
        <f>SQRT(($J$1023-J974)^2)</f>
        <v/>
      </c>
      <c r="BJ974">
        <f>SQRT(($R$1023-R974)^2)</f>
        <v/>
      </c>
      <c r="BK974" s="125" t="inlineStr">
        <is>
          <t>HY500X119</t>
        </is>
      </c>
      <c r="BP974">
        <f>SQRT(($J$1024-J974)^2)</f>
        <v/>
      </c>
      <c r="BQ974">
        <f>SQRT(($R$1024-R974)^2)</f>
        <v/>
      </c>
      <c r="BR974" s="125" t="inlineStr">
        <is>
          <t>HY500X119</t>
        </is>
      </c>
      <c r="BW974">
        <f>SQRT(($J$1025-J974)^2)</f>
        <v/>
      </c>
      <c r="BX974">
        <f>SQRT(($R$1025-R974)^2)</f>
        <v/>
      </c>
      <c r="BY974" s="125" t="inlineStr">
        <is>
          <t>HY500X119</t>
        </is>
      </c>
      <c r="CD974">
        <f>SQRT(($J$1026-J974)^2)</f>
        <v/>
      </c>
      <c r="CE974">
        <f>SQRT(($R$1026-R974)^2)</f>
        <v/>
      </c>
      <c r="CF974" s="125" t="inlineStr">
        <is>
          <t>HY500X119</t>
        </is>
      </c>
    </row>
    <row r="975">
      <c r="A975" s="125" t="inlineStr">
        <is>
          <t>HY500X108</t>
        </is>
      </c>
      <c r="B975" s="129" t="inlineStr">
        <is>
          <t>HY</t>
        </is>
      </c>
      <c r="C975" s="125" t="n">
        <v>108</v>
      </c>
      <c r="D975" s="125" t="n">
        <v>500</v>
      </c>
      <c r="E975" s="125" t="n">
        <v>250</v>
      </c>
      <c r="F975" s="125" t="n">
        <v>16</v>
      </c>
      <c r="G975" s="125" t="n">
        <v>12</v>
      </c>
      <c r="H975" s="125" t="n">
        <v>13</v>
      </c>
      <c r="I975" s="125">
        <f>D975-(2*(H975+F975))</f>
        <v/>
      </c>
      <c r="J975" s="125">
        <f>(2*E975/10*F975/10)+((D975-F975-F975)/10*G975/10)+((H975/10+H975/10)^2)-(PI()*H975/10*H975/10)</f>
        <v/>
      </c>
      <c r="K975" s="125">
        <f>((E975-G975)/2)/F975</f>
        <v/>
      </c>
      <c r="L975" s="125">
        <f>I975/G975</f>
        <v/>
      </c>
      <c r="M975" s="125">
        <f>(E975*2+F975*4+((E975-G975)/2-H975)*4+2*PI()*H975+(D975-2*F975-2*H975)*2)/1000</f>
        <v/>
      </c>
      <c r="N975" s="5" t="n">
        <v>57900</v>
      </c>
      <c r="O975" s="5" t="n">
        <v>4170</v>
      </c>
      <c r="P975" s="125" t="n">
        <v>20.5</v>
      </c>
      <c r="Q975" s="125" t="n">
        <v>5.5</v>
      </c>
      <c r="R975" s="5" t="n">
        <v>2320</v>
      </c>
      <c r="S975" s="125" t="n">
        <v>334</v>
      </c>
      <c r="T975" s="5" t="n">
        <v>2630</v>
      </c>
      <c r="U975" s="125" t="n">
        <v>518</v>
      </c>
      <c r="X975" s="129">
        <f t="array" ref="X975">_xlfn.IFS((D975/F975) &lt;= (640/SQRT($AT$32)), "Compact", L975 &lt;= ($AT$32*(0.79-(0.002*((E975-G975/2)/(2*F975))*SQRT($AT$32)))), "Non-Compact", L975 &gt; ($AT$32*(0.79-(0.002*((E975-G975/2)/(2*F975))*SQRT($AT$32)))), "Slender")</f>
        <v/>
      </c>
      <c r="Y975" s="129">
        <f t="array" ref="Y975">_xlfn.IFS(K975 &lt;= (65/SQRT($AT$32)), "Compact", K975 &lt;= (95/SQRT($AT$32)), "Non-Compact", K975 &gt; (95/SQRT($AT$32)), "Slender")</f>
        <v/>
      </c>
      <c r="Z975" s="125">
        <f>E975/F975</f>
        <v/>
      </c>
      <c r="AA975" s="125">
        <f>D975/G975</f>
        <v/>
      </c>
      <c r="AB975" s="125">
        <f t="array" ref="AB975">_xlfn.IFS(Z975 &lt;= 9, "1", Z975 &lt;= 12, "2", Z975 &lt;= 15, "3", Z975 &gt; 15, "4")</f>
        <v/>
      </c>
      <c r="AC975" s="125">
        <f t="array" ref="AC975">_xlfn.IFS(AA975 &lt;= 200, "1", L975 &lt;= 300, "2", L975 &lt;= 400, "3", L975 &gt; 400, "4")</f>
        <v/>
      </c>
      <c r="AF975" s="129">
        <f>SQRT((((VLOOKUP($AT$4,$A$4:$D$1021,4,FALSE))-D975)^2)+(((VLOOKUP($AT$4,$A$4:$E$1021,5,FALSE))-E975)^2)+(((VLOOKUP($AT$4,$A$4:$N$1021,14,FALSE))-N975)^2)+(((VLOOKUP($AT$4,$A$4:$O$1021,15,FALSE))-O975)^2))</f>
        <v/>
      </c>
      <c r="AG975" s="129" t="n"/>
      <c r="AI975" s="129">
        <f>SQRT((((VLOOKUP($AT$4,$A$4:$D$1021,4,FALSE))-D975)^2)+(((VLOOKUP($AT$4,$A$4:$E$1021,5,FALSE))-E975)^2)+(((VLOOKUP($AT$4,$A$4:$R$1021,18,FALSE))-R975)^2)+(((VLOOKUP($AT$4,$A$4:$S$1021,19,FALSE))-S975)^2))</f>
        <v/>
      </c>
      <c r="AJ975" s="125" t="inlineStr">
        <is>
          <t>HY500X108</t>
        </is>
      </c>
      <c r="AK975" s="125" t="n"/>
      <c r="AL975" s="125" t="n"/>
      <c r="AM975" s="125">
        <f>SQRT(((VLOOKUP($AT$4,$A$4:$J$1021,10,FALSE))-J975)^2)</f>
        <v/>
      </c>
      <c r="AN975" s="125" t="n"/>
      <c r="AO975" s="125" t="n"/>
      <c r="AP975" s="125">
        <f>SQRT(((VLOOKUP($AT$4,$A$4:$R$1021,18,FALSE))-R975)^2)</f>
        <v/>
      </c>
      <c r="AQ975" s="125" t="inlineStr">
        <is>
          <t>HY500X108</t>
        </is>
      </c>
      <c r="BB975" s="125">
        <f>SQRT(($J$1022-J975)^2)</f>
        <v/>
      </c>
      <c r="BC975" s="125">
        <f>SQRT(($R$1022-R975)^2)</f>
        <v/>
      </c>
      <c r="BD975" s="125" t="inlineStr">
        <is>
          <t>HY500X108</t>
        </is>
      </c>
      <c r="BI975">
        <f>SQRT(($J$1023-J975)^2)</f>
        <v/>
      </c>
      <c r="BJ975">
        <f>SQRT(($R$1023-R975)^2)</f>
        <v/>
      </c>
      <c r="BK975" s="125" t="inlineStr">
        <is>
          <t>HY500X108</t>
        </is>
      </c>
      <c r="BP975">
        <f>SQRT(($J$1024-J975)^2)</f>
        <v/>
      </c>
      <c r="BQ975">
        <f>SQRT(($R$1024-R975)^2)</f>
        <v/>
      </c>
      <c r="BR975" s="125" t="inlineStr">
        <is>
          <t>HY500X108</t>
        </is>
      </c>
      <c r="BW975">
        <f>SQRT(($J$1025-J975)^2)</f>
        <v/>
      </c>
      <c r="BX975">
        <f>SQRT(($R$1025-R975)^2)</f>
        <v/>
      </c>
      <c r="BY975" s="125" t="inlineStr">
        <is>
          <t>HY500X108</t>
        </is>
      </c>
      <c r="CD975">
        <f>SQRT(($J$1026-J975)^2)</f>
        <v/>
      </c>
      <c r="CE975">
        <f>SQRT(($R$1026-R975)^2)</f>
        <v/>
      </c>
      <c r="CF975" s="125" t="inlineStr">
        <is>
          <t>HY500X108</t>
        </is>
      </c>
    </row>
    <row r="976">
      <c r="A976" s="125" t="inlineStr">
        <is>
          <t>HY500X120</t>
        </is>
      </c>
      <c r="B976" s="129" t="inlineStr">
        <is>
          <t>HY</t>
        </is>
      </c>
      <c r="C976" s="125" t="n">
        <v>120</v>
      </c>
      <c r="D976" s="125" t="n">
        <v>500</v>
      </c>
      <c r="E976" s="125" t="n">
        <v>250</v>
      </c>
      <c r="F976" s="125" t="n">
        <v>22</v>
      </c>
      <c r="G976" s="125" t="n">
        <v>9</v>
      </c>
      <c r="H976" s="125" t="n">
        <v>13</v>
      </c>
      <c r="I976" s="125">
        <f>D976-(2*(H976+F976))</f>
        <v/>
      </c>
      <c r="J976" s="125">
        <f>(2*E976/10*F976/10)+((D976-F976-F976)/10*G976/10)+((H976/10+H976/10)^2)-(PI()*H976/10*H976/10)</f>
        <v/>
      </c>
      <c r="K976" s="125">
        <f>((E976-G976)/2)/F976</f>
        <v/>
      </c>
      <c r="L976" s="125">
        <f>I976/G976</f>
        <v/>
      </c>
      <c r="M976" s="125">
        <f>(E976*2+F976*4+((E976-G976)/2-H976)*4+2*PI()*H976+(D976-2*F976-2*H976)*2)/1000</f>
        <v/>
      </c>
      <c r="N976" s="5" t="n">
        <v>70700</v>
      </c>
      <c r="O976" s="5" t="n">
        <v>5730</v>
      </c>
      <c r="P976" s="125" t="n">
        <v>21.5</v>
      </c>
      <c r="Q976" s="125" t="n">
        <v>6.1</v>
      </c>
      <c r="R976" s="5" t="n">
        <v>2830</v>
      </c>
      <c r="S976" s="125" t="n">
        <v>459</v>
      </c>
      <c r="T976" s="5" t="n">
        <v>3130</v>
      </c>
      <c r="U976" s="125" t="n">
        <v>698</v>
      </c>
      <c r="X976" s="129">
        <f t="array" ref="X976">_xlfn.IFS((D976/F976) &lt;= (640/SQRT($AT$32)), "Compact", L976 &lt;= ($AT$32*(0.79-(0.002*((E976-G976/2)/(2*F976))*SQRT($AT$32)))), "Non-Compact", L976 &gt; ($AT$32*(0.79-(0.002*((E976-G976/2)/(2*F976))*SQRT($AT$32)))), "Slender")</f>
        <v/>
      </c>
      <c r="Y976" s="129">
        <f t="array" ref="Y976">_xlfn.IFS(K976 &lt;= (65/SQRT($AT$32)), "Compact", K976 &lt;= (95/SQRT($AT$32)), "Non-Compact", K976 &gt; (95/SQRT($AT$32)), "Slender")</f>
        <v/>
      </c>
      <c r="Z976" s="125">
        <f>E976/F976</f>
        <v/>
      </c>
      <c r="AA976" s="125">
        <f>D976/G976</f>
        <v/>
      </c>
      <c r="AB976" s="125">
        <f t="array" ref="AB976">_xlfn.IFS(Z976 &lt;= 9, "1", Z976 &lt;= 12, "2", Z976 &lt;= 15, "3", Z976 &gt; 15, "4")</f>
        <v/>
      </c>
      <c r="AC976" s="125">
        <f t="array" ref="AC976">_xlfn.IFS(AA976 &lt;= 200, "1", L976 &lt;= 300, "2", L976 &lt;= 400, "3", L976 &gt; 400, "4")</f>
        <v/>
      </c>
      <c r="AF976" s="129">
        <f>SQRT((((VLOOKUP($AT$4,$A$4:$D$1021,4,FALSE))-D976)^2)+(((VLOOKUP($AT$4,$A$4:$E$1021,5,FALSE))-E976)^2)+(((VLOOKUP($AT$4,$A$4:$N$1021,14,FALSE))-N976)^2)+(((VLOOKUP($AT$4,$A$4:$O$1021,15,FALSE))-O976)^2))</f>
        <v/>
      </c>
      <c r="AG976" s="129" t="n"/>
      <c r="AI976" s="129">
        <f>SQRT((((VLOOKUP($AT$4,$A$4:$D$1021,4,FALSE))-D976)^2)+(((VLOOKUP($AT$4,$A$4:$E$1021,5,FALSE))-E976)^2)+(((VLOOKUP($AT$4,$A$4:$R$1021,18,FALSE))-R976)^2)+(((VLOOKUP($AT$4,$A$4:$S$1021,19,FALSE))-S976)^2))</f>
        <v/>
      </c>
      <c r="AJ976" s="125" t="inlineStr">
        <is>
          <t>HY500X120</t>
        </is>
      </c>
      <c r="AK976" s="125" t="n"/>
      <c r="AL976" s="125" t="n"/>
      <c r="AM976" s="125">
        <f>SQRT(((VLOOKUP($AT$4,$A$4:$J$1021,10,FALSE))-J976)^2)</f>
        <v/>
      </c>
      <c r="AN976" s="125" t="n"/>
      <c r="AO976" s="125" t="n"/>
      <c r="AP976" s="125">
        <f>SQRT(((VLOOKUP($AT$4,$A$4:$R$1021,18,FALSE))-R976)^2)</f>
        <v/>
      </c>
      <c r="AQ976" s="125" t="inlineStr">
        <is>
          <t>HY500X120</t>
        </is>
      </c>
      <c r="BB976" s="125">
        <f>SQRT(($J$1022-J976)^2)</f>
        <v/>
      </c>
      <c r="BC976" s="125">
        <f>SQRT(($R$1022-R976)^2)</f>
        <v/>
      </c>
      <c r="BD976" s="125" t="inlineStr">
        <is>
          <t>HY500X120</t>
        </is>
      </c>
      <c r="BI976">
        <f>SQRT(($J$1023-J976)^2)</f>
        <v/>
      </c>
      <c r="BJ976">
        <f>SQRT(($R$1023-R976)^2)</f>
        <v/>
      </c>
      <c r="BK976" s="125" t="inlineStr">
        <is>
          <t>HY500X120</t>
        </is>
      </c>
      <c r="BP976">
        <f>SQRT(($J$1024-J976)^2)</f>
        <v/>
      </c>
      <c r="BQ976">
        <f>SQRT(($R$1024-R976)^2)</f>
        <v/>
      </c>
      <c r="BR976" s="125" t="inlineStr">
        <is>
          <t>HY500X120</t>
        </is>
      </c>
      <c r="BW976">
        <f>SQRT(($J$1025-J976)^2)</f>
        <v/>
      </c>
      <c r="BX976">
        <f>SQRT(($R$1025-R976)^2)</f>
        <v/>
      </c>
      <c r="BY976" s="125" t="inlineStr">
        <is>
          <t>HY500X120</t>
        </is>
      </c>
      <c r="CD976">
        <f>SQRT(($J$1026-J976)^2)</f>
        <v/>
      </c>
      <c r="CE976">
        <f>SQRT(($R$1026-R976)^2)</f>
        <v/>
      </c>
      <c r="CF976" s="125" t="inlineStr">
        <is>
          <t>HY500X120</t>
        </is>
      </c>
    </row>
    <row r="977">
      <c r="A977" s="125" t="inlineStr">
        <is>
          <t>HY500X108</t>
        </is>
      </c>
      <c r="B977" s="129" t="inlineStr">
        <is>
          <t>HY</t>
        </is>
      </c>
      <c r="C977" s="125" t="n">
        <v>108</v>
      </c>
      <c r="D977" s="125" t="n">
        <v>500</v>
      </c>
      <c r="E977" s="125" t="n">
        <v>250</v>
      </c>
      <c r="F977" s="125" t="n">
        <v>19</v>
      </c>
      <c r="G977" s="125" t="n">
        <v>9</v>
      </c>
      <c r="H977" s="125" t="n">
        <v>13</v>
      </c>
      <c r="I977" s="125">
        <f>D977-(2*(H977+F977))</f>
        <v/>
      </c>
      <c r="J977" s="125">
        <f>(2*E977/10*F977/10)+((D977-F977-F977)/10*G977/10)+((H977/10+H977/10)^2)-(PI()*H977/10*H977/10)</f>
        <v/>
      </c>
      <c r="K977" s="125">
        <f>((E977-G977)/2)/F977</f>
        <v/>
      </c>
      <c r="L977" s="125">
        <f>I977/G977</f>
        <v/>
      </c>
      <c r="M977" s="125">
        <f>(E977*2+F977*4+((E977-G977)/2-H977)*4+2*PI()*H977+(D977-2*F977-2*H977)*2)/1000</f>
        <v/>
      </c>
      <c r="N977" s="5" t="n">
        <v>63100</v>
      </c>
      <c r="O977" s="5" t="n">
        <v>4950</v>
      </c>
      <c r="P977" s="125" t="n">
        <v>21.4</v>
      </c>
      <c r="Q977" s="125" t="n">
        <v>6</v>
      </c>
      <c r="R977" s="5" t="n">
        <v>2530</v>
      </c>
      <c r="S977" s="125" t="n">
        <v>396</v>
      </c>
      <c r="T977" s="5" t="n">
        <v>2800</v>
      </c>
      <c r="U977" s="125" t="n">
        <v>604</v>
      </c>
      <c r="X977" s="129">
        <f t="array" ref="X977">_xlfn.IFS((D977/F977) &lt;= (640/SQRT($AT$32)), "Compact", L977 &lt;= ($AT$32*(0.79-(0.002*((E977-G977/2)/(2*F977))*SQRT($AT$32)))), "Non-Compact", L977 &gt; ($AT$32*(0.79-(0.002*((E977-G977/2)/(2*F977))*SQRT($AT$32)))), "Slender")</f>
        <v/>
      </c>
      <c r="Y977" s="129">
        <f t="array" ref="Y977">_xlfn.IFS(K977 &lt;= (65/SQRT($AT$32)), "Compact", K977 &lt;= (95/SQRT($AT$32)), "Non-Compact", K977 &gt; (95/SQRT($AT$32)), "Slender")</f>
        <v/>
      </c>
      <c r="Z977" s="125">
        <f>E977/F977</f>
        <v/>
      </c>
      <c r="AA977" s="125">
        <f>D977/G977</f>
        <v/>
      </c>
      <c r="AB977" s="125">
        <f t="array" ref="AB977">_xlfn.IFS(Z977 &lt;= 9, "1", Z977 &lt;= 12, "2", Z977 &lt;= 15, "3", Z977 &gt; 15, "4")</f>
        <v/>
      </c>
      <c r="AC977" s="125">
        <f t="array" ref="AC977">_xlfn.IFS(AA977 &lt;= 200, "1", L977 &lt;= 300, "2", L977 &lt;= 400, "3", L977 &gt; 400, "4")</f>
        <v/>
      </c>
      <c r="AF977" s="129">
        <f>SQRT((((VLOOKUP($AT$4,$A$4:$D$1021,4,FALSE))-D977)^2)+(((VLOOKUP($AT$4,$A$4:$E$1021,5,FALSE))-E977)^2)+(((VLOOKUP($AT$4,$A$4:$N$1021,14,FALSE))-N977)^2)+(((VLOOKUP($AT$4,$A$4:$O$1021,15,FALSE))-O977)^2))</f>
        <v/>
      </c>
      <c r="AG977" s="129" t="n"/>
      <c r="AI977" s="129">
        <f>SQRT((((VLOOKUP($AT$4,$A$4:$D$1021,4,FALSE))-D977)^2)+(((VLOOKUP($AT$4,$A$4:$E$1021,5,FALSE))-E977)^2)+(((VLOOKUP($AT$4,$A$4:$R$1021,18,FALSE))-R977)^2)+(((VLOOKUP($AT$4,$A$4:$S$1021,19,FALSE))-S977)^2))</f>
        <v/>
      </c>
      <c r="AJ977" s="125" t="inlineStr">
        <is>
          <t>HY500X108</t>
        </is>
      </c>
      <c r="AK977" s="125" t="n"/>
      <c r="AL977" s="125" t="n"/>
      <c r="AM977" s="125">
        <f>SQRT(((VLOOKUP($AT$4,$A$4:$J$1021,10,FALSE))-J977)^2)</f>
        <v/>
      </c>
      <c r="AN977" s="125" t="n"/>
      <c r="AO977" s="125" t="n"/>
      <c r="AP977" s="125">
        <f>SQRT(((VLOOKUP($AT$4,$A$4:$R$1021,18,FALSE))-R977)^2)</f>
        <v/>
      </c>
      <c r="AQ977" s="125" t="inlineStr">
        <is>
          <t>HY500X108</t>
        </is>
      </c>
      <c r="BB977" s="125">
        <f>SQRT(($J$1022-J977)^2)</f>
        <v/>
      </c>
      <c r="BC977" s="125">
        <f>SQRT(($R$1022-R977)^2)</f>
        <v/>
      </c>
      <c r="BD977" s="125" t="inlineStr">
        <is>
          <t>HY500X108</t>
        </is>
      </c>
      <c r="BI977">
        <f>SQRT(($J$1023-J977)^2)</f>
        <v/>
      </c>
      <c r="BJ977">
        <f>SQRT(($R$1023-R977)^2)</f>
        <v/>
      </c>
      <c r="BK977" s="125" t="inlineStr">
        <is>
          <t>HY500X108</t>
        </is>
      </c>
      <c r="BP977">
        <f>SQRT(($J$1024-J977)^2)</f>
        <v/>
      </c>
      <c r="BQ977">
        <f>SQRT(($R$1024-R977)^2)</f>
        <v/>
      </c>
      <c r="BR977" s="125" t="inlineStr">
        <is>
          <t>HY500X108</t>
        </is>
      </c>
      <c r="BW977">
        <f>SQRT(($J$1025-J977)^2)</f>
        <v/>
      </c>
      <c r="BX977">
        <f>SQRT(($R$1025-R977)^2)</f>
        <v/>
      </c>
      <c r="BY977" s="125" t="inlineStr">
        <is>
          <t>HY500X108</t>
        </is>
      </c>
      <c r="CD977">
        <f>SQRT(($J$1026-J977)^2)</f>
        <v/>
      </c>
      <c r="CE977">
        <f>SQRT(($R$1026-R977)^2)</f>
        <v/>
      </c>
      <c r="CF977" s="125" t="inlineStr">
        <is>
          <t>HY500X108</t>
        </is>
      </c>
    </row>
    <row r="978">
      <c r="A978" s="125" t="inlineStr">
        <is>
          <t>HY500X97</t>
        </is>
      </c>
      <c r="B978" s="129" t="inlineStr">
        <is>
          <t>HY</t>
        </is>
      </c>
      <c r="C978" s="125" t="n">
        <v>97</v>
      </c>
      <c r="D978" s="125" t="n">
        <v>500</v>
      </c>
      <c r="E978" s="125" t="n">
        <v>250</v>
      </c>
      <c r="F978" s="125" t="n">
        <v>16</v>
      </c>
      <c r="G978" s="125" t="n">
        <v>9</v>
      </c>
      <c r="H978" s="125" t="n">
        <v>13</v>
      </c>
      <c r="I978" s="125">
        <f>D978-(2*(H978+F978))</f>
        <v/>
      </c>
      <c r="J978" s="125">
        <f>(2*E978/10*F978/10)+((D978-F978-F978)/10*G978/10)+((H978/10+H978/10)^2)-(PI()*H978/10*H978/10)</f>
        <v/>
      </c>
      <c r="K978" s="125">
        <f>((E978-G978)/2)/F978</f>
        <v/>
      </c>
      <c r="L978" s="125">
        <f>I978/G978</f>
        <v/>
      </c>
      <c r="M978" s="125">
        <f>(E978*2+F978*4+((E978-G978)/2-H978)*4+2*PI()*H978+(D978-2*F978-2*H978)*2)/1000</f>
        <v/>
      </c>
      <c r="N978" s="5" t="n">
        <v>55300</v>
      </c>
      <c r="O978" s="5" t="n">
        <v>4170</v>
      </c>
      <c r="P978" s="125" t="n">
        <v>21.2</v>
      </c>
      <c r="Q978" s="125" t="n">
        <v>5.8</v>
      </c>
      <c r="R978" s="5" t="n">
        <v>2210</v>
      </c>
      <c r="S978" s="125" t="n">
        <v>334</v>
      </c>
      <c r="T978" s="5" t="n">
        <v>2460</v>
      </c>
      <c r="U978" s="125" t="n">
        <v>511</v>
      </c>
      <c r="X978" s="129">
        <f t="array" ref="X978">_xlfn.IFS((D978/F978) &lt;= (640/SQRT($AT$32)), "Compact", L978 &lt;= ($AT$32*(0.79-(0.002*((E978-G978/2)/(2*F978))*SQRT($AT$32)))), "Non-Compact", L978 &gt; ($AT$32*(0.79-(0.002*((E978-G978/2)/(2*F978))*SQRT($AT$32)))), "Slender")</f>
        <v/>
      </c>
      <c r="Y978" s="129">
        <f t="array" ref="Y978">_xlfn.IFS(K978 &lt;= (65/SQRT($AT$32)), "Compact", K978 &lt;= (95/SQRT($AT$32)), "Non-Compact", K978 &gt; (95/SQRT($AT$32)), "Slender")</f>
        <v/>
      </c>
      <c r="Z978" s="125">
        <f>E978/F978</f>
        <v/>
      </c>
      <c r="AA978" s="125">
        <f>D978/G978</f>
        <v/>
      </c>
      <c r="AB978" s="125">
        <f t="array" ref="AB978">_xlfn.IFS(Z978 &lt;= 9, "1", Z978 &lt;= 12, "2", Z978 &lt;= 15, "3", Z978 &gt; 15, "4")</f>
        <v/>
      </c>
      <c r="AC978" s="125">
        <f t="array" ref="AC978">_xlfn.IFS(AA978 &lt;= 200, "1", L978 &lt;= 300, "2", L978 &lt;= 400, "3", L978 &gt; 400, "4")</f>
        <v/>
      </c>
      <c r="AF978" s="129">
        <f>SQRT((((VLOOKUP($AT$4,$A$4:$D$1021,4,FALSE))-D978)^2)+(((VLOOKUP($AT$4,$A$4:$E$1021,5,FALSE))-E978)^2)+(((VLOOKUP($AT$4,$A$4:$N$1021,14,FALSE))-N978)^2)+(((VLOOKUP($AT$4,$A$4:$O$1021,15,FALSE))-O978)^2))</f>
        <v/>
      </c>
      <c r="AG978" s="129" t="n"/>
      <c r="AI978" s="129">
        <f>SQRT((((VLOOKUP($AT$4,$A$4:$D$1021,4,FALSE))-D978)^2)+(((VLOOKUP($AT$4,$A$4:$E$1021,5,FALSE))-E978)^2)+(((VLOOKUP($AT$4,$A$4:$R$1021,18,FALSE))-R978)^2)+(((VLOOKUP($AT$4,$A$4:$S$1021,19,FALSE))-S978)^2))</f>
        <v/>
      </c>
      <c r="AJ978" s="125" t="inlineStr">
        <is>
          <t>HY500X97</t>
        </is>
      </c>
      <c r="AK978" s="125" t="n"/>
      <c r="AL978" s="125" t="n"/>
      <c r="AM978" s="125">
        <f>SQRT(((VLOOKUP($AT$4,$A$4:$J$1021,10,FALSE))-J978)^2)</f>
        <v/>
      </c>
      <c r="AN978" s="125" t="n"/>
      <c r="AO978" s="125" t="n"/>
      <c r="AP978" s="125">
        <f>SQRT(((VLOOKUP($AT$4,$A$4:$R$1021,18,FALSE))-R978)^2)</f>
        <v/>
      </c>
      <c r="AQ978" s="125" t="inlineStr">
        <is>
          <t>HY500X97</t>
        </is>
      </c>
      <c r="BB978" s="125">
        <f>SQRT(($J$1022-J978)^2)</f>
        <v/>
      </c>
      <c r="BC978" s="125">
        <f>SQRT(($R$1022-R978)^2)</f>
        <v/>
      </c>
      <c r="BD978" s="125" t="inlineStr">
        <is>
          <t>HY500X97</t>
        </is>
      </c>
      <c r="BI978">
        <f>SQRT(($J$1023-J978)^2)</f>
        <v/>
      </c>
      <c r="BJ978">
        <f>SQRT(($R$1023-R978)^2)</f>
        <v/>
      </c>
      <c r="BK978" s="125" t="inlineStr">
        <is>
          <t>HY500X97</t>
        </is>
      </c>
      <c r="BP978">
        <f>SQRT(($J$1024-J978)^2)</f>
        <v/>
      </c>
      <c r="BQ978">
        <f>SQRT(($R$1024-R978)^2)</f>
        <v/>
      </c>
      <c r="BR978" s="125" t="inlineStr">
        <is>
          <t>HY500X97</t>
        </is>
      </c>
      <c r="BW978">
        <f>SQRT(($J$1025-J978)^2)</f>
        <v/>
      </c>
      <c r="BX978">
        <f>SQRT(($R$1025-R978)^2)</f>
        <v/>
      </c>
      <c r="BY978" s="125" t="inlineStr">
        <is>
          <t>HY500X97</t>
        </is>
      </c>
      <c r="CD978">
        <f>SQRT(($J$1026-J978)^2)</f>
        <v/>
      </c>
      <c r="CE978">
        <f>SQRT(($R$1026-R978)^2)</f>
        <v/>
      </c>
      <c r="CF978" s="125" t="inlineStr">
        <is>
          <t>HY500X97</t>
        </is>
      </c>
    </row>
    <row r="979">
      <c r="A979" s="125" t="inlineStr">
        <is>
          <t>HY500X122</t>
        </is>
      </c>
      <c r="B979" s="129" t="inlineStr">
        <is>
          <t>HY</t>
        </is>
      </c>
      <c r="C979" s="125" t="n">
        <v>122</v>
      </c>
      <c r="D979" s="125" t="n">
        <v>500</v>
      </c>
      <c r="E979" s="125" t="n">
        <v>200</v>
      </c>
      <c r="F979" s="125" t="n">
        <v>25</v>
      </c>
      <c r="G979" s="125" t="n">
        <v>12</v>
      </c>
      <c r="H979" s="125" t="n">
        <v>13</v>
      </c>
      <c r="I979" s="125">
        <f>D979-(2*(H979+F979))</f>
        <v/>
      </c>
      <c r="J979" s="125">
        <f>(2*E979/10*F979/10)+((D979-F979-F979)/10*G979/10)+((H979/10+H979/10)^2)-(PI()*H979/10*H979/10)</f>
        <v/>
      </c>
      <c r="K979" s="125">
        <f>((E979-G979)/2)/F979</f>
        <v/>
      </c>
      <c r="L979" s="125">
        <f>I979/G979</f>
        <v/>
      </c>
      <c r="M979" s="125">
        <f>(E979*2+F979*4+((E979-G979)/2-H979)*4+2*PI()*H979+(D979-2*F979-2*H979)*2)/1000</f>
        <v/>
      </c>
      <c r="N979" s="5" t="n">
        <v>66300</v>
      </c>
      <c r="O979" s="5" t="n">
        <v>3340</v>
      </c>
      <c r="P979" s="125" t="n">
        <v>20.6</v>
      </c>
      <c r="Q979" s="125" t="n">
        <v>4.6</v>
      </c>
      <c r="R979" s="5" t="n">
        <v>2650</v>
      </c>
      <c r="S979" s="125" t="n">
        <v>334</v>
      </c>
      <c r="T979" s="5" t="n">
        <v>3010</v>
      </c>
      <c r="U979" s="125" t="n">
        <v>517</v>
      </c>
      <c r="X979" s="129">
        <f t="array" ref="X979">_xlfn.IFS((D979/F979) &lt;= (640/SQRT($AT$32)), "Compact", L979 &lt;= ($AT$32*(0.79-(0.002*((E979-G979/2)/(2*F979))*SQRT($AT$32)))), "Non-Compact", L979 &gt; ($AT$32*(0.79-(0.002*((E979-G979/2)/(2*F979))*SQRT($AT$32)))), "Slender")</f>
        <v/>
      </c>
      <c r="Y979" s="129">
        <f t="array" ref="Y979">_xlfn.IFS(K979 &lt;= (65/SQRT($AT$32)), "Compact", K979 &lt;= (95/SQRT($AT$32)), "Non-Compact", K979 &gt; (95/SQRT($AT$32)), "Slender")</f>
        <v/>
      </c>
      <c r="Z979" s="125">
        <f>E979/F979</f>
        <v/>
      </c>
      <c r="AA979" s="125">
        <f>D979/G979</f>
        <v/>
      </c>
      <c r="AB979" s="125">
        <f t="array" ref="AB979">_xlfn.IFS(Z979 &lt;= 9, "1", Z979 &lt;= 12, "2", Z979 &lt;= 15, "3", Z979 &gt; 15, "4")</f>
        <v/>
      </c>
      <c r="AC979" s="125">
        <f t="array" ref="AC979">_xlfn.IFS(AA979 &lt;= 200, "1", L979 &lt;= 300, "2", L979 &lt;= 400, "3", L979 &gt; 400, "4")</f>
        <v/>
      </c>
      <c r="AF979" s="129">
        <f>SQRT((((VLOOKUP($AT$4,$A$4:$D$1021,4,FALSE))-D979)^2)+(((VLOOKUP($AT$4,$A$4:$E$1021,5,FALSE))-E979)^2)+(((VLOOKUP($AT$4,$A$4:$N$1021,14,FALSE))-N979)^2)+(((VLOOKUP($AT$4,$A$4:$O$1021,15,FALSE))-O979)^2))</f>
        <v/>
      </c>
      <c r="AG979" s="129" t="n"/>
      <c r="AI979" s="129">
        <f>SQRT((((VLOOKUP($AT$4,$A$4:$D$1021,4,FALSE))-D979)^2)+(((VLOOKUP($AT$4,$A$4:$E$1021,5,FALSE))-E979)^2)+(((VLOOKUP($AT$4,$A$4:$R$1021,18,FALSE))-R979)^2)+(((VLOOKUP($AT$4,$A$4:$S$1021,19,FALSE))-S979)^2))</f>
        <v/>
      </c>
      <c r="AJ979" s="125" t="inlineStr">
        <is>
          <t>HY500X122</t>
        </is>
      </c>
      <c r="AK979" s="125" t="n"/>
      <c r="AL979" s="125" t="n"/>
      <c r="AM979" s="125">
        <f>SQRT(((VLOOKUP($AT$4,$A$4:$J$1021,10,FALSE))-J979)^2)</f>
        <v/>
      </c>
      <c r="AN979" s="125" t="n"/>
      <c r="AO979" s="125" t="n"/>
      <c r="AP979" s="125">
        <f>SQRT(((VLOOKUP($AT$4,$A$4:$R$1021,18,FALSE))-R979)^2)</f>
        <v/>
      </c>
      <c r="AQ979" s="125" t="inlineStr">
        <is>
          <t>HY500X122</t>
        </is>
      </c>
      <c r="BB979" s="125">
        <f>SQRT(($J$1022-J979)^2)</f>
        <v/>
      </c>
      <c r="BC979" s="125">
        <f>SQRT(($R$1022-R979)^2)</f>
        <v/>
      </c>
      <c r="BD979" s="125" t="inlineStr">
        <is>
          <t>HY500X122</t>
        </is>
      </c>
      <c r="BI979">
        <f>SQRT(($J$1023-J979)^2)</f>
        <v/>
      </c>
      <c r="BJ979">
        <f>SQRT(($R$1023-R979)^2)</f>
        <v/>
      </c>
      <c r="BK979" s="125" t="inlineStr">
        <is>
          <t>HY500X122</t>
        </is>
      </c>
      <c r="BP979">
        <f>SQRT(($J$1024-J979)^2)</f>
        <v/>
      </c>
      <c r="BQ979">
        <f>SQRT(($R$1024-R979)^2)</f>
        <v/>
      </c>
      <c r="BR979" s="125" t="inlineStr">
        <is>
          <t>HY500X122</t>
        </is>
      </c>
      <c r="BW979">
        <f>SQRT(($J$1025-J979)^2)</f>
        <v/>
      </c>
      <c r="BX979">
        <f>SQRT(($R$1025-R979)^2)</f>
        <v/>
      </c>
      <c r="BY979" s="125" t="inlineStr">
        <is>
          <t>HY500X122</t>
        </is>
      </c>
      <c r="CD979">
        <f>SQRT(($J$1026-J979)^2)</f>
        <v/>
      </c>
      <c r="CE979">
        <f>SQRT(($R$1026-R979)^2)</f>
        <v/>
      </c>
      <c r="CF979" s="125" t="inlineStr">
        <is>
          <t>HY500X122</t>
        </is>
      </c>
    </row>
    <row r="980">
      <c r="A980" s="125" t="inlineStr">
        <is>
          <t>HY500X113</t>
        </is>
      </c>
      <c r="B980" s="129" t="inlineStr">
        <is>
          <t>HY</t>
        </is>
      </c>
      <c r="C980" s="125" t="n">
        <v>113</v>
      </c>
      <c r="D980" s="125" t="n">
        <v>500</v>
      </c>
      <c r="E980" s="125" t="n">
        <v>200</v>
      </c>
      <c r="F980" s="125" t="n">
        <v>22</v>
      </c>
      <c r="G980" s="125" t="n">
        <v>12</v>
      </c>
      <c r="H980" s="125" t="n">
        <v>13</v>
      </c>
      <c r="I980" s="125">
        <f>D980-(2*(H980+F980))</f>
        <v/>
      </c>
      <c r="J980" s="125">
        <f>(2*E980/10*F980/10)+((D980-F980-F980)/10*G980/10)+((H980/10+H980/10)^2)-(PI()*H980/10*H980/10)</f>
        <v/>
      </c>
      <c r="K980" s="125">
        <f>((E980-G980)/2)/F980</f>
        <v/>
      </c>
      <c r="L980" s="125">
        <f>I980/G980</f>
        <v/>
      </c>
      <c r="M980" s="125">
        <f>(E980*2+F980*4+((E980-G980)/2-H980)*4+2*PI()*H980+(D980-2*F980-2*H980)*2)/1000</f>
        <v/>
      </c>
      <c r="N980" s="5" t="n">
        <v>60500</v>
      </c>
      <c r="O980" s="5" t="n">
        <v>2940</v>
      </c>
      <c r="P980" s="125" t="n">
        <v>20.5</v>
      </c>
      <c r="Q980" s="125" t="n">
        <v>4.5</v>
      </c>
      <c r="R980" s="5" t="n">
        <v>2420</v>
      </c>
      <c r="S980" s="125" t="n">
        <v>294</v>
      </c>
      <c r="T980" s="5" t="n">
        <v>2760</v>
      </c>
      <c r="U980" s="125" t="n">
        <v>458</v>
      </c>
      <c r="X980" s="129">
        <f t="array" ref="X980">_xlfn.IFS((D980/F980) &lt;= (640/SQRT($AT$32)), "Compact", L980 &lt;= ($AT$32*(0.79-(0.002*((E980-G980/2)/(2*F980))*SQRT($AT$32)))), "Non-Compact", L980 &gt; ($AT$32*(0.79-(0.002*((E980-G980/2)/(2*F980))*SQRT($AT$32)))), "Slender")</f>
        <v/>
      </c>
      <c r="Y980" s="129">
        <f t="array" ref="Y980">_xlfn.IFS(K980 &lt;= (65/SQRT($AT$32)), "Compact", K980 &lt;= (95/SQRT($AT$32)), "Non-Compact", K980 &gt; (95/SQRT($AT$32)), "Slender")</f>
        <v/>
      </c>
      <c r="Z980" s="125">
        <f>E980/F980</f>
        <v/>
      </c>
      <c r="AA980" s="125">
        <f>D980/G980</f>
        <v/>
      </c>
      <c r="AB980" s="125">
        <f t="array" ref="AB980">_xlfn.IFS(Z980 &lt;= 9, "1", Z980 &lt;= 12, "2", Z980 &lt;= 15, "3", Z980 &gt; 15, "4")</f>
        <v/>
      </c>
      <c r="AC980" s="125">
        <f t="array" ref="AC980">_xlfn.IFS(AA980 &lt;= 200, "1", L980 &lt;= 300, "2", L980 &lt;= 400, "3", L980 &gt; 400, "4")</f>
        <v/>
      </c>
      <c r="AF980" s="129">
        <f>SQRT((((VLOOKUP($AT$4,$A$4:$D$1021,4,FALSE))-D980)^2)+(((VLOOKUP($AT$4,$A$4:$E$1021,5,FALSE))-E980)^2)+(((VLOOKUP($AT$4,$A$4:$N$1021,14,FALSE))-N980)^2)+(((VLOOKUP($AT$4,$A$4:$O$1021,15,FALSE))-O980)^2))</f>
        <v/>
      </c>
      <c r="AG980" s="129" t="n"/>
      <c r="AI980" s="129">
        <f>SQRT((((VLOOKUP($AT$4,$A$4:$D$1021,4,FALSE))-D980)^2)+(((VLOOKUP($AT$4,$A$4:$E$1021,5,FALSE))-E980)^2)+(((VLOOKUP($AT$4,$A$4:$R$1021,18,FALSE))-R980)^2)+(((VLOOKUP($AT$4,$A$4:$S$1021,19,FALSE))-S980)^2))</f>
        <v/>
      </c>
      <c r="AJ980" s="125" t="inlineStr">
        <is>
          <t>HY500X113</t>
        </is>
      </c>
      <c r="AK980" s="125" t="n"/>
      <c r="AL980" s="125" t="n"/>
      <c r="AM980" s="125">
        <f>SQRT(((VLOOKUP($AT$4,$A$4:$J$1021,10,FALSE))-J980)^2)</f>
        <v/>
      </c>
      <c r="AN980" s="125" t="n"/>
      <c r="AO980" s="125" t="n"/>
      <c r="AP980" s="125">
        <f>SQRT(((VLOOKUP($AT$4,$A$4:$R$1021,18,FALSE))-R980)^2)</f>
        <v/>
      </c>
      <c r="AQ980" s="125" t="inlineStr">
        <is>
          <t>HY500X113</t>
        </is>
      </c>
      <c r="BB980" s="125">
        <f>SQRT(($J$1022-J980)^2)</f>
        <v/>
      </c>
      <c r="BC980" s="125">
        <f>SQRT(($R$1022-R980)^2)</f>
        <v/>
      </c>
      <c r="BD980" s="125" t="inlineStr">
        <is>
          <t>HY500X113</t>
        </is>
      </c>
      <c r="BI980">
        <f>SQRT(($J$1023-J980)^2)</f>
        <v/>
      </c>
      <c r="BJ980">
        <f>SQRT(($R$1023-R980)^2)</f>
        <v/>
      </c>
      <c r="BK980" s="125" t="inlineStr">
        <is>
          <t>HY500X113</t>
        </is>
      </c>
      <c r="BP980">
        <f>SQRT(($J$1024-J980)^2)</f>
        <v/>
      </c>
      <c r="BQ980">
        <f>SQRT(($R$1024-R980)^2)</f>
        <v/>
      </c>
      <c r="BR980" s="125" t="inlineStr">
        <is>
          <t>HY500X113</t>
        </is>
      </c>
      <c r="BW980">
        <f>SQRT(($J$1025-J980)^2)</f>
        <v/>
      </c>
      <c r="BX980">
        <f>SQRT(($R$1025-R980)^2)</f>
        <v/>
      </c>
      <c r="BY980" s="125" t="inlineStr">
        <is>
          <t>HY500X113</t>
        </is>
      </c>
      <c r="CD980">
        <f>SQRT(($J$1026-J980)^2)</f>
        <v/>
      </c>
      <c r="CE980">
        <f>SQRT(($R$1026-R980)^2)</f>
        <v/>
      </c>
      <c r="CF980" s="125" t="inlineStr">
        <is>
          <t>HY500X113</t>
        </is>
      </c>
    </row>
    <row r="981">
      <c r="A981" s="125" t="inlineStr">
        <is>
          <t>HY500X104</t>
        </is>
      </c>
      <c r="B981" s="129" t="inlineStr">
        <is>
          <t>HY</t>
        </is>
      </c>
      <c r="C981" s="125" t="n">
        <v>104</v>
      </c>
      <c r="D981" s="125" t="n">
        <v>500</v>
      </c>
      <c r="E981" s="125" t="n">
        <v>200</v>
      </c>
      <c r="F981" s="125" t="n">
        <v>19</v>
      </c>
      <c r="G981" s="125" t="n">
        <v>12</v>
      </c>
      <c r="H981" s="125" t="n">
        <v>13</v>
      </c>
      <c r="I981" s="125">
        <f>D981-(2*(H981+F981))</f>
        <v/>
      </c>
      <c r="J981" s="125">
        <f>(2*E981/10*F981/10)+((D981-F981-F981)/10*G981/10)+((H981/10+H981/10)^2)-(PI()*H981/10*H981/10)</f>
        <v/>
      </c>
      <c r="K981" s="125">
        <f>((E981-G981)/2)/F981</f>
        <v/>
      </c>
      <c r="L981" s="125">
        <f>I981/G981</f>
        <v/>
      </c>
      <c r="M981" s="125">
        <f>(E981*2+F981*4+((E981-G981)/2-H981)*4+2*PI()*H981+(D981-2*F981-2*H981)*2)/1000</f>
        <v/>
      </c>
      <c r="N981" s="5" t="n">
        <v>54600</v>
      </c>
      <c r="O981" s="5" t="n">
        <v>2540</v>
      </c>
      <c r="P981" s="125" t="n">
        <v>20.3</v>
      </c>
      <c r="Q981" s="125" t="n">
        <v>4.4</v>
      </c>
      <c r="R981" s="5" t="n">
        <v>2180</v>
      </c>
      <c r="S981" s="125" t="n">
        <v>254</v>
      </c>
      <c r="T981" s="5" t="n">
        <v>2500</v>
      </c>
      <c r="U981" s="125" t="n">
        <v>398</v>
      </c>
      <c r="X981" s="129">
        <f t="array" ref="X981">_xlfn.IFS((D981/F981) &lt;= (640/SQRT($AT$32)), "Compact", L981 &lt;= ($AT$32*(0.79-(0.002*((E981-G981/2)/(2*F981))*SQRT($AT$32)))), "Non-Compact", L981 &gt; ($AT$32*(0.79-(0.002*((E981-G981/2)/(2*F981))*SQRT($AT$32)))), "Slender")</f>
        <v/>
      </c>
      <c r="Y981" s="129">
        <f t="array" ref="Y981">_xlfn.IFS(K981 &lt;= (65/SQRT($AT$32)), "Compact", K981 &lt;= (95/SQRT($AT$32)), "Non-Compact", K981 &gt; (95/SQRT($AT$32)), "Slender")</f>
        <v/>
      </c>
      <c r="Z981" s="125">
        <f>E981/F981</f>
        <v/>
      </c>
      <c r="AA981" s="125">
        <f>D981/G981</f>
        <v/>
      </c>
      <c r="AB981" s="125">
        <f t="array" ref="AB981">_xlfn.IFS(Z981 &lt;= 9, "1", Z981 &lt;= 12, "2", Z981 &lt;= 15, "3", Z981 &gt; 15, "4")</f>
        <v/>
      </c>
      <c r="AC981" s="125">
        <f t="array" ref="AC981">_xlfn.IFS(AA981 &lt;= 200, "1", L981 &lt;= 300, "2", L981 &lt;= 400, "3", L981 &gt; 400, "4")</f>
        <v/>
      </c>
      <c r="AF981" s="129">
        <f>SQRT((((VLOOKUP($AT$4,$A$4:$D$1021,4,FALSE))-D981)^2)+(((VLOOKUP($AT$4,$A$4:$E$1021,5,FALSE))-E981)^2)+(((VLOOKUP($AT$4,$A$4:$N$1021,14,FALSE))-N981)^2)+(((VLOOKUP($AT$4,$A$4:$O$1021,15,FALSE))-O981)^2))</f>
        <v/>
      </c>
      <c r="AG981" s="129" t="n"/>
      <c r="AI981" s="129">
        <f>SQRT((((VLOOKUP($AT$4,$A$4:$D$1021,4,FALSE))-D981)^2)+(((VLOOKUP($AT$4,$A$4:$E$1021,5,FALSE))-E981)^2)+(((VLOOKUP($AT$4,$A$4:$R$1021,18,FALSE))-R981)^2)+(((VLOOKUP($AT$4,$A$4:$S$1021,19,FALSE))-S981)^2))</f>
        <v/>
      </c>
      <c r="AJ981" s="125" t="inlineStr">
        <is>
          <t>HY500X104</t>
        </is>
      </c>
      <c r="AK981" s="125" t="n"/>
      <c r="AL981" s="125" t="n"/>
      <c r="AM981" s="125">
        <f>SQRT(((VLOOKUP($AT$4,$A$4:$J$1021,10,FALSE))-J981)^2)</f>
        <v/>
      </c>
      <c r="AN981" s="125" t="n"/>
      <c r="AO981" s="125" t="n"/>
      <c r="AP981" s="125">
        <f>SQRT(((VLOOKUP($AT$4,$A$4:$R$1021,18,FALSE))-R981)^2)</f>
        <v/>
      </c>
      <c r="AQ981" s="125" t="inlineStr">
        <is>
          <t>HY500X104</t>
        </is>
      </c>
      <c r="BB981" s="125">
        <f>SQRT(($J$1022-J981)^2)</f>
        <v/>
      </c>
      <c r="BC981" s="125">
        <f>SQRT(($R$1022-R981)^2)</f>
        <v/>
      </c>
      <c r="BD981" s="125" t="inlineStr">
        <is>
          <t>HY500X104</t>
        </is>
      </c>
      <c r="BI981">
        <f>SQRT(($J$1023-J981)^2)</f>
        <v/>
      </c>
      <c r="BJ981">
        <f>SQRT(($R$1023-R981)^2)</f>
        <v/>
      </c>
      <c r="BK981" s="125" t="inlineStr">
        <is>
          <t>HY500X104</t>
        </is>
      </c>
      <c r="BP981">
        <f>SQRT(($J$1024-J981)^2)</f>
        <v/>
      </c>
      <c r="BQ981">
        <f>SQRT(($R$1024-R981)^2)</f>
        <v/>
      </c>
      <c r="BR981" s="125" t="inlineStr">
        <is>
          <t>HY500X104</t>
        </is>
      </c>
      <c r="BW981">
        <f>SQRT(($J$1025-J981)^2)</f>
        <v/>
      </c>
      <c r="BX981">
        <f>SQRT(($R$1025-R981)^2)</f>
        <v/>
      </c>
      <c r="BY981" s="125" t="inlineStr">
        <is>
          <t>HY500X104</t>
        </is>
      </c>
      <c r="CD981">
        <f>SQRT(($J$1026-J981)^2)</f>
        <v/>
      </c>
      <c r="CE981">
        <f>SQRT(($R$1026-R981)^2)</f>
        <v/>
      </c>
      <c r="CF981" s="125" t="inlineStr">
        <is>
          <t>HY500X104</t>
        </is>
      </c>
    </row>
    <row r="982">
      <c r="A982" s="125" t="inlineStr">
        <is>
          <t>HY500X95.5</t>
        </is>
      </c>
      <c r="B982" s="129" t="inlineStr">
        <is>
          <t>HY</t>
        </is>
      </c>
      <c r="C982" s="125" t="n">
        <v>95.5</v>
      </c>
      <c r="D982" s="125" t="n">
        <v>500</v>
      </c>
      <c r="E982" s="125" t="n">
        <v>200</v>
      </c>
      <c r="F982" s="125" t="n">
        <v>16</v>
      </c>
      <c r="G982" s="125" t="n">
        <v>12</v>
      </c>
      <c r="H982" s="125" t="n">
        <v>13</v>
      </c>
      <c r="I982" s="125">
        <f>D982-(2*(H982+F982))</f>
        <v/>
      </c>
      <c r="J982" s="125">
        <f>(2*E982/10*F982/10)+((D982-F982-F982)/10*G982/10)+((H982/10+H982/10)^2)-(PI()*H982/10*H982/10)</f>
        <v/>
      </c>
      <c r="K982" s="125">
        <f>((E982-G982)/2)/F982</f>
        <v/>
      </c>
      <c r="L982" s="125">
        <f>I982/G982</f>
        <v/>
      </c>
      <c r="M982" s="125">
        <f>(E982*2+F982*4+((E982-G982)/2-H982)*4+2*PI()*H982+(D982-2*F982-2*H982)*2)/1000</f>
        <v/>
      </c>
      <c r="N982" s="5" t="n">
        <v>48500</v>
      </c>
      <c r="O982" s="5" t="n">
        <v>2140</v>
      </c>
      <c r="P982" s="125" t="n">
        <v>20</v>
      </c>
      <c r="Q982" s="125" t="n">
        <v>4.2</v>
      </c>
      <c r="R982" s="5" t="n">
        <v>1940</v>
      </c>
      <c r="S982" s="125" t="n">
        <v>214</v>
      </c>
      <c r="T982" s="5" t="n">
        <v>2240</v>
      </c>
      <c r="U982" s="125" t="n">
        <v>338</v>
      </c>
      <c r="X982" s="129">
        <f t="array" ref="X982">_xlfn.IFS((D982/F982) &lt;= (640/SQRT($AT$32)), "Compact", L982 &lt;= ($AT$32*(0.79-(0.002*((E982-G982/2)/(2*F982))*SQRT($AT$32)))), "Non-Compact", L982 &gt; ($AT$32*(0.79-(0.002*((E982-G982/2)/(2*F982))*SQRT($AT$32)))), "Slender")</f>
        <v/>
      </c>
      <c r="Y982" s="129">
        <f t="array" ref="Y982">_xlfn.IFS(K982 &lt;= (65/SQRT($AT$32)), "Compact", K982 &lt;= (95/SQRT($AT$32)), "Non-Compact", K982 &gt; (95/SQRT($AT$32)), "Slender")</f>
        <v/>
      </c>
      <c r="Z982" s="125">
        <f>E982/F982</f>
        <v/>
      </c>
      <c r="AA982" s="125">
        <f>D982/G982</f>
        <v/>
      </c>
      <c r="AB982" s="125">
        <f t="array" ref="AB982">_xlfn.IFS(Z982 &lt;= 9, "1", Z982 &lt;= 12, "2", Z982 &lt;= 15, "3", Z982 &gt; 15, "4")</f>
        <v/>
      </c>
      <c r="AC982" s="125">
        <f t="array" ref="AC982">_xlfn.IFS(AA982 &lt;= 200, "1", L982 &lt;= 300, "2", L982 &lt;= 400, "3", L982 &gt; 400, "4")</f>
        <v/>
      </c>
      <c r="AF982" s="129">
        <f>SQRT((((VLOOKUP($AT$4,$A$4:$D$1021,4,FALSE))-D982)^2)+(((VLOOKUP($AT$4,$A$4:$E$1021,5,FALSE))-E982)^2)+(((VLOOKUP($AT$4,$A$4:$N$1021,14,FALSE))-N982)^2)+(((VLOOKUP($AT$4,$A$4:$O$1021,15,FALSE))-O982)^2))</f>
        <v/>
      </c>
      <c r="AG982" s="129" t="n"/>
      <c r="AI982" s="129">
        <f>SQRT((((VLOOKUP($AT$4,$A$4:$D$1021,4,FALSE))-D982)^2)+(((VLOOKUP($AT$4,$A$4:$E$1021,5,FALSE))-E982)^2)+(((VLOOKUP($AT$4,$A$4:$R$1021,18,FALSE))-R982)^2)+(((VLOOKUP($AT$4,$A$4:$S$1021,19,FALSE))-S982)^2))</f>
        <v/>
      </c>
      <c r="AJ982" s="125" t="inlineStr">
        <is>
          <t>HY500X95.5</t>
        </is>
      </c>
      <c r="AK982" s="125" t="n"/>
      <c r="AL982" s="125" t="n"/>
      <c r="AM982" s="125">
        <f>SQRT(((VLOOKUP($AT$4,$A$4:$J$1021,10,FALSE))-J982)^2)</f>
        <v/>
      </c>
      <c r="AN982" s="125" t="n"/>
      <c r="AO982" s="125" t="n"/>
      <c r="AP982" s="125">
        <f>SQRT(((VLOOKUP($AT$4,$A$4:$R$1021,18,FALSE))-R982)^2)</f>
        <v/>
      </c>
      <c r="AQ982" s="125" t="inlineStr">
        <is>
          <t>HY500X95.5</t>
        </is>
      </c>
      <c r="BB982" s="125">
        <f>SQRT(($J$1022-J982)^2)</f>
        <v/>
      </c>
      <c r="BC982" s="125">
        <f>SQRT(($R$1022-R982)^2)</f>
        <v/>
      </c>
      <c r="BD982" s="125" t="inlineStr">
        <is>
          <t>HY500X95.5</t>
        </is>
      </c>
      <c r="BI982">
        <f>SQRT(($J$1023-J982)^2)</f>
        <v/>
      </c>
      <c r="BJ982">
        <f>SQRT(($R$1023-R982)^2)</f>
        <v/>
      </c>
      <c r="BK982" s="125" t="inlineStr">
        <is>
          <t>HY500X95.5</t>
        </is>
      </c>
      <c r="BP982">
        <f>SQRT(($J$1024-J982)^2)</f>
        <v/>
      </c>
      <c r="BQ982">
        <f>SQRT(($R$1024-R982)^2)</f>
        <v/>
      </c>
      <c r="BR982" s="125" t="inlineStr">
        <is>
          <t>HY500X95.5</t>
        </is>
      </c>
      <c r="BW982">
        <f>SQRT(($J$1025-J982)^2)</f>
        <v/>
      </c>
      <c r="BX982">
        <f>SQRT(($R$1025-R982)^2)</f>
        <v/>
      </c>
      <c r="BY982" s="125" t="inlineStr">
        <is>
          <t>HY500X95.5</t>
        </is>
      </c>
      <c r="CD982">
        <f>SQRT(($J$1026-J982)^2)</f>
        <v/>
      </c>
      <c r="CE982">
        <f>SQRT(($R$1026-R982)^2)</f>
        <v/>
      </c>
      <c r="CF982" s="125" t="inlineStr">
        <is>
          <t>HY500X95.5</t>
        </is>
      </c>
    </row>
    <row r="983">
      <c r="A983" s="125" t="inlineStr">
        <is>
          <t>HY500X102</t>
        </is>
      </c>
      <c r="B983" s="129" t="inlineStr">
        <is>
          <t>HY</t>
        </is>
      </c>
      <c r="C983" s="125" t="n">
        <v>102</v>
      </c>
      <c r="D983" s="125" t="n">
        <v>500</v>
      </c>
      <c r="E983" s="125" t="n">
        <v>200</v>
      </c>
      <c r="F983" s="125" t="n">
        <v>22</v>
      </c>
      <c r="G983" s="125" t="n">
        <v>9</v>
      </c>
      <c r="H983" s="125" t="n">
        <v>13</v>
      </c>
      <c r="I983" s="125">
        <f>D983-(2*(H983+F983))</f>
        <v/>
      </c>
      <c r="J983" s="125">
        <f>(2*E983/10*F983/10)+((D983-F983-F983)/10*G983/10)+((H983/10+H983/10)^2)-(PI()*H983/10*H983/10)</f>
        <v/>
      </c>
      <c r="K983" s="125">
        <f>((E983-G983)/2)/F983</f>
        <v/>
      </c>
      <c r="L983" s="125">
        <f>I983/G983</f>
        <v/>
      </c>
      <c r="M983" s="125">
        <f>(E983*2+F983*4+((E983-G983)/2-H983)*4+2*PI()*H983+(D983-2*F983-2*H983)*2)/1000</f>
        <v/>
      </c>
      <c r="N983" s="5" t="n">
        <v>58100</v>
      </c>
      <c r="O983" s="5" t="n">
        <v>2940</v>
      </c>
      <c r="P983" s="125" t="n">
        <v>21.1</v>
      </c>
      <c r="Q983" s="125" t="n">
        <v>4.7</v>
      </c>
      <c r="R983" s="5" t="n">
        <v>2330</v>
      </c>
      <c r="S983" s="125" t="n">
        <v>294</v>
      </c>
      <c r="T983" s="5" t="n">
        <v>2600</v>
      </c>
      <c r="U983" s="125" t="n">
        <v>450</v>
      </c>
      <c r="X983" s="129">
        <f t="array" ref="X983">_xlfn.IFS((D983/F983) &lt;= (640/SQRT($AT$32)), "Compact", L983 &lt;= ($AT$32*(0.79-(0.002*((E983-G983/2)/(2*F983))*SQRT($AT$32)))), "Non-Compact", L983 &gt; ($AT$32*(0.79-(0.002*((E983-G983/2)/(2*F983))*SQRT($AT$32)))), "Slender")</f>
        <v/>
      </c>
      <c r="Y983" s="129">
        <f t="array" ref="Y983">_xlfn.IFS(K983 &lt;= (65/SQRT($AT$32)), "Compact", K983 &lt;= (95/SQRT($AT$32)), "Non-Compact", K983 &gt; (95/SQRT($AT$32)), "Slender")</f>
        <v/>
      </c>
      <c r="Z983" s="125">
        <f>E983/F983</f>
        <v/>
      </c>
      <c r="AA983" s="125">
        <f>D983/G983</f>
        <v/>
      </c>
      <c r="AB983" s="125">
        <f t="array" ref="AB983">_xlfn.IFS(Z983 &lt;= 9, "1", Z983 &lt;= 12, "2", Z983 &lt;= 15, "3", Z983 &gt; 15, "4")</f>
        <v/>
      </c>
      <c r="AC983" s="125">
        <f t="array" ref="AC983">_xlfn.IFS(AA983 &lt;= 200, "1", L983 &lt;= 300, "2", L983 &lt;= 400, "3", L983 &gt; 400, "4")</f>
        <v/>
      </c>
      <c r="AF983" s="129">
        <f>SQRT((((VLOOKUP($AT$4,$A$4:$D$1021,4,FALSE))-D983)^2)+(((VLOOKUP($AT$4,$A$4:$E$1021,5,FALSE))-E983)^2)+(((VLOOKUP($AT$4,$A$4:$N$1021,14,FALSE))-N983)^2)+(((VLOOKUP($AT$4,$A$4:$O$1021,15,FALSE))-O983)^2))</f>
        <v/>
      </c>
      <c r="AG983" s="129" t="n"/>
      <c r="AI983" s="129">
        <f>SQRT((((VLOOKUP($AT$4,$A$4:$D$1021,4,FALSE))-D983)^2)+(((VLOOKUP($AT$4,$A$4:$E$1021,5,FALSE))-E983)^2)+(((VLOOKUP($AT$4,$A$4:$R$1021,18,FALSE))-R983)^2)+(((VLOOKUP($AT$4,$A$4:$S$1021,19,FALSE))-S983)^2))</f>
        <v/>
      </c>
      <c r="AJ983" s="125" t="inlineStr">
        <is>
          <t>HY500X102</t>
        </is>
      </c>
      <c r="AK983" s="125" t="n"/>
      <c r="AL983" s="125" t="n"/>
      <c r="AM983" s="125">
        <f>SQRT(((VLOOKUP($AT$4,$A$4:$J$1021,10,FALSE))-J983)^2)</f>
        <v/>
      </c>
      <c r="AN983" s="125" t="n"/>
      <c r="AO983" s="125" t="n"/>
      <c r="AP983" s="125">
        <f>SQRT(((VLOOKUP($AT$4,$A$4:$R$1021,18,FALSE))-R983)^2)</f>
        <v/>
      </c>
      <c r="AQ983" s="125" t="inlineStr">
        <is>
          <t>HY500X102</t>
        </is>
      </c>
      <c r="BB983" s="125">
        <f>SQRT(($J$1022-J983)^2)</f>
        <v/>
      </c>
      <c r="BC983" s="125">
        <f>SQRT(($R$1022-R983)^2)</f>
        <v/>
      </c>
      <c r="BD983" s="125" t="inlineStr">
        <is>
          <t>HY500X102</t>
        </is>
      </c>
      <c r="BI983">
        <f>SQRT(($J$1023-J983)^2)</f>
        <v/>
      </c>
      <c r="BJ983">
        <f>SQRT(($R$1023-R983)^2)</f>
        <v/>
      </c>
      <c r="BK983" s="125" t="inlineStr">
        <is>
          <t>HY500X102</t>
        </is>
      </c>
      <c r="BP983">
        <f>SQRT(($J$1024-J983)^2)</f>
        <v/>
      </c>
      <c r="BQ983">
        <f>SQRT(($R$1024-R983)^2)</f>
        <v/>
      </c>
      <c r="BR983" s="125" t="inlineStr">
        <is>
          <t>HY500X102</t>
        </is>
      </c>
      <c r="BW983">
        <f>SQRT(($J$1025-J983)^2)</f>
        <v/>
      </c>
      <c r="BX983">
        <f>SQRT(($R$1025-R983)^2)</f>
        <v/>
      </c>
      <c r="BY983" s="125" t="inlineStr">
        <is>
          <t>HY500X102</t>
        </is>
      </c>
      <c r="CD983">
        <f>SQRT(($J$1026-J983)^2)</f>
        <v/>
      </c>
      <c r="CE983">
        <f>SQRT(($R$1026-R983)^2)</f>
        <v/>
      </c>
      <c r="CF983" s="125" t="inlineStr">
        <is>
          <t>HY500X102</t>
        </is>
      </c>
    </row>
    <row r="984">
      <c r="A984" s="125" t="inlineStr">
        <is>
          <t>HY500X93.4</t>
        </is>
      </c>
      <c r="B984" s="129" t="inlineStr">
        <is>
          <t>HY</t>
        </is>
      </c>
      <c r="C984" s="125" t="n">
        <v>93.40000000000001</v>
      </c>
      <c r="D984" s="125" t="n">
        <v>500</v>
      </c>
      <c r="E984" s="125" t="n">
        <v>200</v>
      </c>
      <c r="F984" s="125" t="n">
        <v>19</v>
      </c>
      <c r="G984" s="125" t="n">
        <v>9</v>
      </c>
      <c r="H984" s="125" t="n">
        <v>13</v>
      </c>
      <c r="I984" s="125">
        <f>D984-(2*(H984+F984))</f>
        <v/>
      </c>
      <c r="J984" s="125">
        <f>(2*E984/10*F984/10)+((D984-F984-F984)/10*G984/10)+((H984/10+H984/10)^2)-(PI()*H984/10*H984/10)</f>
        <v/>
      </c>
      <c r="K984" s="125">
        <f>((E984-G984)/2)/F984</f>
        <v/>
      </c>
      <c r="L984" s="125">
        <f>I984/G984</f>
        <v/>
      </c>
      <c r="M984" s="125">
        <f>(E984*2+F984*4+((E984-G984)/2-H984)*4+2*PI()*H984+(D984-2*F984-2*H984)*2)/1000</f>
        <v/>
      </c>
      <c r="N984" s="5" t="n">
        <v>52100</v>
      </c>
      <c r="O984" s="5" t="n">
        <v>2540</v>
      </c>
      <c r="P984" s="125" t="n">
        <v>20.9</v>
      </c>
      <c r="Q984" s="125" t="n">
        <v>4.6</v>
      </c>
      <c r="R984" s="5" t="n">
        <v>2090</v>
      </c>
      <c r="S984" s="125" t="n">
        <v>254</v>
      </c>
      <c r="T984" s="5" t="n">
        <v>2340</v>
      </c>
      <c r="U984" s="125" t="n">
        <v>390</v>
      </c>
      <c r="X984" s="129">
        <f t="array" ref="X984">_xlfn.IFS((D984/F984) &lt;= (640/SQRT($AT$32)), "Compact", L984 &lt;= ($AT$32*(0.79-(0.002*((E984-G984/2)/(2*F984))*SQRT($AT$32)))), "Non-Compact", L984 &gt; ($AT$32*(0.79-(0.002*((E984-G984/2)/(2*F984))*SQRT($AT$32)))), "Slender")</f>
        <v/>
      </c>
      <c r="Y984" s="129">
        <f t="array" ref="Y984">_xlfn.IFS(K984 &lt;= (65/SQRT($AT$32)), "Compact", K984 &lt;= (95/SQRT($AT$32)), "Non-Compact", K984 &gt; (95/SQRT($AT$32)), "Slender")</f>
        <v/>
      </c>
      <c r="Z984" s="125">
        <f>E984/F984</f>
        <v/>
      </c>
      <c r="AA984" s="125">
        <f>D984/G984</f>
        <v/>
      </c>
      <c r="AB984" s="125">
        <f t="array" ref="AB984">_xlfn.IFS(Z984 &lt;= 9, "1", Z984 &lt;= 12, "2", Z984 &lt;= 15, "3", Z984 &gt; 15, "4")</f>
        <v/>
      </c>
      <c r="AC984" s="125">
        <f t="array" ref="AC984">_xlfn.IFS(AA984 &lt;= 200, "1", L984 &lt;= 300, "2", L984 &lt;= 400, "3", L984 &gt; 400, "4")</f>
        <v/>
      </c>
      <c r="AF984" s="129">
        <f>SQRT((((VLOOKUP($AT$4,$A$4:$D$1021,4,FALSE))-D984)^2)+(((VLOOKUP($AT$4,$A$4:$E$1021,5,FALSE))-E984)^2)+(((VLOOKUP($AT$4,$A$4:$N$1021,14,FALSE))-N984)^2)+(((VLOOKUP($AT$4,$A$4:$O$1021,15,FALSE))-O984)^2))</f>
        <v/>
      </c>
      <c r="AG984" s="129" t="n"/>
      <c r="AI984" s="129">
        <f>SQRT((((VLOOKUP($AT$4,$A$4:$D$1021,4,FALSE))-D984)^2)+(((VLOOKUP($AT$4,$A$4:$E$1021,5,FALSE))-E984)^2)+(((VLOOKUP($AT$4,$A$4:$R$1021,18,FALSE))-R984)^2)+(((VLOOKUP($AT$4,$A$4:$S$1021,19,FALSE))-S984)^2))</f>
        <v/>
      </c>
      <c r="AJ984" s="125" t="inlineStr">
        <is>
          <t>HY500X93.4</t>
        </is>
      </c>
      <c r="AK984" s="125" t="n"/>
      <c r="AL984" s="125" t="n"/>
      <c r="AM984" s="125">
        <f>SQRT(((VLOOKUP($AT$4,$A$4:$J$1021,10,FALSE))-J984)^2)</f>
        <v/>
      </c>
      <c r="AN984" s="125" t="n"/>
      <c r="AO984" s="125" t="n"/>
      <c r="AP984" s="125">
        <f>SQRT(((VLOOKUP($AT$4,$A$4:$R$1021,18,FALSE))-R984)^2)</f>
        <v/>
      </c>
      <c r="AQ984" s="125" t="inlineStr">
        <is>
          <t>HY500X93.4</t>
        </is>
      </c>
      <c r="BB984" s="125">
        <f>SQRT(($J$1022-J984)^2)</f>
        <v/>
      </c>
      <c r="BC984" s="125">
        <f>SQRT(($R$1022-R984)^2)</f>
        <v/>
      </c>
      <c r="BD984" s="125" t="inlineStr">
        <is>
          <t>HY500X93.4</t>
        </is>
      </c>
      <c r="BI984">
        <f>SQRT(($J$1023-J984)^2)</f>
        <v/>
      </c>
      <c r="BJ984">
        <f>SQRT(($R$1023-R984)^2)</f>
        <v/>
      </c>
      <c r="BK984" s="125" t="inlineStr">
        <is>
          <t>HY500X93.4</t>
        </is>
      </c>
      <c r="BP984">
        <f>SQRT(($J$1024-J984)^2)</f>
        <v/>
      </c>
      <c r="BQ984">
        <f>SQRT(($R$1024-R984)^2)</f>
        <v/>
      </c>
      <c r="BR984" s="125" t="inlineStr">
        <is>
          <t>HY500X93.4</t>
        </is>
      </c>
      <c r="BW984">
        <f>SQRT(($J$1025-J984)^2)</f>
        <v/>
      </c>
      <c r="BX984">
        <f>SQRT(($R$1025-R984)^2)</f>
        <v/>
      </c>
      <c r="BY984" s="125" t="inlineStr">
        <is>
          <t>HY500X93.4</t>
        </is>
      </c>
      <c r="CD984">
        <f>SQRT(($J$1026-J984)^2)</f>
        <v/>
      </c>
      <c r="CE984">
        <f>SQRT(($R$1026-R984)^2)</f>
        <v/>
      </c>
      <c r="CF984" s="125" t="inlineStr">
        <is>
          <t>HY500X93.4</t>
        </is>
      </c>
    </row>
    <row r="985">
      <c r="A985" s="125" t="inlineStr">
        <is>
          <t>HY500X84.4</t>
        </is>
      </c>
      <c r="B985" s="129" t="inlineStr">
        <is>
          <t>HY</t>
        </is>
      </c>
      <c r="C985" s="125" t="n">
        <v>84.40000000000001</v>
      </c>
      <c r="D985" s="125" t="n">
        <v>500</v>
      </c>
      <c r="E985" s="125" t="n">
        <v>200</v>
      </c>
      <c r="F985" s="125" t="n">
        <v>16</v>
      </c>
      <c r="G985" s="125" t="n">
        <v>9</v>
      </c>
      <c r="H985" s="125" t="n">
        <v>13</v>
      </c>
      <c r="I985" s="125">
        <f>D985-(2*(H985+F985))</f>
        <v/>
      </c>
      <c r="J985" s="125">
        <f>(2*E985/10*F985/10)+((D985-F985-F985)/10*G985/10)+((H985/10+H985/10)^2)-(PI()*H985/10*H985/10)</f>
        <v/>
      </c>
      <c r="K985" s="125">
        <f>((E985-G985)/2)/F985</f>
        <v/>
      </c>
      <c r="L985" s="125">
        <f>I985/G985</f>
        <v/>
      </c>
      <c r="M985" s="125">
        <f>(E985*2+F985*4+((E985-G985)/2-H985)*4+2*PI()*H985+(D985-2*F985-2*H985)*2)/1000</f>
        <v/>
      </c>
      <c r="N985" s="5" t="n">
        <v>46000</v>
      </c>
      <c r="O985" s="5" t="n">
        <v>2140</v>
      </c>
      <c r="P985" s="125" t="n">
        <v>20.7</v>
      </c>
      <c r="Q985" s="125" t="n">
        <v>4.5</v>
      </c>
      <c r="R985" s="5" t="n">
        <v>1840</v>
      </c>
      <c r="S985" s="125" t="n">
        <v>214</v>
      </c>
      <c r="T985" s="5" t="n">
        <v>2080</v>
      </c>
      <c r="U985" s="125" t="n">
        <v>331</v>
      </c>
      <c r="X985" s="129">
        <f t="array" ref="X985">_xlfn.IFS((D985/F985) &lt;= (640/SQRT($AT$32)), "Compact", L985 &lt;= ($AT$32*(0.79-(0.002*((E985-G985/2)/(2*F985))*SQRT($AT$32)))), "Non-Compact", L985 &gt; ($AT$32*(0.79-(0.002*((E985-G985/2)/(2*F985))*SQRT($AT$32)))), "Slender")</f>
        <v/>
      </c>
      <c r="Y985" s="129">
        <f t="array" ref="Y985">_xlfn.IFS(K985 &lt;= (65/SQRT($AT$32)), "Compact", K985 &lt;= (95/SQRT($AT$32)), "Non-Compact", K985 &gt; (95/SQRT($AT$32)), "Slender")</f>
        <v/>
      </c>
      <c r="Z985" s="125">
        <f>E985/F985</f>
        <v/>
      </c>
      <c r="AA985" s="125">
        <f>D985/G985</f>
        <v/>
      </c>
      <c r="AB985" s="125">
        <f t="array" ref="AB985">_xlfn.IFS(Z985 &lt;= 9, "1", Z985 &lt;= 12, "2", Z985 &lt;= 15, "3", Z985 &gt; 15, "4")</f>
        <v/>
      </c>
      <c r="AC985" s="125">
        <f t="array" ref="AC985">_xlfn.IFS(AA985 &lt;= 200, "1", L985 &lt;= 300, "2", L985 &lt;= 400, "3", L985 &gt; 400, "4")</f>
        <v/>
      </c>
      <c r="AF985" s="129">
        <f>SQRT((((VLOOKUP($AT$4,$A$4:$D$1021,4,FALSE))-D985)^2)+(((VLOOKUP($AT$4,$A$4:$E$1021,5,FALSE))-E985)^2)+(((VLOOKUP($AT$4,$A$4:$N$1021,14,FALSE))-N985)^2)+(((VLOOKUP($AT$4,$A$4:$O$1021,15,FALSE))-O985)^2))</f>
        <v/>
      </c>
      <c r="AG985" s="129" t="n"/>
      <c r="AI985" s="129">
        <f>SQRT((((VLOOKUP($AT$4,$A$4:$D$1021,4,FALSE))-D985)^2)+(((VLOOKUP($AT$4,$A$4:$E$1021,5,FALSE))-E985)^2)+(((VLOOKUP($AT$4,$A$4:$R$1021,18,FALSE))-R985)^2)+(((VLOOKUP($AT$4,$A$4:$S$1021,19,FALSE))-S985)^2))</f>
        <v/>
      </c>
      <c r="AJ985" s="125" t="inlineStr">
        <is>
          <t>HY500X84.4</t>
        </is>
      </c>
      <c r="AK985" s="125" t="n"/>
      <c r="AL985" s="125" t="n"/>
      <c r="AM985" s="125">
        <f>SQRT(((VLOOKUP($AT$4,$A$4:$J$1021,10,FALSE))-J985)^2)</f>
        <v/>
      </c>
      <c r="AN985" s="125" t="n"/>
      <c r="AO985" s="125" t="n"/>
      <c r="AP985" s="125">
        <f>SQRT(((VLOOKUP($AT$4,$A$4:$R$1021,18,FALSE))-R985)^2)</f>
        <v/>
      </c>
      <c r="AQ985" s="125" t="inlineStr">
        <is>
          <t>HY500X84.4</t>
        </is>
      </c>
      <c r="BB985" s="125">
        <f>SQRT(($J$1022-J985)^2)</f>
        <v/>
      </c>
      <c r="BC985" s="125">
        <f>SQRT(($R$1022-R985)^2)</f>
        <v/>
      </c>
      <c r="BD985" s="125" t="inlineStr">
        <is>
          <t>HY500X84.4</t>
        </is>
      </c>
      <c r="BI985">
        <f>SQRT(($J$1023-J985)^2)</f>
        <v/>
      </c>
      <c r="BJ985">
        <f>SQRT(($R$1023-R985)^2)</f>
        <v/>
      </c>
      <c r="BK985" s="125" t="inlineStr">
        <is>
          <t>HY500X84.4</t>
        </is>
      </c>
      <c r="BP985">
        <f>SQRT(($J$1024-J985)^2)</f>
        <v/>
      </c>
      <c r="BQ985">
        <f>SQRT(($R$1024-R985)^2)</f>
        <v/>
      </c>
      <c r="BR985" s="125" t="inlineStr">
        <is>
          <t>HY500X84.4</t>
        </is>
      </c>
      <c r="BW985">
        <f>SQRT(($J$1025-J985)^2)</f>
        <v/>
      </c>
      <c r="BX985">
        <f>SQRT(($R$1025-R985)^2)</f>
        <v/>
      </c>
      <c r="BY985" s="125" t="inlineStr">
        <is>
          <t>HY500X84.4</t>
        </is>
      </c>
      <c r="CD985">
        <f>SQRT(($J$1026-J985)^2)</f>
        <v/>
      </c>
      <c r="CE985">
        <f>SQRT(($R$1026-R985)^2)</f>
        <v/>
      </c>
      <c r="CF985" s="125" t="inlineStr">
        <is>
          <t>HY500X84.4</t>
        </is>
      </c>
    </row>
    <row r="986">
      <c r="A986" s="125" t="inlineStr">
        <is>
          <t>HY500X72.4</t>
        </is>
      </c>
      <c r="B986" s="129" t="inlineStr">
        <is>
          <t>HY</t>
        </is>
      </c>
      <c r="C986" s="125" t="n">
        <v>72.40000000000001</v>
      </c>
      <c r="D986" s="125" t="n">
        <v>500</v>
      </c>
      <c r="E986" s="125" t="n">
        <v>200</v>
      </c>
      <c r="F986" s="125" t="n">
        <v>12</v>
      </c>
      <c r="G986" s="125" t="n">
        <v>9</v>
      </c>
      <c r="H986" s="125" t="n">
        <v>13</v>
      </c>
      <c r="I986" s="125">
        <f>D986-(2*(H986+F986))</f>
        <v/>
      </c>
      <c r="J986" s="125">
        <f>(2*E986/10*F986/10)+((D986-F986-F986)/10*G986/10)+((H986/10+H986/10)^2)-(PI()*H986/10*H986/10)</f>
        <v/>
      </c>
      <c r="K986" s="125">
        <f>((E986-G986)/2)/F986</f>
        <v/>
      </c>
      <c r="L986" s="125">
        <f>I986/G986</f>
        <v/>
      </c>
      <c r="M986" s="125">
        <f>(E986*2+F986*4+((E986-G986)/2-H986)*4+2*PI()*H986+(D986-2*F986-2*H986)*2)/1000</f>
        <v/>
      </c>
      <c r="N986" s="5" t="n">
        <v>37500</v>
      </c>
      <c r="O986" s="5" t="n">
        <v>1600</v>
      </c>
      <c r="P986" s="125" t="n">
        <v>20.2</v>
      </c>
      <c r="Q986" s="125" t="n">
        <v>4.2</v>
      </c>
      <c r="R986" s="5" t="n">
        <v>1500</v>
      </c>
      <c r="S986" s="125" t="n">
        <v>160</v>
      </c>
      <c r="T986" s="5" t="n">
        <v>1720</v>
      </c>
      <c r="U986" s="125" t="n">
        <v>251</v>
      </c>
      <c r="X986" s="129">
        <f t="array" ref="X986">_xlfn.IFS((D986/F986) &lt;= (640/SQRT($AT$32)), "Compact", L986 &lt;= ($AT$32*(0.79-(0.002*((E986-G986/2)/(2*F986))*SQRT($AT$32)))), "Non-Compact", L986 &gt; ($AT$32*(0.79-(0.002*((E986-G986/2)/(2*F986))*SQRT($AT$32)))), "Slender")</f>
        <v/>
      </c>
      <c r="Y986" s="129">
        <f t="array" ref="Y986">_xlfn.IFS(K986 &lt;= (65/SQRT($AT$32)), "Compact", K986 &lt;= (95/SQRT($AT$32)), "Non-Compact", K986 &gt; (95/SQRT($AT$32)), "Slender")</f>
        <v/>
      </c>
      <c r="Z986" s="125">
        <f>E986/F986</f>
        <v/>
      </c>
      <c r="AA986" s="125">
        <f>D986/G986</f>
        <v/>
      </c>
      <c r="AB986" s="125">
        <f t="array" ref="AB986">_xlfn.IFS(Z986 &lt;= 9, "1", Z986 &lt;= 12, "2", Z986 &lt;= 15, "3", Z986 &gt; 15, "4")</f>
        <v/>
      </c>
      <c r="AC986" s="125">
        <f t="array" ref="AC986">_xlfn.IFS(AA986 &lt;= 200, "1", L986 &lt;= 300, "2", L986 &lt;= 400, "3", L986 &gt; 400, "4")</f>
        <v/>
      </c>
      <c r="AF986" s="129">
        <f>SQRT((((VLOOKUP($AT$4,$A$4:$D$1021,4,FALSE))-D986)^2)+(((VLOOKUP($AT$4,$A$4:$E$1021,5,FALSE))-E986)^2)+(((VLOOKUP($AT$4,$A$4:$N$1021,14,FALSE))-N986)^2)+(((VLOOKUP($AT$4,$A$4:$O$1021,15,FALSE))-O986)^2))</f>
        <v/>
      </c>
      <c r="AG986" s="129" t="n"/>
      <c r="AI986" s="129">
        <f>SQRT((((VLOOKUP($AT$4,$A$4:$D$1021,4,FALSE))-D986)^2)+(((VLOOKUP($AT$4,$A$4:$E$1021,5,FALSE))-E986)^2)+(((VLOOKUP($AT$4,$A$4:$R$1021,18,FALSE))-R986)^2)+(((VLOOKUP($AT$4,$A$4:$S$1021,19,FALSE))-S986)^2))</f>
        <v/>
      </c>
      <c r="AJ986" s="125" t="inlineStr">
        <is>
          <t>HY500X72.4</t>
        </is>
      </c>
      <c r="AK986" s="125" t="n"/>
      <c r="AL986" s="125" t="n"/>
      <c r="AM986" s="125">
        <f>SQRT(((VLOOKUP($AT$4,$A$4:$J$1021,10,FALSE))-J986)^2)</f>
        <v/>
      </c>
      <c r="AN986" s="125" t="n"/>
      <c r="AO986" s="125" t="n"/>
      <c r="AP986" s="125">
        <f>SQRT(((VLOOKUP($AT$4,$A$4:$R$1021,18,FALSE))-R986)^2)</f>
        <v/>
      </c>
      <c r="AQ986" s="125" t="inlineStr">
        <is>
          <t>HY500X72.4</t>
        </is>
      </c>
      <c r="BB986" s="125">
        <f>SQRT(($J$1022-J986)^2)</f>
        <v/>
      </c>
      <c r="BC986" s="125">
        <f>SQRT(($R$1022-R986)^2)</f>
        <v/>
      </c>
      <c r="BD986" s="125" t="inlineStr">
        <is>
          <t>HY500X72.4</t>
        </is>
      </c>
      <c r="BI986">
        <f>SQRT(($J$1023-J986)^2)</f>
        <v/>
      </c>
      <c r="BJ986">
        <f>SQRT(($R$1023-R986)^2)</f>
        <v/>
      </c>
      <c r="BK986" s="125" t="inlineStr">
        <is>
          <t>HY500X72.4</t>
        </is>
      </c>
      <c r="BP986">
        <f>SQRT(($J$1024-J986)^2)</f>
        <v/>
      </c>
      <c r="BQ986">
        <f>SQRT(($R$1024-R986)^2)</f>
        <v/>
      </c>
      <c r="BR986" s="125" t="inlineStr">
        <is>
          <t>HY500X72.4</t>
        </is>
      </c>
      <c r="BW986">
        <f>SQRT(($J$1025-J986)^2)</f>
        <v/>
      </c>
      <c r="BX986">
        <f>SQRT(($R$1025-R986)^2)</f>
        <v/>
      </c>
      <c r="BY986" s="125" t="inlineStr">
        <is>
          <t>HY500X72.4</t>
        </is>
      </c>
      <c r="CD986">
        <f>SQRT(($J$1026-J986)^2)</f>
        <v/>
      </c>
      <c r="CE986">
        <f>SQRT(($R$1026-R986)^2)</f>
        <v/>
      </c>
      <c r="CF986" s="125" t="inlineStr">
        <is>
          <t>HY500X72.4</t>
        </is>
      </c>
    </row>
    <row r="987">
      <c r="A987" s="125" t="inlineStr">
        <is>
          <t>HY450X157</t>
        </is>
      </c>
      <c r="B987" s="129" t="inlineStr">
        <is>
          <t>HY</t>
        </is>
      </c>
      <c r="C987" s="125" t="n">
        <v>157</v>
      </c>
      <c r="D987" s="125" t="n">
        <v>450</v>
      </c>
      <c r="E987" s="125" t="n">
        <v>300</v>
      </c>
      <c r="F987" s="125" t="n">
        <v>25</v>
      </c>
      <c r="G987" s="125" t="n">
        <v>12</v>
      </c>
      <c r="H987" s="125" t="n">
        <v>13</v>
      </c>
      <c r="I987" s="125">
        <f>D987-(2*(H987+F987))</f>
        <v/>
      </c>
      <c r="J987" s="125">
        <f>(2*E987/10*F987/10)+((D987-F987-F987)/10*G987/10)+((H987/10+H987/10)^2)-(PI()*H987/10*H987/10)</f>
        <v/>
      </c>
      <c r="K987" s="125">
        <f>((E987-G987)/2)/F987</f>
        <v/>
      </c>
      <c r="L987" s="125">
        <f>I987/G987</f>
        <v/>
      </c>
      <c r="M987" s="125">
        <f>(E987*2+F987*4+((E987-G987)/2-H987)*4+2*PI()*H987+(D987-2*F987-2*H987)*2)/1000</f>
        <v/>
      </c>
      <c r="N987" s="5" t="n">
        <v>74800</v>
      </c>
      <c r="O987" s="5" t="n">
        <v>11300</v>
      </c>
      <c r="P987" s="125" t="n">
        <v>19.4</v>
      </c>
      <c r="Q987" s="125" t="n">
        <v>7.5</v>
      </c>
      <c r="R987" s="5" t="n">
        <v>3320</v>
      </c>
      <c r="S987" s="125" t="n">
        <v>750</v>
      </c>
      <c r="T987" s="5" t="n">
        <v>3700</v>
      </c>
      <c r="U987" s="5" t="n">
        <v>1140</v>
      </c>
      <c r="X987" s="129">
        <f t="array" ref="X987">_xlfn.IFS((D987/F987) &lt;= (640/SQRT($AT$32)), "Compact", L987 &lt;= ($AT$32*(0.79-(0.002*((E987-G987/2)/(2*F987))*SQRT($AT$32)))), "Non-Compact", L987 &gt; ($AT$32*(0.79-(0.002*((E987-G987/2)/(2*F987))*SQRT($AT$32)))), "Slender")</f>
        <v/>
      </c>
      <c r="Y987" s="129">
        <f t="array" ref="Y987">_xlfn.IFS(K987 &lt;= (65/SQRT($AT$32)), "Compact", K987 &lt;= (95/SQRT($AT$32)), "Non-Compact", K987 &gt; (95/SQRT($AT$32)), "Slender")</f>
        <v/>
      </c>
      <c r="Z987" s="125">
        <f>E987/F987</f>
        <v/>
      </c>
      <c r="AA987" s="125">
        <f>D987/G987</f>
        <v/>
      </c>
      <c r="AB987" s="125">
        <f t="array" ref="AB987">_xlfn.IFS(Z987 &lt;= 9, "1", Z987 &lt;= 12, "2", Z987 &lt;= 15, "3", Z987 &gt; 15, "4")</f>
        <v/>
      </c>
      <c r="AC987" s="125">
        <f t="array" ref="AC987">_xlfn.IFS(AA987 &lt;= 200, "1", L987 &lt;= 300, "2", L987 &lt;= 400, "3", L987 &gt; 400, "4")</f>
        <v/>
      </c>
      <c r="AF987" s="129">
        <f>SQRT((((VLOOKUP($AT$4,$A$4:$D$1021,4,FALSE))-D987)^2)+(((VLOOKUP($AT$4,$A$4:$E$1021,5,FALSE))-E987)^2)+(((VLOOKUP($AT$4,$A$4:$N$1021,14,FALSE))-N987)^2)+(((VLOOKUP($AT$4,$A$4:$O$1021,15,FALSE))-O987)^2))</f>
        <v/>
      </c>
      <c r="AG987" s="129" t="n"/>
      <c r="AI987" s="129">
        <f>SQRT((((VLOOKUP($AT$4,$A$4:$D$1021,4,FALSE))-D987)^2)+(((VLOOKUP($AT$4,$A$4:$E$1021,5,FALSE))-E987)^2)+(((VLOOKUP($AT$4,$A$4:$R$1021,18,FALSE))-R987)^2)+(((VLOOKUP($AT$4,$A$4:$S$1021,19,FALSE))-S987)^2))</f>
        <v/>
      </c>
      <c r="AJ987" s="125" t="inlineStr">
        <is>
          <t>HY450X157</t>
        </is>
      </c>
      <c r="AK987" s="125" t="n"/>
      <c r="AL987" s="125" t="n"/>
      <c r="AM987" s="125">
        <f>SQRT(((VLOOKUP($AT$4,$A$4:$J$1021,10,FALSE))-J987)^2)</f>
        <v/>
      </c>
      <c r="AN987" s="125" t="n"/>
      <c r="AO987" s="125" t="n"/>
      <c r="AP987" s="125">
        <f>SQRT(((VLOOKUP($AT$4,$A$4:$R$1021,18,FALSE))-R987)^2)</f>
        <v/>
      </c>
      <c r="AQ987" s="125" t="inlineStr">
        <is>
          <t>HY450X157</t>
        </is>
      </c>
      <c r="BB987" s="125">
        <f>SQRT(($J$1022-J987)^2)</f>
        <v/>
      </c>
      <c r="BC987" s="125">
        <f>SQRT(($R$1022-R987)^2)</f>
        <v/>
      </c>
      <c r="BD987" s="125" t="inlineStr">
        <is>
          <t>HY450X157</t>
        </is>
      </c>
      <c r="BI987">
        <f>SQRT(($J$1023-J987)^2)</f>
        <v/>
      </c>
      <c r="BJ987">
        <f>SQRT(($R$1023-R987)^2)</f>
        <v/>
      </c>
      <c r="BK987" s="125" t="inlineStr">
        <is>
          <t>HY450X157</t>
        </is>
      </c>
      <c r="BP987">
        <f>SQRT(($J$1024-J987)^2)</f>
        <v/>
      </c>
      <c r="BQ987">
        <f>SQRT(($R$1024-R987)^2)</f>
        <v/>
      </c>
      <c r="BR987" s="125" t="inlineStr">
        <is>
          <t>HY450X157</t>
        </is>
      </c>
      <c r="BW987">
        <f>SQRT(($J$1025-J987)^2)</f>
        <v/>
      </c>
      <c r="BX987">
        <f>SQRT(($R$1025-R987)^2)</f>
        <v/>
      </c>
      <c r="BY987" s="125" t="inlineStr">
        <is>
          <t>HY450X157</t>
        </is>
      </c>
      <c r="CD987">
        <f>SQRT(($J$1026-J987)^2)</f>
        <v/>
      </c>
      <c r="CE987">
        <f>SQRT(($R$1026-R987)^2)</f>
        <v/>
      </c>
      <c r="CF987" s="125" t="inlineStr">
        <is>
          <t>HY450X157</t>
        </is>
      </c>
    </row>
    <row r="988">
      <c r="A988" s="125" t="inlineStr">
        <is>
          <t>HY450X143</t>
        </is>
      </c>
      <c r="B988" s="129" t="inlineStr">
        <is>
          <t>HY</t>
        </is>
      </c>
      <c r="C988" s="125" t="n">
        <v>143</v>
      </c>
      <c r="D988" s="125" t="n">
        <v>450</v>
      </c>
      <c r="E988" s="125" t="n">
        <v>300</v>
      </c>
      <c r="F988" s="125" t="n">
        <v>22</v>
      </c>
      <c r="G988" s="125" t="n">
        <v>12</v>
      </c>
      <c r="H988" s="125" t="n">
        <v>13</v>
      </c>
      <c r="I988" s="125">
        <f>D988-(2*(H988+F988))</f>
        <v/>
      </c>
      <c r="J988" s="125">
        <f>(2*E988/10*F988/10)+((D988-F988-F988)/10*G988/10)+((H988/10+H988/10)^2)-(PI()*H988/10*H988/10)</f>
        <v/>
      </c>
      <c r="K988" s="125">
        <f>((E988-G988)/2)/F988</f>
        <v/>
      </c>
      <c r="L988" s="125">
        <f>I988/G988</f>
        <v/>
      </c>
      <c r="M988" s="125">
        <f>(E988*2+F988*4+((E988-G988)/2-H988)*4+2*PI()*H988+(D988-2*F988-2*H988)*2)/1000</f>
        <v/>
      </c>
      <c r="N988" s="5" t="n">
        <v>67800</v>
      </c>
      <c r="O988" s="5" t="n">
        <v>9910</v>
      </c>
      <c r="P988" s="125" t="n">
        <v>19.3</v>
      </c>
      <c r="Q988" s="125" t="n">
        <v>7.4</v>
      </c>
      <c r="R988" s="5" t="n">
        <v>3010</v>
      </c>
      <c r="S988" s="125" t="n">
        <v>660</v>
      </c>
      <c r="T988" s="5" t="n">
        <v>3350</v>
      </c>
      <c r="U988" s="5" t="n">
        <v>1010</v>
      </c>
      <c r="X988" s="129">
        <f t="array" ref="X988">_xlfn.IFS((D988/F988) &lt;= (640/SQRT($AT$32)), "Compact", L988 &lt;= ($AT$32*(0.79-(0.002*((E988-G988/2)/(2*F988))*SQRT($AT$32)))), "Non-Compact", L988 &gt; ($AT$32*(0.79-(0.002*((E988-G988/2)/(2*F988))*SQRT($AT$32)))), "Slender")</f>
        <v/>
      </c>
      <c r="Y988" s="129">
        <f t="array" ref="Y988">_xlfn.IFS(K988 &lt;= (65/SQRT($AT$32)), "Compact", K988 &lt;= (95/SQRT($AT$32)), "Non-Compact", K988 &gt; (95/SQRT($AT$32)), "Slender")</f>
        <v/>
      </c>
      <c r="Z988" s="125">
        <f>E988/F988</f>
        <v/>
      </c>
      <c r="AA988" s="125">
        <f>D988/G988</f>
        <v/>
      </c>
      <c r="AB988" s="125">
        <f t="array" ref="AB988">_xlfn.IFS(Z988 &lt;= 9, "1", Z988 &lt;= 12, "2", Z988 &lt;= 15, "3", Z988 &gt; 15, "4")</f>
        <v/>
      </c>
      <c r="AC988" s="125">
        <f t="array" ref="AC988">_xlfn.IFS(AA988 &lt;= 200, "1", L988 &lt;= 300, "2", L988 &lt;= 400, "3", L988 &gt; 400, "4")</f>
        <v/>
      </c>
      <c r="AF988" s="129">
        <f>SQRT((((VLOOKUP($AT$4,$A$4:$D$1021,4,FALSE))-D988)^2)+(((VLOOKUP($AT$4,$A$4:$E$1021,5,FALSE))-E988)^2)+(((VLOOKUP($AT$4,$A$4:$N$1021,14,FALSE))-N988)^2)+(((VLOOKUP($AT$4,$A$4:$O$1021,15,FALSE))-O988)^2))</f>
        <v/>
      </c>
      <c r="AG988" s="129" t="n"/>
      <c r="AI988" s="129">
        <f>SQRT((((VLOOKUP($AT$4,$A$4:$D$1021,4,FALSE))-D988)^2)+(((VLOOKUP($AT$4,$A$4:$E$1021,5,FALSE))-E988)^2)+(((VLOOKUP($AT$4,$A$4:$R$1021,18,FALSE))-R988)^2)+(((VLOOKUP($AT$4,$A$4:$S$1021,19,FALSE))-S988)^2))</f>
        <v/>
      </c>
      <c r="AJ988" s="125" t="inlineStr">
        <is>
          <t>HY450X143</t>
        </is>
      </c>
      <c r="AK988" s="125" t="n"/>
      <c r="AL988" s="125" t="n"/>
      <c r="AM988" s="125">
        <f>SQRT(((VLOOKUP($AT$4,$A$4:$J$1021,10,FALSE))-J988)^2)</f>
        <v/>
      </c>
      <c r="AN988" s="125" t="n"/>
      <c r="AO988" s="125" t="n"/>
      <c r="AP988" s="125">
        <f>SQRT(((VLOOKUP($AT$4,$A$4:$R$1021,18,FALSE))-R988)^2)</f>
        <v/>
      </c>
      <c r="AQ988" s="125" t="inlineStr">
        <is>
          <t>HY450X143</t>
        </is>
      </c>
      <c r="BB988" s="125">
        <f>SQRT(($J$1022-J988)^2)</f>
        <v/>
      </c>
      <c r="BC988" s="125">
        <f>SQRT(($R$1022-R988)^2)</f>
        <v/>
      </c>
      <c r="BD988" s="125" t="inlineStr">
        <is>
          <t>HY450X143</t>
        </is>
      </c>
      <c r="BI988">
        <f>SQRT(($J$1023-J988)^2)</f>
        <v/>
      </c>
      <c r="BJ988">
        <f>SQRT(($R$1023-R988)^2)</f>
        <v/>
      </c>
      <c r="BK988" s="125" t="inlineStr">
        <is>
          <t>HY450X143</t>
        </is>
      </c>
      <c r="BP988">
        <f>SQRT(($J$1024-J988)^2)</f>
        <v/>
      </c>
      <c r="BQ988">
        <f>SQRT(($R$1024-R988)^2)</f>
        <v/>
      </c>
      <c r="BR988" s="125" t="inlineStr">
        <is>
          <t>HY450X143</t>
        </is>
      </c>
      <c r="BW988">
        <f>SQRT(($J$1025-J988)^2)</f>
        <v/>
      </c>
      <c r="BX988">
        <f>SQRT(($R$1025-R988)^2)</f>
        <v/>
      </c>
      <c r="BY988" s="125" t="inlineStr">
        <is>
          <t>HY450X143</t>
        </is>
      </c>
      <c r="CD988">
        <f>SQRT(($J$1026-J988)^2)</f>
        <v/>
      </c>
      <c r="CE988">
        <f>SQRT(($R$1026-R988)^2)</f>
        <v/>
      </c>
      <c r="CF988" s="125" t="inlineStr">
        <is>
          <t>HY450X143</t>
        </is>
      </c>
    </row>
    <row r="989">
      <c r="A989" s="125" t="inlineStr">
        <is>
          <t>HY450X129</t>
        </is>
      </c>
      <c r="B989" s="129" t="inlineStr">
        <is>
          <t>HY</t>
        </is>
      </c>
      <c r="C989" s="125" t="n">
        <v>129</v>
      </c>
      <c r="D989" s="125" t="n">
        <v>450</v>
      </c>
      <c r="E989" s="125" t="n">
        <v>300</v>
      </c>
      <c r="F989" s="125" t="n">
        <v>19</v>
      </c>
      <c r="G989" s="125" t="n">
        <v>12</v>
      </c>
      <c r="H989" s="125" t="n">
        <v>13</v>
      </c>
      <c r="I989" s="125">
        <f>D989-(2*(H989+F989))</f>
        <v/>
      </c>
      <c r="J989" s="125">
        <f>(2*E989/10*F989/10)+((D989-F989-F989)/10*G989/10)+((H989/10+H989/10)^2)-(PI()*H989/10*H989/10)</f>
        <v/>
      </c>
      <c r="K989" s="125">
        <f>((E989-G989)/2)/F989</f>
        <v/>
      </c>
      <c r="L989" s="125">
        <f>I989/G989</f>
        <v/>
      </c>
      <c r="M989" s="125">
        <f>(E989*2+F989*4+((E989-G989)/2-H989)*4+2*PI()*H989+(D989-2*F989-2*H989)*2)/1000</f>
        <v/>
      </c>
      <c r="N989" s="5" t="n">
        <v>60600</v>
      </c>
      <c r="O989" s="5" t="n">
        <v>8560</v>
      </c>
      <c r="P989" s="125" t="n">
        <v>19.2</v>
      </c>
      <c r="Q989" s="125" t="n">
        <v>7.2</v>
      </c>
      <c r="R989" s="5" t="n">
        <v>2690</v>
      </c>
      <c r="S989" s="125" t="n">
        <v>570</v>
      </c>
      <c r="T989" s="5" t="n">
        <v>3000</v>
      </c>
      <c r="U989" s="125" t="n">
        <v>871</v>
      </c>
      <c r="X989" s="129">
        <f t="array" ref="X989">_xlfn.IFS((D989/F989) &lt;= (640/SQRT($AT$32)), "Compact", L989 &lt;= ($AT$32*(0.79-(0.002*((E989-G989/2)/(2*F989))*SQRT($AT$32)))), "Non-Compact", L989 &gt; ($AT$32*(0.79-(0.002*((E989-G989/2)/(2*F989))*SQRT($AT$32)))), "Slender")</f>
        <v/>
      </c>
      <c r="Y989" s="129">
        <f t="array" ref="Y989">_xlfn.IFS(K989 &lt;= (65/SQRT($AT$32)), "Compact", K989 &lt;= (95/SQRT($AT$32)), "Non-Compact", K989 &gt; (95/SQRT($AT$32)), "Slender")</f>
        <v/>
      </c>
      <c r="Z989" s="125">
        <f>E989/F989</f>
        <v/>
      </c>
      <c r="AA989" s="125">
        <f>D989/G989</f>
        <v/>
      </c>
      <c r="AB989" s="125">
        <f t="array" ref="AB989">_xlfn.IFS(Z989 &lt;= 9, "1", Z989 &lt;= 12, "2", Z989 &lt;= 15, "3", Z989 &gt; 15, "4")</f>
        <v/>
      </c>
      <c r="AC989" s="125">
        <f t="array" ref="AC989">_xlfn.IFS(AA989 &lt;= 200, "1", L989 &lt;= 300, "2", L989 &lt;= 400, "3", L989 &gt; 400, "4")</f>
        <v/>
      </c>
      <c r="AF989" s="129">
        <f>SQRT((((VLOOKUP($AT$4,$A$4:$D$1021,4,FALSE))-D989)^2)+(((VLOOKUP($AT$4,$A$4:$E$1021,5,FALSE))-E989)^2)+(((VLOOKUP($AT$4,$A$4:$N$1021,14,FALSE))-N989)^2)+(((VLOOKUP($AT$4,$A$4:$O$1021,15,FALSE))-O989)^2))</f>
        <v/>
      </c>
      <c r="AG989" s="129" t="n"/>
      <c r="AI989" s="129">
        <f>SQRT((((VLOOKUP($AT$4,$A$4:$D$1021,4,FALSE))-D989)^2)+(((VLOOKUP($AT$4,$A$4:$E$1021,5,FALSE))-E989)^2)+(((VLOOKUP($AT$4,$A$4:$R$1021,18,FALSE))-R989)^2)+(((VLOOKUP($AT$4,$A$4:$S$1021,19,FALSE))-S989)^2))</f>
        <v/>
      </c>
      <c r="AJ989" s="125" t="inlineStr">
        <is>
          <t>HY450X129</t>
        </is>
      </c>
      <c r="AK989" s="125" t="n"/>
      <c r="AL989" s="125" t="n"/>
      <c r="AM989" s="125">
        <f>SQRT(((VLOOKUP($AT$4,$A$4:$J$1021,10,FALSE))-J989)^2)</f>
        <v/>
      </c>
      <c r="AN989" s="125" t="n"/>
      <c r="AO989" s="125" t="n"/>
      <c r="AP989" s="125">
        <f>SQRT(((VLOOKUP($AT$4,$A$4:$R$1021,18,FALSE))-R989)^2)</f>
        <v/>
      </c>
      <c r="AQ989" s="125" t="inlineStr">
        <is>
          <t>HY450X129</t>
        </is>
      </c>
      <c r="BB989" s="125">
        <f>SQRT(($J$1022-J989)^2)</f>
        <v/>
      </c>
      <c r="BC989" s="125">
        <f>SQRT(($R$1022-R989)^2)</f>
        <v/>
      </c>
      <c r="BD989" s="125" t="inlineStr">
        <is>
          <t>HY450X129</t>
        </is>
      </c>
      <c r="BI989">
        <f>SQRT(($J$1023-J989)^2)</f>
        <v/>
      </c>
      <c r="BJ989">
        <f>SQRT(($R$1023-R989)^2)</f>
        <v/>
      </c>
      <c r="BK989" s="125" t="inlineStr">
        <is>
          <t>HY450X129</t>
        </is>
      </c>
      <c r="BP989">
        <f>SQRT(($J$1024-J989)^2)</f>
        <v/>
      </c>
      <c r="BQ989">
        <f>SQRT(($R$1024-R989)^2)</f>
        <v/>
      </c>
      <c r="BR989" s="125" t="inlineStr">
        <is>
          <t>HY450X129</t>
        </is>
      </c>
      <c r="BW989">
        <f>SQRT(($J$1025-J989)^2)</f>
        <v/>
      </c>
      <c r="BX989">
        <f>SQRT(($R$1025-R989)^2)</f>
        <v/>
      </c>
      <c r="BY989" s="125" t="inlineStr">
        <is>
          <t>HY450X129</t>
        </is>
      </c>
      <c r="CD989">
        <f>SQRT(($J$1026-J989)^2)</f>
        <v/>
      </c>
      <c r="CE989">
        <f>SQRT(($R$1026-R989)^2)</f>
        <v/>
      </c>
      <c r="CF989" s="125" t="inlineStr">
        <is>
          <t>HY450X129</t>
        </is>
      </c>
    </row>
    <row r="990">
      <c r="A990" s="125" t="inlineStr">
        <is>
          <t>HY450X116</t>
        </is>
      </c>
      <c r="B990" s="129" t="inlineStr">
        <is>
          <t>HY</t>
        </is>
      </c>
      <c r="C990" s="125" t="n">
        <v>116</v>
      </c>
      <c r="D990" s="125" t="n">
        <v>450</v>
      </c>
      <c r="E990" s="125" t="n">
        <v>300</v>
      </c>
      <c r="F990" s="125" t="n">
        <v>16</v>
      </c>
      <c r="G990" s="125" t="n">
        <v>12</v>
      </c>
      <c r="H990" s="125" t="n">
        <v>13</v>
      </c>
      <c r="I990" s="125">
        <f>D990-(2*(H990+F990))</f>
        <v/>
      </c>
      <c r="J990" s="125">
        <f>(2*E990/10*F990/10)+((D990-F990-F990)/10*G990/10)+((H990/10+H990/10)^2)-(PI()*H990/10*H990/10)</f>
        <v/>
      </c>
      <c r="K990" s="125">
        <f>((E990-G990)/2)/F990</f>
        <v/>
      </c>
      <c r="L990" s="125">
        <f>I990/G990</f>
        <v/>
      </c>
      <c r="M990" s="125">
        <f>(E990*2+F990*4+((E990-G990)/2-H990)*4+2*PI()*H990+(D990-2*F990-2*H990)*2)/1000</f>
        <v/>
      </c>
      <c r="N990" s="5" t="n">
        <v>53100</v>
      </c>
      <c r="O990" s="5" t="n">
        <v>7210</v>
      </c>
      <c r="P990" s="125" t="n">
        <v>19</v>
      </c>
      <c r="Q990" s="125" t="n">
        <v>7</v>
      </c>
      <c r="R990" s="5" t="n">
        <v>2360</v>
      </c>
      <c r="S990" s="125" t="n">
        <v>480</v>
      </c>
      <c r="T990" s="5" t="n">
        <v>2640</v>
      </c>
      <c r="U990" s="125" t="n">
        <v>736</v>
      </c>
      <c r="X990" s="129">
        <f t="array" ref="X990">_xlfn.IFS((D990/F990) &lt;= (640/SQRT($AT$32)), "Compact", L990 &lt;= ($AT$32*(0.79-(0.002*((E990-G990/2)/(2*F990))*SQRT($AT$32)))), "Non-Compact", L990 &gt; ($AT$32*(0.79-(0.002*((E990-G990/2)/(2*F990))*SQRT($AT$32)))), "Slender")</f>
        <v/>
      </c>
      <c r="Y990" s="129">
        <f t="array" ref="Y990">_xlfn.IFS(K990 &lt;= (65/SQRT($AT$32)), "Compact", K990 &lt;= (95/SQRT($AT$32)), "Non-Compact", K990 &gt; (95/SQRT($AT$32)), "Slender")</f>
        <v/>
      </c>
      <c r="Z990" s="125">
        <f>E990/F990</f>
        <v/>
      </c>
      <c r="AA990" s="125">
        <f>D990/G990</f>
        <v/>
      </c>
      <c r="AB990" s="125">
        <f t="array" ref="AB990">_xlfn.IFS(Z990 &lt;= 9, "1", Z990 &lt;= 12, "2", Z990 &lt;= 15, "3", Z990 &gt; 15, "4")</f>
        <v/>
      </c>
      <c r="AC990" s="125">
        <f t="array" ref="AC990">_xlfn.IFS(AA990 &lt;= 200, "1", L990 &lt;= 300, "2", L990 &lt;= 400, "3", L990 &gt; 400, "4")</f>
        <v/>
      </c>
      <c r="AF990" s="129">
        <f>SQRT((((VLOOKUP($AT$4,$A$4:$D$1021,4,FALSE))-D990)^2)+(((VLOOKUP($AT$4,$A$4:$E$1021,5,FALSE))-E990)^2)+(((VLOOKUP($AT$4,$A$4:$N$1021,14,FALSE))-N990)^2)+(((VLOOKUP($AT$4,$A$4:$O$1021,15,FALSE))-O990)^2))</f>
        <v/>
      </c>
      <c r="AG990" s="129" t="n"/>
      <c r="AI990" s="129">
        <f>SQRT((((VLOOKUP($AT$4,$A$4:$D$1021,4,FALSE))-D990)^2)+(((VLOOKUP($AT$4,$A$4:$E$1021,5,FALSE))-E990)^2)+(((VLOOKUP($AT$4,$A$4:$R$1021,18,FALSE))-R990)^2)+(((VLOOKUP($AT$4,$A$4:$S$1021,19,FALSE))-S990)^2))</f>
        <v/>
      </c>
      <c r="AJ990" s="125" t="inlineStr">
        <is>
          <t>HY450X116</t>
        </is>
      </c>
      <c r="AK990" s="125" t="n"/>
      <c r="AL990" s="125" t="n"/>
      <c r="AM990" s="125">
        <f>SQRT(((VLOOKUP($AT$4,$A$4:$J$1021,10,FALSE))-J990)^2)</f>
        <v/>
      </c>
      <c r="AN990" s="125" t="n"/>
      <c r="AO990" s="125" t="n"/>
      <c r="AP990" s="125">
        <f>SQRT(((VLOOKUP($AT$4,$A$4:$R$1021,18,FALSE))-R990)^2)</f>
        <v/>
      </c>
      <c r="AQ990" s="125" t="inlineStr">
        <is>
          <t>HY450X116</t>
        </is>
      </c>
      <c r="BB990" s="125">
        <f>SQRT(($J$1022-J990)^2)</f>
        <v/>
      </c>
      <c r="BC990" s="125">
        <f>SQRT(($R$1022-R990)^2)</f>
        <v/>
      </c>
      <c r="BD990" s="125" t="inlineStr">
        <is>
          <t>HY450X116</t>
        </is>
      </c>
      <c r="BI990">
        <f>SQRT(($J$1023-J990)^2)</f>
        <v/>
      </c>
      <c r="BJ990">
        <f>SQRT(($R$1023-R990)^2)</f>
        <v/>
      </c>
      <c r="BK990" s="125" t="inlineStr">
        <is>
          <t>HY450X116</t>
        </is>
      </c>
      <c r="BP990">
        <f>SQRT(($J$1024-J990)^2)</f>
        <v/>
      </c>
      <c r="BQ990">
        <f>SQRT(($R$1024-R990)^2)</f>
        <v/>
      </c>
      <c r="BR990" s="125" t="inlineStr">
        <is>
          <t>HY450X116</t>
        </is>
      </c>
      <c r="BW990">
        <f>SQRT(($J$1025-J990)^2)</f>
        <v/>
      </c>
      <c r="BX990">
        <f>SQRT(($R$1025-R990)^2)</f>
        <v/>
      </c>
      <c r="BY990" s="125" t="inlineStr">
        <is>
          <t>HY450X116</t>
        </is>
      </c>
      <c r="CD990">
        <f>SQRT(($J$1026-J990)^2)</f>
        <v/>
      </c>
      <c r="CE990">
        <f>SQRT(($R$1026-R990)^2)</f>
        <v/>
      </c>
      <c r="CF990" s="125" t="inlineStr">
        <is>
          <t>HY450X116</t>
        </is>
      </c>
    </row>
    <row r="991">
      <c r="A991" s="125" t="inlineStr">
        <is>
          <t>HY450X148</t>
        </is>
      </c>
      <c r="B991" s="129" t="inlineStr">
        <is>
          <t>HY</t>
        </is>
      </c>
      <c r="C991" s="125" t="n">
        <v>148</v>
      </c>
      <c r="D991" s="125" t="n">
        <v>450</v>
      </c>
      <c r="E991" s="125" t="n">
        <v>250</v>
      </c>
      <c r="F991" s="125" t="n">
        <v>28</v>
      </c>
      <c r="G991" s="125" t="n">
        <v>12</v>
      </c>
      <c r="H991" s="125" t="n">
        <v>13</v>
      </c>
      <c r="I991" s="125">
        <f>D991-(2*(H991+F991))</f>
        <v/>
      </c>
      <c r="J991" s="125">
        <f>(2*E991/10*F991/10)+((D991-F991-F991)/10*G991/10)+((H991/10+H991/10)^2)-(PI()*H991/10*H991/10)</f>
        <v/>
      </c>
      <c r="K991" s="125">
        <f>((E991-G991)/2)/F991</f>
        <v/>
      </c>
      <c r="L991" s="125">
        <f>I991/G991</f>
        <v/>
      </c>
      <c r="M991" s="125">
        <f>(E991*2+F991*4+((E991-G991)/2-H991)*4+2*PI()*H991+(D991-2*F991-2*H991)*2)/1000</f>
        <v/>
      </c>
      <c r="N991" s="5" t="n">
        <v>69100</v>
      </c>
      <c r="O991" s="5" t="n">
        <v>7300</v>
      </c>
      <c r="P991" s="125" t="n">
        <v>19.1</v>
      </c>
      <c r="Q991" s="125" t="n">
        <v>6.2</v>
      </c>
      <c r="R991" s="5" t="n">
        <v>3070</v>
      </c>
      <c r="S991" s="125" t="n">
        <v>584</v>
      </c>
      <c r="T991" s="5" t="n">
        <v>3450</v>
      </c>
      <c r="U991" s="125" t="n">
        <v>890</v>
      </c>
      <c r="X991" s="129">
        <f t="array" ref="X991">_xlfn.IFS((D991/F991) &lt;= (640/SQRT($AT$32)), "Compact", L991 &lt;= ($AT$32*(0.79-(0.002*((E991-G991/2)/(2*F991))*SQRT($AT$32)))), "Non-Compact", L991 &gt; ($AT$32*(0.79-(0.002*((E991-G991/2)/(2*F991))*SQRT($AT$32)))), "Slender")</f>
        <v/>
      </c>
      <c r="Y991" s="129">
        <f t="array" ref="Y991">_xlfn.IFS(K991 &lt;= (65/SQRT($AT$32)), "Compact", K991 &lt;= (95/SQRT($AT$32)), "Non-Compact", K991 &gt; (95/SQRT($AT$32)), "Slender")</f>
        <v/>
      </c>
      <c r="Z991" s="125">
        <f>E991/F991</f>
        <v/>
      </c>
      <c r="AA991" s="125">
        <f>D991/G991</f>
        <v/>
      </c>
      <c r="AB991" s="125">
        <f t="array" ref="AB991">_xlfn.IFS(Z991 &lt;= 9, "1", Z991 &lt;= 12, "2", Z991 &lt;= 15, "3", Z991 &gt; 15, "4")</f>
        <v/>
      </c>
      <c r="AC991" s="125">
        <f t="array" ref="AC991">_xlfn.IFS(AA991 &lt;= 200, "1", L991 &lt;= 300, "2", L991 &lt;= 400, "3", L991 &gt; 400, "4")</f>
        <v/>
      </c>
      <c r="AF991" s="129">
        <f>SQRT((((VLOOKUP($AT$4,$A$4:$D$1021,4,FALSE))-D991)^2)+(((VLOOKUP($AT$4,$A$4:$E$1021,5,FALSE))-E991)^2)+(((VLOOKUP($AT$4,$A$4:$N$1021,14,FALSE))-N991)^2)+(((VLOOKUP($AT$4,$A$4:$O$1021,15,FALSE))-O991)^2))</f>
        <v/>
      </c>
      <c r="AG991" s="129" t="n"/>
      <c r="AI991" s="129">
        <f>SQRT((((VLOOKUP($AT$4,$A$4:$D$1021,4,FALSE))-D991)^2)+(((VLOOKUP($AT$4,$A$4:$E$1021,5,FALSE))-E991)^2)+(((VLOOKUP($AT$4,$A$4:$R$1021,18,FALSE))-R991)^2)+(((VLOOKUP($AT$4,$A$4:$S$1021,19,FALSE))-S991)^2))</f>
        <v/>
      </c>
      <c r="AJ991" s="125" t="inlineStr">
        <is>
          <t>HY450X148</t>
        </is>
      </c>
      <c r="AK991" s="125" t="n"/>
      <c r="AL991" s="125" t="n"/>
      <c r="AM991" s="125">
        <f>SQRT(((VLOOKUP($AT$4,$A$4:$J$1021,10,FALSE))-J991)^2)</f>
        <v/>
      </c>
      <c r="AN991" s="125" t="n"/>
      <c r="AO991" s="125" t="n"/>
      <c r="AP991" s="125">
        <f>SQRT(((VLOOKUP($AT$4,$A$4:$R$1021,18,FALSE))-R991)^2)</f>
        <v/>
      </c>
      <c r="AQ991" s="125" t="inlineStr">
        <is>
          <t>HY450X148</t>
        </is>
      </c>
      <c r="BB991" s="125">
        <f>SQRT(($J$1022-J991)^2)</f>
        <v/>
      </c>
      <c r="BC991" s="125">
        <f>SQRT(($R$1022-R991)^2)</f>
        <v/>
      </c>
      <c r="BD991" s="125" t="inlineStr">
        <is>
          <t>HY450X148</t>
        </is>
      </c>
      <c r="BI991">
        <f>SQRT(($J$1023-J991)^2)</f>
        <v/>
      </c>
      <c r="BJ991">
        <f>SQRT(($R$1023-R991)^2)</f>
        <v/>
      </c>
      <c r="BK991" s="125" t="inlineStr">
        <is>
          <t>HY450X148</t>
        </is>
      </c>
      <c r="BP991">
        <f>SQRT(($J$1024-J991)^2)</f>
        <v/>
      </c>
      <c r="BQ991">
        <f>SQRT(($R$1024-R991)^2)</f>
        <v/>
      </c>
      <c r="BR991" s="125" t="inlineStr">
        <is>
          <t>HY450X148</t>
        </is>
      </c>
      <c r="BW991">
        <f>SQRT(($J$1025-J991)^2)</f>
        <v/>
      </c>
      <c r="BX991">
        <f>SQRT(($R$1025-R991)^2)</f>
        <v/>
      </c>
      <c r="BY991" s="125" t="inlineStr">
        <is>
          <t>HY450X148</t>
        </is>
      </c>
      <c r="CD991">
        <f>SQRT(($J$1026-J991)^2)</f>
        <v/>
      </c>
      <c r="CE991">
        <f>SQRT(($R$1026-R991)^2)</f>
        <v/>
      </c>
      <c r="CF991" s="125" t="inlineStr">
        <is>
          <t>HY450X148</t>
        </is>
      </c>
    </row>
    <row r="992">
      <c r="A992" s="125" t="inlineStr">
        <is>
          <t>HY450X137</t>
        </is>
      </c>
      <c r="B992" s="129" t="inlineStr">
        <is>
          <t>HY</t>
        </is>
      </c>
      <c r="C992" s="125" t="n">
        <v>137</v>
      </c>
      <c r="D992" s="125" t="n">
        <v>450</v>
      </c>
      <c r="E992" s="125" t="n">
        <v>250</v>
      </c>
      <c r="F992" s="125" t="n">
        <v>25</v>
      </c>
      <c r="G992" s="125" t="n">
        <v>12</v>
      </c>
      <c r="H992" s="125" t="n">
        <v>13</v>
      </c>
      <c r="I992" s="125">
        <f>D992-(2*(H992+F992))</f>
        <v/>
      </c>
      <c r="J992" s="125">
        <f>(2*E992/10*F992/10)+((D992-F992-F992)/10*G992/10)+((H992/10+H992/10)^2)-(PI()*H992/10*H992/10)</f>
        <v/>
      </c>
      <c r="K992" s="125">
        <f>((E992-G992)/2)/F992</f>
        <v/>
      </c>
      <c r="L992" s="125">
        <f>I992/G992</f>
        <v/>
      </c>
      <c r="M992" s="125">
        <f>(E992*2+F992*4+((E992-G992)/2-H992)*4+2*PI()*H992+(D992-2*F992-2*H992)*2)/1000</f>
        <v/>
      </c>
      <c r="N992" s="5" t="n">
        <v>63500</v>
      </c>
      <c r="O992" s="5" t="n">
        <v>6520</v>
      </c>
      <c r="P992" s="125" t="n">
        <v>19.1</v>
      </c>
      <c r="Q992" s="125" t="n">
        <v>6.1</v>
      </c>
      <c r="R992" s="5" t="n">
        <v>2820</v>
      </c>
      <c r="S992" s="125" t="n">
        <v>521</v>
      </c>
      <c r="T992" s="5" t="n">
        <v>3160</v>
      </c>
      <c r="U992" s="125" t="n">
        <v>797</v>
      </c>
      <c r="X992" s="129">
        <f t="array" ref="X992">_xlfn.IFS((D992/F992) &lt;= (640/SQRT($AT$32)), "Compact", L992 &lt;= ($AT$32*(0.79-(0.002*((E992-G992/2)/(2*F992))*SQRT($AT$32)))), "Non-Compact", L992 &gt; ($AT$32*(0.79-(0.002*((E992-G992/2)/(2*F992))*SQRT($AT$32)))), "Slender")</f>
        <v/>
      </c>
      <c r="Y992" s="129">
        <f t="array" ref="Y992">_xlfn.IFS(K992 &lt;= (65/SQRT($AT$32)), "Compact", K992 &lt;= (95/SQRT($AT$32)), "Non-Compact", K992 &gt; (95/SQRT($AT$32)), "Slender")</f>
        <v/>
      </c>
      <c r="Z992" s="125">
        <f>E992/F992</f>
        <v/>
      </c>
      <c r="AA992" s="125">
        <f>D992/G992</f>
        <v/>
      </c>
      <c r="AB992" s="125">
        <f t="array" ref="AB992">_xlfn.IFS(Z992 &lt;= 9, "1", Z992 &lt;= 12, "2", Z992 &lt;= 15, "3", Z992 &gt; 15, "4")</f>
        <v/>
      </c>
      <c r="AC992" s="125">
        <f t="array" ref="AC992">_xlfn.IFS(AA992 &lt;= 200, "1", L992 &lt;= 300, "2", L992 &lt;= 400, "3", L992 &gt; 400, "4")</f>
        <v/>
      </c>
      <c r="AF992" s="129">
        <f>SQRT((((VLOOKUP($AT$4,$A$4:$D$1021,4,FALSE))-D992)^2)+(((VLOOKUP($AT$4,$A$4:$E$1021,5,FALSE))-E992)^2)+(((VLOOKUP($AT$4,$A$4:$N$1021,14,FALSE))-N992)^2)+(((VLOOKUP($AT$4,$A$4:$O$1021,15,FALSE))-O992)^2))</f>
        <v/>
      </c>
      <c r="AG992" s="129" t="n"/>
      <c r="AI992" s="129">
        <f>SQRT((((VLOOKUP($AT$4,$A$4:$D$1021,4,FALSE))-D992)^2)+(((VLOOKUP($AT$4,$A$4:$E$1021,5,FALSE))-E992)^2)+(((VLOOKUP($AT$4,$A$4:$R$1021,18,FALSE))-R992)^2)+(((VLOOKUP($AT$4,$A$4:$S$1021,19,FALSE))-S992)^2))</f>
        <v/>
      </c>
      <c r="AJ992" s="125" t="inlineStr">
        <is>
          <t>HY450X137</t>
        </is>
      </c>
      <c r="AK992" s="125" t="n"/>
      <c r="AL992" s="125" t="n"/>
      <c r="AM992" s="125">
        <f>SQRT(((VLOOKUP($AT$4,$A$4:$J$1021,10,FALSE))-J992)^2)</f>
        <v/>
      </c>
      <c r="AN992" s="125" t="n"/>
      <c r="AO992" s="125" t="n"/>
      <c r="AP992" s="125">
        <f>SQRT(((VLOOKUP($AT$4,$A$4:$R$1021,18,FALSE))-R992)^2)</f>
        <v/>
      </c>
      <c r="AQ992" s="125" t="inlineStr">
        <is>
          <t>HY450X137</t>
        </is>
      </c>
      <c r="BB992" s="125">
        <f>SQRT(($J$1022-J992)^2)</f>
        <v/>
      </c>
      <c r="BC992" s="125">
        <f>SQRT(($R$1022-R992)^2)</f>
        <v/>
      </c>
      <c r="BD992" s="125" t="inlineStr">
        <is>
          <t>HY450X137</t>
        </is>
      </c>
      <c r="BI992">
        <f>SQRT(($J$1023-J992)^2)</f>
        <v/>
      </c>
      <c r="BJ992">
        <f>SQRT(($R$1023-R992)^2)</f>
        <v/>
      </c>
      <c r="BK992" s="125" t="inlineStr">
        <is>
          <t>HY450X137</t>
        </is>
      </c>
      <c r="BP992">
        <f>SQRT(($J$1024-J992)^2)</f>
        <v/>
      </c>
      <c r="BQ992">
        <f>SQRT(($R$1024-R992)^2)</f>
        <v/>
      </c>
      <c r="BR992" s="125" t="inlineStr">
        <is>
          <t>HY450X137</t>
        </is>
      </c>
      <c r="BW992">
        <f>SQRT(($J$1025-J992)^2)</f>
        <v/>
      </c>
      <c r="BX992">
        <f>SQRT(($R$1025-R992)^2)</f>
        <v/>
      </c>
      <c r="BY992" s="125" t="inlineStr">
        <is>
          <t>HY450X137</t>
        </is>
      </c>
      <c r="CD992">
        <f>SQRT(($J$1026-J992)^2)</f>
        <v/>
      </c>
      <c r="CE992">
        <f>SQRT(($R$1026-R992)^2)</f>
        <v/>
      </c>
      <c r="CF992" s="125" t="inlineStr">
        <is>
          <t>HY450X137</t>
        </is>
      </c>
    </row>
    <row r="993">
      <c r="A993" s="125" t="inlineStr">
        <is>
          <t>HY450X126</t>
        </is>
      </c>
      <c r="B993" s="129" t="inlineStr">
        <is>
          <t>HY</t>
        </is>
      </c>
      <c r="C993" s="125" t="n">
        <v>126</v>
      </c>
      <c r="D993" s="125" t="n">
        <v>450</v>
      </c>
      <c r="E993" s="125" t="n">
        <v>250</v>
      </c>
      <c r="F993" s="125" t="n">
        <v>22</v>
      </c>
      <c r="G993" s="125" t="n">
        <v>12</v>
      </c>
      <c r="H993" s="125" t="n">
        <v>13</v>
      </c>
      <c r="I993" s="125">
        <f>D993-(2*(H993+F993))</f>
        <v/>
      </c>
      <c r="J993" s="125">
        <f>(2*E993/10*F993/10)+((D993-F993-F993)/10*G993/10)+((H993/10+H993/10)^2)-(PI()*H993/10*H993/10)</f>
        <v/>
      </c>
      <c r="K993" s="125">
        <f>((E993-G993)/2)/F993</f>
        <v/>
      </c>
      <c r="L993" s="125">
        <f>I993/G993</f>
        <v/>
      </c>
      <c r="M993" s="125">
        <f>(E993*2+F993*4+((E993-G993)/2-H993)*4+2*PI()*H993+(D993-2*F993-2*H993)*2)/1000</f>
        <v/>
      </c>
      <c r="N993" s="5" t="n">
        <v>57700</v>
      </c>
      <c r="O993" s="5" t="n">
        <v>5740</v>
      </c>
      <c r="P993" s="125" t="n">
        <v>19</v>
      </c>
      <c r="Q993" s="125" t="n">
        <v>6</v>
      </c>
      <c r="R993" s="5" t="n">
        <v>2560</v>
      </c>
      <c r="S993" s="125" t="n">
        <v>459</v>
      </c>
      <c r="T993" s="5" t="n">
        <v>2880</v>
      </c>
      <c r="U993" s="125" t="n">
        <v>703</v>
      </c>
      <c r="X993" s="129">
        <f t="array" ref="X993">_xlfn.IFS((D993/F993) &lt;= (640/SQRT($AT$32)), "Compact", L993 &lt;= ($AT$32*(0.79-(0.002*((E993-G993/2)/(2*F993))*SQRT($AT$32)))), "Non-Compact", L993 &gt; ($AT$32*(0.79-(0.002*((E993-G993/2)/(2*F993))*SQRT($AT$32)))), "Slender")</f>
        <v/>
      </c>
      <c r="Y993" s="129">
        <f t="array" ref="Y993">_xlfn.IFS(K993 &lt;= (65/SQRT($AT$32)), "Compact", K993 &lt;= (95/SQRT($AT$32)), "Non-Compact", K993 &gt; (95/SQRT($AT$32)), "Slender")</f>
        <v/>
      </c>
      <c r="Z993" s="125">
        <f>E993/F993</f>
        <v/>
      </c>
      <c r="AA993" s="125">
        <f>D993/G993</f>
        <v/>
      </c>
      <c r="AB993" s="125">
        <f t="array" ref="AB993">_xlfn.IFS(Z993 &lt;= 9, "1", Z993 &lt;= 12, "2", Z993 &lt;= 15, "3", Z993 &gt; 15, "4")</f>
        <v/>
      </c>
      <c r="AC993" s="125">
        <f t="array" ref="AC993">_xlfn.IFS(AA993 &lt;= 200, "1", L993 &lt;= 300, "2", L993 &lt;= 400, "3", L993 &gt; 400, "4")</f>
        <v/>
      </c>
      <c r="AF993" s="129">
        <f>SQRT((((VLOOKUP($AT$4,$A$4:$D$1021,4,FALSE))-D993)^2)+(((VLOOKUP($AT$4,$A$4:$E$1021,5,FALSE))-E993)^2)+(((VLOOKUP($AT$4,$A$4:$N$1021,14,FALSE))-N993)^2)+(((VLOOKUP($AT$4,$A$4:$O$1021,15,FALSE))-O993)^2))</f>
        <v/>
      </c>
      <c r="AG993" s="129" t="n"/>
      <c r="AI993" s="129">
        <f>SQRT((((VLOOKUP($AT$4,$A$4:$D$1021,4,FALSE))-D993)^2)+(((VLOOKUP($AT$4,$A$4:$E$1021,5,FALSE))-E993)^2)+(((VLOOKUP($AT$4,$A$4:$R$1021,18,FALSE))-R993)^2)+(((VLOOKUP($AT$4,$A$4:$S$1021,19,FALSE))-S993)^2))</f>
        <v/>
      </c>
      <c r="AJ993" s="125" t="inlineStr">
        <is>
          <t>HY450X126</t>
        </is>
      </c>
      <c r="AK993" s="125" t="n"/>
      <c r="AL993" s="125" t="n"/>
      <c r="AM993" s="125">
        <f>SQRT(((VLOOKUP($AT$4,$A$4:$J$1021,10,FALSE))-J993)^2)</f>
        <v/>
      </c>
      <c r="AN993" s="125" t="n"/>
      <c r="AO993" s="125" t="n"/>
      <c r="AP993" s="125">
        <f>SQRT(((VLOOKUP($AT$4,$A$4:$R$1021,18,FALSE))-R993)^2)</f>
        <v/>
      </c>
      <c r="AQ993" s="125" t="inlineStr">
        <is>
          <t>HY450X126</t>
        </is>
      </c>
      <c r="BB993" s="125">
        <f>SQRT(($J$1022-J993)^2)</f>
        <v/>
      </c>
      <c r="BC993" s="125">
        <f>SQRT(($R$1022-R993)^2)</f>
        <v/>
      </c>
      <c r="BD993" s="125" t="inlineStr">
        <is>
          <t>HY450X126</t>
        </is>
      </c>
      <c r="BI993">
        <f>SQRT(($J$1023-J993)^2)</f>
        <v/>
      </c>
      <c r="BJ993">
        <f>SQRT(($R$1023-R993)^2)</f>
        <v/>
      </c>
      <c r="BK993" s="125" t="inlineStr">
        <is>
          <t>HY450X126</t>
        </is>
      </c>
      <c r="BP993">
        <f>SQRT(($J$1024-J993)^2)</f>
        <v/>
      </c>
      <c r="BQ993">
        <f>SQRT(($R$1024-R993)^2)</f>
        <v/>
      </c>
      <c r="BR993" s="125" t="inlineStr">
        <is>
          <t>HY450X126</t>
        </is>
      </c>
      <c r="BW993">
        <f>SQRT(($J$1025-J993)^2)</f>
        <v/>
      </c>
      <c r="BX993">
        <f>SQRT(($R$1025-R993)^2)</f>
        <v/>
      </c>
      <c r="BY993" s="125" t="inlineStr">
        <is>
          <t>HY450X126</t>
        </is>
      </c>
      <c r="CD993">
        <f>SQRT(($J$1026-J993)^2)</f>
        <v/>
      </c>
      <c r="CE993">
        <f>SQRT(($R$1026-R993)^2)</f>
        <v/>
      </c>
      <c r="CF993" s="125" t="inlineStr">
        <is>
          <t>HY450X126</t>
        </is>
      </c>
    </row>
    <row r="994">
      <c r="A994" s="125" t="inlineStr">
        <is>
          <t>HY450X115</t>
        </is>
      </c>
      <c r="B994" s="129" t="inlineStr">
        <is>
          <t>HY</t>
        </is>
      </c>
      <c r="C994" s="125" t="n">
        <v>115</v>
      </c>
      <c r="D994" s="125" t="n">
        <v>450</v>
      </c>
      <c r="E994" s="125" t="n">
        <v>250</v>
      </c>
      <c r="F994" s="125" t="n">
        <v>19</v>
      </c>
      <c r="G994" s="125" t="n">
        <v>12</v>
      </c>
      <c r="H994" s="125" t="n">
        <v>13</v>
      </c>
      <c r="I994" s="125">
        <f>D994-(2*(H994+F994))</f>
        <v/>
      </c>
      <c r="J994" s="125">
        <f>(2*E994/10*F994/10)+((D994-F994-F994)/10*G994/10)+((H994/10+H994/10)^2)-(PI()*H994/10*H994/10)</f>
        <v/>
      </c>
      <c r="K994" s="125">
        <f>((E994-G994)/2)/F994</f>
        <v/>
      </c>
      <c r="L994" s="125">
        <f>I994/G994</f>
        <v/>
      </c>
      <c r="M994" s="125">
        <f>(E994*2+F994*4+((E994-G994)/2-H994)*4+2*PI()*H994+(D994-2*F994-2*H994)*2)/1000</f>
        <v/>
      </c>
      <c r="N994" s="5" t="n">
        <v>51700</v>
      </c>
      <c r="O994" s="5" t="n">
        <v>4960</v>
      </c>
      <c r="P994" s="125" t="n">
        <v>18.8</v>
      </c>
      <c r="Q994" s="125" t="n">
        <v>5.8</v>
      </c>
      <c r="R994" s="5" t="n">
        <v>2300</v>
      </c>
      <c r="S994" s="125" t="n">
        <v>396</v>
      </c>
      <c r="T994" s="5" t="n">
        <v>2590</v>
      </c>
      <c r="U994" s="125" t="n">
        <v>610</v>
      </c>
      <c r="X994" s="129">
        <f t="array" ref="X994">_xlfn.IFS((D994/F994) &lt;= (640/SQRT($AT$32)), "Compact", L994 &lt;= ($AT$32*(0.79-(0.002*((E994-G994/2)/(2*F994))*SQRT($AT$32)))), "Non-Compact", L994 &gt; ($AT$32*(0.79-(0.002*((E994-G994/2)/(2*F994))*SQRT($AT$32)))), "Slender")</f>
        <v/>
      </c>
      <c r="Y994" s="129">
        <f t="array" ref="Y994">_xlfn.IFS(K994 &lt;= (65/SQRT($AT$32)), "Compact", K994 &lt;= (95/SQRT($AT$32)), "Non-Compact", K994 &gt; (95/SQRT($AT$32)), "Slender")</f>
        <v/>
      </c>
      <c r="Z994" s="125">
        <f>E994/F994</f>
        <v/>
      </c>
      <c r="AA994" s="125">
        <f>D994/G994</f>
        <v/>
      </c>
      <c r="AB994" s="125">
        <f t="array" ref="AB994">_xlfn.IFS(Z994 &lt;= 9, "1", Z994 &lt;= 12, "2", Z994 &lt;= 15, "3", Z994 &gt; 15, "4")</f>
        <v/>
      </c>
      <c r="AC994" s="125">
        <f t="array" ref="AC994">_xlfn.IFS(AA994 &lt;= 200, "1", L994 &lt;= 300, "2", L994 &lt;= 400, "3", L994 &gt; 400, "4")</f>
        <v/>
      </c>
      <c r="AF994" s="129">
        <f>SQRT((((VLOOKUP($AT$4,$A$4:$D$1021,4,FALSE))-D994)^2)+(((VLOOKUP($AT$4,$A$4:$E$1021,5,FALSE))-E994)^2)+(((VLOOKUP($AT$4,$A$4:$N$1021,14,FALSE))-N994)^2)+(((VLOOKUP($AT$4,$A$4:$O$1021,15,FALSE))-O994)^2))</f>
        <v/>
      </c>
      <c r="AG994" s="129" t="n"/>
      <c r="AI994" s="129">
        <f>SQRT((((VLOOKUP($AT$4,$A$4:$D$1021,4,FALSE))-D994)^2)+(((VLOOKUP($AT$4,$A$4:$E$1021,5,FALSE))-E994)^2)+(((VLOOKUP($AT$4,$A$4:$R$1021,18,FALSE))-R994)^2)+(((VLOOKUP($AT$4,$A$4:$S$1021,19,FALSE))-S994)^2))</f>
        <v/>
      </c>
      <c r="AJ994" s="125" t="inlineStr">
        <is>
          <t>HY450X115</t>
        </is>
      </c>
      <c r="AK994" s="125" t="n"/>
      <c r="AL994" s="125" t="n"/>
      <c r="AM994" s="125">
        <f>SQRT(((VLOOKUP($AT$4,$A$4:$J$1021,10,FALSE))-J994)^2)</f>
        <v/>
      </c>
      <c r="AN994" s="125" t="n"/>
      <c r="AO994" s="125" t="n"/>
      <c r="AP994" s="125">
        <f>SQRT(((VLOOKUP($AT$4,$A$4:$R$1021,18,FALSE))-R994)^2)</f>
        <v/>
      </c>
      <c r="AQ994" s="125" t="inlineStr">
        <is>
          <t>HY450X115</t>
        </is>
      </c>
      <c r="BB994" s="125">
        <f>SQRT(($J$1022-J994)^2)</f>
        <v/>
      </c>
      <c r="BC994" s="125">
        <f>SQRT(($R$1022-R994)^2)</f>
        <v/>
      </c>
      <c r="BD994" s="125" t="inlineStr">
        <is>
          <t>HY450X115</t>
        </is>
      </c>
      <c r="BI994">
        <f>SQRT(($J$1023-J994)^2)</f>
        <v/>
      </c>
      <c r="BJ994">
        <f>SQRT(($R$1023-R994)^2)</f>
        <v/>
      </c>
      <c r="BK994" s="125" t="inlineStr">
        <is>
          <t>HY450X115</t>
        </is>
      </c>
      <c r="BP994">
        <f>SQRT(($J$1024-J994)^2)</f>
        <v/>
      </c>
      <c r="BQ994">
        <f>SQRT(($R$1024-R994)^2)</f>
        <v/>
      </c>
      <c r="BR994" s="125" t="inlineStr">
        <is>
          <t>HY450X115</t>
        </is>
      </c>
      <c r="BW994">
        <f>SQRT(($J$1025-J994)^2)</f>
        <v/>
      </c>
      <c r="BX994">
        <f>SQRT(($R$1025-R994)^2)</f>
        <v/>
      </c>
      <c r="BY994" s="125" t="inlineStr">
        <is>
          <t>HY450X115</t>
        </is>
      </c>
      <c r="CD994">
        <f>SQRT(($J$1026-J994)^2)</f>
        <v/>
      </c>
      <c r="CE994">
        <f>SQRT(($R$1026-R994)^2)</f>
        <v/>
      </c>
      <c r="CF994" s="125" t="inlineStr">
        <is>
          <t>HY450X115</t>
        </is>
      </c>
    </row>
    <row r="995">
      <c r="A995" s="125" t="inlineStr">
        <is>
          <t>HY450X103</t>
        </is>
      </c>
      <c r="B995" s="129" t="inlineStr">
        <is>
          <t>HY</t>
        </is>
      </c>
      <c r="C995" s="125" t="n">
        <v>103</v>
      </c>
      <c r="D995" s="125" t="n">
        <v>450</v>
      </c>
      <c r="E995" s="125" t="n">
        <v>250</v>
      </c>
      <c r="F995" s="125" t="n">
        <v>16</v>
      </c>
      <c r="G995" s="125" t="n">
        <v>12</v>
      </c>
      <c r="H995" s="125" t="n">
        <v>13</v>
      </c>
      <c r="I995" s="125">
        <f>D995-(2*(H995+F995))</f>
        <v/>
      </c>
      <c r="J995" s="125">
        <f>(2*E995/10*F995/10)+((D995-F995-F995)/10*G995/10)+((H995/10+H995/10)^2)-(PI()*H995/10*H995/10)</f>
        <v/>
      </c>
      <c r="K995" s="125">
        <f>((E995-G995)/2)/F995</f>
        <v/>
      </c>
      <c r="L995" s="125">
        <f>I995/G995</f>
        <v/>
      </c>
      <c r="M995" s="125">
        <f>(E995*2+F995*4+((E995-G995)/2-H995)*4+2*PI()*H995+(D995-2*F995-2*H995)*2)/1000</f>
        <v/>
      </c>
      <c r="N995" s="5" t="n">
        <v>45600</v>
      </c>
      <c r="O995" s="5" t="n">
        <v>4170</v>
      </c>
      <c r="P995" s="125" t="n">
        <v>18.6</v>
      </c>
      <c r="Q995" s="125" t="n">
        <v>5.6</v>
      </c>
      <c r="R995" s="5" t="n">
        <v>2030</v>
      </c>
      <c r="S995" s="125" t="n">
        <v>334</v>
      </c>
      <c r="T995" s="5" t="n">
        <v>2290</v>
      </c>
      <c r="U995" s="125" t="n">
        <v>516</v>
      </c>
      <c r="X995" s="129">
        <f t="array" ref="X995">_xlfn.IFS((D995/F995) &lt;= (640/SQRT($AT$32)), "Compact", L995 &lt;= ($AT$32*(0.79-(0.002*((E995-G995/2)/(2*F995))*SQRT($AT$32)))), "Non-Compact", L995 &gt; ($AT$32*(0.79-(0.002*((E995-G995/2)/(2*F995))*SQRT($AT$32)))), "Slender")</f>
        <v/>
      </c>
      <c r="Y995" s="129">
        <f t="array" ref="Y995">_xlfn.IFS(K995 &lt;= (65/SQRT($AT$32)), "Compact", K995 &lt;= (95/SQRT($AT$32)), "Non-Compact", K995 &gt; (95/SQRT($AT$32)), "Slender")</f>
        <v/>
      </c>
      <c r="Z995" s="125">
        <f>E995/F995</f>
        <v/>
      </c>
      <c r="AA995" s="125">
        <f>D995/G995</f>
        <v/>
      </c>
      <c r="AB995" s="125">
        <f t="array" ref="AB995">_xlfn.IFS(Z995 &lt;= 9, "1", Z995 &lt;= 12, "2", Z995 &lt;= 15, "3", Z995 &gt; 15, "4")</f>
        <v/>
      </c>
      <c r="AC995" s="125">
        <f t="array" ref="AC995">_xlfn.IFS(AA995 &lt;= 200, "1", L995 &lt;= 300, "2", L995 &lt;= 400, "3", L995 &gt; 400, "4")</f>
        <v/>
      </c>
      <c r="AF995" s="129">
        <f>SQRT((((VLOOKUP($AT$4,$A$4:$D$1021,4,FALSE))-D995)^2)+(((VLOOKUP($AT$4,$A$4:$E$1021,5,FALSE))-E995)^2)+(((VLOOKUP($AT$4,$A$4:$N$1021,14,FALSE))-N995)^2)+(((VLOOKUP($AT$4,$A$4:$O$1021,15,FALSE))-O995)^2))</f>
        <v/>
      </c>
      <c r="AG995" s="129" t="n"/>
      <c r="AI995" s="129">
        <f>SQRT((((VLOOKUP($AT$4,$A$4:$D$1021,4,FALSE))-D995)^2)+(((VLOOKUP($AT$4,$A$4:$E$1021,5,FALSE))-E995)^2)+(((VLOOKUP($AT$4,$A$4:$R$1021,18,FALSE))-R995)^2)+(((VLOOKUP($AT$4,$A$4:$S$1021,19,FALSE))-S995)^2))</f>
        <v/>
      </c>
      <c r="AJ995" s="125" t="inlineStr">
        <is>
          <t>HY450X103</t>
        </is>
      </c>
      <c r="AK995" s="125" t="n"/>
      <c r="AL995" s="125" t="n"/>
      <c r="AM995" s="125">
        <f>SQRT(((VLOOKUP($AT$4,$A$4:$J$1021,10,FALSE))-J995)^2)</f>
        <v/>
      </c>
      <c r="AN995" s="125" t="n"/>
      <c r="AO995" s="125" t="n"/>
      <c r="AP995" s="125">
        <f>SQRT(((VLOOKUP($AT$4,$A$4:$R$1021,18,FALSE))-R995)^2)</f>
        <v/>
      </c>
      <c r="AQ995" s="125" t="inlineStr">
        <is>
          <t>HY450X103</t>
        </is>
      </c>
      <c r="BB995" s="125">
        <f>SQRT(($J$1022-J995)^2)</f>
        <v/>
      </c>
      <c r="BC995" s="125">
        <f>SQRT(($R$1022-R995)^2)</f>
        <v/>
      </c>
      <c r="BD995" s="125" t="inlineStr">
        <is>
          <t>HY450X103</t>
        </is>
      </c>
      <c r="BI995">
        <f>SQRT(($J$1023-J995)^2)</f>
        <v/>
      </c>
      <c r="BJ995">
        <f>SQRT(($R$1023-R995)^2)</f>
        <v/>
      </c>
      <c r="BK995" s="125" t="inlineStr">
        <is>
          <t>HY450X103</t>
        </is>
      </c>
      <c r="BP995">
        <f>SQRT(($J$1024-J995)^2)</f>
        <v/>
      </c>
      <c r="BQ995">
        <f>SQRT(($R$1024-R995)^2)</f>
        <v/>
      </c>
      <c r="BR995" s="125" t="inlineStr">
        <is>
          <t>HY450X103</t>
        </is>
      </c>
      <c r="BW995">
        <f>SQRT(($J$1025-J995)^2)</f>
        <v/>
      </c>
      <c r="BX995">
        <f>SQRT(($R$1025-R995)^2)</f>
        <v/>
      </c>
      <c r="BY995" s="125" t="inlineStr">
        <is>
          <t>HY450X103</t>
        </is>
      </c>
      <c r="CD995">
        <f>SQRT(($J$1026-J995)^2)</f>
        <v/>
      </c>
      <c r="CE995">
        <f>SQRT(($R$1026-R995)^2)</f>
        <v/>
      </c>
      <c r="CF995" s="125" t="inlineStr">
        <is>
          <t>HY450X103</t>
        </is>
      </c>
    </row>
    <row r="996">
      <c r="A996" s="125" t="inlineStr">
        <is>
          <t>HY450X116</t>
        </is>
      </c>
      <c r="B996" s="129" t="inlineStr">
        <is>
          <t>HY</t>
        </is>
      </c>
      <c r="C996" s="125" t="n">
        <v>116</v>
      </c>
      <c r="D996" s="125" t="n">
        <v>450</v>
      </c>
      <c r="E996" s="125" t="n">
        <v>250</v>
      </c>
      <c r="F996" s="125" t="n">
        <v>22</v>
      </c>
      <c r="G996" s="125" t="n">
        <v>9</v>
      </c>
      <c r="H996" s="125" t="n">
        <v>13</v>
      </c>
      <c r="I996" s="125">
        <f>D996-(2*(H996+F996))</f>
        <v/>
      </c>
      <c r="J996" s="125">
        <f>(2*E996/10*F996/10)+((D996-F996-F996)/10*G996/10)+((H996/10+H996/10)^2)-(PI()*H996/10*H996/10)</f>
        <v/>
      </c>
      <c r="K996" s="125">
        <f>((E996-G996)/2)/F996</f>
        <v/>
      </c>
      <c r="L996" s="125">
        <f>I996/G996</f>
        <v/>
      </c>
      <c r="M996" s="125">
        <f>(E996*2+F996*4+((E996-G996)/2-H996)*4+2*PI()*H996+(D996-2*F996-2*H996)*2)/1000</f>
        <v/>
      </c>
      <c r="N996" s="5" t="n">
        <v>56000</v>
      </c>
      <c r="O996" s="5" t="n">
        <v>5730</v>
      </c>
      <c r="P996" s="125" t="n">
        <v>19.5</v>
      </c>
      <c r="Q996" s="125" t="n">
        <v>6.2</v>
      </c>
      <c r="R996" s="5" t="n">
        <v>2490</v>
      </c>
      <c r="S996" s="125" t="n">
        <v>459</v>
      </c>
      <c r="T996" s="5" t="n">
        <v>2750</v>
      </c>
      <c r="U996" s="125" t="n">
        <v>697</v>
      </c>
      <c r="X996" s="129">
        <f t="array" ref="X996">_xlfn.IFS((D996/F996) &lt;= (640/SQRT($AT$32)), "Compact", L996 &lt;= ($AT$32*(0.79-(0.002*((E996-G996/2)/(2*F996))*SQRT($AT$32)))), "Non-Compact", L996 &gt; ($AT$32*(0.79-(0.002*((E996-G996/2)/(2*F996))*SQRT($AT$32)))), "Slender")</f>
        <v/>
      </c>
      <c r="Y996" s="129">
        <f t="array" ref="Y996">_xlfn.IFS(K996 &lt;= (65/SQRT($AT$32)), "Compact", K996 &lt;= (95/SQRT($AT$32)), "Non-Compact", K996 &gt; (95/SQRT($AT$32)), "Slender")</f>
        <v/>
      </c>
      <c r="Z996" s="125">
        <f>E996/F996</f>
        <v/>
      </c>
      <c r="AA996" s="125">
        <f>D996/G996</f>
        <v/>
      </c>
      <c r="AB996" s="125">
        <f t="array" ref="AB996">_xlfn.IFS(Z996 &lt;= 9, "1", Z996 &lt;= 12, "2", Z996 &lt;= 15, "3", Z996 &gt; 15, "4")</f>
        <v/>
      </c>
      <c r="AC996" s="125">
        <f t="array" ref="AC996">_xlfn.IFS(AA996 &lt;= 200, "1", L996 &lt;= 300, "2", L996 &lt;= 400, "3", L996 &gt; 400, "4")</f>
        <v/>
      </c>
      <c r="AF996" s="129">
        <f>SQRT((((VLOOKUP($AT$4,$A$4:$D$1021,4,FALSE))-D996)^2)+(((VLOOKUP($AT$4,$A$4:$E$1021,5,FALSE))-E996)^2)+(((VLOOKUP($AT$4,$A$4:$N$1021,14,FALSE))-N996)^2)+(((VLOOKUP($AT$4,$A$4:$O$1021,15,FALSE))-O996)^2))</f>
        <v/>
      </c>
      <c r="AG996" s="129" t="n"/>
      <c r="AI996" s="129">
        <f>SQRT((((VLOOKUP($AT$4,$A$4:$D$1021,4,FALSE))-D996)^2)+(((VLOOKUP($AT$4,$A$4:$E$1021,5,FALSE))-E996)^2)+(((VLOOKUP($AT$4,$A$4:$R$1021,18,FALSE))-R996)^2)+(((VLOOKUP($AT$4,$A$4:$S$1021,19,FALSE))-S996)^2))</f>
        <v/>
      </c>
      <c r="AJ996" s="125" t="inlineStr">
        <is>
          <t>HY450X116</t>
        </is>
      </c>
      <c r="AK996" s="125" t="n"/>
      <c r="AL996" s="125" t="n"/>
      <c r="AM996" s="125">
        <f>SQRT(((VLOOKUP($AT$4,$A$4:$J$1021,10,FALSE))-J996)^2)</f>
        <v/>
      </c>
      <c r="AN996" s="125" t="n"/>
      <c r="AO996" s="125" t="n"/>
      <c r="AP996" s="125">
        <f>SQRT(((VLOOKUP($AT$4,$A$4:$R$1021,18,FALSE))-R996)^2)</f>
        <v/>
      </c>
      <c r="AQ996" s="125" t="inlineStr">
        <is>
          <t>HY450X116</t>
        </is>
      </c>
      <c r="BB996" s="125">
        <f>SQRT(($J$1022-J996)^2)</f>
        <v/>
      </c>
      <c r="BC996" s="125">
        <f>SQRT(($R$1022-R996)^2)</f>
        <v/>
      </c>
      <c r="BD996" s="125" t="inlineStr">
        <is>
          <t>HY450X116</t>
        </is>
      </c>
      <c r="BI996">
        <f>SQRT(($J$1023-J996)^2)</f>
        <v/>
      </c>
      <c r="BJ996">
        <f>SQRT(($R$1023-R996)^2)</f>
        <v/>
      </c>
      <c r="BK996" s="125" t="inlineStr">
        <is>
          <t>HY450X116</t>
        </is>
      </c>
      <c r="BP996">
        <f>SQRT(($J$1024-J996)^2)</f>
        <v/>
      </c>
      <c r="BQ996">
        <f>SQRT(($R$1024-R996)^2)</f>
        <v/>
      </c>
      <c r="BR996" s="125" t="inlineStr">
        <is>
          <t>HY450X116</t>
        </is>
      </c>
      <c r="BW996">
        <f>SQRT(($J$1025-J996)^2)</f>
        <v/>
      </c>
      <c r="BX996">
        <f>SQRT(($R$1025-R996)^2)</f>
        <v/>
      </c>
      <c r="BY996" s="125" t="inlineStr">
        <is>
          <t>HY450X116</t>
        </is>
      </c>
      <c r="CD996">
        <f>SQRT(($J$1026-J996)^2)</f>
        <v/>
      </c>
      <c r="CE996">
        <f>SQRT(($R$1026-R996)^2)</f>
        <v/>
      </c>
      <c r="CF996" s="125" t="inlineStr">
        <is>
          <t>HY450X116</t>
        </is>
      </c>
    </row>
    <row r="997">
      <c r="A997" s="125" t="inlineStr">
        <is>
          <t>HY450X105</t>
        </is>
      </c>
      <c r="B997" s="129" t="inlineStr">
        <is>
          <t>HY</t>
        </is>
      </c>
      <c r="C997" s="125" t="n">
        <v>105</v>
      </c>
      <c r="D997" s="125" t="n">
        <v>450</v>
      </c>
      <c r="E997" s="125" t="n">
        <v>250</v>
      </c>
      <c r="F997" s="125" t="n">
        <v>19</v>
      </c>
      <c r="G997" s="125" t="n">
        <v>9</v>
      </c>
      <c r="H997" s="125" t="n">
        <v>13</v>
      </c>
      <c r="I997" s="125">
        <f>D997-(2*(H997+F997))</f>
        <v/>
      </c>
      <c r="J997" s="125">
        <f>(2*E997/10*F997/10)+((D997-F997-F997)/10*G997/10)+((H997/10+H997/10)^2)-(PI()*H997/10*H997/10)</f>
        <v/>
      </c>
      <c r="K997" s="125">
        <f>((E997-G997)/2)/F997</f>
        <v/>
      </c>
      <c r="L997" s="125">
        <f>I997/G997</f>
        <v/>
      </c>
      <c r="M997" s="125">
        <f>(E997*2+F997*4+((E997-G997)/2-H997)*4+2*PI()*H997+(D997-2*F997-2*H997)*2)/1000</f>
        <v/>
      </c>
      <c r="N997" s="5" t="n">
        <v>50000</v>
      </c>
      <c r="O997" s="5" t="n">
        <v>4950</v>
      </c>
      <c r="P997" s="125" t="n">
        <v>19.3</v>
      </c>
      <c r="Q997" s="125" t="n">
        <v>6.1</v>
      </c>
      <c r="R997" s="5" t="n">
        <v>2220</v>
      </c>
      <c r="S997" s="125" t="n">
        <v>396</v>
      </c>
      <c r="T997" s="5" t="n">
        <v>2460</v>
      </c>
      <c r="U997" s="125" t="n">
        <v>603</v>
      </c>
      <c r="X997" s="129">
        <f t="array" ref="X997">_xlfn.IFS((D997/F997) &lt;= (640/SQRT($AT$32)), "Compact", L997 &lt;= ($AT$32*(0.79-(0.002*((E997-G997/2)/(2*F997))*SQRT($AT$32)))), "Non-Compact", L997 &gt; ($AT$32*(0.79-(0.002*((E997-G997/2)/(2*F997))*SQRT($AT$32)))), "Slender")</f>
        <v/>
      </c>
      <c r="Y997" s="129">
        <f t="array" ref="Y997">_xlfn.IFS(K997 &lt;= (65/SQRT($AT$32)), "Compact", K997 &lt;= (95/SQRT($AT$32)), "Non-Compact", K997 &gt; (95/SQRT($AT$32)), "Slender")</f>
        <v/>
      </c>
      <c r="Z997" s="125">
        <f>E997/F997</f>
        <v/>
      </c>
      <c r="AA997" s="125">
        <f>D997/G997</f>
        <v/>
      </c>
      <c r="AB997" s="125">
        <f t="array" ref="AB997">_xlfn.IFS(Z997 &lt;= 9, "1", Z997 &lt;= 12, "2", Z997 &lt;= 15, "3", Z997 &gt; 15, "4")</f>
        <v/>
      </c>
      <c r="AC997" s="125">
        <f t="array" ref="AC997">_xlfn.IFS(AA997 &lt;= 200, "1", L997 &lt;= 300, "2", L997 &lt;= 400, "3", L997 &gt; 400, "4")</f>
        <v/>
      </c>
      <c r="AF997" s="129">
        <f>SQRT((((VLOOKUP($AT$4,$A$4:$D$1021,4,FALSE))-D997)^2)+(((VLOOKUP($AT$4,$A$4:$E$1021,5,FALSE))-E997)^2)+(((VLOOKUP($AT$4,$A$4:$N$1021,14,FALSE))-N997)^2)+(((VLOOKUP($AT$4,$A$4:$O$1021,15,FALSE))-O997)^2))</f>
        <v/>
      </c>
      <c r="AG997" s="129" t="n"/>
      <c r="AI997" s="129">
        <f>SQRT((((VLOOKUP($AT$4,$A$4:$D$1021,4,FALSE))-D997)^2)+(((VLOOKUP($AT$4,$A$4:$E$1021,5,FALSE))-E997)^2)+(((VLOOKUP($AT$4,$A$4:$R$1021,18,FALSE))-R997)^2)+(((VLOOKUP($AT$4,$A$4:$S$1021,19,FALSE))-S997)^2))</f>
        <v/>
      </c>
      <c r="AJ997" s="125" t="inlineStr">
        <is>
          <t>HY450X105</t>
        </is>
      </c>
      <c r="AK997" s="125" t="n"/>
      <c r="AL997" s="125" t="n"/>
      <c r="AM997" s="125">
        <f>SQRT(((VLOOKUP($AT$4,$A$4:$J$1021,10,FALSE))-J997)^2)</f>
        <v/>
      </c>
      <c r="AN997" s="125" t="n"/>
      <c r="AO997" s="125" t="n"/>
      <c r="AP997" s="125">
        <f>SQRT(((VLOOKUP($AT$4,$A$4:$R$1021,18,FALSE))-R997)^2)</f>
        <v/>
      </c>
      <c r="AQ997" s="125" t="inlineStr">
        <is>
          <t>HY450X105</t>
        </is>
      </c>
      <c r="BB997" s="125">
        <f>SQRT(($J$1022-J997)^2)</f>
        <v/>
      </c>
      <c r="BC997" s="125">
        <f>SQRT(($R$1022-R997)^2)</f>
        <v/>
      </c>
      <c r="BD997" s="125" t="inlineStr">
        <is>
          <t>HY450X105</t>
        </is>
      </c>
      <c r="BI997">
        <f>SQRT(($J$1023-J997)^2)</f>
        <v/>
      </c>
      <c r="BJ997">
        <f>SQRT(($R$1023-R997)^2)</f>
        <v/>
      </c>
      <c r="BK997" s="125" t="inlineStr">
        <is>
          <t>HY450X105</t>
        </is>
      </c>
      <c r="BP997">
        <f>SQRT(($J$1024-J997)^2)</f>
        <v/>
      </c>
      <c r="BQ997">
        <f>SQRT(($R$1024-R997)^2)</f>
        <v/>
      </c>
      <c r="BR997" s="125" t="inlineStr">
        <is>
          <t>HY450X105</t>
        </is>
      </c>
      <c r="BW997">
        <f>SQRT(($J$1025-J997)^2)</f>
        <v/>
      </c>
      <c r="BX997">
        <f>SQRT(($R$1025-R997)^2)</f>
        <v/>
      </c>
      <c r="BY997" s="125" t="inlineStr">
        <is>
          <t>HY450X105</t>
        </is>
      </c>
      <c r="CD997">
        <f>SQRT(($J$1026-J997)^2)</f>
        <v/>
      </c>
      <c r="CE997">
        <f>SQRT(($R$1026-R997)^2)</f>
        <v/>
      </c>
      <c r="CF997" s="125" t="inlineStr">
        <is>
          <t>HY450X105</t>
        </is>
      </c>
    </row>
    <row r="998">
      <c r="A998" s="125" t="inlineStr">
        <is>
          <t>HY450X93.5</t>
        </is>
      </c>
      <c r="B998" s="129" t="inlineStr">
        <is>
          <t>HY</t>
        </is>
      </c>
      <c r="C998" s="125" t="n">
        <v>93.5</v>
      </c>
      <c r="D998" s="125" t="n">
        <v>450</v>
      </c>
      <c r="E998" s="125" t="n">
        <v>250</v>
      </c>
      <c r="F998" s="125" t="n">
        <v>16</v>
      </c>
      <c r="G998" s="125" t="n">
        <v>9</v>
      </c>
      <c r="H998" s="125" t="n">
        <v>13</v>
      </c>
      <c r="I998" s="125">
        <f>D998-(2*(H998+F998))</f>
        <v/>
      </c>
      <c r="J998" s="125">
        <f>(2*E998/10*F998/10)+((D998-F998-F998)/10*G998/10)+((H998/10+H998/10)^2)-(PI()*H998/10*H998/10)</f>
        <v/>
      </c>
      <c r="K998" s="125">
        <f>((E998-G998)/2)/F998</f>
        <v/>
      </c>
      <c r="L998" s="125">
        <f>I998/G998</f>
        <v/>
      </c>
      <c r="M998" s="125">
        <f>(E998*2+F998*4+((E998-G998)/2-H998)*4+2*PI()*H998+(D998-2*F998-2*H998)*2)/1000</f>
        <v/>
      </c>
      <c r="N998" s="5" t="n">
        <v>43800</v>
      </c>
      <c r="O998" s="5" t="n">
        <v>4170</v>
      </c>
      <c r="P998" s="125" t="n">
        <v>19.2</v>
      </c>
      <c r="Q998" s="125" t="n">
        <v>5.9</v>
      </c>
      <c r="R998" s="5" t="n">
        <v>1950</v>
      </c>
      <c r="S998" s="125" t="n">
        <v>334</v>
      </c>
      <c r="T998" s="5" t="n">
        <v>2160</v>
      </c>
      <c r="U998" s="125" t="n">
        <v>510</v>
      </c>
      <c r="X998" s="129">
        <f t="array" ref="X998">_xlfn.IFS((D998/F998) &lt;= (640/SQRT($AT$32)), "Compact", L998 &lt;= ($AT$32*(0.79-(0.002*((E998-G998/2)/(2*F998))*SQRT($AT$32)))), "Non-Compact", L998 &gt; ($AT$32*(0.79-(0.002*((E998-G998/2)/(2*F998))*SQRT($AT$32)))), "Slender")</f>
        <v/>
      </c>
      <c r="Y998" s="129">
        <f t="array" ref="Y998">_xlfn.IFS(K998 &lt;= (65/SQRT($AT$32)), "Compact", K998 &lt;= (95/SQRT($AT$32)), "Non-Compact", K998 &gt; (95/SQRT($AT$32)), "Slender")</f>
        <v/>
      </c>
      <c r="Z998" s="125">
        <f>E998/F998</f>
        <v/>
      </c>
      <c r="AA998" s="125">
        <f>D998/G998</f>
        <v/>
      </c>
      <c r="AB998" s="125">
        <f t="array" ref="AB998">_xlfn.IFS(Z998 &lt;= 9, "1", Z998 &lt;= 12, "2", Z998 &lt;= 15, "3", Z998 &gt; 15, "4")</f>
        <v/>
      </c>
      <c r="AC998" s="125">
        <f t="array" ref="AC998">_xlfn.IFS(AA998 &lt;= 200, "1", L998 &lt;= 300, "2", L998 &lt;= 400, "3", L998 &gt; 400, "4")</f>
        <v/>
      </c>
      <c r="AF998" s="129">
        <f>SQRT((((VLOOKUP($AT$4,$A$4:$D$1021,4,FALSE))-D998)^2)+(((VLOOKUP($AT$4,$A$4:$E$1021,5,FALSE))-E998)^2)+(((VLOOKUP($AT$4,$A$4:$N$1021,14,FALSE))-N998)^2)+(((VLOOKUP($AT$4,$A$4:$O$1021,15,FALSE))-O998)^2))</f>
        <v/>
      </c>
      <c r="AG998" s="129" t="n"/>
      <c r="AI998" s="129">
        <f>SQRT((((VLOOKUP($AT$4,$A$4:$D$1021,4,FALSE))-D998)^2)+(((VLOOKUP($AT$4,$A$4:$E$1021,5,FALSE))-E998)^2)+(((VLOOKUP($AT$4,$A$4:$R$1021,18,FALSE))-R998)^2)+(((VLOOKUP($AT$4,$A$4:$S$1021,19,FALSE))-S998)^2))</f>
        <v/>
      </c>
      <c r="AJ998" s="125" t="inlineStr">
        <is>
          <t>HY450X93.5</t>
        </is>
      </c>
      <c r="AK998" s="125" t="n"/>
      <c r="AL998" s="125" t="n"/>
      <c r="AM998" s="125">
        <f>SQRT(((VLOOKUP($AT$4,$A$4:$J$1021,10,FALSE))-J998)^2)</f>
        <v/>
      </c>
      <c r="AN998" s="125" t="n"/>
      <c r="AO998" s="125" t="n"/>
      <c r="AP998" s="125">
        <f>SQRT(((VLOOKUP($AT$4,$A$4:$R$1021,18,FALSE))-R998)^2)</f>
        <v/>
      </c>
      <c r="AQ998" s="125" t="inlineStr">
        <is>
          <t>HY450X93.5</t>
        </is>
      </c>
      <c r="BB998" s="125">
        <f>SQRT(($J$1022-J998)^2)</f>
        <v/>
      </c>
      <c r="BC998" s="125">
        <f>SQRT(($R$1022-R998)^2)</f>
        <v/>
      </c>
      <c r="BD998" s="125" t="inlineStr">
        <is>
          <t>HY450X93.5</t>
        </is>
      </c>
      <c r="BI998">
        <f>SQRT(($J$1023-J998)^2)</f>
        <v/>
      </c>
      <c r="BJ998">
        <f>SQRT(($R$1023-R998)^2)</f>
        <v/>
      </c>
      <c r="BK998" s="125" t="inlineStr">
        <is>
          <t>HY450X93.5</t>
        </is>
      </c>
      <c r="BP998">
        <f>SQRT(($J$1024-J998)^2)</f>
        <v/>
      </c>
      <c r="BQ998">
        <f>SQRT(($R$1024-R998)^2)</f>
        <v/>
      </c>
      <c r="BR998" s="125" t="inlineStr">
        <is>
          <t>HY450X93.5</t>
        </is>
      </c>
      <c r="BW998">
        <f>SQRT(($J$1025-J998)^2)</f>
        <v/>
      </c>
      <c r="BX998">
        <f>SQRT(($R$1025-R998)^2)</f>
        <v/>
      </c>
      <c r="BY998" s="125" t="inlineStr">
        <is>
          <t>HY450X93.5</t>
        </is>
      </c>
      <c r="CD998">
        <f>SQRT(($J$1026-J998)^2)</f>
        <v/>
      </c>
      <c r="CE998">
        <f>SQRT(($R$1026-R998)^2)</f>
        <v/>
      </c>
      <c r="CF998" s="125" t="inlineStr">
        <is>
          <t>HY450X93.5</t>
        </is>
      </c>
    </row>
    <row r="999">
      <c r="A999" s="125" t="inlineStr">
        <is>
          <t>HY450X117</t>
        </is>
      </c>
      <c r="B999" s="129" t="inlineStr">
        <is>
          <t>HY</t>
        </is>
      </c>
      <c r="C999" s="125" t="n">
        <v>117</v>
      </c>
      <c r="D999" s="125" t="n">
        <v>450</v>
      </c>
      <c r="E999" s="125" t="n">
        <v>200</v>
      </c>
      <c r="F999" s="125" t="n">
        <v>25</v>
      </c>
      <c r="G999" s="125" t="n">
        <v>12</v>
      </c>
      <c r="H999" s="125" t="n">
        <v>13</v>
      </c>
      <c r="I999" s="125">
        <f>D999-(2*(H999+F999))</f>
        <v/>
      </c>
      <c r="J999" s="125">
        <f>(2*E999/10*F999/10)+((D999-F999-F999)/10*G999/10)+((H999/10+H999/10)^2)-(PI()*H999/10*H999/10)</f>
        <v/>
      </c>
      <c r="K999" s="125">
        <f>((E999-G999)/2)/F999</f>
        <v/>
      </c>
      <c r="L999" s="125">
        <f>I999/G999</f>
        <v/>
      </c>
      <c r="M999" s="125">
        <f>(E999*2+F999*4+((E999-G999)/2-H999)*4+2*PI()*H999+(D999-2*F999-2*H999)*2)/1000</f>
        <v/>
      </c>
      <c r="N999" s="5" t="n">
        <v>52200</v>
      </c>
      <c r="O999" s="5" t="n">
        <v>3340</v>
      </c>
      <c r="P999" s="125" t="n">
        <v>18.7</v>
      </c>
      <c r="Q999" s="125" t="n">
        <v>4.7</v>
      </c>
      <c r="R999" s="5" t="n">
        <v>2320</v>
      </c>
      <c r="S999" s="125" t="n">
        <v>334</v>
      </c>
      <c r="T999" s="5" t="n">
        <v>2630</v>
      </c>
      <c r="U999" s="125" t="n">
        <v>516</v>
      </c>
      <c r="X999" s="129">
        <f t="array" ref="X999">_xlfn.IFS((D999/F999) &lt;= (640/SQRT($AT$32)), "Compact", L999 &lt;= ($AT$32*(0.79-(0.002*((E999-G999/2)/(2*F999))*SQRT($AT$32)))), "Non-Compact", L999 &gt; ($AT$32*(0.79-(0.002*((E999-G999/2)/(2*F999))*SQRT($AT$32)))), "Slender")</f>
        <v/>
      </c>
      <c r="Y999" s="129">
        <f t="array" ref="Y999">_xlfn.IFS(K999 &lt;= (65/SQRT($AT$32)), "Compact", K999 &lt;= (95/SQRT($AT$32)), "Non-Compact", K999 &gt; (95/SQRT($AT$32)), "Slender")</f>
        <v/>
      </c>
      <c r="Z999" s="125">
        <f>E999/F999</f>
        <v/>
      </c>
      <c r="AA999" s="125">
        <f>D999/G999</f>
        <v/>
      </c>
      <c r="AB999" s="125">
        <f t="array" ref="AB999">_xlfn.IFS(Z999 &lt;= 9, "1", Z999 &lt;= 12, "2", Z999 &lt;= 15, "3", Z999 &gt; 15, "4")</f>
        <v/>
      </c>
      <c r="AC999" s="125">
        <f t="array" ref="AC999">_xlfn.IFS(AA999 &lt;= 200, "1", L999 &lt;= 300, "2", L999 &lt;= 400, "3", L999 &gt; 400, "4")</f>
        <v/>
      </c>
      <c r="AF999" s="129">
        <f>SQRT((((VLOOKUP($AT$4,$A$4:$D$1021,4,FALSE))-D999)^2)+(((VLOOKUP($AT$4,$A$4:$E$1021,5,FALSE))-E999)^2)+(((VLOOKUP($AT$4,$A$4:$N$1021,14,FALSE))-N999)^2)+(((VLOOKUP($AT$4,$A$4:$O$1021,15,FALSE))-O999)^2))</f>
        <v/>
      </c>
      <c r="AG999" s="129" t="n"/>
      <c r="AI999" s="129">
        <f>SQRT((((VLOOKUP($AT$4,$A$4:$D$1021,4,FALSE))-D999)^2)+(((VLOOKUP($AT$4,$A$4:$E$1021,5,FALSE))-E999)^2)+(((VLOOKUP($AT$4,$A$4:$R$1021,18,FALSE))-R999)^2)+(((VLOOKUP($AT$4,$A$4:$S$1021,19,FALSE))-S999)^2))</f>
        <v/>
      </c>
      <c r="AJ999" s="125" t="inlineStr">
        <is>
          <t>HY450X117</t>
        </is>
      </c>
      <c r="AK999" s="125" t="n"/>
      <c r="AL999" s="125" t="n"/>
      <c r="AM999" s="125">
        <f>SQRT(((VLOOKUP($AT$4,$A$4:$J$1021,10,FALSE))-J999)^2)</f>
        <v/>
      </c>
      <c r="AN999" s="125" t="n"/>
      <c r="AO999" s="125" t="n"/>
      <c r="AP999" s="125">
        <f>SQRT(((VLOOKUP($AT$4,$A$4:$R$1021,18,FALSE))-R999)^2)</f>
        <v/>
      </c>
      <c r="AQ999" s="125" t="inlineStr">
        <is>
          <t>HY450X117</t>
        </is>
      </c>
      <c r="BB999" s="125">
        <f>SQRT(($J$1022-J999)^2)</f>
        <v/>
      </c>
      <c r="BC999" s="125">
        <f>SQRT(($R$1022-R999)^2)</f>
        <v/>
      </c>
      <c r="BD999" s="125" t="inlineStr">
        <is>
          <t>HY450X117</t>
        </is>
      </c>
      <c r="BI999">
        <f>SQRT(($J$1023-J999)^2)</f>
        <v/>
      </c>
      <c r="BJ999">
        <f>SQRT(($R$1023-R999)^2)</f>
        <v/>
      </c>
      <c r="BK999" s="125" t="inlineStr">
        <is>
          <t>HY450X117</t>
        </is>
      </c>
      <c r="BP999">
        <f>SQRT(($J$1024-J999)^2)</f>
        <v/>
      </c>
      <c r="BQ999">
        <f>SQRT(($R$1024-R999)^2)</f>
        <v/>
      </c>
      <c r="BR999" s="125" t="inlineStr">
        <is>
          <t>HY450X117</t>
        </is>
      </c>
      <c r="BW999">
        <f>SQRT(($J$1025-J999)^2)</f>
        <v/>
      </c>
      <c r="BX999">
        <f>SQRT(($R$1025-R999)^2)</f>
        <v/>
      </c>
      <c r="BY999" s="125" t="inlineStr">
        <is>
          <t>HY450X117</t>
        </is>
      </c>
      <c r="CD999">
        <f>SQRT(($J$1026-J999)^2)</f>
        <v/>
      </c>
      <c r="CE999">
        <f>SQRT(($R$1026-R999)^2)</f>
        <v/>
      </c>
      <c r="CF999" s="125" t="inlineStr">
        <is>
          <t>HY450X117</t>
        </is>
      </c>
    </row>
    <row r="1000">
      <c r="A1000" s="125" t="inlineStr">
        <is>
          <t>HY450X108</t>
        </is>
      </c>
      <c r="B1000" s="129" t="inlineStr">
        <is>
          <t>HY</t>
        </is>
      </c>
      <c r="C1000" s="125" t="n">
        <v>108</v>
      </c>
      <c r="D1000" s="125" t="n">
        <v>450</v>
      </c>
      <c r="E1000" s="125" t="n">
        <v>200</v>
      </c>
      <c r="F1000" s="125" t="n">
        <v>22</v>
      </c>
      <c r="G1000" s="125" t="n">
        <v>12</v>
      </c>
      <c r="H1000" s="125" t="n">
        <v>13</v>
      </c>
      <c r="I1000" s="125">
        <f>D1000-(2*(H1000+F1000))</f>
        <v/>
      </c>
      <c r="J1000" s="125">
        <f>(2*E1000/10*F1000/10)+((D1000-F1000-F1000)/10*G1000/10)+((H1000/10+H1000/10)^2)-(PI()*H1000/10*H1000/10)</f>
        <v/>
      </c>
      <c r="K1000" s="125">
        <f>((E1000-G1000)/2)/F1000</f>
        <v/>
      </c>
      <c r="L1000" s="125">
        <f>I1000/G1000</f>
        <v/>
      </c>
      <c r="M1000" s="125">
        <f>(E1000*2+F1000*4+((E1000-G1000)/2-H1000)*4+2*PI()*H1000+(D1000-2*F1000-2*H1000)*2)/1000</f>
        <v/>
      </c>
      <c r="N1000" s="5" t="n">
        <v>47600</v>
      </c>
      <c r="O1000" s="5" t="n">
        <v>2940</v>
      </c>
      <c r="P1000" s="125" t="n">
        <v>18.6</v>
      </c>
      <c r="Q1000" s="125" t="n">
        <v>4.6</v>
      </c>
      <c r="R1000" s="5" t="n">
        <v>2120</v>
      </c>
      <c r="S1000" s="125" t="n">
        <v>294</v>
      </c>
      <c r="T1000" s="5" t="n">
        <v>2410</v>
      </c>
      <c r="U1000" s="125" t="n">
        <v>456</v>
      </c>
      <c r="X1000" s="129">
        <f t="array" ref="X1000">_xlfn.IFS((D1000/F1000) &lt;= (640/SQRT($AT$32)), "Compact", L1000 &lt;= ($AT$32*(0.79-(0.002*((E1000-G1000/2)/(2*F1000))*SQRT($AT$32)))), "Non-Compact", L1000 &gt; ($AT$32*(0.79-(0.002*((E1000-G1000/2)/(2*F1000))*SQRT($AT$32)))), "Slender")</f>
        <v/>
      </c>
      <c r="Y1000" s="129">
        <f t="array" ref="Y1000">_xlfn.IFS(K1000 &lt;= (65/SQRT($AT$32)), "Compact", K1000 &lt;= (95/SQRT($AT$32)), "Non-Compact", K1000 &gt; (95/SQRT($AT$32)), "Slender")</f>
        <v/>
      </c>
      <c r="Z1000" s="125">
        <f>E1000/F1000</f>
        <v/>
      </c>
      <c r="AA1000" s="125">
        <f>D1000/G1000</f>
        <v/>
      </c>
      <c r="AB1000" s="125">
        <f t="array" ref="AB1000">_xlfn.IFS(Z1000 &lt;= 9, "1", Z1000 &lt;= 12, "2", Z1000 &lt;= 15, "3", Z1000 &gt; 15, "4")</f>
        <v/>
      </c>
      <c r="AC1000" s="125">
        <f t="array" ref="AC1000">_xlfn.IFS(AA1000 &lt;= 200, "1", L1000 &lt;= 300, "2", L1000 &lt;= 400, "3", L1000 &gt; 400, "4")</f>
        <v/>
      </c>
      <c r="AF1000" s="129">
        <f>SQRT((((VLOOKUP($AT$4,$A$4:$D$1021,4,FALSE))-D1000)^2)+(((VLOOKUP($AT$4,$A$4:$E$1021,5,FALSE))-E1000)^2)+(((VLOOKUP($AT$4,$A$4:$N$1021,14,FALSE))-N1000)^2)+(((VLOOKUP($AT$4,$A$4:$O$1021,15,FALSE))-O1000)^2))</f>
        <v/>
      </c>
      <c r="AG1000" s="129" t="n"/>
      <c r="AI1000" s="129">
        <f>SQRT((((VLOOKUP($AT$4,$A$4:$D$1021,4,FALSE))-D1000)^2)+(((VLOOKUP($AT$4,$A$4:$E$1021,5,FALSE))-E1000)^2)+(((VLOOKUP($AT$4,$A$4:$R$1021,18,FALSE))-R1000)^2)+(((VLOOKUP($AT$4,$A$4:$S$1021,19,FALSE))-S1000)^2))</f>
        <v/>
      </c>
      <c r="AJ1000" s="125" t="inlineStr">
        <is>
          <t>HY450X108</t>
        </is>
      </c>
      <c r="AK1000" s="125" t="n"/>
      <c r="AL1000" s="125" t="n"/>
      <c r="AM1000" s="125">
        <f>SQRT(((VLOOKUP($AT$4,$A$4:$J$1021,10,FALSE))-J1000)^2)</f>
        <v/>
      </c>
      <c r="AN1000" s="125" t="n"/>
      <c r="AO1000" s="125" t="n"/>
      <c r="AP1000" s="125">
        <f>SQRT(((VLOOKUP($AT$4,$A$4:$R$1021,18,FALSE))-R1000)^2)</f>
        <v/>
      </c>
      <c r="AQ1000" s="125" t="inlineStr">
        <is>
          <t>HY450X108</t>
        </is>
      </c>
      <c r="BB1000" s="125">
        <f>SQRT(($J$1022-J1000)^2)</f>
        <v/>
      </c>
      <c r="BC1000" s="125">
        <f>SQRT(($R$1022-R1000)^2)</f>
        <v/>
      </c>
      <c r="BD1000" s="125" t="inlineStr">
        <is>
          <t>HY450X108</t>
        </is>
      </c>
      <c r="BI1000">
        <f>SQRT(($J$1023-J1000)^2)</f>
        <v/>
      </c>
      <c r="BJ1000">
        <f>SQRT(($R$1023-R1000)^2)</f>
        <v/>
      </c>
      <c r="BK1000" s="125" t="inlineStr">
        <is>
          <t>HY450X108</t>
        </is>
      </c>
      <c r="BP1000">
        <f>SQRT(($J$1024-J1000)^2)</f>
        <v/>
      </c>
      <c r="BQ1000">
        <f>SQRT(($R$1024-R1000)^2)</f>
        <v/>
      </c>
      <c r="BR1000" s="125" t="inlineStr">
        <is>
          <t>HY450X108</t>
        </is>
      </c>
      <c r="BW1000">
        <f>SQRT(($J$1025-J1000)^2)</f>
        <v/>
      </c>
      <c r="BX1000">
        <f>SQRT(($R$1025-R1000)^2)</f>
        <v/>
      </c>
      <c r="BY1000" s="125" t="inlineStr">
        <is>
          <t>HY450X108</t>
        </is>
      </c>
      <c r="CD1000">
        <f>SQRT(($J$1026-J1000)^2)</f>
        <v/>
      </c>
      <c r="CE1000">
        <f>SQRT(($R$1026-R1000)^2)</f>
        <v/>
      </c>
      <c r="CF1000" s="125" t="inlineStr">
        <is>
          <t>HY450X108</t>
        </is>
      </c>
    </row>
    <row r="1001">
      <c r="A1001" s="125" t="inlineStr">
        <is>
          <t>HY450X99.6</t>
        </is>
      </c>
      <c r="B1001" s="129" t="inlineStr">
        <is>
          <t>HY</t>
        </is>
      </c>
      <c r="C1001" s="125" t="n">
        <v>99.59999999999999</v>
      </c>
      <c r="D1001" s="125" t="n">
        <v>450</v>
      </c>
      <c r="E1001" s="125" t="n">
        <v>200</v>
      </c>
      <c r="F1001" s="125" t="n">
        <v>19</v>
      </c>
      <c r="G1001" s="125" t="n">
        <v>12</v>
      </c>
      <c r="H1001" s="125" t="n">
        <v>13</v>
      </c>
      <c r="I1001" s="125">
        <f>D1001-(2*(H1001+F1001))</f>
        <v/>
      </c>
      <c r="J1001" s="125">
        <f>(2*E1001/10*F1001/10)+((D1001-F1001-F1001)/10*G1001/10)+((H1001/10+H1001/10)^2)-(PI()*H1001/10*H1001/10)</f>
        <v/>
      </c>
      <c r="K1001" s="125">
        <f>((E1001-G1001)/2)/F1001</f>
        <v/>
      </c>
      <c r="L1001" s="125">
        <f>I1001/G1001</f>
        <v/>
      </c>
      <c r="M1001" s="125">
        <f>(E1001*2+F1001*4+((E1001-G1001)/2-H1001)*4+2*PI()*H1001+(D1001-2*F1001-2*H1001)*2)/1000</f>
        <v/>
      </c>
      <c r="N1001" s="5" t="n">
        <v>42900</v>
      </c>
      <c r="O1001" s="5" t="n">
        <v>2540</v>
      </c>
      <c r="P1001" s="125" t="n">
        <v>18.4</v>
      </c>
      <c r="Q1001" s="125" t="n">
        <v>4.5</v>
      </c>
      <c r="R1001" s="5" t="n">
        <v>1910</v>
      </c>
      <c r="S1001" s="125" t="n">
        <v>254</v>
      </c>
      <c r="T1001" s="5" t="n">
        <v>2180</v>
      </c>
      <c r="U1001" s="125" t="n">
        <v>396</v>
      </c>
      <c r="X1001" s="129">
        <f t="array" ref="X1001">_xlfn.IFS((D1001/F1001) &lt;= (640/SQRT($AT$32)), "Compact", L1001 &lt;= ($AT$32*(0.79-(0.002*((E1001-G1001/2)/(2*F1001))*SQRT($AT$32)))), "Non-Compact", L1001 &gt; ($AT$32*(0.79-(0.002*((E1001-G1001/2)/(2*F1001))*SQRT($AT$32)))), "Slender")</f>
        <v/>
      </c>
      <c r="Y1001" s="129">
        <f t="array" ref="Y1001">_xlfn.IFS(K1001 &lt;= (65/SQRT($AT$32)), "Compact", K1001 &lt;= (95/SQRT($AT$32)), "Non-Compact", K1001 &gt; (95/SQRT($AT$32)), "Slender")</f>
        <v/>
      </c>
      <c r="Z1001" s="125">
        <f>E1001/F1001</f>
        <v/>
      </c>
      <c r="AA1001" s="125">
        <f>D1001/G1001</f>
        <v/>
      </c>
      <c r="AB1001" s="125">
        <f t="array" ref="AB1001">_xlfn.IFS(Z1001 &lt;= 9, "1", Z1001 &lt;= 12, "2", Z1001 &lt;= 15, "3", Z1001 &gt; 15, "4")</f>
        <v/>
      </c>
      <c r="AC1001" s="125">
        <f t="array" ref="AC1001">_xlfn.IFS(AA1001 &lt;= 200, "1", L1001 &lt;= 300, "2", L1001 &lt;= 400, "3", L1001 &gt; 400, "4")</f>
        <v/>
      </c>
      <c r="AF1001" s="129">
        <f>SQRT((((VLOOKUP($AT$4,$A$4:$D$1021,4,FALSE))-D1001)^2)+(((VLOOKUP($AT$4,$A$4:$E$1021,5,FALSE))-E1001)^2)+(((VLOOKUP($AT$4,$A$4:$N$1021,14,FALSE))-N1001)^2)+(((VLOOKUP($AT$4,$A$4:$O$1021,15,FALSE))-O1001)^2))</f>
        <v/>
      </c>
      <c r="AG1001" s="129" t="n"/>
      <c r="AI1001" s="129">
        <f>SQRT((((VLOOKUP($AT$4,$A$4:$D$1021,4,FALSE))-D1001)^2)+(((VLOOKUP($AT$4,$A$4:$E$1021,5,FALSE))-E1001)^2)+(((VLOOKUP($AT$4,$A$4:$R$1021,18,FALSE))-R1001)^2)+(((VLOOKUP($AT$4,$A$4:$S$1021,19,FALSE))-S1001)^2))</f>
        <v/>
      </c>
      <c r="AJ1001" s="125" t="inlineStr">
        <is>
          <t>HY450X99.6</t>
        </is>
      </c>
      <c r="AK1001" s="125" t="n"/>
      <c r="AL1001" s="125" t="n"/>
      <c r="AM1001" s="125">
        <f>SQRT(((VLOOKUP($AT$4,$A$4:$J$1021,10,FALSE))-J1001)^2)</f>
        <v/>
      </c>
      <c r="AN1001" s="125" t="n"/>
      <c r="AO1001" s="125" t="n"/>
      <c r="AP1001" s="125">
        <f>SQRT(((VLOOKUP($AT$4,$A$4:$R$1021,18,FALSE))-R1001)^2)</f>
        <v/>
      </c>
      <c r="AQ1001" s="125" t="inlineStr">
        <is>
          <t>HY450X99.6</t>
        </is>
      </c>
      <c r="BB1001" s="125">
        <f>SQRT(($J$1022-J1001)^2)</f>
        <v/>
      </c>
      <c r="BC1001" s="125">
        <f>SQRT(($R$1022-R1001)^2)</f>
        <v/>
      </c>
      <c r="BD1001" s="125" t="inlineStr">
        <is>
          <t>HY450X99.6</t>
        </is>
      </c>
      <c r="BI1001">
        <f>SQRT(($J$1023-J1001)^2)</f>
        <v/>
      </c>
      <c r="BJ1001">
        <f>SQRT(($R$1023-R1001)^2)</f>
        <v/>
      </c>
      <c r="BK1001" s="125" t="inlineStr">
        <is>
          <t>HY450X99.6</t>
        </is>
      </c>
      <c r="BP1001">
        <f>SQRT(($J$1024-J1001)^2)</f>
        <v/>
      </c>
      <c r="BQ1001">
        <f>SQRT(($R$1024-R1001)^2)</f>
        <v/>
      </c>
      <c r="BR1001" s="125" t="inlineStr">
        <is>
          <t>HY450X99.6</t>
        </is>
      </c>
      <c r="BW1001">
        <f>SQRT(($J$1025-J1001)^2)</f>
        <v/>
      </c>
      <c r="BX1001">
        <f>SQRT(($R$1025-R1001)^2)</f>
        <v/>
      </c>
      <c r="BY1001" s="125" t="inlineStr">
        <is>
          <t>HY450X99.6</t>
        </is>
      </c>
      <c r="CD1001">
        <f>SQRT(($J$1026-J1001)^2)</f>
        <v/>
      </c>
      <c r="CE1001">
        <f>SQRT(($R$1026-R1001)^2)</f>
        <v/>
      </c>
      <c r="CF1001" s="125" t="inlineStr">
        <is>
          <t>HY450X99.6</t>
        </is>
      </c>
    </row>
    <row r="1002">
      <c r="A1002" s="125" t="inlineStr">
        <is>
          <t>HY450X90.8</t>
        </is>
      </c>
      <c r="B1002" s="129" t="inlineStr">
        <is>
          <t>HY</t>
        </is>
      </c>
      <c r="C1002" s="125" t="n">
        <v>90.8</v>
      </c>
      <c r="D1002" s="125" t="n">
        <v>450</v>
      </c>
      <c r="E1002" s="125" t="n">
        <v>200</v>
      </c>
      <c r="F1002" s="125" t="n">
        <v>16</v>
      </c>
      <c r="G1002" s="125" t="n">
        <v>12</v>
      </c>
      <c r="H1002" s="125" t="n">
        <v>13</v>
      </c>
      <c r="I1002" s="125">
        <f>D1002-(2*(H1002+F1002))</f>
        <v/>
      </c>
      <c r="J1002" s="125">
        <f>(2*E1002/10*F1002/10)+((D1002-F1002-F1002)/10*G1002/10)+((H1002/10+H1002/10)^2)-(PI()*H1002/10*H1002/10)</f>
        <v/>
      </c>
      <c r="K1002" s="125">
        <f>((E1002-G1002)/2)/F1002</f>
        <v/>
      </c>
      <c r="L1002" s="125">
        <f>I1002/G1002</f>
        <v/>
      </c>
      <c r="M1002" s="125">
        <f>(E1002*2+F1002*4+((E1002-G1002)/2-H1002)*4+2*PI()*H1002+(D1002-2*F1002-2*H1002)*2)/1000</f>
        <v/>
      </c>
      <c r="N1002" s="5" t="n">
        <v>38100</v>
      </c>
      <c r="O1002" s="5" t="n">
        <v>2140</v>
      </c>
      <c r="P1002" s="125" t="n">
        <v>18.1</v>
      </c>
      <c r="Q1002" s="125" t="n">
        <v>4.3</v>
      </c>
      <c r="R1002" s="5" t="n">
        <v>1690</v>
      </c>
      <c r="S1002" s="125" t="n">
        <v>214</v>
      </c>
      <c r="T1002" s="5" t="n">
        <v>1940</v>
      </c>
      <c r="U1002" s="125" t="n">
        <v>336</v>
      </c>
      <c r="X1002" s="129">
        <f t="array" ref="X1002">_xlfn.IFS((D1002/F1002) &lt;= (640/SQRT($AT$32)), "Compact", L1002 &lt;= ($AT$32*(0.79-(0.002*((E1002-G1002/2)/(2*F1002))*SQRT($AT$32)))), "Non-Compact", L1002 &gt; ($AT$32*(0.79-(0.002*((E1002-G1002/2)/(2*F1002))*SQRT($AT$32)))), "Slender")</f>
        <v/>
      </c>
      <c r="Y1002" s="129">
        <f t="array" ref="Y1002">_xlfn.IFS(K1002 &lt;= (65/SQRT($AT$32)), "Compact", K1002 &lt;= (95/SQRT($AT$32)), "Non-Compact", K1002 &gt; (95/SQRT($AT$32)), "Slender")</f>
        <v/>
      </c>
      <c r="Z1002" s="125">
        <f>E1002/F1002</f>
        <v/>
      </c>
      <c r="AA1002" s="125">
        <f>D1002/G1002</f>
        <v/>
      </c>
      <c r="AB1002" s="125">
        <f t="array" ref="AB1002">_xlfn.IFS(Z1002 &lt;= 9, "1", Z1002 &lt;= 12, "2", Z1002 &lt;= 15, "3", Z1002 &gt; 15, "4")</f>
        <v/>
      </c>
      <c r="AC1002" s="125">
        <f t="array" ref="AC1002">_xlfn.IFS(AA1002 &lt;= 200, "1", L1002 &lt;= 300, "2", L1002 &lt;= 400, "3", L1002 &gt; 400, "4")</f>
        <v/>
      </c>
      <c r="AF1002" s="129">
        <f>SQRT((((VLOOKUP($AT$4,$A$4:$D$1021,4,FALSE))-D1002)^2)+(((VLOOKUP($AT$4,$A$4:$E$1021,5,FALSE))-E1002)^2)+(((VLOOKUP($AT$4,$A$4:$N$1021,14,FALSE))-N1002)^2)+(((VLOOKUP($AT$4,$A$4:$O$1021,15,FALSE))-O1002)^2))</f>
        <v/>
      </c>
      <c r="AG1002" s="129" t="n"/>
      <c r="AI1002" s="129">
        <f>SQRT((((VLOOKUP($AT$4,$A$4:$D$1021,4,FALSE))-D1002)^2)+(((VLOOKUP($AT$4,$A$4:$E$1021,5,FALSE))-E1002)^2)+(((VLOOKUP($AT$4,$A$4:$R$1021,18,FALSE))-R1002)^2)+(((VLOOKUP($AT$4,$A$4:$S$1021,19,FALSE))-S1002)^2))</f>
        <v/>
      </c>
      <c r="AJ1002" s="125" t="inlineStr">
        <is>
          <t>HY450X90.8</t>
        </is>
      </c>
      <c r="AK1002" s="125" t="n"/>
      <c r="AL1002" s="125" t="n"/>
      <c r="AM1002" s="125">
        <f>SQRT(((VLOOKUP($AT$4,$A$4:$J$1021,10,FALSE))-J1002)^2)</f>
        <v/>
      </c>
      <c r="AN1002" s="125" t="n"/>
      <c r="AO1002" s="125" t="n"/>
      <c r="AP1002" s="125">
        <f>SQRT(((VLOOKUP($AT$4,$A$4:$R$1021,18,FALSE))-R1002)^2)</f>
        <v/>
      </c>
      <c r="AQ1002" s="125" t="inlineStr">
        <is>
          <t>HY450X90.8</t>
        </is>
      </c>
      <c r="BB1002" s="125">
        <f>SQRT(($J$1022-J1002)^2)</f>
        <v/>
      </c>
      <c r="BC1002" s="125">
        <f>SQRT(($R$1022-R1002)^2)</f>
        <v/>
      </c>
      <c r="BD1002" s="125" t="inlineStr">
        <is>
          <t>HY450X90.8</t>
        </is>
      </c>
      <c r="BI1002">
        <f>SQRT(($J$1023-J1002)^2)</f>
        <v/>
      </c>
      <c r="BJ1002">
        <f>SQRT(($R$1023-R1002)^2)</f>
        <v/>
      </c>
      <c r="BK1002" s="125" t="inlineStr">
        <is>
          <t>HY450X90.8</t>
        </is>
      </c>
      <c r="BP1002">
        <f>SQRT(($J$1024-J1002)^2)</f>
        <v/>
      </c>
      <c r="BQ1002">
        <f>SQRT(($R$1024-R1002)^2)</f>
        <v/>
      </c>
      <c r="BR1002" s="125" t="inlineStr">
        <is>
          <t>HY450X90.8</t>
        </is>
      </c>
      <c r="BW1002">
        <f>SQRT(($J$1025-J1002)^2)</f>
        <v/>
      </c>
      <c r="BX1002">
        <f>SQRT(($R$1025-R1002)^2)</f>
        <v/>
      </c>
      <c r="BY1002" s="125" t="inlineStr">
        <is>
          <t>HY450X90.8</t>
        </is>
      </c>
      <c r="CD1002">
        <f>SQRT(($J$1026-J1002)^2)</f>
        <v/>
      </c>
      <c r="CE1002">
        <f>SQRT(($R$1026-R1002)^2)</f>
        <v/>
      </c>
      <c r="CF1002" s="125" t="inlineStr">
        <is>
          <t>HY450X90.8</t>
        </is>
      </c>
    </row>
    <row r="1003">
      <c r="A1003" s="125" t="inlineStr">
        <is>
          <t>HY450X98.9</t>
        </is>
      </c>
      <c r="B1003" s="129" t="inlineStr">
        <is>
          <t>HY</t>
        </is>
      </c>
      <c r="C1003" s="125" t="n">
        <v>98.90000000000001</v>
      </c>
      <c r="D1003" s="125" t="n">
        <v>450</v>
      </c>
      <c r="E1003" s="125" t="n">
        <v>200</v>
      </c>
      <c r="F1003" s="125" t="n">
        <v>22</v>
      </c>
      <c r="G1003" s="125" t="n">
        <v>9</v>
      </c>
      <c r="H1003" s="125" t="n">
        <v>13</v>
      </c>
      <c r="I1003" s="125">
        <f>D1003-(2*(H1003+F1003))</f>
        <v/>
      </c>
      <c r="J1003" s="125">
        <f>(2*E1003/10*F1003/10)+((D1003-F1003-F1003)/10*G1003/10)+((H1003/10+H1003/10)^2)-(PI()*H1003/10*H1003/10)</f>
        <v/>
      </c>
      <c r="K1003" s="125">
        <f>((E1003-G1003)/2)/F1003</f>
        <v/>
      </c>
      <c r="L1003" s="125">
        <f>I1003/G1003</f>
        <v/>
      </c>
      <c r="M1003" s="125">
        <f>(E1003*2+F1003*4+((E1003-G1003)/2-H1003)*4+2*PI()*H1003+(D1003-2*F1003-2*H1003)*2)/1000</f>
        <v/>
      </c>
      <c r="N1003" s="5" t="n">
        <v>45900</v>
      </c>
      <c r="O1003" s="5" t="n">
        <v>2940</v>
      </c>
      <c r="P1003" s="125" t="n">
        <v>19.1</v>
      </c>
      <c r="Q1003" s="125" t="n">
        <v>4.8</v>
      </c>
      <c r="R1003" s="5" t="n">
        <v>2040</v>
      </c>
      <c r="S1003" s="125" t="n">
        <v>294</v>
      </c>
      <c r="T1003" s="5" t="n">
        <v>2280</v>
      </c>
      <c r="U1003" s="125" t="n">
        <v>449</v>
      </c>
      <c r="X1003" s="129">
        <f t="array" ref="X1003">_xlfn.IFS((D1003/F1003) &lt;= (640/SQRT($AT$32)), "Compact", L1003 &lt;= ($AT$32*(0.79-(0.002*((E1003-G1003/2)/(2*F1003))*SQRT($AT$32)))), "Non-Compact", L1003 &gt; ($AT$32*(0.79-(0.002*((E1003-G1003/2)/(2*F1003))*SQRT($AT$32)))), "Slender")</f>
        <v/>
      </c>
      <c r="Y1003" s="129">
        <f t="array" ref="Y1003">_xlfn.IFS(K1003 &lt;= (65/SQRT($AT$32)), "Compact", K1003 &lt;= (95/SQRT($AT$32)), "Non-Compact", K1003 &gt; (95/SQRT($AT$32)), "Slender")</f>
        <v/>
      </c>
      <c r="Z1003" s="125">
        <f>E1003/F1003</f>
        <v/>
      </c>
      <c r="AA1003" s="125">
        <f>D1003/G1003</f>
        <v/>
      </c>
      <c r="AB1003" s="125">
        <f t="array" ref="AB1003">_xlfn.IFS(Z1003 &lt;= 9, "1", Z1003 &lt;= 12, "2", Z1003 &lt;= 15, "3", Z1003 &gt; 15, "4")</f>
        <v/>
      </c>
      <c r="AC1003" s="125">
        <f t="array" ref="AC1003">_xlfn.IFS(AA1003 &lt;= 200, "1", L1003 &lt;= 300, "2", L1003 &lt;= 400, "3", L1003 &gt; 400, "4")</f>
        <v/>
      </c>
      <c r="AF1003" s="129">
        <f>SQRT((((VLOOKUP($AT$4,$A$4:$D$1021,4,FALSE))-D1003)^2)+(((VLOOKUP($AT$4,$A$4:$E$1021,5,FALSE))-E1003)^2)+(((VLOOKUP($AT$4,$A$4:$N$1021,14,FALSE))-N1003)^2)+(((VLOOKUP($AT$4,$A$4:$O$1021,15,FALSE))-O1003)^2))</f>
        <v/>
      </c>
      <c r="AG1003" s="129" t="n"/>
      <c r="AI1003" s="129">
        <f>SQRT((((VLOOKUP($AT$4,$A$4:$D$1021,4,FALSE))-D1003)^2)+(((VLOOKUP($AT$4,$A$4:$E$1021,5,FALSE))-E1003)^2)+(((VLOOKUP($AT$4,$A$4:$R$1021,18,FALSE))-R1003)^2)+(((VLOOKUP($AT$4,$A$4:$S$1021,19,FALSE))-S1003)^2))</f>
        <v/>
      </c>
      <c r="AJ1003" s="125" t="inlineStr">
        <is>
          <t>HY450X98.9</t>
        </is>
      </c>
      <c r="AK1003" s="125" t="n"/>
      <c r="AL1003" s="125" t="n"/>
      <c r="AM1003" s="125">
        <f>SQRT(((VLOOKUP($AT$4,$A$4:$J$1021,10,FALSE))-J1003)^2)</f>
        <v/>
      </c>
      <c r="AN1003" s="125" t="n"/>
      <c r="AO1003" s="125" t="n"/>
      <c r="AP1003" s="125">
        <f>SQRT(((VLOOKUP($AT$4,$A$4:$R$1021,18,FALSE))-R1003)^2)</f>
        <v/>
      </c>
      <c r="AQ1003" s="125" t="inlineStr">
        <is>
          <t>HY450X98.9</t>
        </is>
      </c>
      <c r="BB1003" s="125">
        <f>SQRT(($J$1022-J1003)^2)</f>
        <v/>
      </c>
      <c r="BC1003" s="125">
        <f>SQRT(($R$1022-R1003)^2)</f>
        <v/>
      </c>
      <c r="BD1003" s="125" t="inlineStr">
        <is>
          <t>HY450X98.9</t>
        </is>
      </c>
      <c r="BI1003">
        <f>SQRT(($J$1023-J1003)^2)</f>
        <v/>
      </c>
      <c r="BJ1003">
        <f>SQRT(($R$1023-R1003)^2)</f>
        <v/>
      </c>
      <c r="BK1003" s="125" t="inlineStr">
        <is>
          <t>HY450X98.9</t>
        </is>
      </c>
      <c r="BP1003">
        <f>SQRT(($J$1024-J1003)^2)</f>
        <v/>
      </c>
      <c r="BQ1003">
        <f>SQRT(($R$1024-R1003)^2)</f>
        <v/>
      </c>
      <c r="BR1003" s="125" t="inlineStr">
        <is>
          <t>HY450X98.9</t>
        </is>
      </c>
      <c r="BW1003">
        <f>SQRT(($J$1025-J1003)^2)</f>
        <v/>
      </c>
      <c r="BX1003">
        <f>SQRT(($R$1025-R1003)^2)</f>
        <v/>
      </c>
      <c r="BY1003" s="125" t="inlineStr">
        <is>
          <t>HY450X98.9</t>
        </is>
      </c>
      <c r="CD1003">
        <f>SQRT(($J$1026-J1003)^2)</f>
        <v/>
      </c>
      <c r="CE1003">
        <f>SQRT(($R$1026-R1003)^2)</f>
        <v/>
      </c>
      <c r="CF1003" s="125" t="inlineStr">
        <is>
          <t>HY450X98.9</t>
        </is>
      </c>
    </row>
    <row r="1004">
      <c r="A1004" s="125" t="inlineStr">
        <is>
          <t>HY450X89.9</t>
        </is>
      </c>
      <c r="B1004" s="129" t="inlineStr">
        <is>
          <t>HY</t>
        </is>
      </c>
      <c r="C1004" s="125" t="n">
        <v>89.90000000000001</v>
      </c>
      <c r="D1004" s="125" t="n">
        <v>450</v>
      </c>
      <c r="E1004" s="125" t="n">
        <v>200</v>
      </c>
      <c r="F1004" s="125" t="n">
        <v>19</v>
      </c>
      <c r="G1004" s="125" t="n">
        <v>9</v>
      </c>
      <c r="H1004" s="125" t="n">
        <v>13</v>
      </c>
      <c r="I1004" s="125">
        <f>D1004-(2*(H1004+F1004))</f>
        <v/>
      </c>
      <c r="J1004" s="125">
        <f>(2*E1004/10*F1004/10)+((D1004-F1004-F1004)/10*G1004/10)+((H1004/10+H1004/10)^2)-(PI()*H1004/10*H1004/10)</f>
        <v/>
      </c>
      <c r="K1004" s="125">
        <f>((E1004-G1004)/2)/F1004</f>
        <v/>
      </c>
      <c r="L1004" s="125">
        <f>I1004/G1004</f>
        <v/>
      </c>
      <c r="M1004" s="125">
        <f>(E1004*2+F1004*4+((E1004-G1004)/2-H1004)*4+2*PI()*H1004+(D1004-2*F1004-2*H1004)*2)/1000</f>
        <v/>
      </c>
      <c r="N1004" s="5" t="n">
        <v>41200</v>
      </c>
      <c r="O1004" s="5" t="n">
        <v>2540</v>
      </c>
      <c r="P1004" s="125" t="n">
        <v>19</v>
      </c>
      <c r="Q1004" s="125" t="n">
        <v>4.7</v>
      </c>
      <c r="R1004" s="5" t="n">
        <v>1830</v>
      </c>
      <c r="S1004" s="125" t="n">
        <v>254</v>
      </c>
      <c r="T1004" s="5" t="n">
        <v>2050</v>
      </c>
      <c r="U1004" s="125" t="n">
        <v>389</v>
      </c>
      <c r="X1004" s="129">
        <f t="array" ref="X1004">_xlfn.IFS((D1004/F1004) &lt;= (640/SQRT($AT$32)), "Compact", L1004 &lt;= ($AT$32*(0.79-(0.002*((E1004-G1004/2)/(2*F1004))*SQRT($AT$32)))), "Non-Compact", L1004 &gt; ($AT$32*(0.79-(0.002*((E1004-G1004/2)/(2*F1004))*SQRT($AT$32)))), "Slender")</f>
        <v/>
      </c>
      <c r="Y1004" s="129">
        <f t="array" ref="Y1004">_xlfn.IFS(K1004 &lt;= (65/SQRT($AT$32)), "Compact", K1004 &lt;= (95/SQRT($AT$32)), "Non-Compact", K1004 &gt; (95/SQRT($AT$32)), "Slender")</f>
        <v/>
      </c>
      <c r="Z1004" s="125">
        <f>E1004/F1004</f>
        <v/>
      </c>
      <c r="AA1004" s="125">
        <f>D1004/G1004</f>
        <v/>
      </c>
      <c r="AB1004" s="125">
        <f t="array" ref="AB1004">_xlfn.IFS(Z1004 &lt;= 9, "1", Z1004 &lt;= 12, "2", Z1004 &lt;= 15, "3", Z1004 &gt; 15, "4")</f>
        <v/>
      </c>
      <c r="AC1004" s="125">
        <f t="array" ref="AC1004">_xlfn.IFS(AA1004 &lt;= 200, "1", L1004 &lt;= 300, "2", L1004 &lt;= 400, "3", L1004 &gt; 400, "4")</f>
        <v/>
      </c>
      <c r="AF1004" s="129">
        <f>SQRT((((VLOOKUP($AT$4,$A$4:$D$1021,4,FALSE))-D1004)^2)+(((VLOOKUP($AT$4,$A$4:$E$1021,5,FALSE))-E1004)^2)+(((VLOOKUP($AT$4,$A$4:$N$1021,14,FALSE))-N1004)^2)+(((VLOOKUP($AT$4,$A$4:$O$1021,15,FALSE))-O1004)^2))</f>
        <v/>
      </c>
      <c r="AG1004" s="129" t="n"/>
      <c r="AI1004" s="129">
        <f>SQRT((((VLOOKUP($AT$4,$A$4:$D$1021,4,FALSE))-D1004)^2)+(((VLOOKUP($AT$4,$A$4:$E$1021,5,FALSE))-E1004)^2)+(((VLOOKUP($AT$4,$A$4:$R$1021,18,FALSE))-R1004)^2)+(((VLOOKUP($AT$4,$A$4:$S$1021,19,FALSE))-S1004)^2))</f>
        <v/>
      </c>
      <c r="AJ1004" s="125" t="inlineStr">
        <is>
          <t>HY450X89.9</t>
        </is>
      </c>
      <c r="AK1004" s="125" t="n"/>
      <c r="AL1004" s="125" t="n"/>
      <c r="AM1004" s="125">
        <f>SQRT(((VLOOKUP($AT$4,$A$4:$J$1021,10,FALSE))-J1004)^2)</f>
        <v/>
      </c>
      <c r="AN1004" s="125" t="n"/>
      <c r="AO1004" s="125" t="n"/>
      <c r="AP1004" s="125">
        <f>SQRT(((VLOOKUP($AT$4,$A$4:$R$1021,18,FALSE))-R1004)^2)</f>
        <v/>
      </c>
      <c r="AQ1004" s="125" t="inlineStr">
        <is>
          <t>HY450X89.9</t>
        </is>
      </c>
      <c r="BB1004" s="125">
        <f>SQRT(($J$1022-J1004)^2)</f>
        <v/>
      </c>
      <c r="BC1004" s="125">
        <f>SQRT(($R$1022-R1004)^2)</f>
        <v/>
      </c>
      <c r="BD1004" s="125" t="inlineStr">
        <is>
          <t>HY450X89.9</t>
        </is>
      </c>
      <c r="BI1004">
        <f>SQRT(($J$1023-J1004)^2)</f>
        <v/>
      </c>
      <c r="BJ1004">
        <f>SQRT(($R$1023-R1004)^2)</f>
        <v/>
      </c>
      <c r="BK1004" s="125" t="inlineStr">
        <is>
          <t>HY450X89.9</t>
        </is>
      </c>
      <c r="BP1004">
        <f>SQRT(($J$1024-J1004)^2)</f>
        <v/>
      </c>
      <c r="BQ1004">
        <f>SQRT(($R$1024-R1004)^2)</f>
        <v/>
      </c>
      <c r="BR1004" s="125" t="inlineStr">
        <is>
          <t>HY450X89.9</t>
        </is>
      </c>
      <c r="BW1004">
        <f>SQRT(($J$1025-J1004)^2)</f>
        <v/>
      </c>
      <c r="BX1004">
        <f>SQRT(($R$1025-R1004)^2)</f>
        <v/>
      </c>
      <c r="BY1004" s="125" t="inlineStr">
        <is>
          <t>HY450X89.9</t>
        </is>
      </c>
      <c r="CD1004">
        <f>SQRT(($J$1026-J1004)^2)</f>
        <v/>
      </c>
      <c r="CE1004">
        <f>SQRT(($R$1026-R1004)^2)</f>
        <v/>
      </c>
      <c r="CF1004" s="125" t="inlineStr">
        <is>
          <t>HY450X89.9</t>
        </is>
      </c>
    </row>
    <row r="1005">
      <c r="A1005" s="125" t="inlineStr">
        <is>
          <t>HY450X80.9</t>
        </is>
      </c>
      <c r="B1005" s="129" t="inlineStr">
        <is>
          <t>HY</t>
        </is>
      </c>
      <c r="C1005" s="125" t="n">
        <v>80.90000000000001</v>
      </c>
      <c r="D1005" s="125" t="n">
        <v>450</v>
      </c>
      <c r="E1005" s="125" t="n">
        <v>200</v>
      </c>
      <c r="F1005" s="125" t="n">
        <v>16</v>
      </c>
      <c r="G1005" s="125" t="n">
        <v>9</v>
      </c>
      <c r="H1005" s="125" t="n">
        <v>13</v>
      </c>
      <c r="I1005" s="125">
        <f>D1005-(2*(H1005+F1005))</f>
        <v/>
      </c>
      <c r="J1005" s="125">
        <f>(2*E1005/10*F1005/10)+((D1005-F1005-F1005)/10*G1005/10)+((H1005/10+H1005/10)^2)-(PI()*H1005/10*H1005/10)</f>
        <v/>
      </c>
      <c r="K1005" s="125">
        <f>((E1005-G1005)/2)/F1005</f>
        <v/>
      </c>
      <c r="L1005" s="125">
        <f>I1005/G1005</f>
        <v/>
      </c>
      <c r="M1005" s="125">
        <f>(E1005*2+F1005*4+((E1005-G1005)/2-H1005)*4+2*PI()*H1005+(D1005-2*F1005-2*H1005)*2)/1000</f>
        <v/>
      </c>
      <c r="N1005" s="5" t="n">
        <v>36200</v>
      </c>
      <c r="O1005" s="5" t="n">
        <v>2140</v>
      </c>
      <c r="P1005" s="125" t="n">
        <v>18.8</v>
      </c>
      <c r="Q1005" s="125" t="n">
        <v>4.6</v>
      </c>
      <c r="R1005" s="5" t="n">
        <v>1610</v>
      </c>
      <c r="S1005" s="125" t="n">
        <v>214</v>
      </c>
      <c r="T1005" s="5" t="n">
        <v>1810</v>
      </c>
      <c r="U1005" s="125" t="n">
        <v>330</v>
      </c>
      <c r="X1005" s="129">
        <f t="array" ref="X1005">_xlfn.IFS((D1005/F1005) &lt;= (640/SQRT($AT$32)), "Compact", L1005 &lt;= ($AT$32*(0.79-(0.002*((E1005-G1005/2)/(2*F1005))*SQRT($AT$32)))), "Non-Compact", L1005 &gt; ($AT$32*(0.79-(0.002*((E1005-G1005/2)/(2*F1005))*SQRT($AT$32)))), "Slender")</f>
        <v/>
      </c>
      <c r="Y1005" s="129">
        <f t="array" ref="Y1005">_xlfn.IFS(K1005 &lt;= (65/SQRT($AT$32)), "Compact", K1005 &lt;= (95/SQRT($AT$32)), "Non-Compact", K1005 &gt; (95/SQRT($AT$32)), "Slender")</f>
        <v/>
      </c>
      <c r="Z1005" s="125">
        <f>E1005/F1005</f>
        <v/>
      </c>
      <c r="AA1005" s="125">
        <f>D1005/G1005</f>
        <v/>
      </c>
      <c r="AB1005" s="125">
        <f t="array" ref="AB1005">_xlfn.IFS(Z1005 &lt;= 9, "1", Z1005 &lt;= 12, "2", Z1005 &lt;= 15, "3", Z1005 &gt; 15, "4")</f>
        <v/>
      </c>
      <c r="AC1005" s="125">
        <f t="array" ref="AC1005">_xlfn.IFS(AA1005 &lt;= 200, "1", L1005 &lt;= 300, "2", L1005 &lt;= 400, "3", L1005 &gt; 400, "4")</f>
        <v/>
      </c>
      <c r="AF1005" s="129">
        <f>SQRT((((VLOOKUP($AT$4,$A$4:$D$1021,4,FALSE))-D1005)^2)+(((VLOOKUP($AT$4,$A$4:$E$1021,5,FALSE))-E1005)^2)+(((VLOOKUP($AT$4,$A$4:$N$1021,14,FALSE))-N1005)^2)+(((VLOOKUP($AT$4,$A$4:$O$1021,15,FALSE))-O1005)^2))</f>
        <v/>
      </c>
      <c r="AG1005" s="129" t="n"/>
      <c r="AI1005" s="129">
        <f>SQRT((((VLOOKUP($AT$4,$A$4:$D$1021,4,FALSE))-D1005)^2)+(((VLOOKUP($AT$4,$A$4:$E$1021,5,FALSE))-E1005)^2)+(((VLOOKUP($AT$4,$A$4:$R$1021,18,FALSE))-R1005)^2)+(((VLOOKUP($AT$4,$A$4:$S$1021,19,FALSE))-S1005)^2))</f>
        <v/>
      </c>
      <c r="AJ1005" s="125" t="inlineStr">
        <is>
          <t>HY450X80.9</t>
        </is>
      </c>
      <c r="AK1005" s="125" t="n"/>
      <c r="AL1005" s="125" t="n"/>
      <c r="AM1005" s="125">
        <f>SQRT(((VLOOKUP($AT$4,$A$4:$J$1021,10,FALSE))-J1005)^2)</f>
        <v/>
      </c>
      <c r="AN1005" s="125" t="n"/>
      <c r="AO1005" s="125" t="n"/>
      <c r="AP1005" s="125">
        <f>SQRT(((VLOOKUP($AT$4,$A$4:$R$1021,18,FALSE))-R1005)^2)</f>
        <v/>
      </c>
      <c r="AQ1005" s="125" t="inlineStr">
        <is>
          <t>HY450X80.9</t>
        </is>
      </c>
      <c r="BB1005" s="125">
        <f>SQRT(($J$1022-J1005)^2)</f>
        <v/>
      </c>
      <c r="BC1005" s="125">
        <f>SQRT(($R$1022-R1005)^2)</f>
        <v/>
      </c>
      <c r="BD1005" s="125" t="inlineStr">
        <is>
          <t>HY450X80.9</t>
        </is>
      </c>
      <c r="BI1005">
        <f>SQRT(($J$1023-J1005)^2)</f>
        <v/>
      </c>
      <c r="BJ1005">
        <f>SQRT(($R$1023-R1005)^2)</f>
        <v/>
      </c>
      <c r="BK1005" s="125" t="inlineStr">
        <is>
          <t>HY450X80.9</t>
        </is>
      </c>
      <c r="BP1005">
        <f>SQRT(($J$1024-J1005)^2)</f>
        <v/>
      </c>
      <c r="BQ1005">
        <f>SQRT(($R$1024-R1005)^2)</f>
        <v/>
      </c>
      <c r="BR1005" s="125" t="inlineStr">
        <is>
          <t>HY450X80.9</t>
        </is>
      </c>
      <c r="BW1005">
        <f>SQRT(($J$1025-J1005)^2)</f>
        <v/>
      </c>
      <c r="BX1005">
        <f>SQRT(($R$1025-R1005)^2)</f>
        <v/>
      </c>
      <c r="BY1005" s="125" t="inlineStr">
        <is>
          <t>HY450X80.9</t>
        </is>
      </c>
      <c r="CD1005">
        <f>SQRT(($J$1026-J1005)^2)</f>
        <v/>
      </c>
      <c r="CE1005">
        <f>SQRT(($R$1026-R1005)^2)</f>
        <v/>
      </c>
      <c r="CF1005" s="125" t="inlineStr">
        <is>
          <t>HY450X80.9</t>
        </is>
      </c>
    </row>
    <row r="1006">
      <c r="A1006" s="125" t="inlineStr">
        <is>
          <t>HY450X68.9</t>
        </is>
      </c>
      <c r="B1006" s="129" t="inlineStr">
        <is>
          <t>HY</t>
        </is>
      </c>
      <c r="C1006" s="125" t="n">
        <v>68.90000000000001</v>
      </c>
      <c r="D1006" s="125" t="n">
        <v>450</v>
      </c>
      <c r="E1006" s="125" t="n">
        <v>200</v>
      </c>
      <c r="F1006" s="125" t="n">
        <v>12</v>
      </c>
      <c r="G1006" s="125" t="n">
        <v>9</v>
      </c>
      <c r="H1006" s="125" t="n">
        <v>13</v>
      </c>
      <c r="I1006" s="125">
        <f>D1006-(2*(H1006+F1006))</f>
        <v/>
      </c>
      <c r="J1006" s="125">
        <f>(2*E1006/10*F1006/10)+((D1006-F1006-F1006)/10*G1006/10)+((H1006/10+H1006/10)^2)-(PI()*H1006/10*H1006/10)</f>
        <v/>
      </c>
      <c r="K1006" s="125">
        <f>((E1006-G1006)/2)/F1006</f>
        <v/>
      </c>
      <c r="L1006" s="125">
        <f>I1006/G1006</f>
        <v/>
      </c>
      <c r="M1006" s="125">
        <f>(E1006*2+F1006*4+((E1006-G1006)/2-H1006)*4+2*PI()*H1006+(D1006-2*F1006-2*H1006)*2)/1000</f>
        <v/>
      </c>
      <c r="N1006" s="5" t="n">
        <v>29500</v>
      </c>
      <c r="O1006" s="5" t="n">
        <v>1600</v>
      </c>
      <c r="P1006" s="125" t="n">
        <v>18.3</v>
      </c>
      <c r="Q1006" s="125" t="n">
        <v>4.3</v>
      </c>
      <c r="R1006" s="5" t="n">
        <v>1310</v>
      </c>
      <c r="S1006" s="125" t="n">
        <v>160</v>
      </c>
      <c r="T1006" s="5" t="n">
        <v>1490</v>
      </c>
      <c r="U1006" s="125" t="n">
        <v>250</v>
      </c>
      <c r="X1006" s="129">
        <f t="array" ref="X1006">_xlfn.IFS((D1006/F1006) &lt;= (640/SQRT($AT$32)), "Compact", L1006 &lt;= ($AT$32*(0.79-(0.002*((E1006-G1006/2)/(2*F1006))*SQRT($AT$32)))), "Non-Compact", L1006 &gt; ($AT$32*(0.79-(0.002*((E1006-G1006/2)/(2*F1006))*SQRT($AT$32)))), "Slender")</f>
        <v/>
      </c>
      <c r="Y1006" s="129">
        <f t="array" ref="Y1006">_xlfn.IFS(K1006 &lt;= (65/SQRT($AT$32)), "Compact", K1006 &lt;= (95/SQRT($AT$32)), "Non-Compact", K1006 &gt; (95/SQRT($AT$32)), "Slender")</f>
        <v/>
      </c>
      <c r="Z1006" s="125">
        <f>E1006/F1006</f>
        <v/>
      </c>
      <c r="AA1006" s="125">
        <f>D1006/G1006</f>
        <v/>
      </c>
      <c r="AB1006" s="125">
        <f t="array" ref="AB1006">_xlfn.IFS(Z1006 &lt;= 9, "1", Z1006 &lt;= 12, "2", Z1006 &lt;= 15, "3", Z1006 &gt; 15, "4")</f>
        <v/>
      </c>
      <c r="AC1006" s="125">
        <f t="array" ref="AC1006">_xlfn.IFS(AA1006 &lt;= 200, "1", L1006 &lt;= 300, "2", L1006 &lt;= 400, "3", L1006 &gt; 400, "4")</f>
        <v/>
      </c>
      <c r="AF1006" s="129">
        <f>SQRT((((VLOOKUP($AT$4,$A$4:$D$1021,4,FALSE))-D1006)^2)+(((VLOOKUP($AT$4,$A$4:$E$1021,5,FALSE))-E1006)^2)+(((VLOOKUP($AT$4,$A$4:$N$1021,14,FALSE))-N1006)^2)+(((VLOOKUP($AT$4,$A$4:$O$1021,15,FALSE))-O1006)^2))</f>
        <v/>
      </c>
      <c r="AG1006" s="129" t="n"/>
      <c r="AI1006" s="129">
        <f>SQRT((((VLOOKUP($AT$4,$A$4:$D$1021,4,FALSE))-D1006)^2)+(((VLOOKUP($AT$4,$A$4:$E$1021,5,FALSE))-E1006)^2)+(((VLOOKUP($AT$4,$A$4:$R$1021,18,FALSE))-R1006)^2)+(((VLOOKUP($AT$4,$A$4:$S$1021,19,FALSE))-S1006)^2))</f>
        <v/>
      </c>
      <c r="AJ1006" s="125" t="inlineStr">
        <is>
          <t>HY450X68.9</t>
        </is>
      </c>
      <c r="AK1006" s="125" t="n"/>
      <c r="AL1006" s="125" t="n"/>
      <c r="AM1006" s="125">
        <f>SQRT(((VLOOKUP($AT$4,$A$4:$J$1021,10,FALSE))-J1006)^2)</f>
        <v/>
      </c>
      <c r="AN1006" s="125" t="n"/>
      <c r="AO1006" s="125" t="n"/>
      <c r="AP1006" s="125">
        <f>SQRT(((VLOOKUP($AT$4,$A$4:$R$1021,18,FALSE))-R1006)^2)</f>
        <v/>
      </c>
      <c r="AQ1006" s="125" t="inlineStr">
        <is>
          <t>HY450X68.9</t>
        </is>
      </c>
      <c r="BB1006" s="125">
        <f>SQRT(($J$1022-J1006)^2)</f>
        <v/>
      </c>
      <c r="BC1006" s="125">
        <f>SQRT(($R$1022-R1006)^2)</f>
        <v/>
      </c>
      <c r="BD1006" s="125" t="inlineStr">
        <is>
          <t>HY450X68.9</t>
        </is>
      </c>
      <c r="BI1006">
        <f>SQRT(($J$1023-J1006)^2)</f>
        <v/>
      </c>
      <c r="BJ1006">
        <f>SQRT(($R$1023-R1006)^2)</f>
        <v/>
      </c>
      <c r="BK1006" s="125" t="inlineStr">
        <is>
          <t>HY450X68.9</t>
        </is>
      </c>
      <c r="BP1006">
        <f>SQRT(($J$1024-J1006)^2)</f>
        <v/>
      </c>
      <c r="BQ1006">
        <f>SQRT(($R$1024-R1006)^2)</f>
        <v/>
      </c>
      <c r="BR1006" s="125" t="inlineStr">
        <is>
          <t>HY450X68.9</t>
        </is>
      </c>
      <c r="BW1006">
        <f>SQRT(($J$1025-J1006)^2)</f>
        <v/>
      </c>
      <c r="BX1006">
        <f>SQRT(($R$1025-R1006)^2)</f>
        <v/>
      </c>
      <c r="BY1006" s="125" t="inlineStr">
        <is>
          <t>HY450X68.9</t>
        </is>
      </c>
      <c r="CD1006">
        <f>SQRT(($J$1026-J1006)^2)</f>
        <v/>
      </c>
      <c r="CE1006">
        <f>SQRT(($R$1026-R1006)^2)</f>
        <v/>
      </c>
      <c r="CF1006" s="125" t="inlineStr">
        <is>
          <t>HY450X68.9</t>
        </is>
      </c>
    </row>
    <row r="1007">
      <c r="A1007" s="125" t="inlineStr">
        <is>
          <t>HY400X138</t>
        </is>
      </c>
      <c r="B1007" s="129" t="inlineStr">
        <is>
          <t>HY</t>
        </is>
      </c>
      <c r="C1007" s="125" t="n">
        <v>138</v>
      </c>
      <c r="D1007" s="125" t="n">
        <v>400</v>
      </c>
      <c r="E1007" s="125" t="n">
        <v>300</v>
      </c>
      <c r="F1007" s="125" t="n">
        <v>22</v>
      </c>
      <c r="G1007" s="125" t="n">
        <v>12</v>
      </c>
      <c r="H1007" s="125" t="n">
        <v>13</v>
      </c>
      <c r="I1007" s="125">
        <f>D1007-(2*(H1007+F1007))</f>
        <v/>
      </c>
      <c r="J1007" s="125">
        <f>(2*E1007/10*F1007/10)+((D1007-F1007-F1007)/10*G1007/10)+((H1007/10+H1007/10)^2)-(PI()*H1007/10*H1007/10)</f>
        <v/>
      </c>
      <c r="K1007" s="125">
        <f>((E1007-G1007)/2)/F1007</f>
        <v/>
      </c>
      <c r="L1007" s="125">
        <f>I1007/G1007</f>
        <v/>
      </c>
      <c r="M1007" s="125">
        <f>(E1007*2+F1007*4+((E1007-G1007)/2-H1007)*4+2*PI()*H1007+(D1007-2*F1007-2*H1007)*2)/1000</f>
        <v/>
      </c>
      <c r="N1007" s="5" t="n">
        <v>52200</v>
      </c>
      <c r="O1007" s="5" t="n">
        <v>9910</v>
      </c>
      <c r="P1007" s="125" t="n">
        <v>17.2</v>
      </c>
      <c r="Q1007" s="125" t="n">
        <v>7.5</v>
      </c>
      <c r="R1007" s="5" t="n">
        <v>2610</v>
      </c>
      <c r="S1007" s="125" t="n">
        <v>660</v>
      </c>
      <c r="T1007" s="5" t="n">
        <v>2900</v>
      </c>
      <c r="U1007" s="5" t="n">
        <v>1000</v>
      </c>
      <c r="X1007" s="129">
        <f t="array" ref="X1007">_xlfn.IFS((D1007/F1007) &lt;= (640/SQRT($AT$32)), "Compact", L1007 &lt;= ($AT$32*(0.79-(0.002*((E1007-G1007/2)/(2*F1007))*SQRT($AT$32)))), "Non-Compact", L1007 &gt; ($AT$32*(0.79-(0.002*((E1007-G1007/2)/(2*F1007))*SQRT($AT$32)))), "Slender")</f>
        <v/>
      </c>
      <c r="Y1007" s="129">
        <f t="array" ref="Y1007">_xlfn.IFS(K1007 &lt;= (65/SQRT($AT$32)), "Compact", K1007 &lt;= (95/SQRT($AT$32)), "Non-Compact", K1007 &gt; (95/SQRT($AT$32)), "Slender")</f>
        <v/>
      </c>
      <c r="Z1007" s="125">
        <f>E1007/F1007</f>
        <v/>
      </c>
      <c r="AA1007" s="125">
        <f>D1007/G1007</f>
        <v/>
      </c>
      <c r="AB1007" s="125">
        <f t="array" ref="AB1007">_xlfn.IFS(Z1007 &lt;= 9, "1", Z1007 &lt;= 12, "2", Z1007 &lt;= 15, "3", Z1007 &gt; 15, "4")</f>
        <v/>
      </c>
      <c r="AC1007" s="125">
        <f t="array" ref="AC1007">_xlfn.IFS(AA1007 &lt;= 200, "1", L1007 &lt;= 300, "2", L1007 &lt;= 400, "3", L1007 &gt; 400, "4")</f>
        <v/>
      </c>
      <c r="AF1007" s="129">
        <f>SQRT((((VLOOKUP($AT$4,$A$4:$D$1021,4,FALSE))-D1007)^2)+(((VLOOKUP($AT$4,$A$4:$E$1021,5,FALSE))-E1007)^2)+(((VLOOKUP($AT$4,$A$4:$N$1021,14,FALSE))-N1007)^2)+(((VLOOKUP($AT$4,$A$4:$O$1021,15,FALSE))-O1007)^2))</f>
        <v/>
      </c>
      <c r="AG1007" s="129" t="n"/>
      <c r="AI1007" s="129">
        <f>SQRT((((VLOOKUP($AT$4,$A$4:$D$1021,4,FALSE))-D1007)^2)+(((VLOOKUP($AT$4,$A$4:$E$1021,5,FALSE))-E1007)^2)+(((VLOOKUP($AT$4,$A$4:$R$1021,18,FALSE))-R1007)^2)+(((VLOOKUP($AT$4,$A$4:$S$1021,19,FALSE))-S1007)^2))</f>
        <v/>
      </c>
      <c r="AJ1007" s="125" t="inlineStr">
        <is>
          <t>HY400X138</t>
        </is>
      </c>
      <c r="AK1007" s="125" t="n"/>
      <c r="AL1007" s="125" t="n"/>
      <c r="AM1007" s="125">
        <f>SQRT(((VLOOKUP($AT$4,$A$4:$J$1021,10,FALSE))-J1007)^2)</f>
        <v/>
      </c>
      <c r="AN1007" s="125" t="n"/>
      <c r="AO1007" s="125" t="n"/>
      <c r="AP1007" s="125">
        <f>SQRT(((VLOOKUP($AT$4,$A$4:$R$1021,18,FALSE))-R1007)^2)</f>
        <v/>
      </c>
      <c r="AQ1007" s="125" t="inlineStr">
        <is>
          <t>HY400X138</t>
        </is>
      </c>
      <c r="BB1007" s="125">
        <f>SQRT(($J$1022-J1007)^2)</f>
        <v/>
      </c>
      <c r="BC1007" s="125">
        <f>SQRT(($R$1022-R1007)^2)</f>
        <v/>
      </c>
      <c r="BD1007" s="125" t="inlineStr">
        <is>
          <t>HY400X138</t>
        </is>
      </c>
      <c r="BI1007">
        <f>SQRT(($J$1023-J1007)^2)</f>
        <v/>
      </c>
      <c r="BJ1007">
        <f>SQRT(($R$1023-R1007)^2)</f>
        <v/>
      </c>
      <c r="BK1007" s="125" t="inlineStr">
        <is>
          <t>HY400X138</t>
        </is>
      </c>
      <c r="BP1007">
        <f>SQRT(($J$1024-J1007)^2)</f>
        <v/>
      </c>
      <c r="BQ1007">
        <f>SQRT(($R$1024-R1007)^2)</f>
        <v/>
      </c>
      <c r="BR1007" s="125" t="inlineStr">
        <is>
          <t>HY400X138</t>
        </is>
      </c>
      <c r="BW1007">
        <f>SQRT(($J$1025-J1007)^2)</f>
        <v/>
      </c>
      <c r="BX1007">
        <f>SQRT(($R$1025-R1007)^2)</f>
        <v/>
      </c>
      <c r="BY1007" s="125" t="inlineStr">
        <is>
          <t>HY400X138</t>
        </is>
      </c>
      <c r="CD1007">
        <f>SQRT(($J$1026-J1007)^2)</f>
        <v/>
      </c>
      <c r="CE1007">
        <f>SQRT(($R$1026-R1007)^2)</f>
        <v/>
      </c>
      <c r="CF1007" s="125" t="inlineStr">
        <is>
          <t>HY400X138</t>
        </is>
      </c>
    </row>
    <row r="1008">
      <c r="A1008" s="125" t="inlineStr">
        <is>
          <t>HY400X125</t>
        </is>
      </c>
      <c r="B1008" s="129" t="inlineStr">
        <is>
          <t>HY</t>
        </is>
      </c>
      <c r="C1008" s="125" t="n">
        <v>125</v>
      </c>
      <c r="D1008" s="125" t="n">
        <v>400</v>
      </c>
      <c r="E1008" s="125" t="n">
        <v>300</v>
      </c>
      <c r="F1008" s="125" t="n">
        <v>19</v>
      </c>
      <c r="G1008" s="125" t="n">
        <v>12</v>
      </c>
      <c r="H1008" s="125" t="n">
        <v>13</v>
      </c>
      <c r="I1008" s="125">
        <f>D1008-(2*(H1008+F1008))</f>
        <v/>
      </c>
      <c r="J1008" s="125">
        <f>(2*E1008/10*F1008/10)+((D1008-F1008-F1008)/10*G1008/10)+((H1008/10+H1008/10)^2)-(PI()*H1008/10*H1008/10)</f>
        <v/>
      </c>
      <c r="K1008" s="125">
        <f>((E1008-G1008)/2)/F1008</f>
        <v/>
      </c>
      <c r="L1008" s="125">
        <f>I1008/G1008</f>
        <v/>
      </c>
      <c r="M1008" s="125">
        <f>(E1008*2+F1008*4+((E1008-G1008)/2-H1008)*4+2*PI()*H1008+(D1008-2*F1008-2*H1008)*2)/1000</f>
        <v/>
      </c>
      <c r="N1008" s="5" t="n">
        <v>46600</v>
      </c>
      <c r="O1008" s="5" t="n">
        <v>8560</v>
      </c>
      <c r="P1008" s="125" t="n">
        <v>17.1</v>
      </c>
      <c r="Q1008" s="125" t="n">
        <v>7.3</v>
      </c>
      <c r="R1008" s="5" t="n">
        <v>2330</v>
      </c>
      <c r="S1008" s="125" t="n">
        <v>570</v>
      </c>
      <c r="T1008" s="5" t="n">
        <v>2590</v>
      </c>
      <c r="U1008" s="125" t="n">
        <v>869</v>
      </c>
      <c r="X1008" s="129">
        <f t="array" ref="X1008">_xlfn.IFS((D1008/F1008) &lt;= (640/SQRT($AT$32)), "Compact", L1008 &lt;= ($AT$32*(0.79-(0.002*((E1008-G1008/2)/(2*F1008))*SQRT($AT$32)))), "Non-Compact", L1008 &gt; ($AT$32*(0.79-(0.002*((E1008-G1008/2)/(2*F1008))*SQRT($AT$32)))), "Slender")</f>
        <v/>
      </c>
      <c r="Y1008" s="129">
        <f t="array" ref="Y1008">_xlfn.IFS(K1008 &lt;= (65/SQRT($AT$32)), "Compact", K1008 &lt;= (95/SQRT($AT$32)), "Non-Compact", K1008 &gt; (95/SQRT($AT$32)), "Slender")</f>
        <v/>
      </c>
      <c r="Z1008" s="125">
        <f>E1008/F1008</f>
        <v/>
      </c>
      <c r="AA1008" s="125">
        <f>D1008/G1008</f>
        <v/>
      </c>
      <c r="AB1008" s="125">
        <f t="array" ref="AB1008">_xlfn.IFS(Z1008 &lt;= 9, "1", Z1008 &lt;= 12, "2", Z1008 &lt;= 15, "3", Z1008 &gt; 15, "4")</f>
        <v/>
      </c>
      <c r="AC1008" s="125">
        <f t="array" ref="AC1008">_xlfn.IFS(AA1008 &lt;= 200, "1", L1008 &lt;= 300, "2", L1008 &lt;= 400, "3", L1008 &gt; 400, "4")</f>
        <v/>
      </c>
      <c r="AF1008" s="129">
        <f>SQRT((((VLOOKUP($AT$4,$A$4:$D$1021,4,FALSE))-D1008)^2)+(((VLOOKUP($AT$4,$A$4:$E$1021,5,FALSE))-E1008)^2)+(((VLOOKUP($AT$4,$A$4:$N$1021,14,FALSE))-N1008)^2)+(((VLOOKUP($AT$4,$A$4:$O$1021,15,FALSE))-O1008)^2))</f>
        <v/>
      </c>
      <c r="AG1008" s="129" t="n"/>
      <c r="AI1008" s="129">
        <f>SQRT((((VLOOKUP($AT$4,$A$4:$D$1021,4,FALSE))-D1008)^2)+(((VLOOKUP($AT$4,$A$4:$E$1021,5,FALSE))-E1008)^2)+(((VLOOKUP($AT$4,$A$4:$R$1021,18,FALSE))-R1008)^2)+(((VLOOKUP($AT$4,$A$4:$S$1021,19,FALSE))-S1008)^2))</f>
        <v/>
      </c>
      <c r="AJ1008" s="125" t="inlineStr">
        <is>
          <t>HY400X125</t>
        </is>
      </c>
      <c r="AK1008" s="125" t="n"/>
      <c r="AL1008" s="125" t="n"/>
      <c r="AM1008" s="125">
        <f>SQRT(((VLOOKUP($AT$4,$A$4:$J$1021,10,FALSE))-J1008)^2)</f>
        <v/>
      </c>
      <c r="AN1008" s="125" t="n"/>
      <c r="AO1008" s="125" t="n"/>
      <c r="AP1008" s="125">
        <f>SQRT(((VLOOKUP($AT$4,$A$4:$R$1021,18,FALSE))-R1008)^2)</f>
        <v/>
      </c>
      <c r="AQ1008" s="125" t="inlineStr">
        <is>
          <t>HY400X125</t>
        </is>
      </c>
      <c r="BB1008" s="125">
        <f>SQRT(($J$1022-J1008)^2)</f>
        <v/>
      </c>
      <c r="BC1008" s="125">
        <f>SQRT(($R$1022-R1008)^2)</f>
        <v/>
      </c>
      <c r="BD1008" s="125" t="inlineStr">
        <is>
          <t>HY400X125</t>
        </is>
      </c>
      <c r="BI1008">
        <f>SQRT(($J$1023-J1008)^2)</f>
        <v/>
      </c>
      <c r="BJ1008">
        <f>SQRT(($R$1023-R1008)^2)</f>
        <v/>
      </c>
      <c r="BK1008" s="125" t="inlineStr">
        <is>
          <t>HY400X125</t>
        </is>
      </c>
      <c r="BP1008">
        <f>SQRT(($J$1024-J1008)^2)</f>
        <v/>
      </c>
      <c r="BQ1008">
        <f>SQRT(($R$1024-R1008)^2)</f>
        <v/>
      </c>
      <c r="BR1008" s="125" t="inlineStr">
        <is>
          <t>HY400X125</t>
        </is>
      </c>
      <c r="BW1008">
        <f>SQRT(($J$1025-J1008)^2)</f>
        <v/>
      </c>
      <c r="BX1008">
        <f>SQRT(($R$1025-R1008)^2)</f>
        <v/>
      </c>
      <c r="BY1008" s="125" t="inlineStr">
        <is>
          <t>HY400X125</t>
        </is>
      </c>
      <c r="CD1008">
        <f>SQRT(($J$1026-J1008)^2)</f>
        <v/>
      </c>
      <c r="CE1008">
        <f>SQRT(($R$1026-R1008)^2)</f>
        <v/>
      </c>
      <c r="CF1008" s="125" t="inlineStr">
        <is>
          <t>HY400X125</t>
        </is>
      </c>
    </row>
    <row r="1009">
      <c r="A1009" s="125" t="inlineStr">
        <is>
          <t>HY400X130</t>
        </is>
      </c>
      <c r="B1009" s="129" t="inlineStr">
        <is>
          <t>HY</t>
        </is>
      </c>
      <c r="C1009" s="125" t="n">
        <v>130</v>
      </c>
      <c r="D1009" s="125" t="n">
        <v>400</v>
      </c>
      <c r="E1009" s="125" t="n">
        <v>300</v>
      </c>
      <c r="F1009" s="125" t="n">
        <v>22</v>
      </c>
      <c r="G1009" s="125" t="n">
        <v>9</v>
      </c>
      <c r="H1009" s="125" t="n">
        <v>13</v>
      </c>
      <c r="I1009" s="125">
        <f>D1009-(2*(H1009+F1009))</f>
        <v/>
      </c>
      <c r="J1009" s="125">
        <f>(2*E1009/10*F1009/10)+((D1009-F1009-F1009)/10*G1009/10)+((H1009/10+H1009/10)^2)-(PI()*H1009/10*H1009/10)</f>
        <v/>
      </c>
      <c r="K1009" s="125">
        <f>((E1009-G1009)/2)/F1009</f>
        <v/>
      </c>
      <c r="L1009" s="125">
        <f>I1009/G1009</f>
        <v/>
      </c>
      <c r="M1009" s="125">
        <f>(E1009*2+F1009*4+((E1009-G1009)/2-H1009)*4+2*PI()*H1009+(D1009-2*F1009-2*H1009)*2)/1000</f>
        <v/>
      </c>
      <c r="N1009" s="5" t="n">
        <v>51000</v>
      </c>
      <c r="O1009" s="5" t="n">
        <v>9900</v>
      </c>
      <c r="P1009" s="125" t="n">
        <v>17.6</v>
      </c>
      <c r="Q1009" s="125" t="n">
        <v>7.7</v>
      </c>
      <c r="R1009" s="5" t="n">
        <v>2550</v>
      </c>
      <c r="S1009" s="125" t="n">
        <v>660</v>
      </c>
      <c r="T1009" s="5" t="n">
        <v>2810</v>
      </c>
      <c r="U1009" s="125" t="n">
        <v>998</v>
      </c>
      <c r="X1009" s="129">
        <f t="array" ref="X1009">_xlfn.IFS((D1009/F1009) &lt;= (640/SQRT($AT$32)), "Compact", L1009 &lt;= ($AT$32*(0.79-(0.002*((E1009-G1009/2)/(2*F1009))*SQRT($AT$32)))), "Non-Compact", L1009 &gt; ($AT$32*(0.79-(0.002*((E1009-G1009/2)/(2*F1009))*SQRT($AT$32)))), "Slender")</f>
        <v/>
      </c>
      <c r="Y1009" s="129">
        <f t="array" ref="Y1009">_xlfn.IFS(K1009 &lt;= (65/SQRT($AT$32)), "Compact", K1009 &lt;= (95/SQRT($AT$32)), "Non-Compact", K1009 &gt; (95/SQRT($AT$32)), "Slender")</f>
        <v/>
      </c>
      <c r="Z1009" s="125">
        <f>E1009/F1009</f>
        <v/>
      </c>
      <c r="AA1009" s="125">
        <f>D1009/G1009</f>
        <v/>
      </c>
      <c r="AB1009" s="125">
        <f t="array" ref="AB1009">_xlfn.IFS(Z1009 &lt;= 9, "1", Z1009 &lt;= 12, "2", Z1009 &lt;= 15, "3", Z1009 &gt; 15, "4")</f>
        <v/>
      </c>
      <c r="AC1009" s="125">
        <f t="array" ref="AC1009">_xlfn.IFS(AA1009 &lt;= 200, "1", L1009 &lt;= 300, "2", L1009 &lt;= 400, "3", L1009 &gt; 400, "4")</f>
        <v/>
      </c>
      <c r="AF1009" s="129">
        <f>SQRT((((VLOOKUP($AT$4,$A$4:$D$1021,4,FALSE))-D1009)^2)+(((VLOOKUP($AT$4,$A$4:$E$1021,5,FALSE))-E1009)^2)+(((VLOOKUP($AT$4,$A$4:$N$1021,14,FALSE))-N1009)^2)+(((VLOOKUP($AT$4,$A$4:$O$1021,15,FALSE))-O1009)^2))</f>
        <v/>
      </c>
      <c r="AG1009" s="129" t="n"/>
      <c r="AI1009" s="129">
        <f>SQRT((((VLOOKUP($AT$4,$A$4:$D$1021,4,FALSE))-D1009)^2)+(((VLOOKUP($AT$4,$A$4:$E$1021,5,FALSE))-E1009)^2)+(((VLOOKUP($AT$4,$A$4:$R$1021,18,FALSE))-R1009)^2)+(((VLOOKUP($AT$4,$A$4:$S$1021,19,FALSE))-S1009)^2))</f>
        <v/>
      </c>
      <c r="AJ1009" s="125" t="inlineStr">
        <is>
          <t>HY400X130</t>
        </is>
      </c>
      <c r="AK1009" s="125" t="n"/>
      <c r="AL1009" s="125" t="n"/>
      <c r="AM1009" s="125">
        <f>SQRT(((VLOOKUP($AT$4,$A$4:$J$1021,10,FALSE))-J1009)^2)</f>
        <v/>
      </c>
      <c r="AN1009" s="125" t="n"/>
      <c r="AO1009" s="125" t="n"/>
      <c r="AP1009" s="125">
        <f>SQRT(((VLOOKUP($AT$4,$A$4:$R$1021,18,FALSE))-R1009)^2)</f>
        <v/>
      </c>
      <c r="AQ1009" s="125" t="inlineStr">
        <is>
          <t>HY400X130</t>
        </is>
      </c>
      <c r="BB1009" s="125">
        <f>SQRT(($J$1022-J1009)^2)</f>
        <v/>
      </c>
      <c r="BC1009" s="125">
        <f>SQRT(($R$1022-R1009)^2)</f>
        <v/>
      </c>
      <c r="BD1009" s="125" t="inlineStr">
        <is>
          <t>HY400X130</t>
        </is>
      </c>
      <c r="BI1009">
        <f>SQRT(($J$1023-J1009)^2)</f>
        <v/>
      </c>
      <c r="BJ1009">
        <f>SQRT(($R$1023-R1009)^2)</f>
        <v/>
      </c>
      <c r="BK1009" s="125" t="inlineStr">
        <is>
          <t>HY400X130</t>
        </is>
      </c>
      <c r="BP1009">
        <f>SQRT(($J$1024-J1009)^2)</f>
        <v/>
      </c>
      <c r="BQ1009">
        <f>SQRT(($R$1024-R1009)^2)</f>
        <v/>
      </c>
      <c r="BR1009" s="125" t="inlineStr">
        <is>
          <t>HY400X130</t>
        </is>
      </c>
      <c r="BW1009">
        <f>SQRT(($J$1025-J1009)^2)</f>
        <v/>
      </c>
      <c r="BX1009">
        <f>SQRT(($R$1025-R1009)^2)</f>
        <v/>
      </c>
      <c r="BY1009" s="125" t="inlineStr">
        <is>
          <t>HY400X130</t>
        </is>
      </c>
      <c r="CD1009">
        <f>SQRT(($J$1026-J1009)^2)</f>
        <v/>
      </c>
      <c r="CE1009">
        <f>SQRT(($R$1026-R1009)^2)</f>
        <v/>
      </c>
      <c r="CF1009" s="125" t="inlineStr">
        <is>
          <t>HY400X130</t>
        </is>
      </c>
    </row>
    <row r="1010">
      <c r="A1010" s="125" t="inlineStr">
        <is>
          <t>HY400X116</t>
        </is>
      </c>
      <c r="B1010" s="129" t="inlineStr">
        <is>
          <t>HY</t>
        </is>
      </c>
      <c r="C1010" s="125" t="n">
        <v>116</v>
      </c>
      <c r="D1010" s="125" t="n">
        <v>400</v>
      </c>
      <c r="E1010" s="125" t="n">
        <v>300</v>
      </c>
      <c r="F1010" s="125" t="n">
        <v>19</v>
      </c>
      <c r="G1010" s="125" t="n">
        <v>9</v>
      </c>
      <c r="H1010" s="125" t="n">
        <v>13</v>
      </c>
      <c r="I1010" s="125">
        <f>D1010-(2*(H1010+F1010))</f>
        <v/>
      </c>
      <c r="J1010" s="125">
        <f>(2*E1010/10*F1010/10)+((D1010-F1010-F1010)/10*G1010/10)+((H1010/10+H1010/10)^2)-(PI()*H1010/10*H1010/10)</f>
        <v/>
      </c>
      <c r="K1010" s="125">
        <f>((E1010-G1010)/2)/F1010</f>
        <v/>
      </c>
      <c r="L1010" s="125">
        <f>I1010/G1010</f>
        <v/>
      </c>
      <c r="M1010" s="125">
        <f>(E1010*2+F1010*4+((E1010-G1010)/2-H1010)*4+2*PI()*H1010+(D1010-2*F1010-2*H1010)*2)/1000</f>
        <v/>
      </c>
      <c r="N1010" s="5" t="n">
        <v>45400</v>
      </c>
      <c r="O1010" s="5" t="n">
        <v>8550</v>
      </c>
      <c r="P1010" s="125" t="n">
        <v>17.5</v>
      </c>
      <c r="Q1010" s="125" t="n">
        <v>7.6</v>
      </c>
      <c r="R1010" s="5" t="n">
        <v>2270</v>
      </c>
      <c r="S1010" s="125" t="n">
        <v>570</v>
      </c>
      <c r="T1010" s="5" t="n">
        <v>2490</v>
      </c>
      <c r="U1010" s="125" t="n">
        <v>863</v>
      </c>
      <c r="X1010" s="129">
        <f t="array" ref="X1010">_xlfn.IFS((D1010/F1010) &lt;= (640/SQRT($AT$32)), "Compact", L1010 &lt;= ($AT$32*(0.79-(0.002*((E1010-G1010/2)/(2*F1010))*SQRT($AT$32)))), "Non-Compact", L1010 &gt; ($AT$32*(0.79-(0.002*((E1010-G1010/2)/(2*F1010))*SQRT($AT$32)))), "Slender")</f>
        <v/>
      </c>
      <c r="Y1010" s="129">
        <f t="array" ref="Y1010">_xlfn.IFS(K1010 &lt;= (65/SQRT($AT$32)), "Compact", K1010 &lt;= (95/SQRT($AT$32)), "Non-Compact", K1010 &gt; (95/SQRT($AT$32)), "Slender")</f>
        <v/>
      </c>
      <c r="Z1010" s="125">
        <f>E1010/F1010</f>
        <v/>
      </c>
      <c r="AA1010" s="125">
        <f>D1010/G1010</f>
        <v/>
      </c>
      <c r="AB1010" s="125">
        <f t="array" ref="AB1010">_xlfn.IFS(Z1010 &lt;= 9, "1", Z1010 &lt;= 12, "2", Z1010 &lt;= 15, "3", Z1010 &gt; 15, "4")</f>
        <v/>
      </c>
      <c r="AC1010" s="125">
        <f t="array" ref="AC1010">_xlfn.IFS(AA1010 &lt;= 200, "1", L1010 &lt;= 300, "2", L1010 &lt;= 400, "3", L1010 &gt; 400, "4")</f>
        <v/>
      </c>
      <c r="AF1010" s="129">
        <f>SQRT((((VLOOKUP($AT$4,$A$4:$D$1021,4,FALSE))-D1010)^2)+(((VLOOKUP($AT$4,$A$4:$E$1021,5,FALSE))-E1010)^2)+(((VLOOKUP($AT$4,$A$4:$N$1021,14,FALSE))-N1010)^2)+(((VLOOKUP($AT$4,$A$4:$O$1021,15,FALSE))-O1010)^2))</f>
        <v/>
      </c>
      <c r="AG1010" s="129" t="n"/>
      <c r="AI1010" s="129">
        <f>SQRT((((VLOOKUP($AT$4,$A$4:$D$1021,4,FALSE))-D1010)^2)+(((VLOOKUP($AT$4,$A$4:$E$1021,5,FALSE))-E1010)^2)+(((VLOOKUP($AT$4,$A$4:$R$1021,18,FALSE))-R1010)^2)+(((VLOOKUP($AT$4,$A$4:$S$1021,19,FALSE))-S1010)^2))</f>
        <v/>
      </c>
      <c r="AJ1010" s="125" t="inlineStr">
        <is>
          <t>HY400X116</t>
        </is>
      </c>
      <c r="AK1010" s="125" t="n"/>
      <c r="AL1010" s="125" t="n"/>
      <c r="AM1010" s="125">
        <f>SQRT(((VLOOKUP($AT$4,$A$4:$J$1021,10,FALSE))-J1010)^2)</f>
        <v/>
      </c>
      <c r="AN1010" s="125" t="n"/>
      <c r="AO1010" s="125" t="n"/>
      <c r="AP1010" s="125">
        <f>SQRT(((VLOOKUP($AT$4,$A$4:$R$1021,18,FALSE))-R1010)^2)</f>
        <v/>
      </c>
      <c r="AQ1010" s="125" t="inlineStr">
        <is>
          <t>HY400X116</t>
        </is>
      </c>
      <c r="BB1010" s="125">
        <f>SQRT(($J$1022-J1010)^2)</f>
        <v/>
      </c>
      <c r="BC1010" s="125">
        <f>SQRT(($R$1022-R1010)^2)</f>
        <v/>
      </c>
      <c r="BD1010" s="125" t="inlineStr">
        <is>
          <t>HY400X116</t>
        </is>
      </c>
      <c r="BI1010">
        <f>SQRT(($J$1023-J1010)^2)</f>
        <v/>
      </c>
      <c r="BJ1010">
        <f>SQRT(($R$1023-R1010)^2)</f>
        <v/>
      </c>
      <c r="BK1010" s="125" t="inlineStr">
        <is>
          <t>HY400X116</t>
        </is>
      </c>
      <c r="BP1010">
        <f>SQRT(($J$1024-J1010)^2)</f>
        <v/>
      </c>
      <c r="BQ1010">
        <f>SQRT(($R$1024-R1010)^2)</f>
        <v/>
      </c>
      <c r="BR1010" s="125" t="inlineStr">
        <is>
          <t>HY400X116</t>
        </is>
      </c>
      <c r="BW1010">
        <f>SQRT(($J$1025-J1010)^2)</f>
        <v/>
      </c>
      <c r="BX1010">
        <f>SQRT(($R$1025-R1010)^2)</f>
        <v/>
      </c>
      <c r="BY1010" s="125" t="inlineStr">
        <is>
          <t>HY400X116</t>
        </is>
      </c>
      <c r="CD1010">
        <f>SQRT(($J$1026-J1010)^2)</f>
        <v/>
      </c>
      <c r="CE1010">
        <f>SQRT(($R$1026-R1010)^2)</f>
        <v/>
      </c>
      <c r="CF1010" s="125" t="inlineStr">
        <is>
          <t>HY400X116</t>
        </is>
      </c>
    </row>
    <row r="1011">
      <c r="A1011" s="125" t="inlineStr">
        <is>
          <t>HY400X121</t>
        </is>
      </c>
      <c r="B1011" s="129" t="inlineStr">
        <is>
          <t>HY</t>
        </is>
      </c>
      <c r="C1011" s="125" t="n">
        <v>121</v>
      </c>
      <c r="D1011" s="125" t="n">
        <v>400</v>
      </c>
      <c r="E1011" s="125" t="n">
        <v>250</v>
      </c>
      <c r="F1011" s="125" t="n">
        <v>22</v>
      </c>
      <c r="G1011" s="125" t="n">
        <v>12</v>
      </c>
      <c r="H1011" s="125" t="n">
        <v>13</v>
      </c>
      <c r="I1011" s="125">
        <f>D1011-(2*(H1011+F1011))</f>
        <v/>
      </c>
      <c r="J1011" s="125">
        <f>(2*E1011/10*F1011/10)+((D1011-F1011-F1011)/10*G1011/10)+((H1011/10+H1011/10)^2)-(PI()*H1011/10*H1011/10)</f>
        <v/>
      </c>
      <c r="K1011" s="125">
        <f>((E1011-G1011)/2)/F1011</f>
        <v/>
      </c>
      <c r="L1011" s="125">
        <f>I1011/G1011</f>
        <v/>
      </c>
      <c r="M1011" s="125">
        <f>(E1011*2+F1011*4+((E1011-G1011)/2-H1011)*4+2*PI()*H1011+(D1011-2*F1011-2*H1011)*2)/1000</f>
        <v/>
      </c>
      <c r="N1011" s="5" t="n">
        <v>44300</v>
      </c>
      <c r="O1011" s="5" t="n">
        <v>5740</v>
      </c>
      <c r="P1011" s="125" t="n">
        <v>17</v>
      </c>
      <c r="Q1011" s="125" t="n">
        <v>6.1</v>
      </c>
      <c r="R1011" s="5" t="n">
        <v>2210</v>
      </c>
      <c r="S1011" s="125" t="n">
        <v>459</v>
      </c>
      <c r="T1011" s="5" t="n">
        <v>2480</v>
      </c>
      <c r="U1011" s="125" t="n">
        <v>702</v>
      </c>
      <c r="X1011" s="129">
        <f t="array" ref="X1011">_xlfn.IFS((D1011/F1011) &lt;= (640/SQRT($AT$32)), "Compact", L1011 &lt;= ($AT$32*(0.79-(0.002*((E1011-G1011/2)/(2*F1011))*SQRT($AT$32)))), "Non-Compact", L1011 &gt; ($AT$32*(0.79-(0.002*((E1011-G1011/2)/(2*F1011))*SQRT($AT$32)))), "Slender")</f>
        <v/>
      </c>
      <c r="Y1011" s="129">
        <f t="array" ref="Y1011">_xlfn.IFS(K1011 &lt;= (65/SQRT($AT$32)), "Compact", K1011 &lt;= (95/SQRT($AT$32)), "Non-Compact", K1011 &gt; (95/SQRT($AT$32)), "Slender")</f>
        <v/>
      </c>
      <c r="Z1011" s="125">
        <f>E1011/F1011</f>
        <v/>
      </c>
      <c r="AA1011" s="125">
        <f>D1011/G1011</f>
        <v/>
      </c>
      <c r="AB1011" s="125">
        <f t="array" ref="AB1011">_xlfn.IFS(Z1011 &lt;= 9, "1", Z1011 &lt;= 12, "2", Z1011 &lt;= 15, "3", Z1011 &gt; 15, "4")</f>
        <v/>
      </c>
      <c r="AC1011" s="125">
        <f t="array" ref="AC1011">_xlfn.IFS(AA1011 &lt;= 200, "1", L1011 &lt;= 300, "2", L1011 &lt;= 400, "3", L1011 &gt; 400, "4")</f>
        <v/>
      </c>
      <c r="AF1011" s="129">
        <f>SQRT((((VLOOKUP($AT$4,$A$4:$D$1021,4,FALSE))-D1011)^2)+(((VLOOKUP($AT$4,$A$4:$E$1021,5,FALSE))-E1011)^2)+(((VLOOKUP($AT$4,$A$4:$N$1021,14,FALSE))-N1011)^2)+(((VLOOKUP($AT$4,$A$4:$O$1021,15,FALSE))-O1011)^2))</f>
        <v/>
      </c>
      <c r="AG1011" s="129" t="n"/>
      <c r="AI1011" s="129">
        <f>SQRT((((VLOOKUP($AT$4,$A$4:$D$1021,4,FALSE))-D1011)^2)+(((VLOOKUP($AT$4,$A$4:$E$1021,5,FALSE))-E1011)^2)+(((VLOOKUP($AT$4,$A$4:$R$1021,18,FALSE))-R1011)^2)+(((VLOOKUP($AT$4,$A$4:$S$1021,19,FALSE))-S1011)^2))</f>
        <v/>
      </c>
      <c r="AJ1011" s="125" t="inlineStr">
        <is>
          <t>HY400X121</t>
        </is>
      </c>
      <c r="AK1011" s="125" t="n"/>
      <c r="AL1011" s="125" t="n"/>
      <c r="AM1011" s="125">
        <f>SQRT(((VLOOKUP($AT$4,$A$4:$J$1021,10,FALSE))-J1011)^2)</f>
        <v/>
      </c>
      <c r="AN1011" s="125" t="n"/>
      <c r="AO1011" s="125" t="n"/>
      <c r="AP1011" s="125">
        <f>SQRT(((VLOOKUP($AT$4,$A$4:$R$1021,18,FALSE))-R1011)^2)</f>
        <v/>
      </c>
      <c r="AQ1011" s="125" t="inlineStr">
        <is>
          <t>HY400X121</t>
        </is>
      </c>
      <c r="BB1011" s="125">
        <f>SQRT(($J$1022-J1011)^2)</f>
        <v/>
      </c>
      <c r="BC1011" s="125">
        <f>SQRT(($R$1022-R1011)^2)</f>
        <v/>
      </c>
      <c r="BD1011" s="125" t="inlineStr">
        <is>
          <t>HY400X121</t>
        </is>
      </c>
      <c r="BI1011">
        <f>SQRT(($J$1023-J1011)^2)</f>
        <v/>
      </c>
      <c r="BJ1011">
        <f>SQRT(($R$1023-R1011)^2)</f>
        <v/>
      </c>
      <c r="BK1011" s="125" t="inlineStr">
        <is>
          <t>HY400X121</t>
        </is>
      </c>
      <c r="BP1011">
        <f>SQRT(($J$1024-J1011)^2)</f>
        <v/>
      </c>
      <c r="BQ1011">
        <f>SQRT(($R$1024-R1011)^2)</f>
        <v/>
      </c>
      <c r="BR1011" s="125" t="inlineStr">
        <is>
          <t>HY400X121</t>
        </is>
      </c>
      <c r="BW1011">
        <f>SQRT(($J$1025-J1011)^2)</f>
        <v/>
      </c>
      <c r="BX1011">
        <f>SQRT(($R$1025-R1011)^2)</f>
        <v/>
      </c>
      <c r="BY1011" s="125" t="inlineStr">
        <is>
          <t>HY400X121</t>
        </is>
      </c>
      <c r="CD1011">
        <f>SQRT(($J$1026-J1011)^2)</f>
        <v/>
      </c>
      <c r="CE1011">
        <f>SQRT(($R$1026-R1011)^2)</f>
        <v/>
      </c>
      <c r="CF1011" s="125" t="inlineStr">
        <is>
          <t>HY400X121</t>
        </is>
      </c>
    </row>
    <row r="1012">
      <c r="A1012" s="125" t="inlineStr">
        <is>
          <t>HY400X110</t>
        </is>
      </c>
      <c r="B1012" s="129" t="inlineStr">
        <is>
          <t>HY</t>
        </is>
      </c>
      <c r="C1012" s="125" t="n">
        <v>110</v>
      </c>
      <c r="D1012" s="125" t="n">
        <v>400</v>
      </c>
      <c r="E1012" s="125" t="n">
        <v>250</v>
      </c>
      <c r="F1012" s="125" t="n">
        <v>19</v>
      </c>
      <c r="G1012" s="125" t="n">
        <v>12</v>
      </c>
      <c r="H1012" s="125" t="n">
        <v>13</v>
      </c>
      <c r="I1012" s="125">
        <f>D1012-(2*(H1012+F1012))</f>
        <v/>
      </c>
      <c r="J1012" s="125">
        <f>(2*E1012/10*F1012/10)+((D1012-F1012-F1012)/10*G1012/10)+((H1012/10+H1012/10)^2)-(PI()*H1012/10*H1012/10)</f>
        <v/>
      </c>
      <c r="K1012" s="125">
        <f>((E1012-G1012)/2)/F1012</f>
        <v/>
      </c>
      <c r="L1012" s="125">
        <f>I1012/G1012</f>
        <v/>
      </c>
      <c r="M1012" s="125">
        <f>(E1012*2+F1012*4+((E1012-G1012)/2-H1012)*4+2*PI()*H1012+(D1012-2*F1012-2*H1012)*2)/1000</f>
        <v/>
      </c>
      <c r="N1012" s="5" t="n">
        <v>39700</v>
      </c>
      <c r="O1012" s="5" t="n">
        <v>4950</v>
      </c>
      <c r="P1012" s="125" t="n">
        <v>16.8</v>
      </c>
      <c r="Q1012" s="125" t="n">
        <v>6</v>
      </c>
      <c r="R1012" s="5" t="n">
        <v>1990</v>
      </c>
      <c r="S1012" s="125" t="n">
        <v>396</v>
      </c>
      <c r="T1012" s="5" t="n">
        <v>2230</v>
      </c>
      <c r="U1012" s="125" t="n">
        <v>608</v>
      </c>
      <c r="X1012" s="129">
        <f t="array" ref="X1012">_xlfn.IFS((D1012/F1012) &lt;= (640/SQRT($AT$32)), "Compact", L1012 &lt;= ($AT$32*(0.79-(0.002*((E1012-G1012/2)/(2*F1012))*SQRT($AT$32)))), "Non-Compact", L1012 &gt; ($AT$32*(0.79-(0.002*((E1012-G1012/2)/(2*F1012))*SQRT($AT$32)))), "Slender")</f>
        <v/>
      </c>
      <c r="Y1012" s="129">
        <f t="array" ref="Y1012">_xlfn.IFS(K1012 &lt;= (65/SQRT($AT$32)), "Compact", K1012 &lt;= (95/SQRT($AT$32)), "Non-Compact", K1012 &gt; (95/SQRT($AT$32)), "Slender")</f>
        <v/>
      </c>
      <c r="Z1012" s="125">
        <f>E1012/F1012</f>
        <v/>
      </c>
      <c r="AA1012" s="125">
        <f>D1012/G1012</f>
        <v/>
      </c>
      <c r="AB1012" s="125">
        <f t="array" ref="AB1012">_xlfn.IFS(Z1012 &lt;= 9, "1", Z1012 &lt;= 12, "2", Z1012 &lt;= 15, "3", Z1012 &gt; 15, "4")</f>
        <v/>
      </c>
      <c r="AC1012" s="125">
        <f t="array" ref="AC1012">_xlfn.IFS(AA1012 &lt;= 200, "1", L1012 &lt;= 300, "2", L1012 &lt;= 400, "3", L1012 &gt; 400, "4")</f>
        <v/>
      </c>
      <c r="AF1012" s="129">
        <f>SQRT((((VLOOKUP($AT$4,$A$4:$D$1021,4,FALSE))-D1012)^2)+(((VLOOKUP($AT$4,$A$4:$E$1021,5,FALSE))-E1012)^2)+(((VLOOKUP($AT$4,$A$4:$N$1021,14,FALSE))-N1012)^2)+(((VLOOKUP($AT$4,$A$4:$O$1021,15,FALSE))-O1012)^2))</f>
        <v/>
      </c>
      <c r="AG1012" s="129" t="n"/>
      <c r="AI1012" s="129">
        <f>SQRT((((VLOOKUP($AT$4,$A$4:$D$1021,4,FALSE))-D1012)^2)+(((VLOOKUP($AT$4,$A$4:$E$1021,5,FALSE))-E1012)^2)+(((VLOOKUP($AT$4,$A$4:$R$1021,18,FALSE))-R1012)^2)+(((VLOOKUP($AT$4,$A$4:$S$1021,19,FALSE))-S1012)^2))</f>
        <v/>
      </c>
      <c r="AJ1012" s="125" t="inlineStr">
        <is>
          <t>HY400X110</t>
        </is>
      </c>
      <c r="AK1012" s="125" t="n"/>
      <c r="AL1012" s="125" t="n"/>
      <c r="AM1012" s="125">
        <f>SQRT(((VLOOKUP($AT$4,$A$4:$J$1021,10,FALSE))-J1012)^2)</f>
        <v/>
      </c>
      <c r="AN1012" s="125" t="n"/>
      <c r="AO1012" s="125" t="n"/>
      <c r="AP1012" s="125">
        <f>SQRT(((VLOOKUP($AT$4,$A$4:$R$1021,18,FALSE))-R1012)^2)</f>
        <v/>
      </c>
      <c r="AQ1012" s="125" t="inlineStr">
        <is>
          <t>HY400X110</t>
        </is>
      </c>
      <c r="BB1012" s="125">
        <f>SQRT(($J$1022-J1012)^2)</f>
        <v/>
      </c>
      <c r="BC1012" s="125">
        <f>SQRT(($R$1022-R1012)^2)</f>
        <v/>
      </c>
      <c r="BD1012" s="125" t="inlineStr">
        <is>
          <t>HY400X110</t>
        </is>
      </c>
      <c r="BI1012">
        <f>SQRT(($J$1023-J1012)^2)</f>
        <v/>
      </c>
      <c r="BJ1012">
        <f>SQRT(($R$1023-R1012)^2)</f>
        <v/>
      </c>
      <c r="BK1012" s="125" t="inlineStr">
        <is>
          <t>HY400X110</t>
        </is>
      </c>
      <c r="BP1012">
        <f>SQRT(($J$1024-J1012)^2)</f>
        <v/>
      </c>
      <c r="BQ1012">
        <f>SQRT(($R$1024-R1012)^2)</f>
        <v/>
      </c>
      <c r="BR1012" s="125" t="inlineStr">
        <is>
          <t>HY400X110</t>
        </is>
      </c>
      <c r="BW1012">
        <f>SQRT(($J$1025-J1012)^2)</f>
        <v/>
      </c>
      <c r="BX1012">
        <f>SQRT(($R$1025-R1012)^2)</f>
        <v/>
      </c>
      <c r="BY1012" s="125" t="inlineStr">
        <is>
          <t>HY400X110</t>
        </is>
      </c>
      <c r="CD1012">
        <f>SQRT(($J$1026-J1012)^2)</f>
        <v/>
      </c>
      <c r="CE1012">
        <f>SQRT(($R$1026-R1012)^2)</f>
        <v/>
      </c>
      <c r="CF1012" s="125" t="inlineStr">
        <is>
          <t>HY400X110</t>
        </is>
      </c>
    </row>
    <row r="1013">
      <c r="A1013" s="125" t="inlineStr">
        <is>
          <t>HY400X113</t>
        </is>
      </c>
      <c r="B1013" s="129" t="inlineStr">
        <is>
          <t>HY</t>
        </is>
      </c>
      <c r="C1013" s="125" t="n">
        <v>113</v>
      </c>
      <c r="D1013" s="125" t="n">
        <v>400</v>
      </c>
      <c r="E1013" s="125" t="n">
        <v>250</v>
      </c>
      <c r="F1013" s="125" t="n">
        <v>22</v>
      </c>
      <c r="G1013" s="125" t="n">
        <v>9</v>
      </c>
      <c r="H1013" s="125" t="n">
        <v>13</v>
      </c>
      <c r="I1013" s="125">
        <f>D1013-(2*(H1013+F1013))</f>
        <v/>
      </c>
      <c r="J1013" s="125">
        <f>(2*E1013/10*F1013/10)+((D1013-F1013-F1013)/10*G1013/10)+((H1013/10+H1013/10)^2)-(PI()*H1013/10*H1013/10)</f>
        <v/>
      </c>
      <c r="K1013" s="125">
        <f>((E1013-G1013)/2)/F1013</f>
        <v/>
      </c>
      <c r="L1013" s="125">
        <f>I1013/G1013</f>
        <v/>
      </c>
      <c r="M1013" s="125">
        <f>(E1013*2+F1013*4+((E1013-G1013)/2-H1013)*4+2*PI()*H1013+(D1013-2*F1013-2*H1013)*2)/1000</f>
        <v/>
      </c>
      <c r="N1013" s="5" t="n">
        <v>43200</v>
      </c>
      <c r="O1013" s="5" t="n">
        <v>5730</v>
      </c>
      <c r="P1013" s="125" t="n">
        <v>17.3</v>
      </c>
      <c r="Q1013" s="125" t="n">
        <v>6.3</v>
      </c>
      <c r="R1013" s="5" t="n">
        <v>2160</v>
      </c>
      <c r="S1013" s="125" t="n">
        <v>459</v>
      </c>
      <c r="T1013" s="5" t="n">
        <v>2390</v>
      </c>
      <c r="U1013" s="125" t="n">
        <v>696</v>
      </c>
      <c r="X1013" s="129">
        <f t="array" ref="X1013">_xlfn.IFS((D1013/F1013) &lt;= (640/SQRT($AT$32)), "Compact", L1013 &lt;= ($AT$32*(0.79-(0.002*((E1013-G1013/2)/(2*F1013))*SQRT($AT$32)))), "Non-Compact", L1013 &gt; ($AT$32*(0.79-(0.002*((E1013-G1013/2)/(2*F1013))*SQRT($AT$32)))), "Slender")</f>
        <v/>
      </c>
      <c r="Y1013" s="129">
        <f t="array" ref="Y1013">_xlfn.IFS(K1013 &lt;= (65/SQRT($AT$32)), "Compact", K1013 &lt;= (95/SQRT($AT$32)), "Non-Compact", K1013 &gt; (95/SQRT($AT$32)), "Slender")</f>
        <v/>
      </c>
      <c r="Z1013" s="125">
        <f>E1013/F1013</f>
        <v/>
      </c>
      <c r="AA1013" s="125">
        <f>D1013/G1013</f>
        <v/>
      </c>
      <c r="AB1013" s="125">
        <f t="array" ref="AB1013">_xlfn.IFS(Z1013 &lt;= 9, "1", Z1013 &lt;= 12, "2", Z1013 &lt;= 15, "3", Z1013 &gt; 15, "4")</f>
        <v/>
      </c>
      <c r="AC1013" s="125">
        <f t="array" ref="AC1013">_xlfn.IFS(AA1013 &lt;= 200, "1", L1013 &lt;= 300, "2", L1013 &lt;= 400, "3", L1013 &gt; 400, "4")</f>
        <v/>
      </c>
      <c r="AF1013" s="129">
        <f>SQRT((((VLOOKUP($AT$4,$A$4:$D$1021,4,FALSE))-D1013)^2)+(((VLOOKUP($AT$4,$A$4:$E$1021,5,FALSE))-E1013)^2)+(((VLOOKUP($AT$4,$A$4:$N$1021,14,FALSE))-N1013)^2)+(((VLOOKUP($AT$4,$A$4:$O$1021,15,FALSE))-O1013)^2))</f>
        <v/>
      </c>
      <c r="AG1013" s="129" t="n"/>
      <c r="AI1013" s="129">
        <f>SQRT((((VLOOKUP($AT$4,$A$4:$D$1021,4,FALSE))-D1013)^2)+(((VLOOKUP($AT$4,$A$4:$E$1021,5,FALSE))-E1013)^2)+(((VLOOKUP($AT$4,$A$4:$R$1021,18,FALSE))-R1013)^2)+(((VLOOKUP($AT$4,$A$4:$S$1021,19,FALSE))-S1013)^2))</f>
        <v/>
      </c>
      <c r="AJ1013" s="125" t="inlineStr">
        <is>
          <t>HY400X113</t>
        </is>
      </c>
      <c r="AK1013" s="125" t="n"/>
      <c r="AL1013" s="125" t="n"/>
      <c r="AM1013" s="125">
        <f>SQRT(((VLOOKUP($AT$4,$A$4:$J$1021,10,FALSE))-J1013)^2)</f>
        <v/>
      </c>
      <c r="AN1013" s="125" t="n"/>
      <c r="AO1013" s="125" t="n"/>
      <c r="AP1013" s="125">
        <f>SQRT(((VLOOKUP($AT$4,$A$4:$R$1021,18,FALSE))-R1013)^2)</f>
        <v/>
      </c>
      <c r="AQ1013" s="125" t="inlineStr">
        <is>
          <t>HY400X113</t>
        </is>
      </c>
      <c r="BB1013" s="125">
        <f>SQRT(($J$1022-J1013)^2)</f>
        <v/>
      </c>
      <c r="BC1013" s="125">
        <f>SQRT(($R$1022-R1013)^2)</f>
        <v/>
      </c>
      <c r="BD1013" s="125" t="inlineStr">
        <is>
          <t>HY400X113</t>
        </is>
      </c>
      <c r="BI1013">
        <f>SQRT(($J$1023-J1013)^2)</f>
        <v/>
      </c>
      <c r="BJ1013">
        <f>SQRT(($R$1023-R1013)^2)</f>
        <v/>
      </c>
      <c r="BK1013" s="125" t="inlineStr">
        <is>
          <t>HY400X113</t>
        </is>
      </c>
      <c r="BP1013">
        <f>SQRT(($J$1024-J1013)^2)</f>
        <v/>
      </c>
      <c r="BQ1013">
        <f>SQRT(($R$1024-R1013)^2)</f>
        <v/>
      </c>
      <c r="BR1013" s="125" t="inlineStr">
        <is>
          <t>HY400X113</t>
        </is>
      </c>
      <c r="BW1013">
        <f>SQRT(($J$1025-J1013)^2)</f>
        <v/>
      </c>
      <c r="BX1013">
        <f>SQRT(($R$1025-R1013)^2)</f>
        <v/>
      </c>
      <c r="BY1013" s="125" t="inlineStr">
        <is>
          <t>HY400X113</t>
        </is>
      </c>
      <c r="CD1013">
        <f>SQRT(($J$1026-J1013)^2)</f>
        <v/>
      </c>
      <c r="CE1013">
        <f>SQRT(($R$1026-R1013)^2)</f>
        <v/>
      </c>
      <c r="CF1013" s="125" t="inlineStr">
        <is>
          <t>HY400X113</t>
        </is>
      </c>
    </row>
    <row r="1014">
      <c r="A1014" s="125" t="inlineStr">
        <is>
          <t>HY400X101</t>
        </is>
      </c>
      <c r="B1014" s="129" t="inlineStr">
        <is>
          <t>HY</t>
        </is>
      </c>
      <c r="C1014" s="125" t="n">
        <v>101</v>
      </c>
      <c r="D1014" s="125" t="n">
        <v>400</v>
      </c>
      <c r="E1014" s="125" t="n">
        <v>250</v>
      </c>
      <c r="F1014" s="125" t="n">
        <v>19</v>
      </c>
      <c r="G1014" s="125" t="n">
        <v>9</v>
      </c>
      <c r="H1014" s="125" t="n">
        <v>13</v>
      </c>
      <c r="I1014" s="125">
        <f>D1014-(2*(H1014+F1014))</f>
        <v/>
      </c>
      <c r="J1014" s="125">
        <f>(2*E1014/10*F1014/10)+((D1014-F1014-F1014)/10*G1014/10)+((H1014/10+H1014/10)^2)-(PI()*H1014/10*H1014/10)</f>
        <v/>
      </c>
      <c r="K1014" s="125">
        <f>((E1014-G1014)/2)/F1014</f>
        <v/>
      </c>
      <c r="L1014" s="125">
        <f>I1014/G1014</f>
        <v/>
      </c>
      <c r="M1014" s="125">
        <f>(E1014*2+F1014*4+((E1014-G1014)/2-H1014)*4+2*PI()*H1014+(D1014-2*F1014-2*H1014)*2)/1000</f>
        <v/>
      </c>
      <c r="N1014" s="5" t="n">
        <v>38500</v>
      </c>
      <c r="O1014" s="5" t="n">
        <v>4950</v>
      </c>
      <c r="P1014" s="125" t="n">
        <v>17.3</v>
      </c>
      <c r="Q1014" s="125" t="n">
        <v>6.2</v>
      </c>
      <c r="R1014" s="5" t="n">
        <v>1930</v>
      </c>
      <c r="S1014" s="125" t="n">
        <v>396</v>
      </c>
      <c r="T1014" s="5" t="n">
        <v>2130</v>
      </c>
      <c r="U1014" s="125" t="n">
        <v>602</v>
      </c>
      <c r="X1014" s="129">
        <f t="array" ref="X1014">_xlfn.IFS((D1014/F1014) &lt;= (640/SQRT($AT$32)), "Compact", L1014 &lt;= ($AT$32*(0.79-(0.002*((E1014-G1014/2)/(2*F1014))*SQRT($AT$32)))), "Non-Compact", L1014 &gt; ($AT$32*(0.79-(0.002*((E1014-G1014/2)/(2*F1014))*SQRT($AT$32)))), "Slender")</f>
        <v/>
      </c>
      <c r="Y1014" s="129">
        <f t="array" ref="Y1014">_xlfn.IFS(K1014 &lt;= (65/SQRT($AT$32)), "Compact", K1014 &lt;= (95/SQRT($AT$32)), "Non-Compact", K1014 &gt; (95/SQRT($AT$32)), "Slender")</f>
        <v/>
      </c>
      <c r="Z1014" s="125">
        <f>E1014/F1014</f>
        <v/>
      </c>
      <c r="AA1014" s="125">
        <f>D1014/G1014</f>
        <v/>
      </c>
      <c r="AB1014" s="125">
        <f t="array" ref="AB1014">_xlfn.IFS(Z1014 &lt;= 9, "1", Z1014 &lt;= 12, "2", Z1014 &lt;= 15, "3", Z1014 &gt; 15, "4")</f>
        <v/>
      </c>
      <c r="AC1014" s="125">
        <f t="array" ref="AC1014">_xlfn.IFS(AA1014 &lt;= 200, "1", L1014 &lt;= 300, "2", L1014 &lt;= 400, "3", L1014 &gt; 400, "4")</f>
        <v/>
      </c>
      <c r="AF1014" s="129">
        <f>SQRT((((VLOOKUP($AT$4,$A$4:$D$1021,4,FALSE))-D1014)^2)+(((VLOOKUP($AT$4,$A$4:$E$1021,5,FALSE))-E1014)^2)+(((VLOOKUP($AT$4,$A$4:$N$1021,14,FALSE))-N1014)^2)+(((VLOOKUP($AT$4,$A$4:$O$1021,15,FALSE))-O1014)^2))</f>
        <v/>
      </c>
      <c r="AG1014" s="129" t="n"/>
      <c r="AI1014" s="129">
        <f>SQRT((((VLOOKUP($AT$4,$A$4:$D$1021,4,FALSE))-D1014)^2)+(((VLOOKUP($AT$4,$A$4:$E$1021,5,FALSE))-E1014)^2)+(((VLOOKUP($AT$4,$A$4:$R$1021,18,FALSE))-R1014)^2)+(((VLOOKUP($AT$4,$A$4:$S$1021,19,FALSE))-S1014)^2))</f>
        <v/>
      </c>
      <c r="AJ1014" s="125" t="inlineStr">
        <is>
          <t>HY400X101</t>
        </is>
      </c>
      <c r="AK1014" s="125" t="n"/>
      <c r="AL1014" s="125" t="n"/>
      <c r="AM1014" s="125">
        <f>SQRT(((VLOOKUP($AT$4,$A$4:$J$1021,10,FALSE))-J1014)^2)</f>
        <v/>
      </c>
      <c r="AN1014" s="125" t="n"/>
      <c r="AO1014" s="125" t="n"/>
      <c r="AP1014" s="125">
        <f>SQRT(((VLOOKUP($AT$4,$A$4:$R$1021,18,FALSE))-R1014)^2)</f>
        <v/>
      </c>
      <c r="AQ1014" s="125" t="inlineStr">
        <is>
          <t>HY400X101</t>
        </is>
      </c>
      <c r="BB1014" s="125">
        <f>SQRT(($J$1022-J1014)^2)</f>
        <v/>
      </c>
      <c r="BC1014" s="125">
        <f>SQRT(($R$1022-R1014)^2)</f>
        <v/>
      </c>
      <c r="BD1014" s="125" t="inlineStr">
        <is>
          <t>HY400X101</t>
        </is>
      </c>
      <c r="BI1014">
        <f>SQRT(($J$1023-J1014)^2)</f>
        <v/>
      </c>
      <c r="BJ1014">
        <f>SQRT(($R$1023-R1014)^2)</f>
        <v/>
      </c>
      <c r="BK1014" s="125" t="inlineStr">
        <is>
          <t>HY400X101</t>
        </is>
      </c>
      <c r="BP1014">
        <f>SQRT(($J$1024-J1014)^2)</f>
        <v/>
      </c>
      <c r="BQ1014">
        <f>SQRT(($R$1024-R1014)^2)</f>
        <v/>
      </c>
      <c r="BR1014" s="125" t="inlineStr">
        <is>
          <t>HY400X101</t>
        </is>
      </c>
      <c r="BW1014">
        <f>SQRT(($J$1025-J1014)^2)</f>
        <v/>
      </c>
      <c r="BX1014">
        <f>SQRT(($R$1025-R1014)^2)</f>
        <v/>
      </c>
      <c r="BY1014" s="125" t="inlineStr">
        <is>
          <t>HY400X101</t>
        </is>
      </c>
      <c r="CD1014">
        <f>SQRT(($J$1026-J1014)^2)</f>
        <v/>
      </c>
      <c r="CE1014">
        <f>SQRT(($R$1026-R1014)^2)</f>
        <v/>
      </c>
      <c r="CF1014" s="125" t="inlineStr">
        <is>
          <t>HY400X101</t>
        </is>
      </c>
    </row>
    <row r="1015">
      <c r="A1015" s="125" t="inlineStr">
        <is>
          <t>HY400X104</t>
        </is>
      </c>
      <c r="B1015" s="129" t="inlineStr">
        <is>
          <t>HY</t>
        </is>
      </c>
      <c r="C1015" s="125" t="n">
        <v>104</v>
      </c>
      <c r="D1015" s="125" t="n">
        <v>400</v>
      </c>
      <c r="E1015" s="125" t="n">
        <v>200</v>
      </c>
      <c r="F1015" s="125" t="n">
        <v>22</v>
      </c>
      <c r="G1015" s="125" t="n">
        <v>12</v>
      </c>
      <c r="H1015" s="125" t="n">
        <v>13</v>
      </c>
      <c r="I1015" s="125">
        <f>D1015-(2*(H1015+F1015))</f>
        <v/>
      </c>
      <c r="J1015" s="125">
        <f>(2*E1015/10*F1015/10)+((D1015-F1015-F1015)/10*G1015/10)+((H1015/10+H1015/10)^2)-(PI()*H1015/10*H1015/10)</f>
        <v/>
      </c>
      <c r="K1015" s="125">
        <f>((E1015-G1015)/2)/F1015</f>
        <v/>
      </c>
      <c r="L1015" s="125">
        <f>I1015/G1015</f>
        <v/>
      </c>
      <c r="M1015" s="125">
        <f>(E1015*2+F1015*4+((E1015-G1015)/2-H1015)*4+2*PI()*H1015+(D1015-2*F1015-2*H1015)*2)/1000</f>
        <v/>
      </c>
      <c r="N1015" s="5" t="n">
        <v>36400</v>
      </c>
      <c r="O1015" s="5" t="n">
        <v>2940</v>
      </c>
      <c r="P1015" s="125" t="n">
        <v>16.6</v>
      </c>
      <c r="Q1015" s="125" t="n">
        <v>4.7</v>
      </c>
      <c r="R1015" s="5" t="n">
        <v>1820</v>
      </c>
      <c r="S1015" s="125" t="n">
        <v>294</v>
      </c>
      <c r="T1015" s="5" t="n">
        <v>2070</v>
      </c>
      <c r="U1015" s="125" t="n">
        <v>454</v>
      </c>
      <c r="X1015" s="129">
        <f t="array" ref="X1015">_xlfn.IFS((D1015/F1015) &lt;= (640/SQRT($AT$32)), "Compact", L1015 &lt;= ($AT$32*(0.79-(0.002*((E1015-G1015/2)/(2*F1015))*SQRT($AT$32)))), "Non-Compact", L1015 &gt; ($AT$32*(0.79-(0.002*((E1015-G1015/2)/(2*F1015))*SQRT($AT$32)))), "Slender")</f>
        <v/>
      </c>
      <c r="Y1015" s="129">
        <f t="array" ref="Y1015">_xlfn.IFS(K1015 &lt;= (65/SQRT($AT$32)), "Compact", K1015 &lt;= (95/SQRT($AT$32)), "Non-Compact", K1015 &gt; (95/SQRT($AT$32)), "Slender")</f>
        <v/>
      </c>
      <c r="Z1015" s="125">
        <f>E1015/F1015</f>
        <v/>
      </c>
      <c r="AA1015" s="125">
        <f>D1015/G1015</f>
        <v/>
      </c>
      <c r="AB1015" s="125">
        <f t="array" ref="AB1015">_xlfn.IFS(Z1015 &lt;= 9, "1", Z1015 &lt;= 12, "2", Z1015 &lt;= 15, "3", Z1015 &gt; 15, "4")</f>
        <v/>
      </c>
      <c r="AC1015" s="125">
        <f t="array" ref="AC1015">_xlfn.IFS(AA1015 &lt;= 200, "1", L1015 &lt;= 300, "2", L1015 &lt;= 400, "3", L1015 &gt; 400, "4")</f>
        <v/>
      </c>
      <c r="AF1015" s="129">
        <f>SQRT((((VLOOKUP($AT$4,$A$4:$D$1021,4,FALSE))-D1015)^2)+(((VLOOKUP($AT$4,$A$4:$E$1021,5,FALSE))-E1015)^2)+(((VLOOKUP($AT$4,$A$4:$N$1021,14,FALSE))-N1015)^2)+(((VLOOKUP($AT$4,$A$4:$O$1021,15,FALSE))-O1015)^2))</f>
        <v/>
      </c>
      <c r="AG1015" s="129" t="n"/>
      <c r="AI1015" s="129">
        <f>SQRT((((VLOOKUP($AT$4,$A$4:$D$1021,4,FALSE))-D1015)^2)+(((VLOOKUP($AT$4,$A$4:$E$1021,5,FALSE))-E1015)^2)+(((VLOOKUP($AT$4,$A$4:$R$1021,18,FALSE))-R1015)^2)+(((VLOOKUP($AT$4,$A$4:$S$1021,19,FALSE))-S1015)^2))</f>
        <v/>
      </c>
      <c r="AJ1015" s="125" t="inlineStr">
        <is>
          <t>HY400X104</t>
        </is>
      </c>
      <c r="AK1015" s="125" t="n"/>
      <c r="AL1015" s="125" t="n"/>
      <c r="AM1015" s="125">
        <f>SQRT(((VLOOKUP($AT$4,$A$4:$J$1021,10,FALSE))-J1015)^2)</f>
        <v/>
      </c>
      <c r="AN1015" s="125" t="n"/>
      <c r="AO1015" s="125" t="n"/>
      <c r="AP1015" s="125">
        <f>SQRT(((VLOOKUP($AT$4,$A$4:$R$1021,18,FALSE))-R1015)^2)</f>
        <v/>
      </c>
      <c r="AQ1015" s="125" t="inlineStr">
        <is>
          <t>HY400X104</t>
        </is>
      </c>
      <c r="BB1015" s="125">
        <f>SQRT(($J$1022-J1015)^2)</f>
        <v/>
      </c>
      <c r="BC1015" s="125">
        <f>SQRT(($R$1022-R1015)^2)</f>
        <v/>
      </c>
      <c r="BD1015" s="125" t="inlineStr">
        <is>
          <t>HY400X104</t>
        </is>
      </c>
      <c r="BI1015">
        <f>SQRT(($J$1023-J1015)^2)</f>
        <v/>
      </c>
      <c r="BJ1015">
        <f>SQRT(($R$1023-R1015)^2)</f>
        <v/>
      </c>
      <c r="BK1015" s="125" t="inlineStr">
        <is>
          <t>HY400X104</t>
        </is>
      </c>
      <c r="BP1015">
        <f>SQRT(($J$1024-J1015)^2)</f>
        <v/>
      </c>
      <c r="BQ1015">
        <f>SQRT(($R$1024-R1015)^2)</f>
        <v/>
      </c>
      <c r="BR1015" s="125" t="inlineStr">
        <is>
          <t>HY400X104</t>
        </is>
      </c>
      <c r="BW1015">
        <f>SQRT(($J$1025-J1015)^2)</f>
        <v/>
      </c>
      <c r="BX1015">
        <f>SQRT(($R$1025-R1015)^2)</f>
        <v/>
      </c>
      <c r="BY1015" s="125" t="inlineStr">
        <is>
          <t>HY400X104</t>
        </is>
      </c>
      <c r="CD1015">
        <f>SQRT(($J$1026-J1015)^2)</f>
        <v/>
      </c>
      <c r="CE1015">
        <f>SQRT(($R$1026-R1015)^2)</f>
        <v/>
      </c>
      <c r="CF1015" s="125" t="inlineStr">
        <is>
          <t>HY400X104</t>
        </is>
      </c>
    </row>
    <row r="1016">
      <c r="A1016" s="125" t="inlineStr">
        <is>
          <t>HY400X94.9</t>
        </is>
      </c>
      <c r="B1016" s="129" t="inlineStr">
        <is>
          <t>HY</t>
        </is>
      </c>
      <c r="C1016" s="125" t="n">
        <v>94.90000000000001</v>
      </c>
      <c r="D1016" s="125" t="n">
        <v>400</v>
      </c>
      <c r="E1016" s="125" t="n">
        <v>200</v>
      </c>
      <c r="F1016" s="125" t="n">
        <v>19</v>
      </c>
      <c r="G1016" s="125" t="n">
        <v>12</v>
      </c>
      <c r="H1016" s="125" t="n">
        <v>13</v>
      </c>
      <c r="I1016" s="125">
        <f>D1016-(2*(H1016+F1016))</f>
        <v/>
      </c>
      <c r="J1016" s="125">
        <f>(2*E1016/10*F1016/10)+((D1016-F1016-F1016)/10*G1016/10)+((H1016/10+H1016/10)^2)-(PI()*H1016/10*H1016/10)</f>
        <v/>
      </c>
      <c r="K1016" s="125">
        <f>((E1016-G1016)/2)/F1016</f>
        <v/>
      </c>
      <c r="L1016" s="125">
        <f>I1016/G1016</f>
        <v/>
      </c>
      <c r="M1016" s="125">
        <f>(E1016*2+F1016*4+((E1016-G1016)/2-H1016)*4+2*PI()*H1016+(D1016-2*F1016-2*H1016)*2)/1000</f>
        <v/>
      </c>
      <c r="N1016" s="5" t="n">
        <v>32800</v>
      </c>
      <c r="O1016" s="5" t="n">
        <v>2540</v>
      </c>
      <c r="P1016" s="125" t="n">
        <v>16.5</v>
      </c>
      <c r="Q1016" s="125" t="n">
        <v>4.6</v>
      </c>
      <c r="R1016" s="5" t="n">
        <v>1640</v>
      </c>
      <c r="S1016" s="125" t="n">
        <v>254</v>
      </c>
      <c r="T1016" s="5" t="n">
        <v>1870</v>
      </c>
      <c r="U1016" s="125" t="n">
        <v>394</v>
      </c>
      <c r="X1016" s="129">
        <f t="array" ref="X1016">_xlfn.IFS((D1016/F1016) &lt;= (640/SQRT($AT$32)), "Compact", L1016 &lt;= ($AT$32*(0.79-(0.002*((E1016-G1016/2)/(2*F1016))*SQRT($AT$32)))), "Non-Compact", L1016 &gt; ($AT$32*(0.79-(0.002*((E1016-G1016/2)/(2*F1016))*SQRT($AT$32)))), "Slender")</f>
        <v/>
      </c>
      <c r="Y1016" s="129">
        <f t="array" ref="Y1016">_xlfn.IFS(K1016 &lt;= (65/SQRT($AT$32)), "Compact", K1016 &lt;= (95/SQRT($AT$32)), "Non-Compact", K1016 &gt; (95/SQRT($AT$32)), "Slender")</f>
        <v/>
      </c>
      <c r="Z1016" s="125">
        <f>E1016/F1016</f>
        <v/>
      </c>
      <c r="AA1016" s="125">
        <f>D1016/G1016</f>
        <v/>
      </c>
      <c r="AB1016" s="125">
        <f t="array" ref="AB1016">_xlfn.IFS(Z1016 &lt;= 9, "1", Z1016 &lt;= 12, "2", Z1016 &lt;= 15, "3", Z1016 &gt; 15, "4")</f>
        <v/>
      </c>
      <c r="AC1016" s="125">
        <f t="array" ref="AC1016">_xlfn.IFS(AA1016 &lt;= 200, "1", L1016 &lt;= 300, "2", L1016 &lt;= 400, "3", L1016 &gt; 400, "4")</f>
        <v/>
      </c>
      <c r="AF1016" s="129">
        <f>SQRT((((VLOOKUP($AT$4,$A$4:$D$1021,4,FALSE))-D1016)^2)+(((VLOOKUP($AT$4,$A$4:$E$1021,5,FALSE))-E1016)^2)+(((VLOOKUP($AT$4,$A$4:$N$1021,14,FALSE))-N1016)^2)+(((VLOOKUP($AT$4,$A$4:$O$1021,15,FALSE))-O1016)^2))</f>
        <v/>
      </c>
      <c r="AG1016" s="129" t="n"/>
      <c r="AI1016" s="129">
        <f>SQRT((((VLOOKUP($AT$4,$A$4:$D$1021,4,FALSE))-D1016)^2)+(((VLOOKUP($AT$4,$A$4:$E$1021,5,FALSE))-E1016)^2)+(((VLOOKUP($AT$4,$A$4:$R$1021,18,FALSE))-R1016)^2)+(((VLOOKUP($AT$4,$A$4:$S$1021,19,FALSE))-S1016)^2))</f>
        <v/>
      </c>
      <c r="AJ1016" s="125" t="inlineStr">
        <is>
          <t>HY400X94.9</t>
        </is>
      </c>
      <c r="AK1016" s="125" t="n"/>
      <c r="AL1016" s="125" t="n"/>
      <c r="AM1016" s="125">
        <f>SQRT(((VLOOKUP($AT$4,$A$4:$J$1021,10,FALSE))-J1016)^2)</f>
        <v/>
      </c>
      <c r="AN1016" s="125" t="n"/>
      <c r="AO1016" s="125" t="n"/>
      <c r="AP1016" s="125">
        <f>SQRT(((VLOOKUP($AT$4,$A$4:$R$1021,18,FALSE))-R1016)^2)</f>
        <v/>
      </c>
      <c r="AQ1016" s="125" t="inlineStr">
        <is>
          <t>HY400X94.9</t>
        </is>
      </c>
      <c r="BB1016" s="125">
        <f>SQRT(($J$1022-J1016)^2)</f>
        <v/>
      </c>
      <c r="BC1016" s="125">
        <f>SQRT(($R$1022-R1016)^2)</f>
        <v/>
      </c>
      <c r="BD1016" s="125" t="inlineStr">
        <is>
          <t>HY400X94.9</t>
        </is>
      </c>
      <c r="BI1016">
        <f>SQRT(($J$1023-J1016)^2)</f>
        <v/>
      </c>
      <c r="BJ1016">
        <f>SQRT(($R$1023-R1016)^2)</f>
        <v/>
      </c>
      <c r="BK1016" s="125" t="inlineStr">
        <is>
          <t>HY400X94.9</t>
        </is>
      </c>
      <c r="BP1016">
        <f>SQRT(($J$1024-J1016)^2)</f>
        <v/>
      </c>
      <c r="BQ1016">
        <f>SQRT(($R$1024-R1016)^2)</f>
        <v/>
      </c>
      <c r="BR1016" s="125" t="inlineStr">
        <is>
          <t>HY400X94.9</t>
        </is>
      </c>
      <c r="BW1016">
        <f>SQRT(($J$1025-J1016)^2)</f>
        <v/>
      </c>
      <c r="BX1016">
        <f>SQRT(($R$1025-R1016)^2)</f>
        <v/>
      </c>
      <c r="BY1016" s="125" t="inlineStr">
        <is>
          <t>HY400X94.9</t>
        </is>
      </c>
      <c r="CD1016">
        <f>SQRT(($J$1026-J1016)^2)</f>
        <v/>
      </c>
      <c r="CE1016">
        <f>SQRT(($R$1026-R1016)^2)</f>
        <v/>
      </c>
      <c r="CF1016" s="125" t="inlineStr">
        <is>
          <t>HY400X94.9</t>
        </is>
      </c>
    </row>
    <row r="1017">
      <c r="A1017" s="125" t="inlineStr">
        <is>
          <t>HY400X86</t>
        </is>
      </c>
      <c r="B1017" s="129" t="inlineStr">
        <is>
          <t>HY</t>
        </is>
      </c>
      <c r="C1017" s="125" t="n">
        <v>86</v>
      </c>
      <c r="D1017" s="125" t="n">
        <v>400</v>
      </c>
      <c r="E1017" s="125" t="n">
        <v>200</v>
      </c>
      <c r="F1017" s="125" t="n">
        <v>16</v>
      </c>
      <c r="G1017" s="125" t="n">
        <v>12</v>
      </c>
      <c r="H1017" s="125" t="n">
        <v>13</v>
      </c>
      <c r="I1017" s="125">
        <f>D1017-(2*(H1017+F1017))</f>
        <v/>
      </c>
      <c r="J1017" s="125">
        <f>(2*E1017/10*F1017/10)+((D1017-F1017-F1017)/10*G1017/10)+((H1017/10+H1017/10)^2)-(PI()*H1017/10*H1017/10)</f>
        <v/>
      </c>
      <c r="K1017" s="125">
        <f>((E1017-G1017)/2)/F1017</f>
        <v/>
      </c>
      <c r="L1017" s="125">
        <f>I1017/G1017</f>
        <v/>
      </c>
      <c r="M1017" s="125">
        <f>(E1017*2+F1017*4+((E1017-G1017)/2-H1017)*4+2*PI()*H1017+(D1017-2*F1017-2*H1017)*2)/1000</f>
        <v/>
      </c>
      <c r="N1017" s="5" t="n">
        <v>29100</v>
      </c>
      <c r="O1017" s="5" t="n">
        <v>2140</v>
      </c>
      <c r="P1017" s="125" t="n">
        <v>16.3</v>
      </c>
      <c r="Q1017" s="125" t="n">
        <v>4.4</v>
      </c>
      <c r="R1017" s="5" t="n">
        <v>1450</v>
      </c>
      <c r="S1017" s="125" t="n">
        <v>214</v>
      </c>
      <c r="T1017" s="5" t="n">
        <v>1660</v>
      </c>
      <c r="U1017" s="125" t="n">
        <v>335</v>
      </c>
      <c r="X1017" s="129">
        <f t="array" ref="X1017">_xlfn.IFS((D1017/F1017) &lt;= (640/SQRT($AT$32)), "Compact", L1017 &lt;= ($AT$32*(0.79-(0.002*((E1017-G1017/2)/(2*F1017))*SQRT($AT$32)))), "Non-Compact", L1017 &gt; ($AT$32*(0.79-(0.002*((E1017-G1017/2)/(2*F1017))*SQRT($AT$32)))), "Slender")</f>
        <v/>
      </c>
      <c r="Y1017" s="129">
        <f t="array" ref="Y1017">_xlfn.IFS(K1017 &lt;= (65/SQRT($AT$32)), "Compact", K1017 &lt;= (95/SQRT($AT$32)), "Non-Compact", K1017 &gt; (95/SQRT($AT$32)), "Slender")</f>
        <v/>
      </c>
      <c r="Z1017" s="125">
        <f>E1017/F1017</f>
        <v/>
      </c>
      <c r="AA1017" s="125">
        <f>D1017/G1017</f>
        <v/>
      </c>
      <c r="AB1017" s="125">
        <f t="array" ref="AB1017">_xlfn.IFS(Z1017 &lt;= 9, "1", Z1017 &lt;= 12, "2", Z1017 &lt;= 15, "3", Z1017 &gt; 15, "4")</f>
        <v/>
      </c>
      <c r="AC1017" s="125">
        <f t="array" ref="AC1017">_xlfn.IFS(AA1017 &lt;= 200, "1", L1017 &lt;= 300, "2", L1017 &lt;= 400, "3", L1017 &gt; 400, "4")</f>
        <v/>
      </c>
      <c r="AF1017" s="129">
        <f>SQRT((((VLOOKUP($AT$4,$A$4:$D$1021,4,FALSE))-D1017)^2)+(((VLOOKUP($AT$4,$A$4:$E$1021,5,FALSE))-E1017)^2)+(((VLOOKUP($AT$4,$A$4:$N$1021,14,FALSE))-N1017)^2)+(((VLOOKUP($AT$4,$A$4:$O$1021,15,FALSE))-O1017)^2))</f>
        <v/>
      </c>
      <c r="AG1017" s="129" t="n"/>
      <c r="AI1017" s="129">
        <f>SQRT((((VLOOKUP($AT$4,$A$4:$D$1021,4,FALSE))-D1017)^2)+(((VLOOKUP($AT$4,$A$4:$E$1021,5,FALSE))-E1017)^2)+(((VLOOKUP($AT$4,$A$4:$R$1021,18,FALSE))-R1017)^2)+(((VLOOKUP($AT$4,$A$4:$S$1021,19,FALSE))-S1017)^2))</f>
        <v/>
      </c>
      <c r="AJ1017" s="125" t="inlineStr">
        <is>
          <t>HY400X86</t>
        </is>
      </c>
      <c r="AK1017" s="125" t="n"/>
      <c r="AL1017" s="125" t="n"/>
      <c r="AM1017" s="125">
        <f>SQRT(((VLOOKUP($AT$4,$A$4:$J$1021,10,FALSE))-J1017)^2)</f>
        <v/>
      </c>
      <c r="AN1017" s="125" t="n"/>
      <c r="AO1017" s="125" t="n"/>
      <c r="AP1017" s="125">
        <f>SQRT(((VLOOKUP($AT$4,$A$4:$R$1021,18,FALSE))-R1017)^2)</f>
        <v/>
      </c>
      <c r="AQ1017" s="125" t="inlineStr">
        <is>
          <t>HY400X86</t>
        </is>
      </c>
      <c r="BB1017" s="125">
        <f>SQRT(($J$1022-J1017)^2)</f>
        <v/>
      </c>
      <c r="BC1017" s="125">
        <f>SQRT(($R$1022-R1017)^2)</f>
        <v/>
      </c>
      <c r="BD1017" s="125" t="inlineStr">
        <is>
          <t>HY400X86</t>
        </is>
      </c>
      <c r="BI1017">
        <f>SQRT(($J$1023-J1017)^2)</f>
        <v/>
      </c>
      <c r="BJ1017">
        <f>SQRT(($R$1023-R1017)^2)</f>
        <v/>
      </c>
      <c r="BK1017" s="125" t="inlineStr">
        <is>
          <t>HY400X86</t>
        </is>
      </c>
      <c r="BP1017">
        <f>SQRT(($J$1024-J1017)^2)</f>
        <v/>
      </c>
      <c r="BQ1017">
        <f>SQRT(($R$1024-R1017)^2)</f>
        <v/>
      </c>
      <c r="BR1017" s="125" t="inlineStr">
        <is>
          <t>HY400X86</t>
        </is>
      </c>
      <c r="BW1017">
        <f>SQRT(($J$1025-J1017)^2)</f>
        <v/>
      </c>
      <c r="BX1017">
        <f>SQRT(($R$1025-R1017)^2)</f>
        <v/>
      </c>
      <c r="BY1017" s="125" t="inlineStr">
        <is>
          <t>HY400X86</t>
        </is>
      </c>
      <c r="CD1017">
        <f>SQRT(($J$1026-J1017)^2)</f>
        <v/>
      </c>
      <c r="CE1017">
        <f>SQRT(($R$1026-R1017)^2)</f>
        <v/>
      </c>
      <c r="CF1017" s="125" t="inlineStr">
        <is>
          <t>HY400X86</t>
        </is>
      </c>
    </row>
    <row r="1018">
      <c r="A1018" s="125" t="inlineStr">
        <is>
          <t>HY400X95.4</t>
        </is>
      </c>
      <c r="B1018" s="129" t="inlineStr">
        <is>
          <t>HY</t>
        </is>
      </c>
      <c r="C1018" s="125" t="n">
        <v>95.40000000000001</v>
      </c>
      <c r="D1018" s="125" t="n">
        <v>400</v>
      </c>
      <c r="E1018" s="125" t="n">
        <v>200</v>
      </c>
      <c r="F1018" s="125" t="n">
        <v>22</v>
      </c>
      <c r="G1018" s="125" t="n">
        <v>9</v>
      </c>
      <c r="H1018" s="125" t="n">
        <v>13</v>
      </c>
      <c r="I1018" s="125">
        <f>D1018-(2*(H1018+F1018))</f>
        <v/>
      </c>
      <c r="J1018" s="125">
        <f>(2*E1018/10*F1018/10)+((D1018-F1018-F1018)/10*G1018/10)+((H1018/10+H1018/10)^2)-(PI()*H1018/10*H1018/10)</f>
        <v/>
      </c>
      <c r="K1018" s="125">
        <f>((E1018-G1018)/2)/F1018</f>
        <v/>
      </c>
      <c r="L1018" s="125">
        <f>I1018/G1018</f>
        <v/>
      </c>
      <c r="M1018" s="125">
        <f>(E1018*2+F1018*4+((E1018-G1018)/2-H1018)*4+2*PI()*H1018+(D1018-2*F1018-2*H1018)*2)/1000</f>
        <v/>
      </c>
      <c r="N1018" s="5" t="n">
        <v>35300</v>
      </c>
      <c r="O1018" s="5" t="n">
        <v>2940</v>
      </c>
      <c r="P1018" s="125" t="n">
        <v>17</v>
      </c>
      <c r="Q1018" s="125" t="n">
        <v>4.9</v>
      </c>
      <c r="R1018" s="5" t="n">
        <v>1760</v>
      </c>
      <c r="S1018" s="125" t="n">
        <v>294</v>
      </c>
      <c r="T1018" s="5" t="n">
        <v>1970</v>
      </c>
      <c r="U1018" s="125" t="n">
        <v>448</v>
      </c>
      <c r="X1018" s="129">
        <f t="array" ref="X1018">_xlfn.IFS((D1018/F1018) &lt;= (640/SQRT($AT$32)), "Compact", L1018 &lt;= ($AT$32*(0.79-(0.002*((E1018-G1018/2)/(2*F1018))*SQRT($AT$32)))), "Non-Compact", L1018 &gt; ($AT$32*(0.79-(0.002*((E1018-G1018/2)/(2*F1018))*SQRT($AT$32)))), "Slender")</f>
        <v/>
      </c>
      <c r="Y1018" s="129">
        <f t="array" ref="Y1018">_xlfn.IFS(K1018 &lt;= (65/SQRT($AT$32)), "Compact", K1018 &lt;= (95/SQRT($AT$32)), "Non-Compact", K1018 &gt; (95/SQRT($AT$32)), "Slender")</f>
        <v/>
      </c>
      <c r="Z1018" s="125">
        <f>E1018/F1018</f>
        <v/>
      </c>
      <c r="AA1018" s="125">
        <f>D1018/G1018</f>
        <v/>
      </c>
      <c r="AB1018" s="125">
        <f t="array" ref="AB1018">_xlfn.IFS(Z1018 &lt;= 9, "1", Z1018 &lt;= 12, "2", Z1018 &lt;= 15, "3", Z1018 &gt; 15, "4")</f>
        <v/>
      </c>
      <c r="AC1018" s="125">
        <f t="array" ref="AC1018">_xlfn.IFS(AA1018 &lt;= 200, "1", L1018 &lt;= 300, "2", L1018 &lt;= 400, "3", L1018 &gt; 400, "4")</f>
        <v/>
      </c>
      <c r="AF1018" s="129">
        <f>SQRT((((VLOOKUP($AT$4,$A$4:$D$1021,4,FALSE))-D1018)^2)+(((VLOOKUP($AT$4,$A$4:$E$1021,5,FALSE))-E1018)^2)+(((VLOOKUP($AT$4,$A$4:$N$1021,14,FALSE))-N1018)^2)+(((VLOOKUP($AT$4,$A$4:$O$1021,15,FALSE))-O1018)^2))</f>
        <v/>
      </c>
      <c r="AG1018" s="129" t="n"/>
      <c r="AI1018" s="129">
        <f>SQRT((((VLOOKUP($AT$4,$A$4:$D$1021,4,FALSE))-D1018)^2)+(((VLOOKUP($AT$4,$A$4:$E$1021,5,FALSE))-E1018)^2)+(((VLOOKUP($AT$4,$A$4:$R$1021,18,FALSE))-R1018)^2)+(((VLOOKUP($AT$4,$A$4:$S$1021,19,FALSE))-S1018)^2))</f>
        <v/>
      </c>
      <c r="AJ1018" s="125" t="inlineStr">
        <is>
          <t>HY400X95.4</t>
        </is>
      </c>
      <c r="AK1018" s="125" t="n"/>
      <c r="AL1018" s="125" t="n"/>
      <c r="AM1018" s="125">
        <f>SQRT(((VLOOKUP($AT$4,$A$4:$J$1021,10,FALSE))-J1018)^2)</f>
        <v/>
      </c>
      <c r="AN1018" s="125" t="n"/>
      <c r="AO1018" s="125" t="n"/>
      <c r="AP1018" s="125">
        <f>SQRT(((VLOOKUP($AT$4,$A$4:$R$1021,18,FALSE))-R1018)^2)</f>
        <v/>
      </c>
      <c r="AQ1018" s="125" t="inlineStr">
        <is>
          <t>HY400X95.4</t>
        </is>
      </c>
      <c r="BB1018" s="125">
        <f>SQRT(($J$1022-J1018)^2)</f>
        <v/>
      </c>
      <c r="BC1018" s="125">
        <f>SQRT(($R$1022-R1018)^2)</f>
        <v/>
      </c>
      <c r="BD1018" s="125" t="inlineStr">
        <is>
          <t>HY400X95.4</t>
        </is>
      </c>
      <c r="BI1018">
        <f>SQRT(($J$1023-J1018)^2)</f>
        <v/>
      </c>
      <c r="BJ1018">
        <f>SQRT(($R$1023-R1018)^2)</f>
        <v/>
      </c>
      <c r="BK1018" s="125" t="inlineStr">
        <is>
          <t>HY400X95.4</t>
        </is>
      </c>
      <c r="BP1018">
        <f>SQRT(($J$1024-J1018)^2)</f>
        <v/>
      </c>
      <c r="BQ1018">
        <f>SQRT(($R$1024-R1018)^2)</f>
        <v/>
      </c>
      <c r="BR1018" s="125" t="inlineStr">
        <is>
          <t>HY400X95.4</t>
        </is>
      </c>
      <c r="BW1018">
        <f>SQRT(($J$1025-J1018)^2)</f>
        <v/>
      </c>
      <c r="BX1018">
        <f>SQRT(($R$1025-R1018)^2)</f>
        <v/>
      </c>
      <c r="BY1018" s="125" t="inlineStr">
        <is>
          <t>HY400X95.4</t>
        </is>
      </c>
      <c r="CD1018">
        <f>SQRT(($J$1026-J1018)^2)</f>
        <v/>
      </c>
      <c r="CE1018">
        <f>SQRT(($R$1026-R1018)^2)</f>
        <v/>
      </c>
      <c r="CF1018" s="125" t="inlineStr">
        <is>
          <t>HY400X95.4</t>
        </is>
      </c>
    </row>
    <row r="1019">
      <c r="A1019" s="125" t="inlineStr">
        <is>
          <t>HY400X86.4</t>
        </is>
      </c>
      <c r="B1019" s="129" t="inlineStr">
        <is>
          <t>HY</t>
        </is>
      </c>
      <c r="C1019" s="125" t="n">
        <v>86.40000000000001</v>
      </c>
      <c r="D1019" s="125" t="n">
        <v>400</v>
      </c>
      <c r="E1019" s="125" t="n">
        <v>200</v>
      </c>
      <c r="F1019" s="125" t="n">
        <v>19</v>
      </c>
      <c r="G1019" s="125" t="n">
        <v>9</v>
      </c>
      <c r="H1019" s="125" t="n">
        <v>13</v>
      </c>
      <c r="I1019" s="125">
        <f>D1019-(2*(H1019+F1019))</f>
        <v/>
      </c>
      <c r="J1019" s="125">
        <f>(2*E1019/10*F1019/10)+((D1019-F1019-F1019)/10*G1019/10)+((H1019/10+H1019/10)^2)-(PI()*H1019/10*H1019/10)</f>
        <v/>
      </c>
      <c r="K1019" s="125">
        <f>((E1019-G1019)/2)/F1019</f>
        <v/>
      </c>
      <c r="L1019" s="125">
        <f>I1019/G1019</f>
        <v/>
      </c>
      <c r="M1019" s="125">
        <f>(E1019*2+F1019*4+((E1019-G1019)/2-H1019)*4+2*PI()*H1019+(D1019-2*F1019-2*H1019)*2)/1000</f>
        <v/>
      </c>
      <c r="N1019" s="5" t="n">
        <v>31600</v>
      </c>
      <c r="O1019" s="5" t="n">
        <v>2540</v>
      </c>
      <c r="P1019" s="125" t="n">
        <v>17</v>
      </c>
      <c r="Q1019" s="125" t="n">
        <v>4.8</v>
      </c>
      <c r="R1019" s="5" t="n">
        <v>1580</v>
      </c>
      <c r="S1019" s="125" t="n">
        <v>254</v>
      </c>
      <c r="T1019" s="5" t="n">
        <v>1770</v>
      </c>
      <c r="U1019" s="125" t="n">
        <v>388</v>
      </c>
      <c r="X1019" s="129">
        <f t="array" ref="X1019">_xlfn.IFS((D1019/F1019) &lt;= (640/SQRT($AT$32)), "Compact", L1019 &lt;= ($AT$32*(0.79-(0.002*((E1019-G1019/2)/(2*F1019))*SQRT($AT$32)))), "Non-Compact", L1019 &gt; ($AT$32*(0.79-(0.002*((E1019-G1019/2)/(2*F1019))*SQRT($AT$32)))), "Slender")</f>
        <v/>
      </c>
      <c r="Y1019" s="129">
        <f t="array" ref="Y1019">_xlfn.IFS(K1019 &lt;= (65/SQRT($AT$32)), "Compact", K1019 &lt;= (95/SQRT($AT$32)), "Non-Compact", K1019 &gt; (95/SQRT($AT$32)), "Slender")</f>
        <v/>
      </c>
      <c r="Z1019" s="125">
        <f>E1019/F1019</f>
        <v/>
      </c>
      <c r="AA1019" s="125">
        <f>D1019/G1019</f>
        <v/>
      </c>
      <c r="AB1019" s="125">
        <f t="array" ref="AB1019">_xlfn.IFS(Z1019 &lt;= 9, "1", Z1019 &lt;= 12, "2", Z1019 &lt;= 15, "3", Z1019 &gt; 15, "4")</f>
        <v/>
      </c>
      <c r="AC1019" s="125">
        <f t="array" ref="AC1019">_xlfn.IFS(AA1019 &lt;= 200, "1", L1019 &lt;= 300, "2", L1019 &lt;= 400, "3", L1019 &gt; 400, "4")</f>
        <v/>
      </c>
      <c r="AF1019" s="129">
        <f>SQRT((((VLOOKUP($AT$4,$A$4:$D$1021,4,FALSE))-D1019)^2)+(((VLOOKUP($AT$4,$A$4:$E$1021,5,FALSE))-E1019)^2)+(((VLOOKUP($AT$4,$A$4:$N$1021,14,FALSE))-N1019)^2)+(((VLOOKUP($AT$4,$A$4:$O$1021,15,FALSE))-O1019)^2))</f>
        <v/>
      </c>
      <c r="AG1019" s="129" t="n"/>
      <c r="AI1019" s="129">
        <f>SQRT((((VLOOKUP($AT$4,$A$4:$D$1021,4,FALSE))-D1019)^2)+(((VLOOKUP($AT$4,$A$4:$E$1021,5,FALSE))-E1019)^2)+(((VLOOKUP($AT$4,$A$4:$R$1021,18,FALSE))-R1019)^2)+(((VLOOKUP($AT$4,$A$4:$S$1021,19,FALSE))-S1019)^2))</f>
        <v/>
      </c>
      <c r="AJ1019" s="125" t="inlineStr">
        <is>
          <t>HY400X86.4</t>
        </is>
      </c>
      <c r="AK1019" s="125" t="n"/>
      <c r="AL1019" s="125" t="n"/>
      <c r="AM1019" s="125">
        <f>SQRT(((VLOOKUP($AT$4,$A$4:$J$1021,10,FALSE))-J1019)^2)</f>
        <v/>
      </c>
      <c r="AN1019" s="125" t="n"/>
      <c r="AO1019" s="125" t="n"/>
      <c r="AP1019" s="125">
        <f>SQRT(((VLOOKUP($AT$4,$A$4:$R$1021,18,FALSE))-R1019)^2)</f>
        <v/>
      </c>
      <c r="AQ1019" s="125" t="inlineStr">
        <is>
          <t>HY400X86.4</t>
        </is>
      </c>
      <c r="BB1019" s="125">
        <f>SQRT(($J$1022-J1019)^2)</f>
        <v/>
      </c>
      <c r="BC1019" s="125">
        <f>SQRT(($R$1022-R1019)^2)</f>
        <v/>
      </c>
      <c r="BD1019" s="125" t="inlineStr">
        <is>
          <t>HY400X86.4</t>
        </is>
      </c>
      <c r="BI1019">
        <f>SQRT(($J$1023-J1019)^2)</f>
        <v/>
      </c>
      <c r="BJ1019">
        <f>SQRT(($R$1023-R1019)^2)</f>
        <v/>
      </c>
      <c r="BK1019" s="125" t="inlineStr">
        <is>
          <t>HY400X86.4</t>
        </is>
      </c>
      <c r="BP1019">
        <f>SQRT(($J$1024-J1019)^2)</f>
        <v/>
      </c>
      <c r="BQ1019">
        <f>SQRT(($R$1024-R1019)^2)</f>
        <v/>
      </c>
      <c r="BR1019" s="125" t="inlineStr">
        <is>
          <t>HY400X86.4</t>
        </is>
      </c>
      <c r="BW1019">
        <f>SQRT(($J$1025-J1019)^2)</f>
        <v/>
      </c>
      <c r="BX1019">
        <f>SQRT(($R$1025-R1019)^2)</f>
        <v/>
      </c>
      <c r="BY1019" s="125" t="inlineStr">
        <is>
          <t>HY400X86.4</t>
        </is>
      </c>
      <c r="CD1019">
        <f>SQRT(($J$1026-J1019)^2)</f>
        <v/>
      </c>
      <c r="CE1019">
        <f>SQRT(($R$1026-R1019)^2)</f>
        <v/>
      </c>
      <c r="CF1019" s="125" t="inlineStr">
        <is>
          <t>HY400X86.4</t>
        </is>
      </c>
    </row>
    <row r="1020">
      <c r="A1020" s="125" t="inlineStr">
        <is>
          <t>HY400X77.4</t>
        </is>
      </c>
      <c r="B1020" s="129" t="inlineStr">
        <is>
          <t>HY</t>
        </is>
      </c>
      <c r="C1020" s="125" t="n">
        <v>77.40000000000001</v>
      </c>
      <c r="D1020" s="125" t="n">
        <v>400</v>
      </c>
      <c r="E1020" s="125" t="n">
        <v>200</v>
      </c>
      <c r="F1020" s="125" t="n">
        <v>16</v>
      </c>
      <c r="G1020" s="125" t="n">
        <v>9</v>
      </c>
      <c r="H1020" s="125" t="n">
        <v>13</v>
      </c>
      <c r="I1020" s="125">
        <f>D1020-(2*(H1020+F1020))</f>
        <v/>
      </c>
      <c r="J1020" s="125">
        <f>(2*E1020/10*F1020/10)+((D1020-F1020-F1020)/10*G1020/10)+((H1020/10+H1020/10)^2)-(PI()*H1020/10*H1020/10)</f>
        <v/>
      </c>
      <c r="K1020" s="125">
        <f>((E1020-G1020)/2)/F1020</f>
        <v/>
      </c>
      <c r="L1020" s="125">
        <f>I1020/G1020</f>
        <v/>
      </c>
      <c r="M1020" s="125">
        <f>(E1020*2+F1020*4+((E1020-G1020)/2-H1020)*4+2*PI()*H1020+(D1020-2*F1020-2*H1020)*2)/1000</f>
        <v/>
      </c>
      <c r="N1020" s="5" t="n">
        <v>27800</v>
      </c>
      <c r="O1020" s="5" t="n">
        <v>2140</v>
      </c>
      <c r="P1020" s="125" t="n">
        <v>16.8</v>
      </c>
      <c r="Q1020" s="125" t="n">
        <v>4.7</v>
      </c>
      <c r="R1020" s="5" t="n">
        <v>1390</v>
      </c>
      <c r="S1020" s="125" t="n">
        <v>214</v>
      </c>
      <c r="T1020" s="5" t="n">
        <v>1560</v>
      </c>
      <c r="U1020" s="125" t="n">
        <v>329</v>
      </c>
      <c r="X1020" s="129">
        <f t="array" ref="X1020">_xlfn.IFS((D1020/F1020) &lt;= (640/SQRT($AT$32)), "Compact", L1020 &lt;= ($AT$32*(0.79-(0.002*((E1020-G1020/2)/(2*F1020))*SQRT($AT$32)))), "Non-Compact", L1020 &gt; ($AT$32*(0.79-(0.002*((E1020-G1020/2)/(2*F1020))*SQRT($AT$32)))), "Slender")</f>
        <v/>
      </c>
      <c r="Y1020" s="129">
        <f t="array" ref="Y1020">_xlfn.IFS(K1020 &lt;= (65/SQRT($AT$32)), "Compact", K1020 &lt;= (95/SQRT($AT$32)), "Non-Compact", K1020 &gt; (95/SQRT($AT$32)), "Slender")</f>
        <v/>
      </c>
      <c r="Z1020" s="125">
        <f>E1020/F1020</f>
        <v/>
      </c>
      <c r="AA1020" s="125">
        <f>D1020/G1020</f>
        <v/>
      </c>
      <c r="AB1020" s="125">
        <f t="array" ref="AB1020">_xlfn.IFS(Z1020 &lt;= 9, "1", Z1020 &lt;= 12, "2", Z1020 &lt;= 15, "3", Z1020 &gt; 15, "4")</f>
        <v/>
      </c>
      <c r="AC1020" s="125">
        <f t="array" ref="AC1020">_xlfn.IFS(AA1020 &lt;= 200, "1", L1020 &lt;= 300, "2", L1020 &lt;= 400, "3", L1020 &gt; 400, "4")</f>
        <v/>
      </c>
      <c r="AF1020" s="129">
        <f>SQRT((((VLOOKUP($AT$4,$A$4:$D$1021,4,FALSE))-D1020)^2)+(((VLOOKUP($AT$4,$A$4:$E$1021,5,FALSE))-E1020)^2)+(((VLOOKUP($AT$4,$A$4:$N$1021,14,FALSE))-N1020)^2)+(((VLOOKUP($AT$4,$A$4:$O$1021,15,FALSE))-O1020)^2))</f>
        <v/>
      </c>
      <c r="AG1020" s="129" t="n"/>
      <c r="AI1020" s="129">
        <f>SQRT((((VLOOKUP($AT$4,$A$4:$D$1021,4,FALSE))-D1020)^2)+(((VLOOKUP($AT$4,$A$4:$E$1021,5,FALSE))-E1020)^2)+(((VLOOKUP($AT$4,$A$4:$R$1021,18,FALSE))-R1020)^2)+(((VLOOKUP($AT$4,$A$4:$S$1021,19,FALSE))-S1020)^2))</f>
        <v/>
      </c>
      <c r="AJ1020" s="125" t="inlineStr">
        <is>
          <t>HY400X77.4</t>
        </is>
      </c>
      <c r="AK1020" s="125" t="n"/>
      <c r="AL1020" s="125" t="n"/>
      <c r="AM1020" s="125">
        <f>SQRT(((VLOOKUP($AT$4,$A$4:$J$1021,10,FALSE))-J1020)^2)</f>
        <v/>
      </c>
      <c r="AN1020" s="125" t="n"/>
      <c r="AO1020" s="125" t="n"/>
      <c r="AP1020" s="125">
        <f>SQRT(((VLOOKUP($AT$4,$A$4:$R$1021,18,FALSE))-R1020)^2)</f>
        <v/>
      </c>
      <c r="AQ1020" s="125" t="inlineStr">
        <is>
          <t>HY400X77.4</t>
        </is>
      </c>
      <c r="BB1020" s="125">
        <f>SQRT(($J$1022-J1020)^2)</f>
        <v/>
      </c>
      <c r="BC1020" s="125">
        <f>SQRT(($R$1022-R1020)^2)</f>
        <v/>
      </c>
      <c r="BD1020" s="125" t="inlineStr">
        <is>
          <t>HY400X77.4</t>
        </is>
      </c>
      <c r="BI1020">
        <f>SQRT(($J$1023-J1020)^2)</f>
        <v/>
      </c>
      <c r="BJ1020">
        <f>SQRT(($R$1023-R1020)^2)</f>
        <v/>
      </c>
      <c r="BK1020" s="125" t="inlineStr">
        <is>
          <t>HY400X77.4</t>
        </is>
      </c>
      <c r="BP1020">
        <f>SQRT(($J$1024-J1020)^2)</f>
        <v/>
      </c>
      <c r="BQ1020">
        <f>SQRT(($R$1024-R1020)^2)</f>
        <v/>
      </c>
      <c r="BR1020" s="125" t="inlineStr">
        <is>
          <t>HY400X77.4</t>
        </is>
      </c>
      <c r="BW1020">
        <f>SQRT(($J$1025-J1020)^2)</f>
        <v/>
      </c>
      <c r="BX1020">
        <f>SQRT(($R$1025-R1020)^2)</f>
        <v/>
      </c>
      <c r="BY1020" s="125" t="inlineStr">
        <is>
          <t>HY400X77.4</t>
        </is>
      </c>
      <c r="CD1020">
        <f>SQRT(($J$1026-J1020)^2)</f>
        <v/>
      </c>
      <c r="CE1020">
        <f>SQRT(($R$1026-R1020)^2)</f>
        <v/>
      </c>
      <c r="CF1020" s="125" t="inlineStr">
        <is>
          <t>HY400X77.4</t>
        </is>
      </c>
    </row>
    <row r="1021">
      <c r="A1021" s="125" t="inlineStr">
        <is>
          <t>HY400X65.4</t>
        </is>
      </c>
      <c r="B1021" s="129" t="inlineStr">
        <is>
          <t>HY</t>
        </is>
      </c>
      <c r="C1021" s="125" t="n">
        <v>65.40000000000001</v>
      </c>
      <c r="D1021" s="125" t="n">
        <v>400</v>
      </c>
      <c r="E1021" s="125" t="n">
        <v>200</v>
      </c>
      <c r="F1021" s="125" t="n">
        <v>12</v>
      </c>
      <c r="G1021" s="125" t="n">
        <v>9</v>
      </c>
      <c r="H1021" s="125" t="n">
        <v>13</v>
      </c>
      <c r="I1021" s="125">
        <f>D1021-(2*(H1021+F1021))</f>
        <v/>
      </c>
      <c r="J1021" s="125">
        <f>(2*E1021/10*F1021/10)+((D1021-F1021-F1021)/10*G1021/10)+((H1021/10+H1021/10)^2)-(PI()*H1021/10*H1021/10)</f>
        <v/>
      </c>
      <c r="K1021" s="125">
        <f>((E1021-G1021)/2)/F1021</f>
        <v/>
      </c>
      <c r="L1021" s="125">
        <f>I1021/G1021</f>
        <v/>
      </c>
      <c r="M1021" s="125">
        <f>(E1021*2+F1021*4+((E1021-G1021)/2-H1021)*4+2*PI()*H1021+(D1021-2*F1021-2*H1021)*2)/1000</f>
        <v/>
      </c>
      <c r="N1021" s="5" t="n">
        <v>22600</v>
      </c>
      <c r="O1021" s="5" t="n">
        <v>1600</v>
      </c>
      <c r="P1021" s="125" t="n">
        <v>16.5</v>
      </c>
      <c r="Q1021" s="125" t="n">
        <v>4.4</v>
      </c>
      <c r="R1021" s="5" t="n">
        <v>1130</v>
      </c>
      <c r="S1021" s="125" t="n">
        <v>160</v>
      </c>
      <c r="T1021" s="5" t="n">
        <v>1280</v>
      </c>
      <c r="U1021" s="125" t="n">
        <v>249</v>
      </c>
      <c r="X1021" s="129">
        <f t="array" ref="X1021">_xlfn.IFS((D1021/F1021) &lt;= (640/SQRT($AT$32)), "Compact", L1021 &lt;= ($AT$32*(0.79-(0.002*((E1021-G1021/2)/(2*F1021))*SQRT($AT$32)))), "Non-Compact", L1021 &gt; ($AT$32*(0.79-(0.002*((E1021-G1021/2)/(2*F1021))*SQRT($AT$32)))), "Slender")</f>
        <v/>
      </c>
      <c r="Y1021" s="129">
        <f t="array" ref="Y1021">_xlfn.IFS(K1021 &lt;= (65/SQRT($AT$32)), "Compact", K1021 &lt;= (95/SQRT($AT$32)), "Non-Compact", K1021 &gt; (95/SQRT($AT$32)), "Slender")</f>
        <v/>
      </c>
      <c r="Z1021" s="125">
        <f>E1021/F1021</f>
        <v/>
      </c>
      <c r="AA1021" s="125">
        <f>D1021/G1021</f>
        <v/>
      </c>
      <c r="AB1021" s="125">
        <f t="array" ref="AB1021">_xlfn.IFS(Z1021 &lt;= 9, "1", Z1021 &lt;= 12, "2", Z1021 &lt;= 15, "3", Z1021 &gt; 15, "4")</f>
        <v/>
      </c>
      <c r="AC1021" s="125">
        <f t="array" ref="AC1021">_xlfn.IFS(AA1021 &lt;= 200, "1", L1021 &lt;= 300, "2", L1021 &lt;= 400, "3", L1021 &gt; 400, "4")</f>
        <v/>
      </c>
      <c r="AF1021" s="129">
        <f>SQRT((((VLOOKUP($AT$4,$A$4:$D$1021,4,FALSE))-D1021)^2)+(((VLOOKUP($AT$4,$A$4:$E$1021,5,FALSE))-E1021)^2)+(((VLOOKUP($AT$4,$A$4:$N$1021,14,FALSE))-N1021)^2)+(((VLOOKUP($AT$4,$A$4:$O$1021,15,FALSE))-O1021)^2))</f>
        <v/>
      </c>
      <c r="AG1021" s="129" t="n"/>
      <c r="AI1021" s="129">
        <f>SQRT((((VLOOKUP($AT$4,$A$4:$D$1021,4,FALSE))-D1021)^2)+(((VLOOKUP($AT$4,$A$4:$E$1021,5,FALSE))-E1021)^2)+(((VLOOKUP($AT$4,$A$4:$R$1021,18,FALSE))-R1021)^2)+(((VLOOKUP($AT$4,$A$4:$S$1021,19,FALSE))-S1021)^2))</f>
        <v/>
      </c>
      <c r="AJ1021" s="125" t="inlineStr">
        <is>
          <t>HY400X65.4</t>
        </is>
      </c>
      <c r="AK1021" s="125" t="n"/>
      <c r="AL1021" s="125" t="n"/>
      <c r="AM1021" s="125">
        <f>SQRT(((VLOOKUP($AT$4,$A$4:$J$1021,10,FALSE))-J1021)^2)</f>
        <v/>
      </c>
      <c r="AN1021" s="125" t="n"/>
      <c r="AO1021" s="125" t="n"/>
      <c r="AP1021" s="125">
        <f>SQRT(((VLOOKUP($AT$4,$A$4:$R$1021,18,FALSE))-R1021)^2)</f>
        <v/>
      </c>
      <c r="AQ1021" s="125" t="inlineStr">
        <is>
          <t>HY400X65.4</t>
        </is>
      </c>
      <c r="BB1021" s="125">
        <f>SQRT(($J$1022-J1021)^2)</f>
        <v/>
      </c>
      <c r="BC1021" s="125">
        <f>SQRT(($R$1022-R1021)^2)</f>
        <v/>
      </c>
      <c r="BD1021" s="125" t="inlineStr">
        <is>
          <t>HY400X65.4</t>
        </is>
      </c>
      <c r="BI1021">
        <f>SQRT(($J$1023-J1021)^2)</f>
        <v/>
      </c>
      <c r="BJ1021">
        <f>SQRT(($R$1023-R1021)^2)</f>
        <v/>
      </c>
      <c r="BK1021" s="125" t="inlineStr">
        <is>
          <t>HY400X65.4</t>
        </is>
      </c>
      <c r="BP1021">
        <f>SQRT(($J$1024-J1021)^2)</f>
        <v/>
      </c>
      <c r="BQ1021">
        <f>SQRT(($R$1024-R1021)^2)</f>
        <v/>
      </c>
      <c r="BR1021" s="125" t="inlineStr">
        <is>
          <t>HY400X65.4</t>
        </is>
      </c>
      <c r="BW1021">
        <f>SQRT(($J$1025-J1021)^2)</f>
        <v/>
      </c>
      <c r="BX1021">
        <f>SQRT(($R$1025-R1021)^2)</f>
        <v/>
      </c>
      <c r="BY1021" s="125" t="inlineStr">
        <is>
          <t>HY400X65.4</t>
        </is>
      </c>
      <c r="CD1021">
        <f>SQRT(($J$1026-J1021)^2)</f>
        <v/>
      </c>
      <c r="CE1021">
        <f>SQRT(($R$1026-R1021)^2)</f>
        <v/>
      </c>
      <c r="CF1021" s="125" t="inlineStr">
        <is>
          <t>HY400X65.4</t>
        </is>
      </c>
    </row>
    <row r="1022">
      <c r="A1022" s="125" t="inlineStr">
        <is>
          <t>CUSTOM Sym</t>
        </is>
      </c>
      <c r="B1022" s="129" t="inlineStr">
        <is>
          <t>-</t>
        </is>
      </c>
      <c r="C1022" s="125" t="inlineStr">
        <is>
          <t>-</t>
        </is>
      </c>
      <c r="D1022" s="125">
        <f>Beam_Check!E42</f>
        <v/>
      </c>
      <c r="E1022" s="125">
        <f>Beam_Check!E43</f>
        <v/>
      </c>
      <c r="F1022" s="125">
        <f>Beam_Check!E44</f>
        <v/>
      </c>
      <c r="G1022" s="125">
        <f>Beam_Check!E45</f>
        <v/>
      </c>
      <c r="H1022" s="125" t="n">
        <v>0</v>
      </c>
      <c r="I1022" s="125">
        <f>D1022-(2*(H1022+F1022))</f>
        <v/>
      </c>
      <c r="J1022" s="125">
        <f>(2*E1022/10*F1022/10)+((D1022-F1022-F1022)/10*G1022/10)+((H1022/10+H1022/10)^2)-(PI()*H1022/10*H1022/10)</f>
        <v/>
      </c>
      <c r="K1022" s="125">
        <f>((E1022-G1022)/2)/F1022</f>
        <v/>
      </c>
      <c r="L1022" s="125">
        <f>I1022/G1022</f>
        <v/>
      </c>
      <c r="M1022" s="125">
        <f>(E1022*2+F1022*4+((E1022-G1022)/2-H1022)*4+2*PI()*H1022+(D1022-2*F1022-2*H1022)*2)/1000</f>
        <v/>
      </c>
      <c r="N1022" s="87">
        <f>(((((D1022-F1022-F1022)^3)*G1022)/12) + 2*((((F1022^3)*E1022)/12) + ((F1022*E1022*(D1022-F1022)^2)/4)))/10000</f>
        <v/>
      </c>
      <c r="O1022" s="87">
        <f>((((G1022^3)*(D1022-F1022-F1022))/12)+ (2*((E1022^3)*F1022)/12))/10000</f>
        <v/>
      </c>
      <c r="P1022" s="125">
        <f>SQRT(N1022/J1022)</f>
        <v/>
      </c>
      <c r="Q1022" s="125">
        <f>SQRT(O1022/J1022)</f>
        <v/>
      </c>
      <c r="R1022" s="125">
        <f>N1022/(D1022/10/2)</f>
        <v/>
      </c>
      <c r="S1022" s="125">
        <f>O1022/(E1022/10/2)</f>
        <v/>
      </c>
      <c r="T1022" s="125">
        <f>(((E1022*D1022*D1022)/4)-(((E1022-G1022)*(D1022-F1022-F1022)*(D1022-F1022-F1022))/4)+(4*(H1022*H1022*(D1022/2-F1022-(H1022/2))-((PI()*H1022*H1022)/4*((D1022/2)-F1022-(H1022-((4*H1022)/(3*PI()))))))))/1000</f>
        <v/>
      </c>
      <c r="U1022" s="125">
        <f>(((D1022*E1022*E1022)/4)-(2*((D1022-F1022-F1022)*(E1022/2-(G1022/2))*(((E1022/2-(G1022/2))/2)+(G1022/2))))+(4*(((H1022*H1022)-(((PI()*H1022*H1022)/4)))*((H1022-((4*H1022)/(3*PI())))+(G1022/2)))))/1000</f>
        <v/>
      </c>
      <c r="X1022" s="129">
        <f t="array" ref="X1022">_xlfn.IFS((D1022/F1022) &lt;= (640/SQRT($AT$33)), "Compact", L1022 &lt;= ($AT$33*(0.79-(0.002*((E1022-G1022/2)/(2*F1022))*SQRT($AT$33)))), "Non-Compact", L1022 &gt; ($AT$33*(0.79-(0.002*((E1022-G1022/2)/(2*F1022))*SQRT($AT$33)))), "Slender")</f>
        <v/>
      </c>
      <c r="Y1022" s="129">
        <f t="array" ref="Y1022">_xlfn.IFS(K1022 &lt;= (65/SQRT($AT$33)), "Compact", K1022 &lt;= (95/SQRT($AT$33)), "Non-Compact", K1022 &gt; (95/SQRT($AT$33)), "Slender")</f>
        <v/>
      </c>
      <c r="Z1022" s="125">
        <f>E1022/F1022</f>
        <v/>
      </c>
      <c r="AA1022" s="125">
        <f>D1022/G1022</f>
        <v/>
      </c>
      <c r="AB1022" s="125">
        <f t="array" ref="AB1022">_xlfn.IFS(Z1022 &lt;= 9, "1", Z1022 &lt;= 12, "2", Z1022 &lt;= 15, "3", Z1022 &gt; 15, "4")</f>
        <v/>
      </c>
      <c r="AC1022" s="125">
        <f t="array" ref="AC1022">_xlfn.IFS(AA1022 &lt;= 200, "1", L1022 &lt;= 300, "2", L1022 &lt;= 400, "3", L1022 &gt; 400, "4")</f>
        <v/>
      </c>
      <c r="AM1022" s="125" t="n"/>
    </row>
    <row r="1023">
      <c r="A1023" s="125" t="inlineStr">
        <is>
          <t>Assym</t>
        </is>
      </c>
      <c r="J1023" s="125">
        <f>Assym_DB!K4</f>
        <v/>
      </c>
      <c r="N1023" s="5" t="n"/>
      <c r="O1023" s="5" t="n"/>
      <c r="R1023" s="5">
        <f>Assym_DB!S4</f>
        <v/>
      </c>
      <c r="T1023" s="5" t="n"/>
    </row>
    <row r="1024">
      <c r="A1024" s="125" t="inlineStr">
        <is>
          <t>Boxed</t>
        </is>
      </c>
      <c r="J1024" s="125">
        <f>Boxed_Up_DB!H4</f>
        <v/>
      </c>
      <c r="R1024" s="125">
        <f>Boxed_Up_DB!N4</f>
        <v/>
      </c>
    </row>
    <row r="1025">
      <c r="A1025" s="125" t="inlineStr">
        <is>
          <t>Rec</t>
        </is>
      </c>
      <c r="J1025" s="125">
        <f>Rec_Tube_DB!E4</f>
        <v/>
      </c>
      <c r="R1025" s="125">
        <f>Rec_Tube_DB!K4</f>
        <v/>
      </c>
    </row>
    <row r="1026">
      <c r="A1026" s="125" t="inlineStr">
        <is>
          <t>Cir</t>
        </is>
      </c>
      <c r="J1026" s="125">
        <f>Circular_Tube_DB!F4</f>
        <v/>
      </c>
      <c r="R1026" s="125">
        <f>Circular_Tube_DB!L4</f>
        <v/>
      </c>
    </row>
  </sheetData>
  <mergeCells count="60">
    <mergeCell ref="BZ5:CC5"/>
    <mergeCell ref="BZ14:CC14"/>
    <mergeCell ref="AN1:AP1"/>
    <mergeCell ref="CA20:CB20"/>
    <mergeCell ref="BM21:BN21"/>
    <mergeCell ref="BM12:BN12"/>
    <mergeCell ref="BT11:BU11"/>
    <mergeCell ref="P1:Q1"/>
    <mergeCell ref="BF19:BG19"/>
    <mergeCell ref="BM11:BN11"/>
    <mergeCell ref="CG6:CJ6"/>
    <mergeCell ref="BF13:BG13"/>
    <mergeCell ref="AX14:BA14"/>
    <mergeCell ref="AB1:AC1"/>
    <mergeCell ref="BL5:BO5"/>
    <mergeCell ref="BF12:BG12"/>
    <mergeCell ref="AK1:AM1"/>
    <mergeCell ref="CA21:CB21"/>
    <mergeCell ref="BL14:BO14"/>
    <mergeCell ref="K1:L1"/>
    <mergeCell ref="CH20:CI20"/>
    <mergeCell ref="BT21:BU21"/>
    <mergeCell ref="BT12:BU12"/>
    <mergeCell ref="CA11:CB11"/>
    <mergeCell ref="BE6:BH6"/>
    <mergeCell ref="BM19:BN19"/>
    <mergeCell ref="AX6:BA6"/>
    <mergeCell ref="N1:O1"/>
    <mergeCell ref="CH19:CI19"/>
    <mergeCell ref="BM13:BN13"/>
    <mergeCell ref="BE14:BH14"/>
    <mergeCell ref="CH13:CI13"/>
    <mergeCell ref="BE5:BH5"/>
    <mergeCell ref="BS5:BV5"/>
    <mergeCell ref="T1:U1"/>
    <mergeCell ref="CH21:CI21"/>
    <mergeCell ref="BS14:BV14"/>
    <mergeCell ref="CH12:CI12"/>
    <mergeCell ref="BT20:BU20"/>
    <mergeCell ref="CA19:CB19"/>
    <mergeCell ref="CH11:CI11"/>
    <mergeCell ref="BL6:BO6"/>
    <mergeCell ref="CA13:CB13"/>
    <mergeCell ref="BZ6:CC6"/>
    <mergeCell ref="BT13:BU13"/>
    <mergeCell ref="AR14:AR18"/>
    <mergeCell ref="CG5:CJ5"/>
    <mergeCell ref="CA12:CB12"/>
    <mergeCell ref="X1:Y1"/>
    <mergeCell ref="CG14:CJ14"/>
    <mergeCell ref="BM20:BN20"/>
    <mergeCell ref="BF21:BG21"/>
    <mergeCell ref="Z1:AA1"/>
    <mergeCell ref="BT19:BU19"/>
    <mergeCell ref="BF11:BG11"/>
    <mergeCell ref="BF20:BG20"/>
    <mergeCell ref="AR7:AR12"/>
    <mergeCell ref="F1:G1"/>
    <mergeCell ref="R1:S1"/>
    <mergeCell ref="BS6:BV6"/>
  </mergeCells>
  <conditionalFormatting sqref="A4:A233 A235:A363">
    <cfRule type="duplicateValues" priority="28" dxfId="4"/>
  </conditionalFormatting>
  <conditionalFormatting sqref="A234">
    <cfRule type="duplicateValues" priority="27" dxfId="4"/>
  </conditionalFormatting>
  <conditionalFormatting sqref="F2:G3">
    <cfRule type="expression" priority="25" dxfId="0">
      <formula>MOD(ROW()-4,50)=0</formula>
    </cfRule>
  </conditionalFormatting>
  <conditionalFormatting sqref="M2">
    <cfRule type="expression" priority="24" dxfId="0">
      <formula>MOD(ROW()-4,50)=0</formula>
    </cfRule>
  </conditionalFormatting>
  <conditionalFormatting sqref="N2:O3">
    <cfRule type="expression" priority="21" dxfId="0">
      <formula>MOD(ROW()-4,50)=0</formula>
    </cfRule>
  </conditionalFormatting>
  <conditionalFormatting sqref="P2:U2 X2:AC2">
    <cfRule type="expression" priority="18" dxfId="0">
      <formula>MOD(ROW()-4,50)=0</formula>
    </cfRule>
  </conditionalFormatting>
  <conditionalFormatting sqref="AJ234 AL234:AM234 AO234:AQ234">
    <cfRule type="duplicateValues" priority="16" dxfId="4"/>
  </conditionalFormatting>
  <conditionalFormatting sqref="AJ4:AP4 AJ5:AM12 AJ13:AJ233 AJ235:AJ363 AK13:AK363 AL13:AM233 AL235:AM363 AN5:AN363 AO5:AP233 AO235:AP363">
    <cfRule type="duplicateValues" priority="17" dxfId="4"/>
  </conditionalFormatting>
  <conditionalFormatting sqref="AO364:AO454">
    <cfRule type="duplicateValues" priority="14" dxfId="4"/>
  </conditionalFormatting>
  <conditionalFormatting sqref="AP455:AP1021">
    <cfRule type="duplicateValues" priority="13" dxfId="4"/>
  </conditionalFormatting>
  <conditionalFormatting sqref="AQ4:AQ233 AQ235:AQ363">
    <cfRule type="duplicateValues" priority="15" dxfId="4"/>
  </conditionalFormatting>
  <conditionalFormatting sqref="BB4:BC1021 BE4:BG4">
    <cfRule type="duplicateValues" priority="12" dxfId="4"/>
  </conditionalFormatting>
  <conditionalFormatting sqref="BD234">
    <cfRule type="duplicateValues" priority="11" dxfId="4"/>
  </conditionalFormatting>
  <conditionalFormatting sqref="BD4:BD233 BD235:BD363">
    <cfRule type="duplicateValues" priority="10" dxfId="4"/>
  </conditionalFormatting>
  <conditionalFormatting sqref="BK234">
    <cfRule type="duplicateValues" priority="9" dxfId="4"/>
  </conditionalFormatting>
  <conditionalFormatting sqref="BK4:BK233 BK235:BK363">
    <cfRule type="duplicateValues" priority="8" dxfId="4"/>
  </conditionalFormatting>
  <conditionalFormatting sqref="BR234">
    <cfRule type="duplicateValues" priority="6" dxfId="4"/>
  </conditionalFormatting>
  <conditionalFormatting sqref="BR4:BR233 BR235:BR363">
    <cfRule type="duplicateValues" priority="5" dxfId="4"/>
  </conditionalFormatting>
  <conditionalFormatting sqref="BY234">
    <cfRule type="duplicateValues" priority="4" dxfId="4"/>
  </conditionalFormatting>
  <conditionalFormatting sqref="BY4:BY233 BY235:BY363">
    <cfRule type="duplicateValues" priority="3" dxfId="4"/>
  </conditionalFormatting>
  <conditionalFormatting sqref="CF234">
    <cfRule type="duplicateValues" priority="2" dxfId="4"/>
  </conditionalFormatting>
  <conditionalFormatting sqref="CF4:CF233 CF235:CF363">
    <cfRule type="duplicateValues" priority="1" dxfId="4"/>
  </conditionalFormatting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7"/>
  <sheetViews>
    <sheetView zoomScale="89" zoomScaleNormal="100" workbookViewId="0">
      <selection activeCell="S9" sqref="S9"/>
    </sheetView>
  </sheetViews>
  <sheetFormatPr baseColWidth="8" defaultRowHeight="14.5"/>
  <cols>
    <col width="17.7265625" bestFit="1" customWidth="1" style="125" min="1" max="1"/>
    <col width="8.81640625" customWidth="1" style="125" min="2" max="2"/>
    <col width="6.81640625" customWidth="1" style="125" min="3" max="3"/>
    <col width="8.453125" customWidth="1" style="125" min="4" max="4"/>
    <col width="9.54296875" customWidth="1" style="125" min="5" max="5"/>
    <col width="8.453125" customWidth="1" style="125" min="6" max="6"/>
    <col width="4.1796875" bestFit="1" customWidth="1" style="125" min="7" max="7"/>
    <col width="4.1796875" customWidth="1" style="125" min="8" max="8"/>
    <col width="4.1796875" bestFit="1" customWidth="1" style="125" min="9" max="9"/>
    <col width="11" customWidth="1" style="125" min="10" max="10"/>
    <col width="9" customWidth="1" style="125" min="11" max="11"/>
    <col width="6.81640625" bestFit="1" customWidth="1" style="125" min="12" max="12"/>
    <col width="5.26953125" bestFit="1" customWidth="1" style="125" min="13" max="13"/>
    <col width="11.7265625" customWidth="1" style="125" min="14" max="15"/>
    <col width="7.54296875" customWidth="1" style="125" min="16" max="16"/>
    <col width="7" customWidth="1" style="125" min="17" max="17"/>
    <col width="6" customWidth="1" style="125" min="18" max="18"/>
    <col width="8.26953125" customWidth="1" style="125" min="19" max="19"/>
    <col width="8.1796875" customWidth="1" style="125" min="20" max="20"/>
    <col width="13.7265625" customWidth="1" style="125" min="21" max="21"/>
    <col width="7" bestFit="1" customWidth="1" style="125" min="22" max="22"/>
  </cols>
  <sheetData>
    <row r="1">
      <c r="A1" s="124" t="n"/>
      <c r="C1" s="124" t="inlineStr">
        <is>
          <t>Mass per Metre</t>
        </is>
      </c>
      <c r="D1" s="124" t="inlineStr">
        <is>
          <t>Depth Of Section</t>
        </is>
      </c>
      <c r="E1" s="124" t="inlineStr">
        <is>
          <t>Width Of Section</t>
        </is>
      </c>
      <c r="G1" s="124" t="inlineStr">
        <is>
          <t xml:space="preserve"> Thickness</t>
        </is>
      </c>
      <c r="J1" s="131" t="inlineStr">
        <is>
          <t>Depth Between Fillets</t>
        </is>
      </c>
      <c r="K1" s="131" t="inlineStr">
        <is>
          <t>Area of Section</t>
        </is>
      </c>
      <c r="L1" s="131" t="inlineStr">
        <is>
          <t>Ratios For Local Buckling</t>
        </is>
      </c>
      <c r="N1" s="131" t="inlineStr">
        <is>
          <t>Surface Area per Metre</t>
        </is>
      </c>
      <c r="O1" s="128" t="inlineStr">
        <is>
          <t>Second
Moment Of Area</t>
        </is>
      </c>
      <c r="Q1" s="128" t="inlineStr">
        <is>
          <t>Radius Of Gyration</t>
        </is>
      </c>
      <c r="S1" s="124" t="inlineStr">
        <is>
          <t>Elastic Modulus</t>
        </is>
      </c>
      <c r="U1" s="130" t="inlineStr">
        <is>
          <t>Plastic Modulus</t>
        </is>
      </c>
      <c r="W1" s="124" t="inlineStr">
        <is>
          <t>Classification 1.0</t>
        </is>
      </c>
    </row>
    <row r="2" ht="16.5" customHeight="1">
      <c r="A2" s="124" t="n"/>
      <c r="C2" s="124" t="n"/>
      <c r="D2" s="124" t="inlineStr">
        <is>
          <t>D</t>
        </is>
      </c>
      <c r="E2" s="124" t="inlineStr">
        <is>
          <t>Bft</t>
        </is>
      </c>
      <c r="F2" s="124" t="inlineStr">
        <is>
          <t>Bfb</t>
        </is>
      </c>
      <c r="G2" s="30" t="inlineStr">
        <is>
          <t>Tft</t>
        </is>
      </c>
      <c r="H2" s="30" t="inlineStr">
        <is>
          <t>Tfb</t>
        </is>
      </c>
      <c r="I2" s="30" t="inlineStr">
        <is>
          <t>Tw</t>
        </is>
      </c>
      <c r="J2" s="124" t="inlineStr">
        <is>
          <t>d</t>
        </is>
      </c>
      <c r="K2" s="124" t="inlineStr">
        <is>
          <t>A</t>
        </is>
      </c>
      <c r="L2" s="124" t="inlineStr">
        <is>
          <t>Flange</t>
        </is>
      </c>
      <c r="M2" s="124" t="inlineStr">
        <is>
          <t>Web</t>
        </is>
      </c>
      <c r="N2" s="94" t="n"/>
      <c r="O2" s="33" t="inlineStr">
        <is>
          <t>Ix</t>
        </is>
      </c>
      <c r="P2" s="33" t="inlineStr">
        <is>
          <t>Iy</t>
        </is>
      </c>
      <c r="Q2" s="31" t="inlineStr">
        <is>
          <t xml:space="preserve">rx </t>
        </is>
      </c>
      <c r="R2" s="31" t="inlineStr">
        <is>
          <t xml:space="preserve">ry </t>
        </is>
      </c>
      <c r="S2" s="31" t="inlineStr">
        <is>
          <t>Sex</t>
        </is>
      </c>
      <c r="T2" s="31" t="inlineStr">
        <is>
          <t>Sey</t>
        </is>
      </c>
      <c r="U2" s="31" t="inlineStr">
        <is>
          <t>Zpx</t>
        </is>
      </c>
      <c r="V2" s="31" t="inlineStr">
        <is>
          <t>Zpy</t>
        </is>
      </c>
      <c r="W2" s="56" t="inlineStr">
        <is>
          <t>Web</t>
        </is>
      </c>
      <c r="X2" s="56" t="inlineStr">
        <is>
          <t>Flange</t>
        </is>
      </c>
    </row>
    <row r="3" ht="16.5" customHeight="1">
      <c r="A3" s="124" t="inlineStr">
        <is>
          <t>Type</t>
        </is>
      </c>
      <c r="B3" s="47" t="inlineStr">
        <is>
          <t>Standards</t>
        </is>
      </c>
      <c r="C3" s="124" t="inlineStr">
        <is>
          <t>kg/m</t>
        </is>
      </c>
      <c r="D3" s="124" t="inlineStr">
        <is>
          <t>mm</t>
        </is>
      </c>
      <c r="E3" s="124" t="inlineStr">
        <is>
          <t>mm</t>
        </is>
      </c>
      <c r="F3" s="124" t="inlineStr">
        <is>
          <t>mm</t>
        </is>
      </c>
      <c r="G3" s="30" t="inlineStr">
        <is>
          <t>mm</t>
        </is>
      </c>
      <c r="H3" s="30" t="inlineStr">
        <is>
          <t>mm</t>
        </is>
      </c>
      <c r="I3" s="30" t="inlineStr">
        <is>
          <t>mm</t>
        </is>
      </c>
      <c r="J3" s="124" t="inlineStr">
        <is>
          <t>mm</t>
        </is>
      </c>
      <c r="K3" s="124" t="inlineStr">
        <is>
          <t>cm2</t>
        </is>
      </c>
      <c r="L3" s="124" t="inlineStr">
        <is>
          <t>b/T</t>
        </is>
      </c>
      <c r="M3" s="124" t="inlineStr">
        <is>
          <t>d/t</t>
        </is>
      </c>
      <c r="N3" s="124" t="inlineStr">
        <is>
          <t>m2</t>
        </is>
      </c>
      <c r="O3" s="33" t="inlineStr">
        <is>
          <t xml:space="preserve">cm4 </t>
        </is>
      </c>
      <c r="P3" s="33" t="inlineStr">
        <is>
          <t xml:space="preserve">cm4 </t>
        </is>
      </c>
      <c r="Q3" s="124" t="inlineStr">
        <is>
          <t>cm</t>
        </is>
      </c>
      <c r="R3" s="124" t="inlineStr">
        <is>
          <t>cm</t>
        </is>
      </c>
      <c r="S3" s="124" t="inlineStr">
        <is>
          <t>cm3</t>
        </is>
      </c>
      <c r="T3" s="124" t="inlineStr">
        <is>
          <t>cm3</t>
        </is>
      </c>
      <c r="U3" s="124" t="inlineStr">
        <is>
          <t>cm3</t>
        </is>
      </c>
      <c r="V3" s="124" t="inlineStr">
        <is>
          <t>cm3</t>
        </is>
      </c>
    </row>
    <row r="4">
      <c r="A4" s="125" t="inlineStr">
        <is>
          <t>Assymetric I-Beam</t>
        </is>
      </c>
      <c r="B4" s="125" t="inlineStr">
        <is>
          <t>-</t>
        </is>
      </c>
      <c r="C4" s="125" t="inlineStr">
        <is>
          <t>-</t>
        </is>
      </c>
      <c r="D4" s="125">
        <f>Beam_Check!E74</f>
        <v/>
      </c>
      <c r="E4" s="125">
        <f>Beam_Check!E75</f>
        <v/>
      </c>
      <c r="F4" s="125">
        <f>Beam_Check!E76</f>
        <v/>
      </c>
      <c r="G4" s="125">
        <f>Beam_Check!E77</f>
        <v/>
      </c>
      <c r="H4" s="125">
        <f>Beam_Check!E78</f>
        <v/>
      </c>
      <c r="I4" s="125">
        <f>Beam_Check!E79</f>
        <v/>
      </c>
      <c r="J4" s="125">
        <f>D4-G4-H4</f>
        <v/>
      </c>
      <c r="K4" s="125">
        <f> ((E4 * G4) + (F4 * H4) + (I4 * (D4 - G4 - H4)))/100</f>
        <v/>
      </c>
      <c r="L4" s="125">
        <f>MAX((E4-I4)/2/G4,(F4-I4)/2/H4)</f>
        <v/>
      </c>
      <c r="M4" s="125">
        <f>J4/I4</f>
        <v/>
      </c>
      <c r="N4" s="125">
        <f> (D4*2+2*E4+2*F4-2*I4) / 1000</f>
        <v/>
      </c>
      <c r="O4" s="125">
        <f>(((F4*(H4^3))/12)+((F4*H4)*((H4/2)-U5)^2)+((E4*(G4^3))/12)+((E4*G4)*(D4-(G4/2)-U5)^2)+((I4*(J4^3))/12)+((J4*I4)*(H4+(J4/2)-U5)^2))/10000</f>
        <v/>
      </c>
      <c r="P4" s="125">
        <f>((((E4^3)*G4)/12)+(((F4^3)*H4)/12)+(((D4-G4-H4)*I4^3)/12))/10000</f>
        <v/>
      </c>
      <c r="Q4" s="125">
        <f>SQRT(O4/K4)</f>
        <v/>
      </c>
      <c r="R4" s="125">
        <f>SQRT(P4/K4)</f>
        <v/>
      </c>
      <c r="S4" s="125">
        <f>(O4/((MAX(U5,D4-U5)/10)))</f>
        <v/>
      </c>
      <c r="T4" s="125">
        <f>((2*P4)/MAX(E4,F4))*10</f>
        <v/>
      </c>
      <c r="U4" s="125">
        <f>(((F4*U6^2)/2)-(((F4-I4)*(U6-H4)^2)/2)+((E4*(D4-U6)^2)/2)-(((E4-I4)*(D4-G4-U6)^2)/2))/1000</f>
        <v/>
      </c>
      <c r="V4" s="125">
        <f>(((G4*E4^2)/4)+((H4*F4^2)/4)+((J4*I4^2)/4))/1000</f>
        <v/>
      </c>
      <c r="W4">
        <f t="array" ref="W4">_xlfn.IFS(MAX(D4/F4, D4/E4) &lt;= (640/SQRT(R12)), "Compact", M4 &lt;= MAX((R12*(0.79-(0.002*((E4-I4/2)/(2*G4))*SQRT(R12)))),(R12*(0.79-(0.002*((F4-I4/2)/(2*H4))*SQRT(R12))))), "Non-Compact", M4 &gt; MAX((R12*(0.79-(0.002*((E4-I4/2)/(2*G4))*SQRT(R12)))),(R12*(0.79-(0.002*((F4-I4/2)/(2*H4))*SQRT(R12))))), "Slender")</f>
        <v/>
      </c>
      <c r="X4">
        <f t="array" ref="X4">_xlfn.IFS(L4 &lt;= (65/SQRT(R12)), "Compact", L4 &lt;= (95/SQRT(R12)), "Non-Compact", L4 &gt; (95/SQRT(R12)), "Slender")</f>
        <v/>
      </c>
    </row>
    <row r="5">
      <c r="T5" s="125" t="inlineStr">
        <is>
          <t>yc</t>
        </is>
      </c>
      <c r="U5" s="125">
        <f> ((E4 * G4 * (D4 - G4 / 2)) + (F4 * H4 * (H4 / 2)) + (I4 * (D4 - G4 - H4) * ((D4 - G4 - H4) / 2 + H4))) / ((E4 * G4) + (F4 * H4) + (I4 * (D4 - G4 - H4)))</f>
        <v/>
      </c>
    </row>
    <row r="6">
      <c r="T6" s="125" t="inlineStr">
        <is>
          <t>ypna</t>
        </is>
      </c>
      <c r="U6" s="125">
        <f>H4+(((E4*G4+F4*H4+I4*J4)-(2*F4*H4))/(2*I4))</f>
        <v/>
      </c>
    </row>
    <row r="7">
      <c r="L7" s="129" t="n"/>
    </row>
    <row r="8">
      <c r="L8" s="129" t="n"/>
    </row>
    <row r="9">
      <c r="L9" s="129" t="n"/>
    </row>
    <row r="10">
      <c r="L10" s="129" t="n"/>
    </row>
    <row r="11">
      <c r="B11" s="125" t="n">
        <v>100</v>
      </c>
      <c r="D11" s="125">
        <f> (E4 * G4) * (D4 - G4/2 - B11) + (I4 * (D4 - G4 - H4)) * (H4 + (D4 - G4 - H4)/2 - B11)</f>
        <v/>
      </c>
      <c r="E11" s="125">
        <f> (F4 * H4) * (B11 - H4/2) + (I4 * (D4 - G4 - H4)) * (B11 - (H4 + (D4 - G4 - H4)/2))</f>
        <v/>
      </c>
      <c r="L11" s="129" t="n"/>
      <c r="R11" s="125" t="inlineStr">
        <is>
          <t>Fy</t>
        </is>
      </c>
    </row>
    <row r="12">
      <c r="L12" s="129" t="n"/>
      <c r="R12" s="125">
        <f>Beam_Check!C82</f>
        <v/>
      </c>
    </row>
    <row r="13">
      <c r="D13" s="125">
        <f>D11-E11</f>
        <v/>
      </c>
      <c r="L13" s="129" t="n"/>
    </row>
    <row r="14">
      <c r="L14" s="129" t="n"/>
    </row>
    <row r="15">
      <c r="L15" s="129" t="n"/>
    </row>
    <row r="16">
      <c r="L16" s="129" t="n"/>
    </row>
    <row r="17">
      <c r="L17" s="129" t="n"/>
    </row>
    <row r="18">
      <c r="L18" s="129" t="n"/>
    </row>
    <row r="19">
      <c r="L19" s="129" t="n"/>
    </row>
    <row r="20">
      <c r="L20" s="129" t="n"/>
    </row>
    <row r="21">
      <c r="L21" s="129" t="n"/>
    </row>
    <row r="22">
      <c r="L22" s="129" t="n"/>
    </row>
    <row r="23">
      <c r="L23" s="129" t="n"/>
    </row>
    <row r="24">
      <c r="L24" s="129" t="n"/>
    </row>
    <row r="25">
      <c r="L25" s="129" t="n"/>
    </row>
    <row r="26">
      <c r="L26" s="129" t="n"/>
    </row>
    <row r="27">
      <c r="L27" s="129" t="n"/>
    </row>
    <row r="28">
      <c r="L28" s="129" t="n"/>
    </row>
    <row r="29">
      <c r="L29" s="129" t="n"/>
    </row>
    <row r="30">
      <c r="L30" s="129" t="n"/>
    </row>
    <row r="31">
      <c r="L31" s="129" t="n"/>
    </row>
    <row r="32">
      <c r="L32" s="129" t="n"/>
    </row>
    <row r="33">
      <c r="L33" s="129" t="n"/>
    </row>
    <row r="34">
      <c r="L34" s="129" t="n"/>
    </row>
    <row r="35">
      <c r="L35" s="129" t="n"/>
    </row>
    <row r="36">
      <c r="L36" s="129" t="n"/>
    </row>
    <row r="37">
      <c r="L37" s="129" t="n"/>
    </row>
    <row r="38">
      <c r="L38" s="129" t="n"/>
    </row>
    <row r="39">
      <c r="L39" s="129" t="n"/>
    </row>
    <row r="40">
      <c r="L40" s="129" t="n"/>
    </row>
    <row r="41">
      <c r="L41" s="129" t="n"/>
    </row>
    <row r="42">
      <c r="L42" s="129" t="n"/>
    </row>
    <row r="43">
      <c r="L43" s="129" t="n"/>
    </row>
    <row r="44">
      <c r="L44" s="129" t="n"/>
    </row>
    <row r="45">
      <c r="L45" s="129" t="n"/>
    </row>
    <row r="46">
      <c r="L46" s="129" t="n"/>
    </row>
    <row r="47">
      <c r="L47" s="129" t="n"/>
    </row>
    <row r="48">
      <c r="L48" s="129" t="n"/>
    </row>
    <row r="49">
      <c r="L49" s="129" t="n"/>
    </row>
    <row r="50">
      <c r="L50" s="129" t="n"/>
    </row>
    <row r="51">
      <c r="L51" s="129" t="n"/>
    </row>
    <row r="52">
      <c r="L52" s="129" t="n"/>
    </row>
    <row r="53">
      <c r="L53" s="129" t="n"/>
    </row>
    <row r="54">
      <c r="L54" s="129" t="n"/>
    </row>
    <row r="55">
      <c r="L55" s="129" t="n"/>
    </row>
    <row r="56">
      <c r="L56" s="129" t="n"/>
    </row>
    <row r="57">
      <c r="L57" s="129" t="n"/>
    </row>
    <row r="58">
      <c r="L58" s="129" t="n"/>
    </row>
    <row r="59">
      <c r="L59" s="129" t="n"/>
    </row>
    <row r="60">
      <c r="L60" s="129" t="n"/>
    </row>
    <row r="61">
      <c r="L61" s="129" t="n"/>
    </row>
    <row r="62">
      <c r="L62" s="129" t="n"/>
    </row>
    <row r="63">
      <c r="L63" s="129" t="n"/>
    </row>
    <row r="64">
      <c r="L64" s="129" t="n"/>
    </row>
    <row r="65">
      <c r="L65" s="129" t="n"/>
    </row>
    <row r="66">
      <c r="L66" s="129" t="n"/>
    </row>
    <row r="67">
      <c r="L67" s="129" t="n"/>
    </row>
    <row r="68">
      <c r="L68" s="129" t="n"/>
    </row>
    <row r="69">
      <c r="L69" s="129" t="n"/>
    </row>
    <row r="70">
      <c r="L70" s="129" t="n"/>
    </row>
    <row r="71">
      <c r="L71" s="129" t="n"/>
    </row>
    <row r="72">
      <c r="L72" s="129" t="n"/>
    </row>
    <row r="73">
      <c r="L73" s="129" t="n"/>
    </row>
    <row r="74">
      <c r="L74" s="129" t="n"/>
    </row>
    <row r="75">
      <c r="L75" s="129" t="n"/>
    </row>
    <row r="76">
      <c r="L76" s="129" t="n"/>
    </row>
    <row r="77">
      <c r="L77" s="129" t="n"/>
    </row>
    <row r="78">
      <c r="L78" s="129" t="n"/>
    </row>
    <row r="79">
      <c r="L79" s="129" t="n"/>
    </row>
    <row r="80">
      <c r="L80" s="129" t="n"/>
    </row>
    <row r="81">
      <c r="L81" s="129" t="n"/>
    </row>
    <row r="82">
      <c r="L82" s="129" t="n"/>
    </row>
    <row r="83">
      <c r="L83" s="129" t="n"/>
    </row>
    <row r="84">
      <c r="L84" s="129" t="n"/>
    </row>
    <row r="85">
      <c r="L85" s="129" t="n"/>
    </row>
    <row r="86">
      <c r="L86" s="129" t="n"/>
    </row>
    <row r="87">
      <c r="L87" s="129" t="n"/>
    </row>
    <row r="88">
      <c r="L88" s="129" t="n"/>
    </row>
    <row r="89">
      <c r="L89" s="129" t="n"/>
    </row>
    <row r="90">
      <c r="L90" s="129" t="n"/>
    </row>
    <row r="91">
      <c r="L91" s="129" t="n"/>
    </row>
    <row r="92">
      <c r="L92" s="129" t="n"/>
    </row>
    <row r="93">
      <c r="L93" s="129" t="n"/>
    </row>
    <row r="94">
      <c r="L94" s="129" t="n"/>
    </row>
    <row r="95">
      <c r="L95" s="129" t="n"/>
    </row>
    <row r="96">
      <c r="L96" s="129" t="n"/>
      <c r="N96" s="5" t="n"/>
    </row>
    <row r="97">
      <c r="L97" s="129" t="n"/>
      <c r="N97" s="5" t="n"/>
    </row>
  </sheetData>
  <mergeCells count="8">
    <mergeCell ref="Q1:R1"/>
    <mergeCell ref="E1:F1"/>
    <mergeCell ref="S1:T1"/>
    <mergeCell ref="W1:X1"/>
    <mergeCell ref="U1:V1"/>
    <mergeCell ref="L1:M1"/>
    <mergeCell ref="O1:P1"/>
    <mergeCell ref="G1:I1"/>
  </mergeCells>
  <conditionalFormatting sqref="G2:I3">
    <cfRule type="expression" priority="5" dxfId="0">
      <formula>MOD(ROW()-4,50)=0</formula>
    </cfRule>
  </conditionalFormatting>
  <conditionalFormatting sqref="N2">
    <cfRule type="expression" priority="4" dxfId="0">
      <formula>MOD(ROW()-4,50)=0</formula>
    </cfRule>
  </conditionalFormatting>
  <conditionalFormatting sqref="O2:P3">
    <cfRule type="expression" priority="3" dxfId="0">
      <formula>MOD(ROW()-4,50)=0</formula>
    </cfRule>
  </conditionalFormatting>
  <conditionalFormatting sqref="Q2:X2">
    <cfRule type="expression" priority="1" dxfId="0">
      <formula>MOD(ROW()-4,50)=0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5"/>
  <sheetViews>
    <sheetView zoomScale="130" zoomScaleNormal="130" workbookViewId="0">
      <selection activeCell="F5" sqref="F5"/>
    </sheetView>
  </sheetViews>
  <sheetFormatPr baseColWidth="8" defaultRowHeight="14.5"/>
  <cols>
    <col width="17.7265625" bestFit="1" customWidth="1" style="125" min="1" max="1"/>
    <col width="16.1796875" bestFit="1" customWidth="1" style="125" min="2" max="2"/>
    <col width="16.26953125" bestFit="1" customWidth="1" style="125" min="3" max="3"/>
    <col width="4.1796875" bestFit="1" customWidth="1" style="125" min="4" max="6"/>
    <col width="9.26953125" customWidth="1" style="125" min="7" max="7"/>
    <col width="14.54296875" bestFit="1" customWidth="1" style="125" min="8" max="8"/>
    <col width="22" bestFit="1" customWidth="1" style="125" min="9" max="9"/>
    <col width="5.81640625" bestFit="1" customWidth="1" style="125" min="10" max="10"/>
    <col width="8.26953125" bestFit="1" customWidth="1" style="125" min="11" max="11"/>
    <col width="5.81640625" bestFit="1" customWidth="1" style="125" min="12" max="12"/>
    <col width="6.26953125" bestFit="1" customWidth="1" style="125" min="13" max="13"/>
    <col width="5.81640625" bestFit="1" customWidth="1" style="125" min="14" max="17"/>
  </cols>
  <sheetData>
    <row r="1">
      <c r="A1" s="124" t="n"/>
      <c r="B1" s="124" t="inlineStr">
        <is>
          <t>Depth Of Section</t>
        </is>
      </c>
      <c r="C1" s="124" t="inlineStr">
        <is>
          <t>Width Of Section</t>
        </is>
      </c>
      <c r="D1" s="124" t="inlineStr">
        <is>
          <t xml:space="preserve"> Thickness</t>
        </is>
      </c>
      <c r="G1" s="131" t="inlineStr">
        <is>
          <t>Depth Between Fillets</t>
        </is>
      </c>
      <c r="H1" s="131" t="inlineStr">
        <is>
          <t>Area of Section</t>
        </is>
      </c>
      <c r="I1" s="131" t="inlineStr">
        <is>
          <t>Surface Area per Metre</t>
        </is>
      </c>
      <c r="J1" s="128" t="inlineStr">
        <is>
          <t>Second
Moment Of Area</t>
        </is>
      </c>
      <c r="L1" s="128" t="inlineStr">
        <is>
          <t>Radius Of Gyration</t>
        </is>
      </c>
      <c r="N1" s="124" t="inlineStr">
        <is>
          <t>Elastic Modulus</t>
        </is>
      </c>
      <c r="P1" s="130" t="inlineStr">
        <is>
          <t>Plastic Modulus</t>
        </is>
      </c>
      <c r="R1" s="124" t="n"/>
    </row>
    <row r="2" ht="16.5" customHeight="1">
      <c r="A2" s="124" t="n"/>
      <c r="B2" s="124" t="inlineStr">
        <is>
          <t>D</t>
        </is>
      </c>
      <c r="C2" s="124" t="inlineStr">
        <is>
          <t>BF</t>
        </is>
      </c>
      <c r="D2" s="30" t="inlineStr">
        <is>
          <t>TF</t>
        </is>
      </c>
      <c r="E2" s="30" t="inlineStr">
        <is>
          <t>TC</t>
        </is>
      </c>
      <c r="F2" s="30" t="inlineStr">
        <is>
          <t>TO</t>
        </is>
      </c>
      <c r="G2" s="124" t="inlineStr">
        <is>
          <t>d</t>
        </is>
      </c>
      <c r="H2" s="124" t="inlineStr">
        <is>
          <t>A</t>
        </is>
      </c>
      <c r="I2" s="94" t="n"/>
      <c r="J2" s="33" t="inlineStr">
        <is>
          <t>Ix</t>
        </is>
      </c>
      <c r="K2" s="33" t="inlineStr">
        <is>
          <t>Iy</t>
        </is>
      </c>
      <c r="L2" s="31" t="inlineStr">
        <is>
          <t xml:space="preserve">rx </t>
        </is>
      </c>
      <c r="M2" s="31" t="inlineStr">
        <is>
          <t xml:space="preserve">ry </t>
        </is>
      </c>
      <c r="N2" s="31" t="inlineStr">
        <is>
          <t>Sex</t>
        </is>
      </c>
      <c r="O2" s="31" t="inlineStr">
        <is>
          <t>Sey</t>
        </is>
      </c>
      <c r="P2" s="31" t="inlineStr">
        <is>
          <t>Zpx</t>
        </is>
      </c>
      <c r="Q2" s="31" t="inlineStr">
        <is>
          <t>Zpy</t>
        </is>
      </c>
      <c r="R2" s="56" t="n"/>
      <c r="S2" s="56" t="n"/>
    </row>
    <row r="3" ht="16.5" customHeight="1">
      <c r="A3" s="124" t="inlineStr">
        <is>
          <t>Type</t>
        </is>
      </c>
      <c r="B3" s="124" t="inlineStr">
        <is>
          <t>mm</t>
        </is>
      </c>
      <c r="C3" s="124" t="inlineStr">
        <is>
          <t>mm</t>
        </is>
      </c>
      <c r="D3" s="30" t="inlineStr">
        <is>
          <t>mm</t>
        </is>
      </c>
      <c r="E3" s="30" t="inlineStr">
        <is>
          <t>mm</t>
        </is>
      </c>
      <c r="F3" s="30" t="inlineStr">
        <is>
          <t>mm</t>
        </is>
      </c>
      <c r="G3" s="124" t="inlineStr">
        <is>
          <t>mm</t>
        </is>
      </c>
      <c r="H3" s="124" t="inlineStr">
        <is>
          <t>cm2</t>
        </is>
      </c>
      <c r="I3" s="124" t="inlineStr">
        <is>
          <t>m2</t>
        </is>
      </c>
      <c r="J3" s="33" t="inlineStr">
        <is>
          <t xml:space="preserve">cm4 </t>
        </is>
      </c>
      <c r="K3" s="33" t="inlineStr">
        <is>
          <t xml:space="preserve">cm4 </t>
        </is>
      </c>
      <c r="L3" s="124" t="inlineStr">
        <is>
          <t>cm</t>
        </is>
      </c>
      <c r="M3" s="124" t="inlineStr">
        <is>
          <t>cm</t>
        </is>
      </c>
      <c r="N3" s="124" t="inlineStr">
        <is>
          <t>cm3</t>
        </is>
      </c>
      <c r="O3" s="124" t="inlineStr">
        <is>
          <t>cm3</t>
        </is>
      </c>
      <c r="P3" s="124" t="inlineStr">
        <is>
          <t>cm3</t>
        </is>
      </c>
      <c r="Q3" s="124" t="inlineStr">
        <is>
          <t>cm3</t>
        </is>
      </c>
    </row>
    <row r="4">
      <c r="A4" s="125" t="inlineStr">
        <is>
          <t>Assymetric I-Beam</t>
        </is>
      </c>
      <c r="B4" s="125">
        <f>Beam_Check!E110</f>
        <v/>
      </c>
      <c r="C4" s="125">
        <f>Beam_Check!E111</f>
        <v/>
      </c>
      <c r="D4" s="125">
        <f>Beam_Check!E112</f>
        <v/>
      </c>
      <c r="E4" s="125">
        <f>Beam_Check!E113</f>
        <v/>
      </c>
      <c r="F4" s="125">
        <f>Beam_Check!E114</f>
        <v/>
      </c>
      <c r="G4" s="125">
        <f>B4-D4-D4</f>
        <v/>
      </c>
      <c r="H4" s="125">
        <f>(D4*C4*2+F4*G4*2+E4*G4)/100</f>
        <v/>
      </c>
      <c r="I4" s="125">
        <f> (B4*2+4*C4-4*F4-2*E4+4*G4) / 1000</f>
        <v/>
      </c>
      <c r="J4" s="125">
        <f>(((C4*B4^3)/12)-(((C4-F4*2-E4)*(B4-D4*2)^3)/12))/10000</f>
        <v/>
      </c>
      <c r="K4" s="125">
        <f>((2*((D4*C4^3)/12))+(((B4-D4*2)*E4^3)/12)+2*((((B4-D4*2)*F4^3)/12)+((B4-2*D4)*F4*((C4-25-(F4/2)-(C4/2))^2))))/10000</f>
        <v/>
      </c>
      <c r="L4" s="125">
        <f>SQRT(J4/H4)</f>
        <v/>
      </c>
      <c r="M4" s="125">
        <f>SQRT(K4/H4)</f>
        <v/>
      </c>
      <c r="N4" s="125">
        <f>J4/(B4/10/2)</f>
        <v/>
      </c>
      <c r="O4" s="125">
        <f>K4/(B4/10/2)</f>
        <v/>
      </c>
      <c r="P4" s="125">
        <f>(((C4*B4^2)/4)-(((C4-E4)*(G4^2))/4)+(4*(F4*(G4/2)*(G4/4))))/1000</f>
        <v/>
      </c>
      <c r="Q4" s="125">
        <f>(((D4*C4^2)/2)+((G4*E4^2)/4)+(2*(G4*F4*(C4/2-25-F4/2))))/1000</f>
        <v/>
      </c>
    </row>
    <row r="10">
      <c r="G10" s="132" t="n"/>
      <c r="H10" s="132" t="n"/>
      <c r="I10" s="132" t="n"/>
      <c r="J10" s="132" t="n"/>
      <c r="K10" s="132" t="n"/>
      <c r="L10" s="126" t="n"/>
      <c r="M10" s="132" t="n"/>
    </row>
    <row r="11">
      <c r="H11" s="132" t="n"/>
      <c r="J11" s="132" t="n"/>
      <c r="L11" s="126" t="n"/>
    </row>
    <row r="12">
      <c r="H12" s="132" t="n"/>
      <c r="J12" s="132" t="n"/>
      <c r="L12" s="126" t="n"/>
    </row>
    <row r="13">
      <c r="H13" s="132" t="n"/>
      <c r="J13" s="132" t="n"/>
      <c r="L13" s="126" t="n"/>
    </row>
    <row r="14">
      <c r="H14" s="132" t="n"/>
      <c r="J14" s="132" t="n"/>
      <c r="L14" s="126" t="n"/>
    </row>
    <row r="15">
      <c r="H15" s="132" t="n"/>
      <c r="J15" s="132" t="n"/>
      <c r="L15" s="126" t="n"/>
    </row>
    <row r="16">
      <c r="H16" s="132" t="n"/>
      <c r="J16" s="132" t="n"/>
      <c r="L16" s="126" t="n"/>
    </row>
    <row r="17">
      <c r="H17" s="132" t="n"/>
      <c r="J17" s="132" t="n"/>
      <c r="L17" s="126" t="n"/>
    </row>
    <row r="18" ht="16.5" customHeight="1">
      <c r="G18" s="104" t="inlineStr">
        <is>
          <t>TO</t>
        </is>
      </c>
      <c r="H18" s="132" t="n"/>
      <c r="I18" s="104" t="inlineStr">
        <is>
          <t>TC</t>
        </is>
      </c>
      <c r="J18" s="132" t="n"/>
      <c r="L18" s="126" t="n"/>
      <c r="M18" s="105" t="inlineStr">
        <is>
          <t>TO</t>
        </is>
      </c>
    </row>
    <row r="19">
      <c r="H19" s="132" t="n"/>
      <c r="J19" s="132" t="n"/>
      <c r="L19" s="126" t="n"/>
    </row>
    <row r="20">
      <c r="H20" s="132" t="n"/>
      <c r="J20" s="132" t="n"/>
      <c r="L20" s="126" t="n"/>
    </row>
    <row r="21">
      <c r="H21" s="132" t="n"/>
      <c r="J21" s="132" t="n"/>
      <c r="L21" s="126" t="n"/>
    </row>
    <row r="22">
      <c r="H22" s="132" t="n"/>
      <c r="J22" s="132" t="n"/>
      <c r="L22" s="126" t="n"/>
    </row>
    <row r="23">
      <c r="H23" s="132" t="n"/>
      <c r="J23" s="132" t="n"/>
      <c r="L23" s="126" t="n"/>
    </row>
    <row r="24">
      <c r="G24" s="132" t="n"/>
      <c r="H24" s="132" t="n"/>
      <c r="I24" s="132" t="n"/>
      <c r="J24" s="132" t="n"/>
      <c r="K24" s="132" t="n"/>
      <c r="L24" s="126" t="n"/>
      <c r="M24" s="132" t="n"/>
    </row>
    <row r="25">
      <c r="G25" s="125" t="inlineStr">
        <is>
          <t>A = 25</t>
        </is>
      </c>
      <c r="H25" s="125" t="inlineStr">
        <is>
          <t>L</t>
        </is>
      </c>
      <c r="J25" s="125" t="inlineStr">
        <is>
          <t>C</t>
        </is>
      </c>
      <c r="L25" s="129" t="inlineStr">
        <is>
          <t>R</t>
        </is>
      </c>
      <c r="M25" s="125" t="inlineStr">
        <is>
          <t>A = 25</t>
        </is>
      </c>
    </row>
    <row r="26">
      <c r="L26" s="129" t="n"/>
    </row>
    <row r="94">
      <c r="I94" s="5" t="n"/>
    </row>
    <row r="95">
      <c r="I95" s="5" t="n"/>
    </row>
  </sheetData>
  <mergeCells count="6">
    <mergeCell ref="L1:M1"/>
    <mergeCell ref="J1:K1"/>
    <mergeCell ref="P1:Q1"/>
    <mergeCell ref="D1:F1"/>
    <mergeCell ref="N1:O1"/>
    <mergeCell ref="R1:S1"/>
  </mergeCells>
  <conditionalFormatting sqref="D2:F3">
    <cfRule type="expression" priority="5" dxfId="0">
      <formula>MOD(ROW()-4,50)=0</formula>
    </cfRule>
  </conditionalFormatting>
  <conditionalFormatting sqref="I2">
    <cfRule type="expression" priority="4" dxfId="0">
      <formula>MOD(ROW()-4,50)=0</formula>
    </cfRule>
  </conditionalFormatting>
  <conditionalFormatting sqref="J2:K3">
    <cfRule type="expression" priority="3" dxfId="0">
      <formula>MOD(ROW()-4,50)=0</formula>
    </cfRule>
  </conditionalFormatting>
  <conditionalFormatting sqref="L2:S2">
    <cfRule type="expression" priority="1" dxfId="0">
      <formula>MOD(ROW()-4,50)=0</formula>
    </cfRule>
  </conditionalFormatting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zoomScale="115" zoomScaleNormal="115" workbookViewId="0">
      <selection activeCell="D8" sqref="D8"/>
    </sheetView>
  </sheetViews>
  <sheetFormatPr baseColWidth="8" defaultRowHeight="14.5"/>
  <cols>
    <col width="17.7265625" bestFit="1" customWidth="1" style="125" min="1" max="1"/>
    <col width="16.26953125" bestFit="1" customWidth="1" style="125" min="2" max="3"/>
    <col width="10.1796875" bestFit="1" customWidth="1" style="125" min="4" max="4"/>
    <col width="14.54296875" bestFit="1" customWidth="1" style="125" min="5" max="5"/>
    <col width="11.7265625" customWidth="1" style="125" min="6" max="6"/>
    <col width="19.453125" customWidth="1" style="125" min="7" max="7"/>
    <col width="7.54296875" customWidth="1" style="125" min="8" max="8"/>
    <col width="7" customWidth="1" style="125" min="9" max="9"/>
    <col width="6" customWidth="1" style="125" min="10" max="10"/>
    <col width="8.26953125" customWidth="1" style="125" min="11" max="11"/>
    <col width="8.1796875" customWidth="1" style="125" min="12" max="12"/>
    <col width="13.7265625" customWidth="1" style="125" min="13" max="13"/>
    <col width="7" bestFit="1" customWidth="1" style="125" min="14" max="14"/>
  </cols>
  <sheetData>
    <row r="1">
      <c r="A1" s="124" t="n"/>
      <c r="B1" s="124" t="inlineStr">
        <is>
          <t>Depth Of Section</t>
        </is>
      </c>
      <c r="C1" s="124" t="inlineStr">
        <is>
          <t>Width Of Section</t>
        </is>
      </c>
      <c r="D1" s="124" t="inlineStr">
        <is>
          <t xml:space="preserve"> Thickness</t>
        </is>
      </c>
      <c r="E1" s="124" t="inlineStr">
        <is>
          <t>Area of Section</t>
        </is>
      </c>
      <c r="F1" s="124" t="inlineStr">
        <is>
          <t>Surface Area per Metre</t>
        </is>
      </c>
      <c r="G1" s="128" t="inlineStr">
        <is>
          <t>Second
Moment Of Area</t>
        </is>
      </c>
      <c r="I1" s="128" t="inlineStr">
        <is>
          <t>Radius Of Gyration</t>
        </is>
      </c>
      <c r="K1" s="124" t="inlineStr">
        <is>
          <t>Elastic Modulus</t>
        </is>
      </c>
      <c r="M1" s="124" t="inlineStr">
        <is>
          <t>Plastic Modulus</t>
        </is>
      </c>
    </row>
    <row r="2" ht="15" customHeight="1">
      <c r="A2" s="124" t="n"/>
      <c r="B2" s="124" t="inlineStr">
        <is>
          <t>D</t>
        </is>
      </c>
      <c r="C2" s="124" t="inlineStr">
        <is>
          <t>B</t>
        </is>
      </c>
      <c r="D2" s="30" t="inlineStr">
        <is>
          <t>T</t>
        </is>
      </c>
      <c r="E2" s="124" t="inlineStr">
        <is>
          <t>A</t>
        </is>
      </c>
      <c r="F2" s="94" t="n"/>
      <c r="G2" s="33" t="inlineStr">
        <is>
          <t>Ix</t>
        </is>
      </c>
      <c r="H2" s="33" t="inlineStr">
        <is>
          <t>Iy</t>
        </is>
      </c>
      <c r="I2" s="31" t="inlineStr">
        <is>
          <t xml:space="preserve">rx </t>
        </is>
      </c>
      <c r="J2" s="31" t="inlineStr">
        <is>
          <t xml:space="preserve">ry </t>
        </is>
      </c>
      <c r="K2" s="31" t="inlineStr">
        <is>
          <t>Sex</t>
        </is>
      </c>
      <c r="L2" s="31" t="inlineStr">
        <is>
          <t>Sey</t>
        </is>
      </c>
      <c r="M2" s="31" t="inlineStr">
        <is>
          <t>Zpx</t>
        </is>
      </c>
      <c r="N2" s="31" t="inlineStr">
        <is>
          <t>Zpy</t>
        </is>
      </c>
    </row>
    <row r="3" ht="16.5" customHeight="1">
      <c r="A3" s="124" t="inlineStr">
        <is>
          <t>Type</t>
        </is>
      </c>
      <c r="B3" s="124" t="inlineStr">
        <is>
          <t>mm</t>
        </is>
      </c>
      <c r="C3" s="124" t="inlineStr">
        <is>
          <t>mm</t>
        </is>
      </c>
      <c r="D3" s="30" t="inlineStr">
        <is>
          <t>mm</t>
        </is>
      </c>
      <c r="E3" s="124" t="inlineStr">
        <is>
          <t>cm2</t>
        </is>
      </c>
      <c r="F3" s="124" t="inlineStr">
        <is>
          <t>m2</t>
        </is>
      </c>
      <c r="G3" s="33" t="inlineStr">
        <is>
          <t xml:space="preserve">cm4 </t>
        </is>
      </c>
      <c r="H3" s="33" t="inlineStr">
        <is>
          <t xml:space="preserve">cm4 </t>
        </is>
      </c>
      <c r="I3" s="124" t="inlineStr">
        <is>
          <t>cm</t>
        </is>
      </c>
      <c r="J3" s="124" t="inlineStr">
        <is>
          <t>cm</t>
        </is>
      </c>
      <c r="K3" s="124" t="inlineStr">
        <is>
          <t>cm3</t>
        </is>
      </c>
      <c r="L3" s="124" t="inlineStr">
        <is>
          <t>cm3</t>
        </is>
      </c>
      <c r="M3" s="124" t="inlineStr">
        <is>
          <t>cm3</t>
        </is>
      </c>
      <c r="N3" s="124" t="inlineStr">
        <is>
          <t>cm3</t>
        </is>
      </c>
    </row>
    <row r="4">
      <c r="A4" s="125" t="inlineStr">
        <is>
          <t>Rectangular Tube</t>
        </is>
      </c>
      <c r="B4" s="125">
        <f>Beam_Check!E144</f>
        <v/>
      </c>
      <c r="C4" s="125">
        <f>Beam_Check!E145</f>
        <v/>
      </c>
      <c r="D4" s="125">
        <f>Beam_Check!E146</f>
        <v/>
      </c>
      <c r="E4" s="125">
        <f>((B4*C4)-((B4-D4*2)*(C4-D4*2)))/100</f>
        <v/>
      </c>
      <c r="F4" s="125">
        <f> (B4*2+2*C4+(B4-2*D4)*2+(C4-D4*2)*2) / 1000</f>
        <v/>
      </c>
      <c r="G4" s="125">
        <f>(((C4*B4^3)/12)-(((C4-2*D4)*(B4-2*D4)^3)/12))/10000</f>
        <v/>
      </c>
      <c r="H4" s="125">
        <f>(((B4*C4^3)/12)-(((B4-2*D4)*(C4-2*D4)^3)/12))/10000</f>
        <v/>
      </c>
      <c r="I4" s="125">
        <f>SQRT(G4/E4)</f>
        <v/>
      </c>
      <c r="J4" s="125">
        <f>SQRT(H4/E4)</f>
        <v/>
      </c>
      <c r="K4" s="125">
        <f>G4/(B4/10/2)</f>
        <v/>
      </c>
      <c r="L4" s="125">
        <f>H4/(C4/10/2)</f>
        <v/>
      </c>
      <c r="M4" s="125">
        <f>(((C4*B4^2)/4)-(((C4-D4*2)*(B4-D4*2)^2)/4))/1000</f>
        <v/>
      </c>
      <c r="N4" s="125">
        <f>(((B4*C4^2)/4)-(((B4-D4*2)*(C4-D4*2)^2)/4))/1000</f>
        <v/>
      </c>
    </row>
    <row r="5">
      <c r="M5" s="125">
        <f>2*(D4*C4*(B4/2-D4/2))+2*((D4*(B4-D4-D4)^2)/4)</f>
        <v/>
      </c>
    </row>
    <row r="10">
      <c r="F10" s="132" t="n"/>
      <c r="G10" s="132" t="n"/>
      <c r="H10" s="132" t="n"/>
    </row>
    <row r="11">
      <c r="F11" s="132" t="n"/>
      <c r="H11" s="132" t="n"/>
    </row>
    <row r="12">
      <c r="F12" s="132" t="n"/>
      <c r="H12" s="132" t="n"/>
    </row>
    <row r="13">
      <c r="F13" s="132" t="n"/>
      <c r="H13" s="132" t="n"/>
    </row>
    <row r="14">
      <c r="F14" s="132" t="n"/>
      <c r="H14" s="132" t="n"/>
    </row>
    <row r="15">
      <c r="F15" s="132" t="n"/>
      <c r="H15" s="132" t="n"/>
    </row>
    <row r="16">
      <c r="F16" s="132" t="n"/>
      <c r="G16" s="132" t="n"/>
      <c r="H16" s="132" t="n"/>
    </row>
    <row r="96">
      <c r="F96" s="5" t="n"/>
    </row>
    <row r="97">
      <c r="F97" s="5" t="n"/>
    </row>
  </sheetData>
  <mergeCells count="4">
    <mergeCell ref="M1:N1"/>
    <mergeCell ref="G1:H1"/>
    <mergeCell ref="I1:J1"/>
    <mergeCell ref="K1:L1"/>
  </mergeCells>
  <conditionalFormatting sqref="D2:D3">
    <cfRule type="expression" priority="5" dxfId="0">
      <formula>MOD(ROW()-4,50)=0</formula>
    </cfRule>
  </conditionalFormatting>
  <conditionalFormatting sqref="F2">
    <cfRule type="expression" priority="4" dxfId="0">
      <formula>MOD(ROW()-4,50)=0</formula>
    </cfRule>
  </conditionalFormatting>
  <conditionalFormatting sqref="G2:H3">
    <cfRule type="expression" priority="3" dxfId="0">
      <formula>MOD(ROW()-4,50)=0</formula>
    </cfRule>
  </conditionalFormatting>
  <conditionalFormatting sqref="I2:N2">
    <cfRule type="expression" priority="1" dxfId="0">
      <formula>MOD(ROW()-4,50)=0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1"/>
  <sheetViews>
    <sheetView zoomScale="145" zoomScaleNormal="145" workbookViewId="0">
      <selection activeCell="E5" sqref="E5"/>
    </sheetView>
  </sheetViews>
  <sheetFormatPr baseColWidth="8" defaultRowHeight="14.5"/>
  <cols>
    <col width="17.7265625" bestFit="1" customWidth="1" style="125" min="1" max="1"/>
    <col width="8.81640625" customWidth="1" style="125" min="2" max="2"/>
    <col width="6.81640625" customWidth="1" style="125" min="3" max="3"/>
    <col width="8.453125" customWidth="1" style="125" min="4" max="4"/>
    <col width="4.1796875" bestFit="1" customWidth="1" style="125" min="5" max="5"/>
    <col width="9" customWidth="1" style="125" min="6" max="6"/>
    <col width="11.7265625" customWidth="1" style="125" min="7" max="8"/>
    <col width="7.54296875" customWidth="1" style="125" min="9" max="9"/>
    <col width="7" customWidth="1" style="125" min="10" max="10"/>
    <col width="6" customWidth="1" style="125" min="11" max="11"/>
    <col width="8.26953125" customWidth="1" style="125" min="12" max="12"/>
    <col width="8.1796875" customWidth="1" style="125" min="13" max="13"/>
    <col width="13.7265625" customWidth="1" style="125" min="14" max="14"/>
    <col width="7" bestFit="1" customWidth="1" style="125" min="15" max="15"/>
  </cols>
  <sheetData>
    <row r="1">
      <c r="A1" s="124" t="n"/>
      <c r="C1" s="124" t="inlineStr">
        <is>
          <t>Mass per Metre</t>
        </is>
      </c>
      <c r="D1" s="124" t="inlineStr">
        <is>
          <t>Diameter Of Section</t>
        </is>
      </c>
      <c r="E1" s="124" t="inlineStr">
        <is>
          <t xml:space="preserve"> Thickness</t>
        </is>
      </c>
      <c r="F1" s="124" t="inlineStr">
        <is>
          <t>Area of Section</t>
        </is>
      </c>
      <c r="G1" s="124" t="inlineStr">
        <is>
          <t>Surface Area per Metre</t>
        </is>
      </c>
      <c r="H1" s="128" t="inlineStr">
        <is>
          <t>Second
Moment Of Area</t>
        </is>
      </c>
      <c r="J1" s="128" t="inlineStr">
        <is>
          <t>Radius Of Gyration</t>
        </is>
      </c>
      <c r="L1" s="124" t="inlineStr">
        <is>
          <t>Elastic Modulus</t>
        </is>
      </c>
      <c r="N1" s="124" t="inlineStr">
        <is>
          <t>Plastic Modulus</t>
        </is>
      </c>
    </row>
    <row r="2" ht="15" customHeight="1">
      <c r="A2" s="124" t="n"/>
      <c r="C2" s="124" t="n"/>
      <c r="D2" s="124" t="inlineStr">
        <is>
          <t>D</t>
        </is>
      </c>
      <c r="E2" s="30" t="inlineStr">
        <is>
          <t>T</t>
        </is>
      </c>
      <c r="F2" s="124" t="inlineStr">
        <is>
          <t>A</t>
        </is>
      </c>
      <c r="G2" s="94" t="n"/>
      <c r="H2" s="33" t="inlineStr">
        <is>
          <t>Ix</t>
        </is>
      </c>
      <c r="I2" s="33" t="inlineStr">
        <is>
          <t>Iy</t>
        </is>
      </c>
      <c r="J2" s="31" t="inlineStr">
        <is>
          <t xml:space="preserve">rx </t>
        </is>
      </c>
      <c r="K2" s="31" t="inlineStr">
        <is>
          <t xml:space="preserve">ry </t>
        </is>
      </c>
      <c r="L2" s="31" t="inlineStr">
        <is>
          <t>Sex</t>
        </is>
      </c>
      <c r="M2" s="31" t="inlineStr">
        <is>
          <t>Sey</t>
        </is>
      </c>
      <c r="N2" s="31" t="inlineStr">
        <is>
          <t>Zpx</t>
        </is>
      </c>
      <c r="O2" s="31" t="inlineStr">
        <is>
          <t>Zpy</t>
        </is>
      </c>
    </row>
    <row r="3" ht="16.5" customHeight="1">
      <c r="A3" s="124" t="inlineStr">
        <is>
          <t>Type</t>
        </is>
      </c>
      <c r="B3" s="47" t="inlineStr">
        <is>
          <t>Standards</t>
        </is>
      </c>
      <c r="C3" s="124" t="inlineStr">
        <is>
          <t>kg/m</t>
        </is>
      </c>
      <c r="D3" s="124" t="inlineStr">
        <is>
          <t>mm</t>
        </is>
      </c>
      <c r="E3" s="30" t="inlineStr">
        <is>
          <t>mm</t>
        </is>
      </c>
      <c r="F3" s="124" t="inlineStr">
        <is>
          <t>cm2</t>
        </is>
      </c>
      <c r="G3" s="124" t="inlineStr">
        <is>
          <t>m2</t>
        </is>
      </c>
      <c r="H3" s="33" t="inlineStr">
        <is>
          <t xml:space="preserve">cm4 </t>
        </is>
      </c>
      <c r="I3" s="33" t="inlineStr">
        <is>
          <t xml:space="preserve">cm4 </t>
        </is>
      </c>
      <c r="J3" s="124" t="inlineStr">
        <is>
          <t>cm</t>
        </is>
      </c>
      <c r="K3" s="124" t="inlineStr">
        <is>
          <t>cm</t>
        </is>
      </c>
      <c r="L3" s="124" t="inlineStr">
        <is>
          <t>cm3</t>
        </is>
      </c>
      <c r="M3" s="124" t="inlineStr">
        <is>
          <t>cm3</t>
        </is>
      </c>
      <c r="N3" s="124" t="inlineStr">
        <is>
          <t>cm3</t>
        </is>
      </c>
      <c r="O3" s="124" t="inlineStr">
        <is>
          <t>cm3</t>
        </is>
      </c>
    </row>
    <row r="4">
      <c r="A4" s="125" t="inlineStr">
        <is>
          <t>Circular Tube</t>
        </is>
      </c>
      <c r="B4" s="125" t="inlineStr">
        <is>
          <t>-</t>
        </is>
      </c>
      <c r="C4" s="125" t="inlineStr">
        <is>
          <t>-</t>
        </is>
      </c>
      <c r="D4" s="125">
        <f>Beam_Check!E175</f>
        <v/>
      </c>
      <c r="E4" s="125">
        <f>Beam_Check!E176</f>
        <v/>
      </c>
      <c r="F4" s="125">
        <f> (PI()*(((D4/2)^2)-((D4-2*E4)/2)^2))/100</f>
        <v/>
      </c>
      <c r="G4" s="125">
        <f> (PI()*2*(D4/2)+PI()*2*((D4-E4*2)/2)) / 1000</f>
        <v/>
      </c>
      <c r="H4" s="125">
        <f>((PI()/64)*((D4^4)-(D4-2*E4)^4))/10000</f>
        <v/>
      </c>
      <c r="I4" s="125">
        <f>((PI()/64)*((D4^4)-(D4-2*E4)^4))/10000</f>
        <v/>
      </c>
      <c r="J4" s="125">
        <f>SQRT(H4/F4)</f>
        <v/>
      </c>
      <c r="K4" s="125">
        <f>SQRT(I4/F4)</f>
        <v/>
      </c>
      <c r="L4" s="125">
        <f> ((PI()/(4*(D4/2)))*((D4/2)^4-((D4-E4*2)/2)^4))/1000</f>
        <v/>
      </c>
      <c r="M4" s="125">
        <f> ((PI()/(4*(D4/2)))*((D4/2)^4-((D4-E4*2)/2)^4))/1000</f>
        <v/>
      </c>
      <c r="N4" s="125">
        <f>((1/6)*((D4^3)-(D4-2*E4)^3))/1000</f>
        <v/>
      </c>
      <c r="O4" s="125">
        <f>((1/6)*((D4^3)-(D4-2*E4)^3))/1000</f>
        <v/>
      </c>
    </row>
    <row r="90">
      <c r="G90" s="5" t="n"/>
    </row>
    <row r="91">
      <c r="G91" s="5" t="n"/>
    </row>
  </sheetData>
  <mergeCells count="4">
    <mergeCell ref="L1:M1"/>
    <mergeCell ref="J1:K1"/>
    <mergeCell ref="N1:O1"/>
    <mergeCell ref="H1:I1"/>
  </mergeCells>
  <conditionalFormatting sqref="E2:E3">
    <cfRule type="expression" priority="5" dxfId="0">
      <formula>MOD(ROW()-4,50)=0</formula>
    </cfRule>
  </conditionalFormatting>
  <conditionalFormatting sqref="G2">
    <cfRule type="expression" priority="4" dxfId="0">
      <formula>MOD(ROW()-4,50)=0</formula>
    </cfRule>
  </conditionalFormatting>
  <conditionalFormatting sqref="H2:I3">
    <cfRule type="expression" priority="3" dxfId="0">
      <formula>MOD(ROW()-4,50)=0</formula>
    </cfRule>
  </conditionalFormatting>
  <conditionalFormatting sqref="J2:O2">
    <cfRule type="expression" priority="1" dxfId="0">
      <formula>MOD(ROW()-4,50)=0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P202"/>
  <sheetViews>
    <sheetView tabSelected="1" topLeftCell="A128" zoomScale="130" zoomScaleNormal="130" workbookViewId="0">
      <selection activeCell="I190" sqref="I190"/>
    </sheetView>
  </sheetViews>
  <sheetFormatPr baseColWidth="8" defaultColWidth="4.7265625" defaultRowHeight="12.75" customHeight="1"/>
  <cols>
    <col width="4.7265625" customWidth="1" style="153" min="1" max="1"/>
    <col width="21.7265625" customWidth="1" style="153" min="2" max="2"/>
    <col width="4.7265625" customWidth="1" style="153" min="3" max="4"/>
    <col width="7.7265625" customWidth="1" style="153" min="5" max="5"/>
    <col width="4.7265625" customWidth="1" style="153" min="6" max="6"/>
    <col width="8" customWidth="1" style="153" min="7" max="7"/>
    <col width="4.7265625" customWidth="1" style="153" min="8" max="8"/>
    <col width="7.453125" customWidth="1" style="153" min="9" max="9"/>
    <col width="4.7265625" customWidth="1" style="153" min="10" max="10"/>
    <col width="8.1796875" customWidth="1" style="153" min="11" max="11"/>
    <col width="4.7265625" customWidth="1" style="153" min="12" max="12"/>
    <col width="5.7265625" customWidth="1" style="153" min="13" max="13"/>
    <col width="4.7265625" customWidth="1" style="153" min="14" max="22"/>
    <col width="4.7265625" customWidth="1" style="153" min="23" max="16384"/>
  </cols>
  <sheetData>
    <row r="1" ht="12.75" customHeight="1">
      <c r="A1" s="146" t="n"/>
      <c r="B1" s="161" t="n"/>
      <c r="C1" s="6" t="inlineStr">
        <is>
          <t>Subject</t>
        </is>
      </c>
      <c r="D1" s="6" t="n"/>
      <c r="E1" s="156" t="inlineStr">
        <is>
          <t>Beam Local Buckling/Bearing and Stiffener Check</t>
        </is>
      </c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5" t="n"/>
    </row>
    <row r="2" ht="12.75" customHeight="1">
      <c r="A2" s="152" t="n"/>
      <c r="B2" s="162" t="n"/>
      <c r="C2" s="6" t="inlineStr">
        <is>
          <t>Project</t>
        </is>
      </c>
      <c r="D2" s="6" t="n"/>
      <c r="E2" s="143" t="inlineStr">
        <is>
          <t>(Project Name)</t>
        </is>
      </c>
      <c r="F2" s="144" t="n"/>
      <c r="G2" s="144" t="n"/>
      <c r="H2" s="144" t="n"/>
      <c r="I2" s="144" t="n"/>
      <c r="J2" s="145" t="n"/>
      <c r="K2" s="146" t="inlineStr">
        <is>
          <t>Area / Module</t>
        </is>
      </c>
      <c r="L2" s="147" t="n"/>
      <c r="M2" s="148" t="n"/>
      <c r="N2" s="150" t="inlineStr">
        <is>
          <t>MXXXX</t>
        </is>
      </c>
      <c r="O2" s="144" t="n"/>
      <c r="P2" s="145" t="n"/>
    </row>
    <row r="3" ht="12.75" customHeight="1">
      <c r="A3" s="152" t="n"/>
      <c r="B3" s="162" t="n"/>
      <c r="C3" s="6" t="inlineStr">
        <is>
          <t>Doc. No.</t>
        </is>
      </c>
      <c r="D3" s="6" t="n"/>
      <c r="E3" s="143" t="inlineStr">
        <is>
          <t>XXXX-XXXX-XXXX-XXXX-XXX</t>
        </is>
      </c>
      <c r="F3" s="144" t="n"/>
      <c r="G3" s="144" t="n"/>
      <c r="H3" s="144" t="n"/>
      <c r="I3" s="144" t="n"/>
      <c r="J3" s="145" t="n"/>
      <c r="K3" s="6" t="inlineStr">
        <is>
          <t>Rev.</t>
        </is>
      </c>
      <c r="L3" s="8" t="inlineStr">
        <is>
          <t>01</t>
        </is>
      </c>
      <c r="M3" s="6" t="inlineStr">
        <is>
          <t>Date</t>
        </is>
      </c>
      <c r="N3" s="157">
        <f>NOW()</f>
        <v/>
      </c>
      <c r="O3" s="144" t="n"/>
      <c r="P3" s="145" t="n"/>
    </row>
    <row r="4" ht="12.75" customHeight="1">
      <c r="A4" s="154" t="n"/>
      <c r="B4" s="163" t="n"/>
      <c r="C4" s="146" t="inlineStr">
        <is>
          <t>Originator</t>
        </is>
      </c>
      <c r="D4" s="148" t="n"/>
      <c r="E4" s="150" t="inlineStr">
        <is>
          <t>CGD</t>
        </is>
      </c>
      <c r="F4" s="145" t="n"/>
      <c r="G4" s="146" t="inlineStr">
        <is>
          <t>Checker</t>
        </is>
      </c>
      <c r="H4" s="148" t="n"/>
      <c r="I4" s="150" t="inlineStr">
        <is>
          <t>TDJ</t>
        </is>
      </c>
      <c r="J4" s="145" t="n"/>
      <c r="K4" s="146" t="inlineStr">
        <is>
          <t>Approver</t>
        </is>
      </c>
      <c r="L4" s="147" t="n"/>
      <c r="M4" s="148" t="n"/>
      <c r="N4" s="150" t="inlineStr">
        <is>
          <t>LLC</t>
        </is>
      </c>
      <c r="O4" s="144" t="n"/>
      <c r="P4" s="145" t="n"/>
    </row>
    <row r="5" ht="12.75" customHeight="1">
      <c r="A5" s="9" t="inlineStr">
        <is>
          <t xml:space="preserve">Reference: </t>
        </is>
      </c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1" t="n"/>
    </row>
    <row r="6" ht="12.75" customHeight="1">
      <c r="A6" s="12" t="n"/>
      <c r="P6" s="13" t="n"/>
    </row>
    <row r="7" ht="12.75" customHeight="1">
      <c r="A7" s="14">
        <f>CELL("filename")</f>
        <v/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6" t="n"/>
    </row>
    <row r="8" ht="12.75" customHeight="1">
      <c r="A8" s="17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20" t="n"/>
    </row>
    <row r="9" ht="12.75" customHeight="1">
      <c r="A9" s="12" t="n"/>
      <c r="P9" s="13" t="n"/>
    </row>
    <row r="10" ht="18.5" customHeight="1">
      <c r="A10" s="12" t="n"/>
      <c r="D10" s="100" t="inlineStr">
        <is>
          <t>Symmetric I-Beam Section Library</t>
        </is>
      </c>
      <c r="E10" s="98" t="n"/>
      <c r="P10" s="13" t="n"/>
    </row>
    <row r="11" ht="12.75" customHeight="1">
      <c r="A11" s="12" t="n"/>
      <c r="B11" s="153" t="inlineStr">
        <is>
          <t>Select Beam size:</t>
        </is>
      </c>
      <c r="C11" s="21" t="n"/>
      <c r="D11" s="21" t="n"/>
      <c r="E11" s="21" t="n"/>
      <c r="P11" s="13" t="n"/>
    </row>
    <row r="12" ht="12.75" customHeight="1">
      <c r="A12" s="12" t="n"/>
      <c r="B12" s="153" t="inlineStr">
        <is>
          <t>Member Size</t>
        </is>
      </c>
      <c r="C12" s="149" t="inlineStr">
        <is>
          <t>W4X13</t>
        </is>
      </c>
      <c r="D12" s="144" t="n"/>
      <c r="E12" s="145" t="n"/>
      <c r="F12" s="22" t="inlineStr">
        <is>
          <t>(select Beam size)</t>
        </is>
      </c>
      <c r="J12" s="137" t="inlineStr">
        <is>
          <t>Alt. Std. 1</t>
        </is>
      </c>
      <c r="K12" s="139" t="n"/>
      <c r="L12" s="153">
        <f t="array" ref="L12">_xlfn.IFS(C14="Area of Section",Database!AY11,Beam_Check!C14="Elastic Modulus x-x",Database!AY19)</f>
        <v/>
      </c>
      <c r="P12" s="13" t="n"/>
    </row>
    <row r="13" ht="12.75" customHeight="1">
      <c r="A13" s="12" t="n"/>
      <c r="B13" s="153" t="inlineStr">
        <is>
          <t>Standard</t>
        </is>
      </c>
      <c r="C13" s="158">
        <f>VLOOKUP(C12,Database!A4:B1021,2,FALSE)</f>
        <v/>
      </c>
      <c r="D13" s="159" t="n"/>
      <c r="E13" s="160" t="n"/>
      <c r="J13" s="137" t="inlineStr">
        <is>
          <t>Alt. Std. 2</t>
        </is>
      </c>
      <c r="K13" s="139" t="n"/>
      <c r="L13" s="153">
        <f t="array" ref="L13">_xlfn.IFS(C14="Area of Section",Database!AY12,C14="Elastic Modulus x-x",Database!AY20)</f>
        <v/>
      </c>
      <c r="P13" s="13" t="n"/>
    </row>
    <row r="14" ht="12.75" customHeight="1">
      <c r="A14" s="12" t="n"/>
      <c r="B14" s="153" t="inlineStr">
        <is>
          <t>Similarity by</t>
        </is>
      </c>
      <c r="C14" s="164" t="inlineStr">
        <is>
          <t>Area of Section</t>
        </is>
      </c>
      <c r="D14" s="138" t="n"/>
      <c r="E14" s="139" t="n"/>
      <c r="H14" s="22" t="n"/>
      <c r="J14" s="137" t="n"/>
      <c r="K14" s="139" t="n"/>
      <c r="P14" s="13" t="n"/>
    </row>
    <row r="15" ht="12.75" customHeight="1">
      <c r="A15" s="12" t="n"/>
      <c r="B15" s="153" t="inlineStr">
        <is>
          <t xml:space="preserve">Yield Strength fy </t>
        </is>
      </c>
      <c r="C15" s="137" t="n">
        <v>345</v>
      </c>
      <c r="D15" s="138" t="n"/>
      <c r="E15" s="139" t="n"/>
      <c r="F15" s="153" t="inlineStr">
        <is>
          <t>MPa</t>
        </is>
      </c>
      <c r="H15" s="22" t="n"/>
      <c r="K15" s="22" t="n"/>
      <c r="P15" s="13" t="n"/>
    </row>
    <row r="16" ht="12.75" customHeight="1">
      <c r="A16" s="12" t="n"/>
      <c r="E16" s="153" t="inlineStr">
        <is>
          <t>Chosen</t>
        </is>
      </c>
      <c r="G16" s="137" t="inlineStr">
        <is>
          <t>Alt. Std. 1</t>
        </is>
      </c>
      <c r="H16" s="139" t="n"/>
      <c r="I16" s="24" t="inlineStr">
        <is>
          <t>Alt. Std. 2</t>
        </is>
      </c>
      <c r="K16" s="22" t="n"/>
      <c r="P16" s="13" t="n"/>
    </row>
    <row r="17" ht="13" customHeight="1">
      <c r="A17" s="12" t="n"/>
      <c r="B17" s="35">
        <f>IF(C12="OTHERS", " ", "(ref: Database) ")</f>
        <v/>
      </c>
      <c r="C17" s="21" t="n"/>
      <c r="D17" s="21" t="n"/>
      <c r="P17" s="13" t="n"/>
    </row>
    <row r="18" ht="13" customHeight="1">
      <c r="A18" s="27" t="n"/>
      <c r="B18" s="59" t="inlineStr">
        <is>
          <t>Mass per Metre</t>
        </is>
      </c>
      <c r="C18" s="50" t="inlineStr">
        <is>
          <t>-</t>
        </is>
      </c>
      <c r="D18" s="38">
        <f>IF(C11="OTHERS", " ","=")</f>
        <v/>
      </c>
      <c r="E18" s="34">
        <f>VLOOKUP(C12,Database!A4:C1021,3,FALSE)</f>
        <v/>
      </c>
      <c r="F18" s="28" t="inlineStr">
        <is>
          <t>kg/m</t>
        </is>
      </c>
      <c r="G18" s="26">
        <f>VLOOKUP(L12,Database!A4:C1021,3,FALSE)</f>
        <v/>
      </c>
      <c r="H18" s="28" t="inlineStr">
        <is>
          <t>kg/m</t>
        </is>
      </c>
      <c r="I18" s="26">
        <f>VLOOKUP(L13,Database!A4:C1021,3,FALSE)</f>
        <v/>
      </c>
      <c r="J18" s="28" t="inlineStr">
        <is>
          <t>kg/m</t>
        </is>
      </c>
      <c r="P18" s="13" t="n"/>
    </row>
    <row r="19" ht="13" customHeight="1">
      <c r="A19" s="27" t="n"/>
      <c r="B19" s="58" t="inlineStr">
        <is>
          <t>Depth</t>
        </is>
      </c>
      <c r="C19" s="50" t="inlineStr">
        <is>
          <t>D</t>
        </is>
      </c>
      <c r="D19" s="38">
        <f>IF(C12="OTHERS", " ","=")</f>
        <v/>
      </c>
      <c r="E19" s="34">
        <f>VLOOKUP(C12,Database!A4:D1021,4,FALSE)</f>
        <v/>
      </c>
      <c r="F19" s="28" t="inlineStr">
        <is>
          <t>mm</t>
        </is>
      </c>
      <c r="G19" s="28">
        <f>VLOOKUP(L12,Database!A4:D1021,4,FALSE)</f>
        <v/>
      </c>
      <c r="H19" s="28" t="inlineStr">
        <is>
          <t>mm</t>
        </is>
      </c>
      <c r="I19" s="153">
        <f>VLOOKUP(L13,Database!A4:D1021,4,FALSE)</f>
        <v/>
      </c>
      <c r="J19" s="28" t="inlineStr">
        <is>
          <t>mm</t>
        </is>
      </c>
      <c r="P19" s="13" t="n"/>
    </row>
    <row r="20" ht="13" customHeight="1">
      <c r="A20" s="27" t="n"/>
      <c r="B20" s="64" t="inlineStr">
        <is>
          <t>Flange Breadth</t>
        </is>
      </c>
      <c r="C20" s="55" t="inlineStr">
        <is>
          <t>B</t>
        </is>
      </c>
      <c r="D20" s="38">
        <f>IF(C12="OTHERS", " ","=")</f>
        <v/>
      </c>
      <c r="E20" s="39">
        <f>VLOOKUP(C12,Database!A4:E1021,5,FALSE)</f>
        <v/>
      </c>
      <c r="F20" s="28" t="inlineStr">
        <is>
          <t>mm</t>
        </is>
      </c>
      <c r="G20" s="39">
        <f>VLOOKUP(L12,Database!A4:E1021,5,FALSE)</f>
        <v/>
      </c>
      <c r="H20" s="28" t="inlineStr">
        <is>
          <t>mm</t>
        </is>
      </c>
      <c r="I20" s="153">
        <f>VLOOKUP(L13,Database!A4:E1021,5,FALSE)</f>
        <v/>
      </c>
      <c r="J20" s="28" t="inlineStr">
        <is>
          <t>mm</t>
        </is>
      </c>
      <c r="P20" s="13" t="n"/>
    </row>
    <row r="21" ht="15" customHeight="1">
      <c r="A21" s="27" t="n"/>
      <c r="B21" s="64" t="inlineStr">
        <is>
          <t>Flange Thickness</t>
        </is>
      </c>
      <c r="C21" s="63" t="inlineStr">
        <is>
          <t>Tf</t>
        </is>
      </c>
      <c r="D21" s="37">
        <f>IF(C12="OTHERS", " ","=")</f>
        <v/>
      </c>
      <c r="E21" s="39">
        <f>VLOOKUP(C12,Database!A4:F1021,6,FALSE)</f>
        <v/>
      </c>
      <c r="F21" s="28" t="inlineStr">
        <is>
          <t>mm</t>
        </is>
      </c>
      <c r="G21" s="39">
        <f>VLOOKUP(L12,Database!A4:G1021,6,FALSE)</f>
        <v/>
      </c>
      <c r="H21" s="28" t="inlineStr">
        <is>
          <t>mm</t>
        </is>
      </c>
      <c r="I21" s="153">
        <f>VLOOKUP(L13,Database!A4:G1021,6,FALSE)</f>
        <v/>
      </c>
      <c r="J21" s="28" t="inlineStr">
        <is>
          <t>mm</t>
        </is>
      </c>
      <c r="P21" s="13" t="n"/>
    </row>
    <row r="22" ht="15" customHeight="1">
      <c r="A22" s="27" t="n"/>
      <c r="B22" s="59" t="inlineStr">
        <is>
          <t>Web Thickness</t>
        </is>
      </c>
      <c r="C22" s="51" t="inlineStr">
        <is>
          <t>Tw</t>
        </is>
      </c>
      <c r="D22" s="37">
        <f>IF(C12="OTHERS", " ","=")</f>
        <v/>
      </c>
      <c r="E22" s="39">
        <f>VLOOKUP(C12,Database!A4:H1021,7,FALSE)</f>
        <v/>
      </c>
      <c r="F22" s="28" t="inlineStr">
        <is>
          <t>mm</t>
        </is>
      </c>
      <c r="G22" s="39">
        <f>VLOOKUP(L12,Database!A4:H1021,7,FALSE)</f>
        <v/>
      </c>
      <c r="H22" s="28" t="inlineStr">
        <is>
          <t>mm</t>
        </is>
      </c>
      <c r="I22" s="153">
        <f>VLOOKUP(L13,Database!A4:H1021,7,FALSE)</f>
        <v/>
      </c>
      <c r="J22" s="28" t="inlineStr">
        <is>
          <t>mm</t>
        </is>
      </c>
      <c r="P22" s="13" t="n"/>
    </row>
    <row r="23" ht="13" customHeight="1">
      <c r="A23" s="27" t="n"/>
      <c r="B23" s="59" t="inlineStr">
        <is>
          <t>Root Radius</t>
        </is>
      </c>
      <c r="C23" s="50" t="inlineStr">
        <is>
          <t>r</t>
        </is>
      </c>
      <c r="D23" s="37" t="inlineStr">
        <is>
          <t>=</t>
        </is>
      </c>
      <c r="E23" s="39">
        <f>VLOOKUP(C12,Database!A4:I1021,8,FALSE)</f>
        <v/>
      </c>
      <c r="F23" s="28" t="inlineStr">
        <is>
          <t>mm</t>
        </is>
      </c>
      <c r="G23" s="39">
        <f>VLOOKUP(L12,Database!A4:I1021,8,FALSE)</f>
        <v/>
      </c>
      <c r="H23" s="28" t="inlineStr">
        <is>
          <t>mm</t>
        </is>
      </c>
      <c r="I23" s="153">
        <f>VLOOKUP(L13,Database!A4:I1021,8,FALSE)</f>
        <v/>
      </c>
      <c r="J23" s="28" t="inlineStr">
        <is>
          <t>mm</t>
        </is>
      </c>
      <c r="O23" s="21" t="n"/>
      <c r="P23" s="13" t="n"/>
    </row>
    <row r="24" ht="13" customHeight="1">
      <c r="A24" s="24" t="n"/>
      <c r="B24" s="59" t="inlineStr">
        <is>
          <t>Toe Fillet Distance</t>
        </is>
      </c>
      <c r="C24" s="50" t="inlineStr">
        <is>
          <t>d</t>
        </is>
      </c>
      <c r="D24" s="38">
        <f>IF(C12="OTHERS", " ","=")</f>
        <v/>
      </c>
      <c r="E24" s="39">
        <f>VLOOKUP(C12,Database!A4:J1021,9,FALSE)</f>
        <v/>
      </c>
      <c r="F24" s="28" t="inlineStr">
        <is>
          <t>mm</t>
        </is>
      </c>
      <c r="G24" s="153">
        <f>VLOOKUP(L12,Database!A4:J1021,9,FALSE)</f>
        <v/>
      </c>
      <c r="H24" s="28" t="inlineStr">
        <is>
          <t>mm</t>
        </is>
      </c>
      <c r="I24" s="153">
        <f>VLOOKUP(L13,Database!A4:J1021,9,FALSE)</f>
        <v/>
      </c>
      <c r="J24" s="28" t="inlineStr">
        <is>
          <t>mm</t>
        </is>
      </c>
      <c r="P24" s="13" t="n"/>
    </row>
    <row r="25" ht="13" customHeight="1">
      <c r="A25" s="24" t="n"/>
      <c r="B25" s="59" t="inlineStr">
        <is>
          <t>Area of Section</t>
        </is>
      </c>
      <c r="C25" s="50" t="inlineStr">
        <is>
          <t>A</t>
        </is>
      </c>
      <c r="D25" s="38" t="inlineStr">
        <is>
          <t>=</t>
        </is>
      </c>
      <c r="E25" s="34">
        <f>VLOOKUP(C12,Database!A4:K1021,10,FALSE)</f>
        <v/>
      </c>
      <c r="F25" s="28" t="inlineStr">
        <is>
          <t>mm</t>
        </is>
      </c>
      <c r="G25" s="26">
        <f>VLOOKUP(L12,Database!A4:K1021,10,FALSE)</f>
        <v/>
      </c>
      <c r="H25" s="28" t="inlineStr">
        <is>
          <t>mm</t>
        </is>
      </c>
      <c r="I25" s="26">
        <f>VLOOKUP(L13,Database!A4:K1021,10,FALSE)</f>
        <v/>
      </c>
      <c r="J25" s="28" t="inlineStr">
        <is>
          <t>mm</t>
        </is>
      </c>
      <c r="P25" s="13" t="n"/>
    </row>
    <row r="26" ht="14.5" customHeight="1">
      <c r="A26" s="27" t="n"/>
      <c r="B26" s="59" t="inlineStr">
        <is>
          <t>Surface Area /m</t>
        </is>
      </c>
      <c r="C26" s="50" t="inlineStr">
        <is>
          <t>-</t>
        </is>
      </c>
      <c r="D26" s="38">
        <f>IF(K13="OTHERS", " ","=")</f>
        <v/>
      </c>
      <c r="E26" s="34">
        <f>VLOOKUP(C12,Database!A4:N1021,13,FALSE)</f>
        <v/>
      </c>
      <c r="F26" s="28" t="inlineStr">
        <is>
          <t>m2</t>
        </is>
      </c>
      <c r="G26" s="26">
        <f>VLOOKUP(L12,Database!A4:N1021,13,FALSE)</f>
        <v/>
      </c>
      <c r="H26" s="49" t="inlineStr">
        <is>
          <t>m2</t>
        </is>
      </c>
      <c r="I26" s="26">
        <f>VLOOKUP(L13,Database!A4:N1021,13,FALSE)</f>
        <v/>
      </c>
      <c r="J26" s="49" t="inlineStr">
        <is>
          <t>m2</t>
        </is>
      </c>
      <c r="P26" s="13" t="n"/>
    </row>
    <row r="27" ht="25" customHeight="1">
      <c r="A27" s="24" t="n"/>
      <c r="B27" s="57" t="inlineStr">
        <is>
          <t>Second Moment Of Area (X)</t>
        </is>
      </c>
      <c r="C27" s="52" t="inlineStr">
        <is>
          <t>Ix</t>
        </is>
      </c>
      <c r="D27" s="38">
        <f>IF(K13="OTHERS", " ","=")</f>
        <v/>
      </c>
      <c r="E27" s="43">
        <f>VLOOKUP(C12,Database!A4:O1021,14,FALSE)</f>
        <v/>
      </c>
      <c r="F27" s="44" t="inlineStr">
        <is>
          <t xml:space="preserve">cm4 </t>
        </is>
      </c>
      <c r="G27" s="26">
        <f>VLOOKUP(L12,Database!A4:O1021,14,FALSE)</f>
        <v/>
      </c>
      <c r="H27" s="44" t="inlineStr">
        <is>
          <t xml:space="preserve">cm4 </t>
        </is>
      </c>
      <c r="I27" s="26">
        <f>VLOOKUP(L13,Database!A4:O1021,14,FALSE)</f>
        <v/>
      </c>
      <c r="J27" s="44" t="inlineStr">
        <is>
          <t xml:space="preserve">cm4 </t>
        </is>
      </c>
      <c r="P27" s="13" t="n"/>
    </row>
    <row r="28" ht="25" customHeight="1">
      <c r="A28" s="24" t="n"/>
      <c r="B28" s="57" t="inlineStr">
        <is>
          <t>Second Moment Of Area (Y)</t>
        </is>
      </c>
      <c r="C28" s="52" t="inlineStr">
        <is>
          <t>Iy</t>
        </is>
      </c>
      <c r="D28" s="36">
        <f>IF(K13="OTHERS", " ","=")</f>
        <v/>
      </c>
      <c r="E28" s="28">
        <f>VLOOKUP(C12,Database!A4:Q1021,15,FALSE)</f>
        <v/>
      </c>
      <c r="F28" s="44" t="inlineStr">
        <is>
          <t xml:space="preserve">cm4 </t>
        </is>
      </c>
      <c r="G28" s="26">
        <f>VLOOKUP(L12,Database!A4:Q1021,15,FALSE)</f>
        <v/>
      </c>
      <c r="H28" s="44" t="inlineStr">
        <is>
          <t xml:space="preserve">cm4 </t>
        </is>
      </c>
      <c r="I28" s="26">
        <f>VLOOKUP(L13,Database!A4:Q1021,15,FALSE)</f>
        <v/>
      </c>
      <c r="J28" s="44" t="inlineStr">
        <is>
          <t xml:space="preserve">cm4 </t>
        </is>
      </c>
      <c r="P28" s="23" t="n"/>
    </row>
    <row r="29" ht="15" customHeight="1">
      <c r="A29" s="24" t="n"/>
      <c r="B29" s="62" t="inlineStr">
        <is>
          <t>Radius Of Gyration (X)</t>
        </is>
      </c>
      <c r="C29" s="53" t="inlineStr">
        <is>
          <t xml:space="preserve">rx </t>
        </is>
      </c>
      <c r="D29" s="38" t="inlineStr">
        <is>
          <t>=</t>
        </is>
      </c>
      <c r="E29" s="41">
        <f>VLOOKUP(C12,Database!A4:Q1021,16,FALSE)</f>
        <v/>
      </c>
      <c r="F29" s="42" t="inlineStr">
        <is>
          <t>cm</t>
        </is>
      </c>
      <c r="G29" s="26">
        <f>VLOOKUP(L12,Database!A4:Q1021,16,FALSE)</f>
        <v/>
      </c>
      <c r="H29" s="42" t="inlineStr">
        <is>
          <t>cm</t>
        </is>
      </c>
      <c r="I29" s="26">
        <f>VLOOKUP(L13,Database!A4:Q1021,16,FALSE)</f>
        <v/>
      </c>
      <c r="J29" s="42" t="inlineStr">
        <is>
          <t>cm</t>
        </is>
      </c>
      <c r="P29" s="23" t="n"/>
    </row>
    <row r="30" ht="15" customHeight="1">
      <c r="A30" s="24" t="n"/>
      <c r="B30" s="62" t="inlineStr">
        <is>
          <t>Radius Of Gyration (Y)</t>
        </is>
      </c>
      <c r="C30" s="53" t="inlineStr">
        <is>
          <t xml:space="preserve">ry </t>
        </is>
      </c>
      <c r="D30" s="37">
        <f>IF(K16="OTHERS", " ","=")</f>
        <v/>
      </c>
      <c r="E30" s="41">
        <f>VLOOKUP(C12,Database!A4:R1021,17,FALSE)</f>
        <v/>
      </c>
      <c r="F30" s="40" t="inlineStr">
        <is>
          <t>cm</t>
        </is>
      </c>
      <c r="G30" s="26">
        <f>VLOOKUP(L12,Database!A4:R1021,17,FALSE)</f>
        <v/>
      </c>
      <c r="H30" s="40" t="inlineStr">
        <is>
          <t>cm</t>
        </is>
      </c>
      <c r="I30" s="26">
        <f>VLOOKUP(L13,Database!A4:R1021,17,FALSE)</f>
        <v/>
      </c>
      <c r="J30" s="40" t="inlineStr">
        <is>
          <t>cm</t>
        </is>
      </c>
      <c r="P30" s="23" t="n"/>
    </row>
    <row r="31" ht="15" customHeight="1">
      <c r="A31" s="24" t="n"/>
      <c r="B31" s="60" t="inlineStr">
        <is>
          <t>Elastic Modulus (X)</t>
        </is>
      </c>
      <c r="C31" s="54" t="inlineStr">
        <is>
          <t>Sex</t>
        </is>
      </c>
      <c r="D31" s="37">
        <f>IF(K17="OTHERS", " ","=")</f>
        <v/>
      </c>
      <c r="E31" s="41">
        <f>VLOOKUP(C12,Database!A4:S1021,18,FALSE)</f>
        <v/>
      </c>
      <c r="F31" s="42" t="inlineStr">
        <is>
          <t>cm3</t>
        </is>
      </c>
      <c r="G31" s="26">
        <f>VLOOKUP(L12,Database!A4:S1021,18,FALSE)</f>
        <v/>
      </c>
      <c r="H31" s="42" t="inlineStr">
        <is>
          <t>cm3</t>
        </is>
      </c>
      <c r="I31" s="26">
        <f>VLOOKUP(L13,Database!A4:S1021,18,FALSE)</f>
        <v/>
      </c>
      <c r="J31" s="42" t="inlineStr">
        <is>
          <t>cm3</t>
        </is>
      </c>
      <c r="P31" s="23" t="n"/>
    </row>
    <row r="32" ht="15" customHeight="1">
      <c r="A32" s="24" t="n"/>
      <c r="B32" s="60" t="inlineStr">
        <is>
          <t>Elastic Modulus (Y)</t>
        </is>
      </c>
      <c r="C32" s="54" t="inlineStr">
        <is>
          <t>Sey</t>
        </is>
      </c>
      <c r="D32" s="37">
        <f>IF(C26="OTHERS", " ","=")</f>
        <v/>
      </c>
      <c r="E32" s="41">
        <f>VLOOKUP(C12,Database!A4:T1021,19,FALSE)</f>
        <v/>
      </c>
      <c r="F32" s="42" t="inlineStr">
        <is>
          <t>cm3</t>
        </is>
      </c>
      <c r="G32" s="26">
        <f>VLOOKUP(L12,Database!A4:T1021,19,FALSE)</f>
        <v/>
      </c>
      <c r="H32" s="42" t="inlineStr">
        <is>
          <t>cm3</t>
        </is>
      </c>
      <c r="I32" s="48">
        <f>VLOOKUP(L13,Database!A4:T1021,19,FALSE)</f>
        <v/>
      </c>
      <c r="J32" s="42" t="inlineStr">
        <is>
          <t>cm3</t>
        </is>
      </c>
      <c r="P32" s="23" t="n"/>
    </row>
    <row r="33" ht="15" customHeight="1">
      <c r="A33" s="24" t="n"/>
      <c r="B33" s="61" t="inlineStr">
        <is>
          <t>Plastic Modulus (X)</t>
        </is>
      </c>
      <c r="C33" s="54" t="inlineStr">
        <is>
          <t>Zpx</t>
        </is>
      </c>
      <c r="D33" s="37">
        <f>IF(C27="OTHERS", " ","=")</f>
        <v/>
      </c>
      <c r="E33" s="41">
        <f>VLOOKUP(C12,Database!A4:U1021,20,FALSE)</f>
        <v/>
      </c>
      <c r="F33" s="42" t="inlineStr">
        <is>
          <t>cm3</t>
        </is>
      </c>
      <c r="G33" s="26">
        <f>VLOOKUP(L12,Database!A4:U1021,20,FALSE)</f>
        <v/>
      </c>
      <c r="H33" s="42" t="inlineStr">
        <is>
          <t>cm3</t>
        </is>
      </c>
      <c r="I33" s="26">
        <f>VLOOKUP(L13,Database!A4:U1021,20,FALSE)</f>
        <v/>
      </c>
      <c r="J33" s="42" t="inlineStr">
        <is>
          <t>cm3</t>
        </is>
      </c>
      <c r="K33" s="45" t="n"/>
      <c r="L33" s="45" t="n"/>
      <c r="P33" s="23" t="n"/>
    </row>
    <row r="34" ht="15" customHeight="1">
      <c r="A34" s="24" t="n"/>
      <c r="B34" s="61" t="inlineStr">
        <is>
          <t>Plastic Modulus (Y)</t>
        </is>
      </c>
      <c r="C34" s="54" t="inlineStr">
        <is>
          <t>Zpy</t>
        </is>
      </c>
      <c r="D34" s="37">
        <f>IF(C28="OTHERS", " ","=")</f>
        <v/>
      </c>
      <c r="E34" s="153">
        <f>VLOOKUP(C12,Database!A4:V1021,21,FALSE)</f>
        <v/>
      </c>
      <c r="F34" s="68" t="inlineStr">
        <is>
          <t>cm3</t>
        </is>
      </c>
      <c r="G34" s="21">
        <f>VLOOKUP(L12,Database!A4:V1021,21,FALSE)</f>
        <v/>
      </c>
      <c r="H34" s="68" t="inlineStr">
        <is>
          <t>cm3</t>
        </is>
      </c>
      <c r="I34" s="21">
        <f>VLOOKUP(L13,Database!A4:V1021,21,FALSE)</f>
        <v/>
      </c>
      <c r="J34" s="68" t="inlineStr">
        <is>
          <t>cm3</t>
        </is>
      </c>
      <c r="K34" s="25" t="n"/>
      <c r="L34" s="153">
        <f>IF(C12="OTHERS", "mm", " ")</f>
        <v/>
      </c>
      <c r="P34" s="23" t="n"/>
    </row>
    <row r="35" ht="31" customHeight="1">
      <c r="B35" s="57" t="inlineStr">
        <is>
          <t>Flange Ratios 
For Local Buckling</t>
        </is>
      </c>
      <c r="C35" s="50" t="inlineStr">
        <is>
          <t>b/T</t>
        </is>
      </c>
      <c r="D35" s="37">
        <f>IF(C16="OTHERS", " ","=")</f>
        <v/>
      </c>
      <c r="E35" s="65">
        <f>VLOOKUP(C12,Database!A4:K1022,11,FALSE)</f>
        <v/>
      </c>
      <c r="F35" s="74" t="inlineStr">
        <is>
          <t>-</t>
        </is>
      </c>
      <c r="G35" s="71">
        <f>VLOOKUP(L12,Database!A4:L1021,11,FALSE)</f>
        <v/>
      </c>
      <c r="H35" s="74" t="inlineStr">
        <is>
          <t>-</t>
        </is>
      </c>
      <c r="I35" s="72">
        <f>VLOOKUP(L13,Database!A4:L1021,11,FALSE)</f>
        <v/>
      </c>
      <c r="J35" s="74" t="inlineStr">
        <is>
          <t>-</t>
        </is>
      </c>
      <c r="K35" s="69" t="n"/>
      <c r="L35" s="153">
        <f>IF(C12="OTHERS", "mm", " ")</f>
        <v/>
      </c>
      <c r="P35" s="23" t="n"/>
    </row>
    <row r="36" ht="31" customHeight="1">
      <c r="B36" s="57" t="inlineStr">
        <is>
          <t>Web Ratios For Local Buckling</t>
        </is>
      </c>
      <c r="C36" s="50" t="inlineStr">
        <is>
          <t>d/t</t>
        </is>
      </c>
      <c r="D36" s="37">
        <f>IF(C17="OTHERS", " ","=")</f>
        <v/>
      </c>
      <c r="E36" s="28">
        <f>VLOOKUP(C12,Database!A4:L1021,12,FALSE)</f>
        <v/>
      </c>
      <c r="F36" s="74" t="inlineStr">
        <is>
          <t>-</t>
        </is>
      </c>
      <c r="G36" s="65">
        <f>VLOOKUP(L12,Database!A4:M1021,12,FALSE)</f>
        <v/>
      </c>
      <c r="H36" s="74" t="inlineStr">
        <is>
          <t>-</t>
        </is>
      </c>
      <c r="I36" s="26">
        <f>VLOOKUP(L13,Database!A4:M1021,12,FALSE)</f>
        <v/>
      </c>
      <c r="J36" s="74" t="inlineStr">
        <is>
          <t>-</t>
        </is>
      </c>
      <c r="K36" s="67" t="n"/>
      <c r="L36" s="153">
        <f>IF(C12="OTHERS", "mm", " ")</f>
        <v/>
      </c>
      <c r="P36" s="23" t="n"/>
    </row>
    <row r="37" ht="12.75" customHeight="1">
      <c r="A37" s="24" t="n"/>
      <c r="B37" s="58" t="inlineStr">
        <is>
          <t>Web Section Class.</t>
        </is>
      </c>
      <c r="C37" s="50" t="inlineStr">
        <is>
          <t>-</t>
        </is>
      </c>
      <c r="D37" s="38" t="inlineStr">
        <is>
          <t>=</t>
        </is>
      </c>
      <c r="E37" s="73">
        <f>VLOOKUP(C12,Database!$A$4:$X$1021,24,FALSE)</f>
        <v/>
      </c>
      <c r="F37" s="74" t="inlineStr">
        <is>
          <t>-</t>
        </is>
      </c>
      <c r="G37" s="66">
        <f>VLOOKUP(L12,Database!$A$4:$X$1021,24,FALSE)</f>
        <v/>
      </c>
      <c r="H37" s="74" t="inlineStr">
        <is>
          <t>-</t>
        </is>
      </c>
      <c r="I37" s="73">
        <f>VLOOKUP(L13,Database!$A$4:$X$1021,24,FALSE)</f>
        <v/>
      </c>
      <c r="J37" s="74" t="inlineStr">
        <is>
          <t>-</t>
        </is>
      </c>
      <c r="K37" s="70" t="n"/>
      <c r="L37" s="153">
        <f>IF(C12="OTHERS", "mm", " ")</f>
        <v/>
      </c>
      <c r="P37" s="23" t="n"/>
    </row>
    <row r="38" ht="12.75" customHeight="1">
      <c r="A38" s="24" t="n"/>
      <c r="B38" s="58" t="inlineStr">
        <is>
          <t>Flange Section Class.</t>
        </is>
      </c>
      <c r="C38" s="50" t="inlineStr">
        <is>
          <t>-</t>
        </is>
      </c>
      <c r="D38" s="38" t="inlineStr">
        <is>
          <t>=</t>
        </is>
      </c>
      <c r="E38" s="73">
        <f>VLOOKUP(C12,Database!$A$4:$Y$1021,25,FALSE)</f>
        <v/>
      </c>
      <c r="F38" s="73" t="inlineStr">
        <is>
          <t>-</t>
        </is>
      </c>
      <c r="G38" s="73">
        <f>VLOOKUP(L12,Database!$A$4:$Y$1021,25,FALSE)</f>
        <v/>
      </c>
      <c r="H38" s="73" t="inlineStr">
        <is>
          <t>-</t>
        </is>
      </c>
      <c r="I38" s="73">
        <f>VLOOKUP(L13,Database!$A$4:$Y$1021,25,FALSE)</f>
        <v/>
      </c>
      <c r="J38" s="73" t="inlineStr">
        <is>
          <t>-</t>
        </is>
      </c>
      <c r="K38" s="67" t="n"/>
      <c r="L38" s="153">
        <f>IF(C12="OTHERS", "mm", " ")</f>
        <v/>
      </c>
      <c r="P38" s="23" t="n"/>
    </row>
    <row r="39" ht="12.75" customHeight="1">
      <c r="B39" s="19" t="n"/>
      <c r="C39" s="19" t="n"/>
      <c r="F39" s="19" t="n"/>
      <c r="G39" s="19" t="n"/>
      <c r="H39" s="19" t="n"/>
      <c r="I39" s="19" t="n"/>
      <c r="J39" s="19" t="n"/>
      <c r="K39" s="19" t="n"/>
      <c r="P39" s="23" t="n"/>
    </row>
    <row r="40" ht="12.75" customHeight="1">
      <c r="P40" s="13" t="n"/>
    </row>
    <row r="41" ht="18.5" customHeight="1">
      <c r="A41" s="12" t="n"/>
      <c r="C41" s="100" t="inlineStr">
        <is>
          <t>Custom Symmetric I-Beam Section</t>
        </is>
      </c>
      <c r="D41" s="101" t="n"/>
      <c r="E41" s="101" t="n"/>
      <c r="F41" s="101" t="n"/>
      <c r="G41" s="102" t="n"/>
      <c r="P41" s="13" t="n"/>
    </row>
    <row r="42" ht="12.75" customHeight="1">
      <c r="A42" s="12" t="n"/>
      <c r="C42" s="137" t="inlineStr">
        <is>
          <t>D</t>
        </is>
      </c>
      <c r="D42" s="137" t="inlineStr">
        <is>
          <t>=</t>
        </is>
      </c>
      <c r="E42" s="137" t="n">
        <v>200</v>
      </c>
      <c r="F42" s="85" t="n"/>
      <c r="G42" s="86" t="n"/>
      <c r="H42" s="137" t="n"/>
      <c r="J42" s="137" t="inlineStr">
        <is>
          <t>Alt. Std. 1</t>
        </is>
      </c>
      <c r="K42" s="139" t="n"/>
      <c r="L42" s="153">
        <f t="array" ref="L42">_xlfn.IFS(C47="Area of Section",Database!BF11,C47="Elastic Modulus x-x",Database!BF19)</f>
        <v/>
      </c>
      <c r="P42" s="13" t="n"/>
    </row>
    <row r="43" ht="12.75" customHeight="1">
      <c r="A43" s="12" t="n"/>
      <c r="C43" s="137" t="inlineStr">
        <is>
          <t>B</t>
        </is>
      </c>
      <c r="D43" s="137" t="inlineStr">
        <is>
          <t>=</t>
        </is>
      </c>
      <c r="E43" s="137" t="n">
        <v>150</v>
      </c>
      <c r="F43" s="137" t="n"/>
      <c r="G43" s="137" t="n"/>
      <c r="H43" s="137" t="n"/>
      <c r="J43" s="137" t="inlineStr">
        <is>
          <t>Alt. Std. 2</t>
        </is>
      </c>
      <c r="K43" s="139" t="n"/>
      <c r="L43" s="153">
        <f t="array" ref="L43">_xlfn.IFS(C47="Area of Section",Database!BF12,C47="Elastic Modulus x-x",Database!BF20)</f>
        <v/>
      </c>
      <c r="P43" s="13" t="n"/>
    </row>
    <row r="44" ht="12.75" customHeight="1">
      <c r="A44" s="12" t="n"/>
      <c r="C44" s="137" t="inlineStr">
        <is>
          <t>TF</t>
        </is>
      </c>
      <c r="D44" s="137" t="inlineStr">
        <is>
          <t>=</t>
        </is>
      </c>
      <c r="E44" s="137" t="n">
        <v>20</v>
      </c>
      <c r="F44" s="137" t="n"/>
      <c r="G44" s="137" t="n"/>
      <c r="H44" s="137" t="n"/>
      <c r="J44" s="137" t="inlineStr">
        <is>
          <t>Alt. Std. 3</t>
        </is>
      </c>
      <c r="K44" s="139" t="n"/>
      <c r="L44" s="153">
        <f t="array" ref="L44">_xlfn.IFS(C47="Area of Section",Database!BF13,C47="Elastic Modulus x-x",Database!BF21)</f>
        <v/>
      </c>
      <c r="P44" s="13" t="n"/>
    </row>
    <row r="45" ht="12.75" customHeight="1">
      <c r="A45" s="12" t="n"/>
      <c r="C45" s="137" t="inlineStr">
        <is>
          <t>TW</t>
        </is>
      </c>
      <c r="D45" s="137" t="inlineStr">
        <is>
          <t>=</t>
        </is>
      </c>
      <c r="E45" s="137" t="n">
        <v>20</v>
      </c>
      <c r="F45" s="137" t="n"/>
      <c r="G45" s="137" t="n"/>
      <c r="H45" s="137" t="n"/>
      <c r="P45" s="13" t="n"/>
    </row>
    <row r="46" ht="12.75" customHeight="1">
      <c r="A46" s="12" t="n"/>
      <c r="P46" s="13" t="n"/>
    </row>
    <row r="47" ht="12.75" customHeight="1">
      <c r="A47" s="12" t="n"/>
      <c r="B47" s="153" t="inlineStr">
        <is>
          <t>Similarity by:</t>
        </is>
      </c>
      <c r="C47" s="164" t="inlineStr">
        <is>
          <t>Area of Section</t>
        </is>
      </c>
      <c r="D47" s="138" t="n"/>
      <c r="E47" s="139" t="n"/>
      <c r="P47" s="13" t="n"/>
    </row>
    <row r="48" ht="12.75" customHeight="1">
      <c r="A48" s="12" t="n"/>
      <c r="B48" s="153" t="inlineStr">
        <is>
          <t>Yield Strength fy:</t>
        </is>
      </c>
      <c r="C48" s="137" t="n">
        <v>235</v>
      </c>
      <c r="D48" s="138" t="n"/>
      <c r="E48" s="139" t="n"/>
      <c r="F48" s="153" t="inlineStr">
        <is>
          <t>MPa</t>
        </is>
      </c>
      <c r="P48" s="13" t="n"/>
    </row>
    <row r="49" ht="12.75" customHeight="1">
      <c r="A49" s="12" t="n"/>
      <c r="E49" s="49" t="inlineStr">
        <is>
          <t>Custom</t>
        </is>
      </c>
      <c r="G49" s="137" t="inlineStr">
        <is>
          <t>Alt. Std. 1</t>
        </is>
      </c>
      <c r="H49" s="139" t="n"/>
      <c r="I49" s="137" t="inlineStr">
        <is>
          <t>Alt. Std. 2</t>
        </is>
      </c>
      <c r="J49" s="139" t="n"/>
      <c r="K49" s="137" t="inlineStr">
        <is>
          <t>Alt. Std. 3</t>
        </is>
      </c>
      <c r="L49" s="139" t="n"/>
      <c r="P49" s="13" t="n"/>
    </row>
    <row r="50" ht="12.75" customHeight="1">
      <c r="A50" s="12" t="n"/>
      <c r="B50" s="59" t="inlineStr">
        <is>
          <t>Mass per Metre</t>
        </is>
      </c>
      <c r="C50" s="50" t="inlineStr">
        <is>
          <t>-</t>
        </is>
      </c>
      <c r="D50" s="38">
        <f>IF(C40="OTHERS", " ","=")</f>
        <v/>
      </c>
      <c r="E50" s="34">
        <f>Database!C1022</f>
        <v/>
      </c>
      <c r="F50" s="49" t="inlineStr">
        <is>
          <t>kg/m</t>
        </is>
      </c>
      <c r="G50" s="26">
        <f>VLOOKUP(L42,Database!A4:C1021,3,FALSE)</f>
        <v/>
      </c>
      <c r="H50" s="49" t="inlineStr">
        <is>
          <t>kg/m</t>
        </is>
      </c>
      <c r="I50" s="26">
        <f>VLOOKUP(L43,Database!A4:E1021,3,FALSE)</f>
        <v/>
      </c>
      <c r="J50" s="49" t="inlineStr">
        <is>
          <t>kg/m</t>
        </is>
      </c>
      <c r="K50" s="26">
        <f>VLOOKUP(L44,Database!A4:G1021,3,FALSE)</f>
        <v/>
      </c>
      <c r="L50" s="49" t="inlineStr">
        <is>
          <t>kg/m</t>
        </is>
      </c>
      <c r="P50" s="13" t="n"/>
    </row>
    <row r="51" ht="12.75" customHeight="1">
      <c r="A51" s="12" t="n"/>
      <c r="B51" s="58" t="inlineStr">
        <is>
          <t>Depth</t>
        </is>
      </c>
      <c r="C51" s="50" t="inlineStr">
        <is>
          <t>D</t>
        </is>
      </c>
      <c r="D51" s="38">
        <f>IF(C41="OTHERS", " ","=")</f>
        <v/>
      </c>
      <c r="E51" s="34">
        <f>E42</f>
        <v/>
      </c>
      <c r="F51" s="49">
        <f>IF(C41="OTHERS", " ","mm")</f>
        <v/>
      </c>
      <c r="G51" s="26">
        <f>VLOOKUP(L42,Database!A4:D1021,4,FALSE)</f>
        <v/>
      </c>
      <c r="H51" s="49" t="inlineStr">
        <is>
          <t>mm</t>
        </is>
      </c>
      <c r="I51" s="26">
        <f>VLOOKUP(L43,Database!A4:F1021,4,FALSE)</f>
        <v/>
      </c>
      <c r="J51" s="49" t="inlineStr">
        <is>
          <t>mm</t>
        </is>
      </c>
      <c r="K51" s="26">
        <f>VLOOKUP(L44,Database!A4:H1021,4,FALSE)</f>
        <v/>
      </c>
      <c r="L51" s="49">
        <f>IF(I41="OTHERS", " ","mm")</f>
        <v/>
      </c>
      <c r="P51" s="13" t="n"/>
    </row>
    <row r="52" ht="12.75" customHeight="1">
      <c r="A52" s="12" t="n"/>
      <c r="B52" s="64" t="inlineStr">
        <is>
          <t>Flange Breadth</t>
        </is>
      </c>
      <c r="C52" s="55" t="inlineStr">
        <is>
          <t>Bf</t>
        </is>
      </c>
      <c r="D52" s="38">
        <f>IF(C42="OTHERS", " ","=")</f>
        <v/>
      </c>
      <c r="E52" s="34">
        <f>E43</f>
        <v/>
      </c>
      <c r="F52" s="49">
        <f>IF(C41="OTHERS", " ","mm")</f>
        <v/>
      </c>
      <c r="G52" s="26">
        <f>VLOOKUP(L42,Database!A4:E1021,5,FALSE)</f>
        <v/>
      </c>
      <c r="H52" s="49" t="inlineStr">
        <is>
          <t>mm</t>
        </is>
      </c>
      <c r="I52" s="26">
        <f>VLOOKUP(L43,Database!A4:E1021,5,FALSE)</f>
        <v/>
      </c>
      <c r="J52" s="49" t="inlineStr">
        <is>
          <t>mm</t>
        </is>
      </c>
      <c r="K52" s="26">
        <f>VLOOKUP(L44,Database!A4:G1021,5,FALSE)</f>
        <v/>
      </c>
      <c r="L52" s="49">
        <f>IF(I41="OTHERS", " ","mm")</f>
        <v/>
      </c>
      <c r="P52" s="13" t="n"/>
    </row>
    <row r="53" ht="12.75" customHeight="1">
      <c r="A53" s="88" t="n"/>
      <c r="B53" s="64" t="inlineStr">
        <is>
          <t>Flange Thickness</t>
        </is>
      </c>
      <c r="C53" s="63" t="inlineStr">
        <is>
          <t>Tf</t>
        </is>
      </c>
      <c r="D53" s="38">
        <f>IF(C43="OTHERS", " ","=")</f>
        <v/>
      </c>
      <c r="E53" s="34">
        <f>E44</f>
        <v/>
      </c>
      <c r="F53" s="49">
        <f>IF(C41="OTHERS", " ","mm")</f>
        <v/>
      </c>
      <c r="G53" s="26">
        <f>VLOOKUP(L42,Database!A4:F1021,6,FALSE)</f>
        <v/>
      </c>
      <c r="H53" s="49" t="inlineStr">
        <is>
          <t>mm</t>
        </is>
      </c>
      <c r="I53" s="26">
        <f>VLOOKUP(L43,Database!A4:H1021,6,FALSE)</f>
        <v/>
      </c>
      <c r="J53" s="49" t="inlineStr">
        <is>
          <t>mm</t>
        </is>
      </c>
      <c r="K53" s="26">
        <f>VLOOKUP(L44,Database!A4:J1021,6,FALSE)</f>
        <v/>
      </c>
      <c r="L53" s="49">
        <f>IF(I41="OTHERS", " ","mm")</f>
        <v/>
      </c>
      <c r="P53" s="13" t="n"/>
    </row>
    <row r="54" ht="12.75" customHeight="1">
      <c r="A54" s="19" t="n"/>
      <c r="B54" s="59" t="inlineStr">
        <is>
          <t>Web Thickness</t>
        </is>
      </c>
      <c r="C54" s="51" t="inlineStr">
        <is>
          <t>Tw</t>
        </is>
      </c>
      <c r="D54" s="38">
        <f>IF(C44="OTHERS", " ","=")</f>
        <v/>
      </c>
      <c r="E54" s="34">
        <f>E45</f>
        <v/>
      </c>
      <c r="F54" s="49">
        <f>IF(C41="OTHERS", " ","mm")</f>
        <v/>
      </c>
      <c r="G54" s="39">
        <f>VLOOKUP(L42,Database!A4:G1021,7,FALSE)</f>
        <v/>
      </c>
      <c r="H54" s="49" t="inlineStr">
        <is>
          <t>mm</t>
        </is>
      </c>
      <c r="I54" s="39">
        <f>VLOOKUP(L43,Database!A4:I1021,7,FALSE)</f>
        <v/>
      </c>
      <c r="J54" s="49" t="inlineStr">
        <is>
          <t>mm</t>
        </is>
      </c>
      <c r="K54" s="39">
        <f>VLOOKUP(L44,Database!A4:K1021,7,FALSE)</f>
        <v/>
      </c>
      <c r="L54" s="49">
        <f>IF(I41="OTHERS", " ","mm")</f>
        <v/>
      </c>
      <c r="M54" s="19" t="n"/>
      <c r="N54" s="19" t="n"/>
      <c r="O54" s="19" t="n"/>
      <c r="P54" s="19" t="n"/>
    </row>
    <row r="55" ht="12.75" customHeight="1">
      <c r="B55" s="59" t="inlineStr">
        <is>
          <t>Root Radius</t>
        </is>
      </c>
      <c r="C55" s="50" t="inlineStr">
        <is>
          <t>r</t>
        </is>
      </c>
      <c r="D55" s="38">
        <f>IF(C45="OTHERS", " ","=")</f>
        <v/>
      </c>
      <c r="E55" s="34">
        <f>Database!H1022</f>
        <v/>
      </c>
      <c r="F55" s="49" t="inlineStr">
        <is>
          <t>mm</t>
        </is>
      </c>
      <c r="G55" s="39">
        <f>VLOOKUP(L42,Database!A4:H1021,8,FALSE)</f>
        <v/>
      </c>
      <c r="H55" s="49" t="inlineStr">
        <is>
          <t>mm</t>
        </is>
      </c>
      <c r="I55" s="39">
        <f>VLOOKUP(L43,Database!A4:J1021,8,FALSE)</f>
        <v/>
      </c>
      <c r="J55" s="49" t="inlineStr">
        <is>
          <t>mm</t>
        </is>
      </c>
      <c r="K55" s="39">
        <f>VLOOKUP(L44,Database!A4:L1021,8,FALSE)</f>
        <v/>
      </c>
      <c r="L55" s="49" t="inlineStr">
        <is>
          <t>mm</t>
        </is>
      </c>
    </row>
    <row r="56" ht="12.75" customHeight="1">
      <c r="B56" s="59" t="inlineStr">
        <is>
          <t>Toe Fillet Distance</t>
        </is>
      </c>
      <c r="C56" s="50" t="inlineStr">
        <is>
          <t>d</t>
        </is>
      </c>
      <c r="D56" s="38">
        <f>IF(C46="OTHERS", " ","=")</f>
        <v/>
      </c>
      <c r="E56" s="34">
        <f>Database!I1022</f>
        <v/>
      </c>
      <c r="F56" s="49">
        <f>IF(C41="OTHERS", " ","mm")</f>
        <v/>
      </c>
      <c r="G56" s="153">
        <f>VLOOKUP(L42,Database!A4:I1021,9,FALSE)</f>
        <v/>
      </c>
      <c r="H56" s="49" t="inlineStr">
        <is>
          <t>mm</t>
        </is>
      </c>
      <c r="I56" s="153">
        <f>VLOOKUP(L43,Database!A4:K1021,9,FALSE)</f>
        <v/>
      </c>
      <c r="J56" s="49" t="inlineStr">
        <is>
          <t>mm</t>
        </is>
      </c>
      <c r="K56" s="153">
        <f>VLOOKUP(L44,Database!A4:M1021,9,FALSE)</f>
        <v/>
      </c>
      <c r="L56" s="49">
        <f>IF(I41="OTHERS", " ","mm")</f>
        <v/>
      </c>
    </row>
    <row r="57" ht="12.75" customHeight="1">
      <c r="B57" s="59" t="inlineStr">
        <is>
          <t>Area of Section</t>
        </is>
      </c>
      <c r="C57" s="50" t="inlineStr">
        <is>
          <t>A</t>
        </is>
      </c>
      <c r="D57" s="38" t="inlineStr">
        <is>
          <t>=</t>
        </is>
      </c>
      <c r="E57" s="34">
        <f>Database!J1022</f>
        <v/>
      </c>
      <c r="F57" s="49" t="inlineStr">
        <is>
          <t>cm2</t>
        </is>
      </c>
      <c r="G57" s="26">
        <f>VLOOKUP(L42,Database!A4:J1021,10,FALSE)</f>
        <v/>
      </c>
      <c r="H57" s="49" t="inlineStr">
        <is>
          <t>cm2</t>
        </is>
      </c>
      <c r="I57" s="26">
        <f>VLOOKUP(L43,Database!A4:L1021,10,FALSE)</f>
        <v/>
      </c>
      <c r="J57" s="49" t="inlineStr">
        <is>
          <t>cm2</t>
        </is>
      </c>
      <c r="K57" s="26">
        <f>VLOOKUP(L44,Database!A4:N1021,10,FALSE)</f>
        <v/>
      </c>
      <c r="L57" s="49" t="inlineStr">
        <is>
          <t>cm2</t>
        </is>
      </c>
    </row>
    <row r="58" ht="12.75" customHeight="1">
      <c r="B58" s="59" t="inlineStr">
        <is>
          <t>Surface Area /m</t>
        </is>
      </c>
      <c r="C58" s="50" t="inlineStr">
        <is>
          <t>-</t>
        </is>
      </c>
      <c r="D58" s="38">
        <f>IF(K42="OTHERS", " ","=")</f>
        <v/>
      </c>
      <c r="E58" s="34">
        <f>Database!M1022</f>
        <v/>
      </c>
      <c r="F58" s="49" t="inlineStr">
        <is>
          <t>m2</t>
        </is>
      </c>
      <c r="G58" s="26">
        <f>VLOOKUP(L42,Database!A4:M1021,13,FALSE)</f>
        <v/>
      </c>
      <c r="H58" s="49" t="inlineStr">
        <is>
          <t>m2</t>
        </is>
      </c>
      <c r="I58" s="26">
        <f>VLOOKUP(L43,Database!A4:O1021,13,FALSE)</f>
        <v/>
      </c>
      <c r="J58" s="49" t="inlineStr">
        <is>
          <t>m2</t>
        </is>
      </c>
      <c r="K58" s="26">
        <f>VLOOKUP(L44,Database!A4:Q1021,13,FALSE)</f>
        <v/>
      </c>
      <c r="L58" s="49" t="inlineStr">
        <is>
          <t>m2</t>
        </is>
      </c>
    </row>
    <row r="59" ht="12.75" customHeight="1">
      <c r="B59" s="57" t="inlineStr">
        <is>
          <t>Second Moment Of Area (X)</t>
        </is>
      </c>
      <c r="C59" s="52" t="inlineStr">
        <is>
          <t>Ix</t>
        </is>
      </c>
      <c r="D59" s="38">
        <f>IF(K42="OTHERS", " ","=")</f>
        <v/>
      </c>
      <c r="E59" s="89">
        <f>Database!N1022</f>
        <v/>
      </c>
      <c r="F59" s="44" t="inlineStr">
        <is>
          <t xml:space="preserve">cm4 </t>
        </is>
      </c>
      <c r="G59" s="26">
        <f>VLOOKUP(L42,Database!A4:N1021,14,FALSE)</f>
        <v/>
      </c>
      <c r="H59" s="44" t="inlineStr">
        <is>
          <t xml:space="preserve">cm4 </t>
        </is>
      </c>
      <c r="I59" s="26">
        <f>VLOOKUP(L43,Database!A4:P1021,14,FALSE)</f>
        <v/>
      </c>
      <c r="J59" s="44" t="inlineStr">
        <is>
          <t xml:space="preserve">cm4 </t>
        </is>
      </c>
      <c r="K59" s="26">
        <f>VLOOKUP(L44,Database!A4:R1021,14,FALSE)</f>
        <v/>
      </c>
      <c r="L59" s="44" t="inlineStr">
        <is>
          <t xml:space="preserve">cm4 </t>
        </is>
      </c>
    </row>
    <row r="60" ht="12.75" customHeight="1">
      <c r="B60" s="57" t="inlineStr">
        <is>
          <t>Second Moment Of Area (Y)</t>
        </is>
      </c>
      <c r="C60" s="52" t="inlineStr">
        <is>
          <t>Iy</t>
        </is>
      </c>
      <c r="D60" s="36">
        <f>IF(K42="OTHERS", " ","=")</f>
        <v/>
      </c>
      <c r="E60" s="26">
        <f>Database!O1022</f>
        <v/>
      </c>
      <c r="F60" s="44" t="inlineStr">
        <is>
          <t xml:space="preserve">cm4 </t>
        </is>
      </c>
      <c r="G60" s="153">
        <f>VLOOKUP(L42,Database!A4:O1021,15,FALSE)</f>
        <v/>
      </c>
      <c r="H60" s="44" t="inlineStr">
        <is>
          <t xml:space="preserve">cm4 </t>
        </is>
      </c>
      <c r="I60" s="153">
        <f>VLOOKUP(L43,Database!A4:Q1021,15,FALSE)</f>
        <v/>
      </c>
      <c r="J60" s="44" t="inlineStr">
        <is>
          <t xml:space="preserve">cm4 </t>
        </is>
      </c>
      <c r="K60" s="153">
        <f>VLOOKUP(L44,Database!A4:S1021,15,FALSE)</f>
        <v/>
      </c>
      <c r="L60" s="44" t="inlineStr">
        <is>
          <t xml:space="preserve">cm4 </t>
        </is>
      </c>
    </row>
    <row r="61" ht="12.75" customHeight="1">
      <c r="B61" s="62" t="inlineStr">
        <is>
          <t>Radius Of Gyration (X)</t>
        </is>
      </c>
      <c r="C61" s="53" t="inlineStr">
        <is>
          <t xml:space="preserve">rx </t>
        </is>
      </c>
      <c r="D61" s="38" t="inlineStr">
        <is>
          <t>=</t>
        </is>
      </c>
      <c r="E61" s="90">
        <f>Database!P1022</f>
        <v/>
      </c>
      <c r="F61" s="42" t="inlineStr">
        <is>
          <t>cm</t>
        </is>
      </c>
      <c r="G61" s="153">
        <f>VLOOKUP(L42,Database!A4:P1021,16,FALSE)</f>
        <v/>
      </c>
      <c r="H61" s="42" t="inlineStr">
        <is>
          <t>cm</t>
        </is>
      </c>
      <c r="I61" s="153">
        <f>VLOOKUP(L43,Database!A4:R1021,16,FALSE)</f>
        <v/>
      </c>
      <c r="J61" s="42" t="inlineStr">
        <is>
          <t>cm</t>
        </is>
      </c>
      <c r="K61" s="153">
        <f>VLOOKUP(L44,Database!A4:T1021,16,FALSE)</f>
        <v/>
      </c>
      <c r="L61" s="42" t="inlineStr">
        <is>
          <t>cm</t>
        </is>
      </c>
    </row>
    <row r="62" ht="12.75" customHeight="1">
      <c r="B62" s="62" t="inlineStr">
        <is>
          <t>Radius Of Gyration (Y)</t>
        </is>
      </c>
      <c r="C62" s="53" t="inlineStr">
        <is>
          <t xml:space="preserve">ry </t>
        </is>
      </c>
      <c r="D62" s="37">
        <f>IF(K45="OTHERS", " ","=")</f>
        <v/>
      </c>
      <c r="E62" s="90">
        <f>Database!Q1022</f>
        <v/>
      </c>
      <c r="F62" s="40" t="inlineStr">
        <is>
          <t>cm</t>
        </is>
      </c>
      <c r="G62" s="26">
        <f>VLOOKUP(L42,Database!A4:Q1021,17,FALSE)</f>
        <v/>
      </c>
      <c r="H62" s="40" t="inlineStr">
        <is>
          <t>cm</t>
        </is>
      </c>
      <c r="I62" s="26">
        <f>VLOOKUP(L43,Database!A4:S1021,17,FALSE)</f>
        <v/>
      </c>
      <c r="J62" s="40" t="inlineStr">
        <is>
          <t>cm</t>
        </is>
      </c>
      <c r="K62" s="26">
        <f>VLOOKUP(L44,Database!A4:U1021,17,FALSE)</f>
        <v/>
      </c>
      <c r="L62" s="40" t="inlineStr">
        <is>
          <t>cm</t>
        </is>
      </c>
    </row>
    <row r="63" ht="12.75" customHeight="1">
      <c r="B63" s="60" t="inlineStr">
        <is>
          <t>Elastic Modulus (X)</t>
        </is>
      </c>
      <c r="C63" s="54" t="inlineStr">
        <is>
          <t>Sex</t>
        </is>
      </c>
      <c r="D63" s="37">
        <f>IF(K46="OTHERS", " ","=")</f>
        <v/>
      </c>
      <c r="E63" s="90">
        <f>Database!R1022</f>
        <v/>
      </c>
      <c r="F63" s="42" t="inlineStr">
        <is>
          <t>cm3</t>
        </is>
      </c>
      <c r="G63" s="26">
        <f>VLOOKUP(L42,Database!A4:R1021,18,FALSE)</f>
        <v/>
      </c>
      <c r="H63" s="42" t="inlineStr">
        <is>
          <t>cm3</t>
        </is>
      </c>
      <c r="I63" s="26">
        <f>VLOOKUP(L43,Database!A4:T1021,18,FALSE)</f>
        <v/>
      </c>
      <c r="J63" s="42" t="inlineStr">
        <is>
          <t>cm3</t>
        </is>
      </c>
      <c r="K63" s="26">
        <f>VLOOKUP(L44,Database!A4:V1021,18,FALSE)</f>
        <v/>
      </c>
      <c r="L63" s="42" t="inlineStr">
        <is>
          <t>cm3</t>
        </is>
      </c>
    </row>
    <row r="64" ht="12.75" customHeight="1">
      <c r="B64" s="60" t="inlineStr">
        <is>
          <t>Elastic Modulus (Y)</t>
        </is>
      </c>
      <c r="C64" s="54" t="inlineStr">
        <is>
          <t>Sey</t>
        </is>
      </c>
      <c r="D64" s="37">
        <f>IF(C58="OTHERS", " ","=")</f>
        <v/>
      </c>
      <c r="E64" s="90">
        <f>Database!S1022</f>
        <v/>
      </c>
      <c r="F64" s="42" t="inlineStr">
        <is>
          <t>cm3</t>
        </is>
      </c>
      <c r="G64" s="26">
        <f>VLOOKUP(L42,Database!A4:S1021,19,FALSE)</f>
        <v/>
      </c>
      <c r="H64" s="42" t="inlineStr">
        <is>
          <t>cm3</t>
        </is>
      </c>
      <c r="I64" s="26">
        <f>VLOOKUP(L43,Database!A4:U1021,19,FALSE)</f>
        <v/>
      </c>
      <c r="J64" s="42" t="inlineStr">
        <is>
          <t>cm3</t>
        </is>
      </c>
      <c r="K64" s="26">
        <f>VLOOKUP(L44,Database!A4:W1021,19,FALSE)</f>
        <v/>
      </c>
      <c r="L64" s="42" t="inlineStr">
        <is>
          <t>cm3</t>
        </is>
      </c>
    </row>
    <row r="65" ht="12.75" customHeight="1">
      <c r="B65" s="61" t="inlineStr">
        <is>
          <t>Plastic Modulus (X)</t>
        </is>
      </c>
      <c r="C65" s="54" t="inlineStr">
        <is>
          <t>Zpx</t>
        </is>
      </c>
      <c r="D65" s="37">
        <f>IF(C59="OTHERS", " ","=")</f>
        <v/>
      </c>
      <c r="E65" s="90">
        <f>Database!T1022</f>
        <v/>
      </c>
      <c r="F65" s="42" t="inlineStr">
        <is>
          <t>cm3</t>
        </is>
      </c>
      <c r="G65" s="26">
        <f>VLOOKUP(L42,Database!A4:T1021,20,FALSE)</f>
        <v/>
      </c>
      <c r="H65" s="42" t="inlineStr">
        <is>
          <t>cm3</t>
        </is>
      </c>
      <c r="I65" s="26">
        <f>VLOOKUP(L43,Database!A4:V1021,20,FALSE)</f>
        <v/>
      </c>
      <c r="J65" s="42" t="inlineStr">
        <is>
          <t>cm3</t>
        </is>
      </c>
      <c r="K65" s="26">
        <f>VLOOKUP(L44,Database!A4:X1021,20,FALSE)</f>
        <v/>
      </c>
      <c r="L65" s="42" t="inlineStr">
        <is>
          <t>cm3</t>
        </is>
      </c>
    </row>
    <row r="66" ht="12.75" customHeight="1">
      <c r="B66" s="61" t="inlineStr">
        <is>
          <t>Plastic Modulus (Y)</t>
        </is>
      </c>
      <c r="C66" s="54" t="inlineStr">
        <is>
          <t>Zpy</t>
        </is>
      </c>
      <c r="D66" s="37">
        <f>IF(C60="OTHERS", " ","=")</f>
        <v/>
      </c>
      <c r="E66" s="91">
        <f>Database!U1022</f>
        <v/>
      </c>
      <c r="F66" s="68" t="inlineStr">
        <is>
          <t>cm3</t>
        </is>
      </c>
      <c r="G66" s="21">
        <f>VLOOKUP(L42,Database!A4:U1021,21,FALSE)</f>
        <v/>
      </c>
      <c r="H66" s="68" t="inlineStr">
        <is>
          <t>cm3</t>
        </is>
      </c>
      <c r="I66" s="21">
        <f>VLOOKUP(L43,Database!A4:W1021,21,FALSE)</f>
        <v/>
      </c>
      <c r="J66" s="68" t="inlineStr">
        <is>
          <t>cm3</t>
        </is>
      </c>
      <c r="K66" s="21">
        <f>VLOOKUP(L44,Database!A4:Y1021,21,FALSE)</f>
        <v/>
      </c>
      <c r="L66" s="68" t="inlineStr">
        <is>
          <t>cm3</t>
        </is>
      </c>
    </row>
    <row r="67" ht="12.75" customHeight="1">
      <c r="B67" s="57" t="inlineStr">
        <is>
          <t>Flange Ratios 
For Local Buckling</t>
        </is>
      </c>
      <c r="C67" s="50" t="inlineStr">
        <is>
          <t>b/T</t>
        </is>
      </c>
      <c r="D67" s="37">
        <f>IF(C45="OTHERS", " ","=")</f>
        <v/>
      </c>
      <c r="E67" s="65">
        <f>Database!K1022</f>
        <v/>
      </c>
      <c r="F67" s="74" t="inlineStr">
        <is>
          <t>-</t>
        </is>
      </c>
      <c r="G67" s="71">
        <f>VLOOKUP(L42,Database!A4:K1021,11,FALSE)</f>
        <v/>
      </c>
      <c r="H67" s="74" t="inlineStr">
        <is>
          <t>-</t>
        </is>
      </c>
      <c r="I67" s="71">
        <f>VLOOKUP(L43,Database!A4:M1021,11,FALSE)</f>
        <v/>
      </c>
      <c r="J67" s="74" t="inlineStr">
        <is>
          <t>-</t>
        </is>
      </c>
      <c r="K67" s="71">
        <f>VLOOKUP(L44,Database!A4:O1021,11,FALSE)</f>
        <v/>
      </c>
      <c r="L67" s="74" t="inlineStr">
        <is>
          <t>-</t>
        </is>
      </c>
    </row>
    <row r="68" ht="12.75" customHeight="1">
      <c r="B68" s="57" t="inlineStr">
        <is>
          <t>Web Ratios 
For Local Buckling</t>
        </is>
      </c>
      <c r="C68" s="50" t="inlineStr">
        <is>
          <t>d/t</t>
        </is>
      </c>
      <c r="D68" s="37">
        <f>IF(C49="OTHERS", " ","=")</f>
        <v/>
      </c>
      <c r="E68" s="65">
        <f>Database!L1022</f>
        <v/>
      </c>
      <c r="F68" s="74" t="inlineStr">
        <is>
          <t>-</t>
        </is>
      </c>
      <c r="G68" s="65">
        <f>VLOOKUP(L42,Database!A4:L1021,12,FALSE)</f>
        <v/>
      </c>
      <c r="H68" s="74" t="inlineStr">
        <is>
          <t>-</t>
        </is>
      </c>
      <c r="I68" s="65">
        <f>VLOOKUP(L43,Database!A4:N1021,12,FALSE)</f>
        <v/>
      </c>
      <c r="J68" s="74" t="inlineStr">
        <is>
          <t>-</t>
        </is>
      </c>
      <c r="K68" s="65">
        <f>VLOOKUP(L44,Database!A4:P1021,12,FALSE)</f>
        <v/>
      </c>
      <c r="L68" s="74" t="inlineStr">
        <is>
          <t>-</t>
        </is>
      </c>
    </row>
    <row r="69" ht="12.75" customHeight="1">
      <c r="B69" s="58" t="inlineStr">
        <is>
          <t>Web Section Class.</t>
        </is>
      </c>
      <c r="C69" s="50" t="inlineStr">
        <is>
          <t>-</t>
        </is>
      </c>
      <c r="D69" s="38" t="inlineStr">
        <is>
          <t>=</t>
        </is>
      </c>
      <c r="E69" s="65">
        <f>Database!X1022</f>
        <v/>
      </c>
      <c r="F69" s="74" t="inlineStr">
        <is>
          <t>-</t>
        </is>
      </c>
      <c r="G69" s="65">
        <f>VLOOKUP(L42,Database!A4:X1021,24,FALSE)</f>
        <v/>
      </c>
      <c r="H69" s="74" t="inlineStr">
        <is>
          <t>-</t>
        </is>
      </c>
      <c r="I69" s="65">
        <f>VLOOKUP(L43,Database!A4:X1021,24,FALSE)</f>
        <v/>
      </c>
      <c r="J69" s="74" t="inlineStr">
        <is>
          <t>-</t>
        </is>
      </c>
      <c r="K69" s="65">
        <f>VLOOKUP(L44,Database!A4:X1021,24,FALSE)</f>
        <v/>
      </c>
      <c r="L69" s="74" t="inlineStr">
        <is>
          <t>-</t>
        </is>
      </c>
    </row>
    <row r="70" ht="12.75" customHeight="1">
      <c r="B70" s="58" t="inlineStr">
        <is>
          <t>Flange Section Class.</t>
        </is>
      </c>
      <c r="C70" s="50" t="inlineStr">
        <is>
          <t>-</t>
        </is>
      </c>
      <c r="D70" s="38" t="inlineStr">
        <is>
          <t>=</t>
        </is>
      </c>
      <c r="E70" s="65">
        <f>Database!Y1022</f>
        <v/>
      </c>
      <c r="F70" s="74" t="inlineStr">
        <is>
          <t>-</t>
        </is>
      </c>
      <c r="G70" s="93">
        <f>VLOOKUP(L42,Database!A4:Y1021,25,FALSE)</f>
        <v/>
      </c>
      <c r="H70" s="74" t="inlineStr">
        <is>
          <t>-</t>
        </is>
      </c>
      <c r="I70" s="93">
        <f>VLOOKUP(L43,Database!A4:Y1021,25,FALSE)</f>
        <v/>
      </c>
      <c r="J70" s="74" t="inlineStr">
        <is>
          <t>-</t>
        </is>
      </c>
      <c r="K70" s="93">
        <f>VLOOKUP(L44,Database!A4:Y1021,25,FALSE) &amp; ""</f>
        <v/>
      </c>
      <c r="L70" s="74" t="inlineStr">
        <is>
          <t>-</t>
        </is>
      </c>
    </row>
    <row r="73" ht="18.5" customHeight="1">
      <c r="C73" s="100" t="inlineStr">
        <is>
          <t>Custom Assymetric I-Beam Section</t>
        </is>
      </c>
      <c r="D73" s="97" t="n"/>
      <c r="E73" s="98" t="n"/>
    </row>
    <row r="74" ht="12.75" customHeight="1">
      <c r="C74" s="137" t="inlineStr">
        <is>
          <t>D</t>
        </is>
      </c>
      <c r="D74" s="137" t="inlineStr">
        <is>
          <t>=</t>
        </is>
      </c>
      <c r="E74" s="137" t="n">
        <v>200</v>
      </c>
      <c r="J74" s="137" t="inlineStr">
        <is>
          <t>Alt. Std. 1</t>
        </is>
      </c>
      <c r="K74" s="139" t="n"/>
      <c r="L74" s="153">
        <f t="array" ref="L74">_xlfn.IFS(C81="Area of Section",Database!BM11,C81="Elastic Modulus x-x",Database!BM19)</f>
        <v/>
      </c>
    </row>
    <row r="75" ht="12.75" customHeight="1">
      <c r="C75" s="137" t="inlineStr">
        <is>
          <t>Bft</t>
        </is>
      </c>
      <c r="D75" s="137" t="inlineStr">
        <is>
          <t>=</t>
        </is>
      </c>
      <c r="E75" s="137" t="n">
        <v>150</v>
      </c>
      <c r="J75" s="137" t="inlineStr">
        <is>
          <t>Alt. Std. 2</t>
        </is>
      </c>
      <c r="K75" s="139" t="n"/>
      <c r="L75" s="153">
        <f t="array" ref="L75">_xlfn.IFS(C81="Area of Section",Database!BM12,C81="Elastic Modulus x-x",Database!BM20)</f>
        <v/>
      </c>
    </row>
    <row r="76" ht="12.75" customHeight="1">
      <c r="C76" s="137" t="inlineStr">
        <is>
          <t>Bfb</t>
        </is>
      </c>
      <c r="D76" s="137">
        <f>D78</f>
        <v/>
      </c>
      <c r="E76" s="137" t="n">
        <v>100</v>
      </c>
      <c r="J76" s="137" t="inlineStr">
        <is>
          <t>Alt. Std. 3</t>
        </is>
      </c>
      <c r="K76" s="139" t="n"/>
      <c r="L76" s="153">
        <f t="array" ref="L76">_xlfn.IFS(C81="Area of Section",Database!BM13,C81="Elastic Modulus x-x",Database!BM21)</f>
        <v/>
      </c>
    </row>
    <row r="77" ht="12.75" customHeight="1">
      <c r="C77" s="137" t="inlineStr">
        <is>
          <t>Tft</t>
        </is>
      </c>
      <c r="D77" s="137" t="inlineStr">
        <is>
          <t>=</t>
        </is>
      </c>
      <c r="E77" s="137" t="n">
        <v>20</v>
      </c>
      <c r="G77" s="137" t="n"/>
    </row>
    <row r="78" ht="12.75" customHeight="1">
      <c r="C78" s="137" t="inlineStr">
        <is>
          <t>Tfb</t>
        </is>
      </c>
      <c r="D78" s="137" t="inlineStr">
        <is>
          <t>=</t>
        </is>
      </c>
      <c r="E78" s="137" t="n">
        <v>10</v>
      </c>
    </row>
    <row r="79" ht="12.75" customHeight="1">
      <c r="C79" s="137" t="inlineStr">
        <is>
          <t>Tw</t>
        </is>
      </c>
      <c r="D79" s="137" t="inlineStr">
        <is>
          <t>=</t>
        </is>
      </c>
      <c r="E79" s="137" t="n">
        <v>20</v>
      </c>
    </row>
    <row r="81" ht="12.75" customHeight="1">
      <c r="B81" s="153" t="inlineStr">
        <is>
          <t>Similarity by:</t>
        </is>
      </c>
      <c r="C81" s="164" t="inlineStr">
        <is>
          <t>Area of Section</t>
        </is>
      </c>
      <c r="D81" s="138" t="n"/>
      <c r="E81" s="139" t="n"/>
    </row>
    <row r="82" ht="12.75" customHeight="1">
      <c r="B82" s="153" t="inlineStr">
        <is>
          <t>Yield Strength fy:</t>
        </is>
      </c>
      <c r="C82" s="137" t="n">
        <v>235</v>
      </c>
      <c r="D82" s="138" t="n"/>
      <c r="E82" s="139" t="n"/>
      <c r="F82" s="153" t="inlineStr">
        <is>
          <t>MPa</t>
        </is>
      </c>
    </row>
    <row r="83" ht="12.75" customHeight="1">
      <c r="B83" s="15" t="n"/>
      <c r="C83" s="96" t="n"/>
      <c r="D83" s="139" t="n"/>
      <c r="E83" s="49" t="inlineStr">
        <is>
          <t>Custom</t>
        </is>
      </c>
      <c r="G83" s="137" t="inlineStr">
        <is>
          <t>Alt. Std. 1</t>
        </is>
      </c>
      <c r="H83" s="139" t="n"/>
      <c r="I83" s="137" t="inlineStr">
        <is>
          <t>Alt. Std. 2</t>
        </is>
      </c>
      <c r="J83" s="139" t="n"/>
      <c r="K83" s="137" t="inlineStr">
        <is>
          <t>Alt. Std. 3</t>
        </is>
      </c>
      <c r="L83" s="139" t="n"/>
    </row>
    <row r="84" ht="12.75" customHeight="1">
      <c r="B84" s="59" t="inlineStr">
        <is>
          <t>Mass per Metre</t>
        </is>
      </c>
      <c r="C84" s="50" t="inlineStr">
        <is>
          <t>-</t>
        </is>
      </c>
      <c r="D84" s="38">
        <f>IF(C71="OTHERS", " ","=")</f>
        <v/>
      </c>
      <c r="E84" s="153">
        <f>Assym_DB!C4</f>
        <v/>
      </c>
      <c r="F84" s="49" t="inlineStr">
        <is>
          <t>kg/m</t>
        </is>
      </c>
      <c r="G84" s="153">
        <f>VLOOKUP(L74,Database!A4:C1021,3,FALSE)</f>
        <v/>
      </c>
      <c r="H84" s="49" t="inlineStr">
        <is>
          <t>kg/m</t>
        </is>
      </c>
      <c r="I84" s="153">
        <f>VLOOKUP(L75,Database!A4:C1021,3,FALSE)</f>
        <v/>
      </c>
      <c r="J84" s="49" t="inlineStr">
        <is>
          <t>kg/m</t>
        </is>
      </c>
      <c r="K84" s="153">
        <f>VLOOKUP(L76,Database!A4:C1021,3,FALSE)</f>
        <v/>
      </c>
      <c r="L84" s="49" t="inlineStr">
        <is>
          <t>kg/m</t>
        </is>
      </c>
    </row>
    <row r="85" ht="12.75" customHeight="1">
      <c r="B85" s="58" t="inlineStr">
        <is>
          <t>Depth</t>
        </is>
      </c>
      <c r="C85" s="50" t="inlineStr">
        <is>
          <t>D</t>
        </is>
      </c>
      <c r="D85" s="38">
        <f>IF(C72="OTHERS", " ","=")</f>
        <v/>
      </c>
      <c r="E85" s="153">
        <f>Assym_DB!D4</f>
        <v/>
      </c>
      <c r="F85" s="49" t="inlineStr">
        <is>
          <t>mm</t>
        </is>
      </c>
      <c r="G85" s="153">
        <f>VLOOKUP(L74,Database!A4:D1021,4,FALSE)</f>
        <v/>
      </c>
      <c r="H85" s="49" t="inlineStr">
        <is>
          <t>mm</t>
        </is>
      </c>
      <c r="I85" s="153">
        <f>VLOOKUP(L75,Database!A4:D1021,4,FALSE)</f>
        <v/>
      </c>
      <c r="J85" s="49" t="inlineStr">
        <is>
          <t>mm</t>
        </is>
      </c>
      <c r="K85" s="153">
        <f>VLOOKUP(L76,Database!A4:D1021,4,FALSE)</f>
        <v/>
      </c>
      <c r="L85" s="49" t="inlineStr">
        <is>
          <t>mm</t>
        </is>
      </c>
    </row>
    <row r="86" ht="12.75" customHeight="1">
      <c r="B86" s="64" t="inlineStr">
        <is>
          <t>Top Flange Breadth</t>
        </is>
      </c>
      <c r="C86" s="55" t="inlineStr">
        <is>
          <t>Bft</t>
        </is>
      </c>
      <c r="D86" s="38">
        <f>IF(C72="OTHERS", " ","=")</f>
        <v/>
      </c>
      <c r="E86" s="153">
        <f>Assym_DB!E4</f>
        <v/>
      </c>
      <c r="F86" s="49" t="inlineStr">
        <is>
          <t>mm</t>
        </is>
      </c>
      <c r="G86" s="153">
        <f>VLOOKUP(L74,Database!A4:E1021,5,FALSE)</f>
        <v/>
      </c>
      <c r="H86" s="49" t="inlineStr">
        <is>
          <t>mm</t>
        </is>
      </c>
      <c r="I86" s="153">
        <f>VLOOKUP(L75,Database!A4:E1021,5,FALSE)</f>
        <v/>
      </c>
      <c r="J86" s="49" t="inlineStr">
        <is>
          <t>mm</t>
        </is>
      </c>
      <c r="K86" s="153">
        <f>VLOOKUP(L76,Database!A4:E1021,5,FALSE)</f>
        <v/>
      </c>
      <c r="L86" s="49" t="inlineStr">
        <is>
          <t>mm</t>
        </is>
      </c>
    </row>
    <row r="87" ht="12.75" customHeight="1">
      <c r="B87" s="64" t="inlineStr">
        <is>
          <t>Bottom Flange Breadth</t>
        </is>
      </c>
      <c r="C87" s="55" t="inlineStr">
        <is>
          <t>Bfb</t>
        </is>
      </c>
      <c r="D87" s="38">
        <f>IF(C73="OTHERS", " ","=")</f>
        <v/>
      </c>
      <c r="E87" s="153">
        <f>Assym_DB!F4</f>
        <v/>
      </c>
      <c r="F87" s="49" t="inlineStr">
        <is>
          <t>mm</t>
        </is>
      </c>
      <c r="G87" s="153">
        <f>VLOOKUP(L74,Database!A4:E1021,5,FALSE)</f>
        <v/>
      </c>
      <c r="H87" s="49" t="inlineStr">
        <is>
          <t>mm</t>
        </is>
      </c>
      <c r="I87" s="153">
        <f>VLOOKUP(L75,Database!A4:E1021,5,FALSE)</f>
        <v/>
      </c>
      <c r="J87" s="49" t="inlineStr">
        <is>
          <t>mm</t>
        </is>
      </c>
      <c r="K87" s="153">
        <f>VLOOKUP(L76,Database!A4:E1021,5,FALSE)</f>
        <v/>
      </c>
      <c r="L87" s="49" t="inlineStr">
        <is>
          <t>mm</t>
        </is>
      </c>
    </row>
    <row r="88" ht="12.75" customHeight="1">
      <c r="B88" s="64" t="inlineStr">
        <is>
          <t>Top Flange Thickness</t>
        </is>
      </c>
      <c r="C88" s="63" t="inlineStr">
        <is>
          <t>Tft</t>
        </is>
      </c>
      <c r="D88" s="38">
        <f>IF(C74="OTHERS", " ","=")</f>
        <v/>
      </c>
      <c r="E88" s="153">
        <f>Assym_DB!G4</f>
        <v/>
      </c>
      <c r="F88" s="49" t="inlineStr">
        <is>
          <t>mm</t>
        </is>
      </c>
      <c r="G88" s="153">
        <f>VLOOKUP(L74,Database!A4:F1021,6,FALSE)</f>
        <v/>
      </c>
      <c r="H88" s="49" t="inlineStr">
        <is>
          <t>mm</t>
        </is>
      </c>
      <c r="I88" s="153">
        <f>VLOOKUP(L75,Database!A4:F1021,6,FALSE)</f>
        <v/>
      </c>
      <c r="J88" s="49" t="inlineStr">
        <is>
          <t>mm</t>
        </is>
      </c>
      <c r="K88" s="153">
        <f>VLOOKUP(L76,Database!A4:F1021,6,FALSE)</f>
        <v/>
      </c>
      <c r="L88" s="49" t="inlineStr">
        <is>
          <t>mm</t>
        </is>
      </c>
    </row>
    <row r="89" ht="12.75" customHeight="1">
      <c r="B89" s="64" t="inlineStr">
        <is>
          <t>Bottom Flange Thickness</t>
        </is>
      </c>
      <c r="C89" s="63" t="inlineStr">
        <is>
          <t>Tfb</t>
        </is>
      </c>
      <c r="D89" s="38">
        <f>IF(C75="OTHERS", " ","=")</f>
        <v/>
      </c>
      <c r="E89" s="153">
        <f>Assym_DB!H4</f>
        <v/>
      </c>
      <c r="F89" s="49" t="inlineStr">
        <is>
          <t>mm</t>
        </is>
      </c>
      <c r="G89" s="153">
        <f>VLOOKUP(L74,Database!A4:F1021,6,FALSE)</f>
        <v/>
      </c>
      <c r="H89" s="49" t="inlineStr">
        <is>
          <t>mm</t>
        </is>
      </c>
      <c r="I89" s="153">
        <f>VLOOKUP(L75,Database!A4:F1021,6,FALSE)</f>
        <v/>
      </c>
      <c r="J89" s="49" t="inlineStr">
        <is>
          <t>mm</t>
        </is>
      </c>
      <c r="K89" s="153">
        <f>VLOOKUP(L76,Database!A4:F1021,6,FALSE)</f>
        <v/>
      </c>
      <c r="L89" s="49" t="inlineStr">
        <is>
          <t>mm</t>
        </is>
      </c>
    </row>
    <row r="90" ht="12.75" customHeight="1">
      <c r="B90" s="59" t="inlineStr">
        <is>
          <t>Web Thickness</t>
        </is>
      </c>
      <c r="C90" s="51" t="inlineStr">
        <is>
          <t>Tw</t>
        </is>
      </c>
      <c r="D90" s="37">
        <f>IF(C72="OTHERS", " ","=")</f>
        <v/>
      </c>
      <c r="E90" s="153">
        <f>Assym_DB!I4</f>
        <v/>
      </c>
      <c r="F90" s="49" t="inlineStr">
        <is>
          <t>mm</t>
        </is>
      </c>
      <c r="G90" s="153">
        <f>VLOOKUP(L74,Database!A4:G1021,7,FALSE)</f>
        <v/>
      </c>
      <c r="H90" s="49" t="inlineStr">
        <is>
          <t>mm</t>
        </is>
      </c>
      <c r="I90" s="153">
        <f>VLOOKUP(L75,Database!A4:G1021,7,FALSE)</f>
        <v/>
      </c>
      <c r="J90" s="49" t="inlineStr">
        <is>
          <t>mm</t>
        </is>
      </c>
      <c r="K90" s="153">
        <f>VLOOKUP(L76,Database!A4:G1021,7,FALSE)</f>
        <v/>
      </c>
      <c r="L90" s="49" t="inlineStr">
        <is>
          <t>mm</t>
        </is>
      </c>
    </row>
    <row r="91" ht="12.75" customHeight="1">
      <c r="B91" s="59" t="inlineStr">
        <is>
          <t>Root Radius</t>
        </is>
      </c>
      <c r="C91" s="50" t="inlineStr">
        <is>
          <t>r</t>
        </is>
      </c>
      <c r="D91" s="37" t="inlineStr">
        <is>
          <t>=</t>
        </is>
      </c>
      <c r="E91" s="91">
        <f>Database!H1022</f>
        <v/>
      </c>
      <c r="F91" s="49" t="inlineStr">
        <is>
          <t>mm</t>
        </is>
      </c>
      <c r="G91" s="153">
        <f>VLOOKUP(L74,Database!A4:H1021,8,FALSE)</f>
        <v/>
      </c>
      <c r="H91" s="49" t="inlineStr">
        <is>
          <t>mm</t>
        </is>
      </c>
      <c r="I91" s="153">
        <f>VLOOKUP(L75,Database!A4:H1021,8,FALSE)</f>
        <v/>
      </c>
      <c r="J91" s="49" t="inlineStr">
        <is>
          <t>mm</t>
        </is>
      </c>
      <c r="K91" s="153">
        <f>VLOOKUP(L76,Database!A4:H1021,8,FALSE)</f>
        <v/>
      </c>
      <c r="L91" s="49" t="inlineStr">
        <is>
          <t>mm</t>
        </is>
      </c>
    </row>
    <row r="92" ht="12.75" customHeight="1">
      <c r="B92" s="59" t="inlineStr">
        <is>
          <t>Toe Fillet Distance</t>
        </is>
      </c>
      <c r="C92" s="50" t="inlineStr">
        <is>
          <t>d</t>
        </is>
      </c>
      <c r="D92" s="38">
        <f>IF(C72="OTHERS", " ","=")</f>
        <v/>
      </c>
      <c r="E92" s="153">
        <f>Assym_DB!J4</f>
        <v/>
      </c>
      <c r="F92" s="49" t="inlineStr">
        <is>
          <t>mm</t>
        </is>
      </c>
      <c r="G92" s="153">
        <f>VLOOKUP(L74,Database!A4:I1021,9,FALSE)</f>
        <v/>
      </c>
      <c r="H92" s="49" t="inlineStr">
        <is>
          <t>mm</t>
        </is>
      </c>
      <c r="I92" s="153">
        <f>VLOOKUP(L75,Database!A4:I1021,9,FALSE)</f>
        <v/>
      </c>
      <c r="J92" s="49" t="inlineStr">
        <is>
          <t>mm</t>
        </is>
      </c>
      <c r="K92" s="153">
        <f>VLOOKUP(L76,Database!A4:I1021,9,FALSE)</f>
        <v/>
      </c>
      <c r="L92" s="49" t="inlineStr">
        <is>
          <t>mm</t>
        </is>
      </c>
    </row>
    <row r="93" ht="12.75" customHeight="1">
      <c r="B93" s="59" t="inlineStr">
        <is>
          <t>Area of Section</t>
        </is>
      </c>
      <c r="C93" s="50" t="inlineStr">
        <is>
          <t>A</t>
        </is>
      </c>
      <c r="D93" s="38" t="inlineStr">
        <is>
          <t>=</t>
        </is>
      </c>
      <c r="E93" s="153">
        <f>Assym_DB!K4</f>
        <v/>
      </c>
      <c r="F93" s="49" t="inlineStr">
        <is>
          <t>cm2</t>
        </is>
      </c>
      <c r="G93" s="153">
        <f>VLOOKUP(L74,Database!A4:J1021,10,FALSE)</f>
        <v/>
      </c>
      <c r="H93" s="49" t="inlineStr">
        <is>
          <t>cm2</t>
        </is>
      </c>
      <c r="I93" s="153">
        <f>VLOOKUP(L75,Database!A4:J1021,10,FALSE)</f>
        <v/>
      </c>
      <c r="J93" s="49" t="inlineStr">
        <is>
          <t>cm2</t>
        </is>
      </c>
      <c r="K93" s="153">
        <f>VLOOKUP(L76,Database!A4:J1021,10,FALSE)</f>
        <v/>
      </c>
      <c r="L93" s="49" t="inlineStr">
        <is>
          <t>cm2</t>
        </is>
      </c>
    </row>
    <row r="94" ht="12.75" customHeight="1">
      <c r="B94" s="59" t="inlineStr">
        <is>
          <t>Surface Area /m</t>
        </is>
      </c>
      <c r="C94" s="50" t="inlineStr">
        <is>
          <t>-</t>
        </is>
      </c>
      <c r="D94" s="38">
        <f>IF(K73="OTHERS", " ","=")</f>
        <v/>
      </c>
      <c r="E94" s="153">
        <f>Assym_DB!N4</f>
        <v/>
      </c>
      <c r="F94" s="49" t="inlineStr">
        <is>
          <t>m2</t>
        </is>
      </c>
      <c r="G94" s="153">
        <f>VLOOKUP(L74,Database!A4:M1021,13,FALSE)</f>
        <v/>
      </c>
      <c r="H94" s="49" t="inlineStr">
        <is>
          <t>m2</t>
        </is>
      </c>
      <c r="I94" s="153">
        <f>VLOOKUP(L75,Database!A4:M1021,13,FALSE)</f>
        <v/>
      </c>
      <c r="J94" s="49" t="inlineStr">
        <is>
          <t>m2</t>
        </is>
      </c>
      <c r="K94" s="153">
        <f>VLOOKUP(L76,Database!A4:M1021,13,FALSE)</f>
        <v/>
      </c>
      <c r="L94" s="49" t="inlineStr">
        <is>
          <t>m2</t>
        </is>
      </c>
    </row>
    <row r="95" ht="12.75" customHeight="1">
      <c r="B95" s="57" t="inlineStr">
        <is>
          <t>Second Moment Of Area (X)</t>
        </is>
      </c>
      <c r="C95" s="52" t="inlineStr">
        <is>
          <t>Ix</t>
        </is>
      </c>
      <c r="D95" s="38">
        <f>IF(K73="OTHERS", " ","=")</f>
        <v/>
      </c>
      <c r="E95" s="153">
        <f>Assym_DB!O4</f>
        <v/>
      </c>
      <c r="F95" s="44" t="inlineStr">
        <is>
          <t xml:space="preserve">cm4 </t>
        </is>
      </c>
      <c r="G95" s="153">
        <f>VLOOKUP(L74,Database!A4:N1021,14,FALSE)</f>
        <v/>
      </c>
      <c r="H95" s="44" t="inlineStr">
        <is>
          <t xml:space="preserve">cm4 </t>
        </is>
      </c>
      <c r="I95" s="153">
        <f>VLOOKUP(L75,Database!A4:N1021,14,FALSE)</f>
        <v/>
      </c>
      <c r="J95" s="44" t="inlineStr">
        <is>
          <t xml:space="preserve">cm4 </t>
        </is>
      </c>
      <c r="K95" s="153">
        <f>VLOOKUP(L76,Database!A4:N1021,14,FALSE)</f>
        <v/>
      </c>
      <c r="L95" s="44" t="inlineStr">
        <is>
          <t xml:space="preserve">cm4 </t>
        </is>
      </c>
    </row>
    <row r="96" ht="12.75" customHeight="1">
      <c r="B96" s="57" t="inlineStr">
        <is>
          <t>Second Moment Of Area (Y)</t>
        </is>
      </c>
      <c r="C96" s="52" t="inlineStr">
        <is>
          <t>Iy</t>
        </is>
      </c>
      <c r="D96" s="36">
        <f>IF(K73="OTHERS", " ","=")</f>
        <v/>
      </c>
      <c r="E96" s="153">
        <f>Assym_DB!P4</f>
        <v/>
      </c>
      <c r="F96" s="44" t="inlineStr">
        <is>
          <t xml:space="preserve">cm4 </t>
        </is>
      </c>
      <c r="G96" s="153">
        <f>VLOOKUP(L74,Database!A4:O1021,15,FALSE)</f>
        <v/>
      </c>
      <c r="H96" s="44" t="inlineStr">
        <is>
          <t xml:space="preserve">cm4 </t>
        </is>
      </c>
      <c r="I96" s="153">
        <f>VLOOKUP(L75,Database!A4:O1021,15,FALSE)</f>
        <v/>
      </c>
      <c r="J96" s="44" t="inlineStr">
        <is>
          <t xml:space="preserve">cm4 </t>
        </is>
      </c>
      <c r="K96" s="153">
        <f>VLOOKUP(L76,Database!A4:O1021,15,FALSE)</f>
        <v/>
      </c>
      <c r="L96" s="44" t="inlineStr">
        <is>
          <t xml:space="preserve">cm4 </t>
        </is>
      </c>
    </row>
    <row r="97" ht="12.75" customHeight="1">
      <c r="B97" s="62" t="inlineStr">
        <is>
          <t>Radius Of Gyration (X)</t>
        </is>
      </c>
      <c r="C97" s="53" t="inlineStr">
        <is>
          <t xml:space="preserve">rx </t>
        </is>
      </c>
      <c r="D97" s="38" t="inlineStr">
        <is>
          <t>=</t>
        </is>
      </c>
      <c r="E97" s="153">
        <f>Assym_DB!Q4</f>
        <v/>
      </c>
      <c r="F97" s="42" t="inlineStr">
        <is>
          <t>cm</t>
        </is>
      </c>
      <c r="G97" s="153">
        <f>VLOOKUP(L74,Database!A4:P1021,16,FALSE)</f>
        <v/>
      </c>
      <c r="H97" s="42" t="inlineStr">
        <is>
          <t>cm</t>
        </is>
      </c>
      <c r="I97" s="153">
        <f>VLOOKUP(L75,Database!A4:P1021,16,FALSE)</f>
        <v/>
      </c>
      <c r="J97" s="42" t="inlineStr">
        <is>
          <t>cm</t>
        </is>
      </c>
      <c r="K97" s="153">
        <f>VLOOKUP(L76,Database!A4:P1021,16,FALSE)</f>
        <v/>
      </c>
      <c r="L97" s="42" t="inlineStr">
        <is>
          <t>cm</t>
        </is>
      </c>
    </row>
    <row r="98" ht="12.75" customHeight="1">
      <c r="B98" s="62" t="inlineStr">
        <is>
          <t>Radius Of Gyration (Y)</t>
        </is>
      </c>
      <c r="C98" s="53" t="inlineStr">
        <is>
          <t xml:space="preserve">ry </t>
        </is>
      </c>
      <c r="D98" s="37">
        <f>IF(K76="OTHERS", " ","=")</f>
        <v/>
      </c>
      <c r="E98" s="153">
        <f>Assym_DB!R4</f>
        <v/>
      </c>
      <c r="F98" s="40" t="inlineStr">
        <is>
          <t>cm</t>
        </is>
      </c>
      <c r="G98" s="153">
        <f>VLOOKUP(L74,Database!A4:Q1021,17,FALSE)</f>
        <v/>
      </c>
      <c r="H98" s="40" t="inlineStr">
        <is>
          <t>cm</t>
        </is>
      </c>
      <c r="I98" s="153">
        <f>VLOOKUP(L75,Database!A4:Q1021,17,FALSE)</f>
        <v/>
      </c>
      <c r="J98" s="40" t="inlineStr">
        <is>
          <t>cm</t>
        </is>
      </c>
      <c r="K98" s="153">
        <f>VLOOKUP(L76,Database!A4:Q1021,17,FALSE)</f>
        <v/>
      </c>
      <c r="L98" s="40" t="inlineStr">
        <is>
          <t>cm</t>
        </is>
      </c>
    </row>
    <row r="99" ht="12.75" customHeight="1">
      <c r="B99" s="60" t="inlineStr">
        <is>
          <t>Elastic Modulus (X)</t>
        </is>
      </c>
      <c r="C99" s="54" t="inlineStr">
        <is>
          <t>Sex</t>
        </is>
      </c>
      <c r="D99" s="37">
        <f>IF(K77="OTHERS", " ","=")</f>
        <v/>
      </c>
      <c r="E99" s="153">
        <f>Assym_DB!S4</f>
        <v/>
      </c>
      <c r="F99" s="42" t="inlineStr">
        <is>
          <t>cm3</t>
        </is>
      </c>
      <c r="G99" s="153">
        <f>VLOOKUP(L74,Database!A4:R1021,18,FALSE)</f>
        <v/>
      </c>
      <c r="H99" s="42" t="inlineStr">
        <is>
          <t>cm3</t>
        </is>
      </c>
      <c r="I99" s="153">
        <f>VLOOKUP(L75,Database!A4:R1021,18,FALSE)</f>
        <v/>
      </c>
      <c r="J99" s="42" t="inlineStr">
        <is>
          <t>cm3</t>
        </is>
      </c>
      <c r="K99" s="153">
        <f>VLOOKUP(L76,Database!A4:R1021,18,FALSE)</f>
        <v/>
      </c>
      <c r="L99" s="42" t="inlineStr">
        <is>
          <t>cm3</t>
        </is>
      </c>
    </row>
    <row r="100" ht="12.75" customHeight="1">
      <c r="B100" s="60" t="inlineStr">
        <is>
          <t>Elastic Modulus (Y)</t>
        </is>
      </c>
      <c r="C100" s="54" t="inlineStr">
        <is>
          <t>Sey</t>
        </is>
      </c>
      <c r="D100" s="37">
        <f>IF(C94="OTHERS", " ","=")</f>
        <v/>
      </c>
      <c r="E100" s="153">
        <f>Assym_DB!T4</f>
        <v/>
      </c>
      <c r="F100" s="42" t="inlineStr">
        <is>
          <t>cm3</t>
        </is>
      </c>
      <c r="G100" s="153">
        <f>VLOOKUP(L74,Database!A4:S1021,19,FALSE)</f>
        <v/>
      </c>
      <c r="H100" s="42" t="inlineStr">
        <is>
          <t>cm3</t>
        </is>
      </c>
      <c r="I100" s="153">
        <f>VLOOKUP(L75,Database!A4:S1021,19,FALSE)</f>
        <v/>
      </c>
      <c r="J100" s="42" t="inlineStr">
        <is>
          <t>cm3</t>
        </is>
      </c>
      <c r="K100" s="153">
        <f>VLOOKUP(L76,Database!A4:S1021,19,FALSE)</f>
        <v/>
      </c>
      <c r="L100" s="42" t="inlineStr">
        <is>
          <t>cm3</t>
        </is>
      </c>
    </row>
    <row r="101" ht="12.75" customHeight="1">
      <c r="B101" s="61" t="inlineStr">
        <is>
          <t>Plastic Modulus (X)</t>
        </is>
      </c>
      <c r="C101" s="54" t="inlineStr">
        <is>
          <t>Zpx</t>
        </is>
      </c>
      <c r="D101" s="37">
        <f>IF(C95="OTHERS", " ","=")</f>
        <v/>
      </c>
      <c r="E101" s="153">
        <f>Assym_DB!U4</f>
        <v/>
      </c>
      <c r="F101" s="42" t="inlineStr">
        <is>
          <t>cm3</t>
        </is>
      </c>
      <c r="G101" s="153">
        <f>VLOOKUP(L74,Database!A4:T1021,20,FALSE)</f>
        <v/>
      </c>
      <c r="H101" s="42" t="inlineStr">
        <is>
          <t>cm3</t>
        </is>
      </c>
      <c r="I101" s="153">
        <f>VLOOKUP(L75,Database!A4:T1021,20,FALSE)</f>
        <v/>
      </c>
      <c r="J101" s="42" t="inlineStr">
        <is>
          <t>cm3</t>
        </is>
      </c>
      <c r="K101" s="153">
        <f>VLOOKUP(L76,Database!A4:T1021,20,FALSE)</f>
        <v/>
      </c>
      <c r="L101" s="42" t="inlineStr">
        <is>
          <t>cm3</t>
        </is>
      </c>
    </row>
    <row r="102" ht="12.75" customHeight="1">
      <c r="B102" s="61" t="inlineStr">
        <is>
          <t>Plastic Modulus (Y)</t>
        </is>
      </c>
      <c r="C102" s="54" t="inlineStr">
        <is>
          <t>Zpy</t>
        </is>
      </c>
      <c r="D102" s="37">
        <f>IF(C96="OTHERS", " ","=")</f>
        <v/>
      </c>
      <c r="E102" s="153">
        <f>Assym_DB!V4</f>
        <v/>
      </c>
      <c r="F102" s="68" t="inlineStr">
        <is>
          <t>cm3</t>
        </is>
      </c>
      <c r="G102" s="153">
        <f>VLOOKUP(L74,Database!A4:U1021,21,FALSE)</f>
        <v/>
      </c>
      <c r="H102" s="68" t="inlineStr">
        <is>
          <t>cm3</t>
        </is>
      </c>
      <c r="I102" s="153">
        <f>VLOOKUP(L75,Database!A4:U1021,21,FALSE)</f>
        <v/>
      </c>
      <c r="J102" s="68" t="inlineStr">
        <is>
          <t>cm3</t>
        </is>
      </c>
      <c r="K102" s="153">
        <f>VLOOKUP(L76,Database!A4:U1021,21,FALSE)</f>
        <v/>
      </c>
      <c r="L102" s="68" t="inlineStr">
        <is>
          <t>cm3</t>
        </is>
      </c>
    </row>
    <row r="103" ht="12.75" customHeight="1">
      <c r="B103" s="57" t="inlineStr">
        <is>
          <t>Flange Ratios 
For Local Buckling</t>
        </is>
      </c>
      <c r="C103" s="50" t="inlineStr">
        <is>
          <t>b/T</t>
        </is>
      </c>
      <c r="D103" s="37">
        <f>IF(C76="OTHERS", " ","=")</f>
        <v/>
      </c>
      <c r="E103" s="153">
        <f>Assym_DB!L4</f>
        <v/>
      </c>
      <c r="F103" s="74" t="inlineStr">
        <is>
          <t>-</t>
        </is>
      </c>
      <c r="G103" s="153">
        <f>VLOOKUP(L74,Database!A4:K1021,11,FALSE)</f>
        <v/>
      </c>
      <c r="H103" s="74" t="inlineStr">
        <is>
          <t>-</t>
        </is>
      </c>
      <c r="I103" s="153">
        <f>VLOOKUP(L75,Database!A4:K1021,11,FALSE)</f>
        <v/>
      </c>
      <c r="J103" s="74" t="inlineStr">
        <is>
          <t>-</t>
        </is>
      </c>
      <c r="K103" s="153">
        <f>VLOOKUP(L76,Database!A4:K1021,11,FALSE)</f>
        <v/>
      </c>
      <c r="L103" s="74" t="inlineStr">
        <is>
          <t>-</t>
        </is>
      </c>
    </row>
    <row r="104" ht="12.75" customHeight="1">
      <c r="B104" s="57" t="inlineStr">
        <is>
          <t>Web Ratios 
For Local Buckling</t>
        </is>
      </c>
      <c r="C104" s="50" t="inlineStr">
        <is>
          <t>d/t</t>
        </is>
      </c>
      <c r="D104" s="37">
        <f>IF(C80="OTHERS", " ","=")</f>
        <v/>
      </c>
      <c r="E104" s="153">
        <f>Assym_DB!M4</f>
        <v/>
      </c>
      <c r="F104" s="74" t="inlineStr">
        <is>
          <t>-</t>
        </is>
      </c>
      <c r="G104" s="153">
        <f>VLOOKUP(L74,Database!A4:L1021,12,FALSE)</f>
        <v/>
      </c>
      <c r="H104" s="74" t="inlineStr">
        <is>
          <t>-</t>
        </is>
      </c>
      <c r="I104" s="153">
        <f>VLOOKUP(L75,Database!A4:L1021,12,FALSE)</f>
        <v/>
      </c>
      <c r="J104" s="74" t="inlineStr">
        <is>
          <t>-</t>
        </is>
      </c>
      <c r="K104" s="153">
        <f>VLOOKUP(L76,Database!A4:L1021,12,FALSE)</f>
        <v/>
      </c>
      <c r="L104" s="74" t="inlineStr">
        <is>
          <t>-</t>
        </is>
      </c>
    </row>
    <row r="105" ht="12.75" customHeight="1">
      <c r="B105" s="58" t="inlineStr">
        <is>
          <t>Web Section Class.</t>
        </is>
      </c>
      <c r="C105" s="50" t="inlineStr">
        <is>
          <t>-</t>
        </is>
      </c>
      <c r="D105" s="38" t="inlineStr">
        <is>
          <t>=</t>
        </is>
      </c>
      <c r="E105" s="153">
        <f>Assym_DB!W4</f>
        <v/>
      </c>
      <c r="F105" s="74" t="inlineStr">
        <is>
          <t>-</t>
        </is>
      </c>
      <c r="G105" s="153">
        <f>VLOOKUP(L74,Database!A4:X1021,24,FALSE)</f>
        <v/>
      </c>
      <c r="H105" s="74" t="inlineStr">
        <is>
          <t>-</t>
        </is>
      </c>
      <c r="I105" s="153">
        <f>VLOOKUP(L75,Database!A4:X1021,24,FALSE)</f>
        <v/>
      </c>
      <c r="J105" s="74" t="inlineStr">
        <is>
          <t>-</t>
        </is>
      </c>
      <c r="K105" s="153">
        <f>VLOOKUP(L76,Database!A4:X1021,24,FALSE)</f>
        <v/>
      </c>
      <c r="L105" s="74" t="inlineStr">
        <is>
          <t>-</t>
        </is>
      </c>
    </row>
    <row r="106" ht="12.75" customHeight="1">
      <c r="B106" s="58" t="inlineStr">
        <is>
          <t>Flange Section Class.</t>
        </is>
      </c>
      <c r="C106" s="50" t="inlineStr">
        <is>
          <t>-</t>
        </is>
      </c>
      <c r="D106" s="38" t="inlineStr">
        <is>
          <t>=</t>
        </is>
      </c>
      <c r="E106" s="153">
        <f>Assym_DB!X4</f>
        <v/>
      </c>
      <c r="F106" s="74" t="inlineStr">
        <is>
          <t>-</t>
        </is>
      </c>
      <c r="G106" s="153">
        <f>VLOOKUP(L74,Database!A4:Y1021,25,FALSE)</f>
        <v/>
      </c>
      <c r="H106" s="74" t="inlineStr">
        <is>
          <t>-</t>
        </is>
      </c>
      <c r="I106" s="153">
        <f>VLOOKUP(L75,Database!A4:Y1021,25,FALSE)</f>
        <v/>
      </c>
      <c r="J106" s="74" t="inlineStr">
        <is>
          <t>-</t>
        </is>
      </c>
      <c r="K106" s="153">
        <f>VLOOKUP(L76,Database!A4:Y1021,25,FALSE)</f>
        <v/>
      </c>
      <c r="L106" s="74" t="inlineStr">
        <is>
          <t>-</t>
        </is>
      </c>
    </row>
    <row r="109" ht="18.5" customHeight="1">
      <c r="C109" s="100" t="inlineStr">
        <is>
          <t>Custom Boxed Up I-Beam Section</t>
        </is>
      </c>
      <c r="D109" s="97" t="n"/>
      <c r="E109" s="98" t="n"/>
    </row>
    <row r="110" ht="12.75" customHeight="1">
      <c r="C110" s="137" t="inlineStr">
        <is>
          <t>D</t>
        </is>
      </c>
      <c r="D110" s="137" t="inlineStr">
        <is>
          <t>=</t>
        </is>
      </c>
      <c r="E110" s="137" t="n">
        <v>200</v>
      </c>
      <c r="J110" s="137" t="inlineStr">
        <is>
          <t>Alt. Std. 1</t>
        </is>
      </c>
      <c r="K110" s="139" t="n"/>
      <c r="L110" s="153">
        <f t="array" ref="L110">_xlfn.IFS(C116="Area of Section",Database!BT11,C116="Elastic Modulus x-x",Database!BT19)</f>
        <v/>
      </c>
    </row>
    <row r="111" ht="12.75" customHeight="1">
      <c r="C111" s="137" t="inlineStr">
        <is>
          <t>Bf</t>
        </is>
      </c>
      <c r="D111" s="137" t="inlineStr">
        <is>
          <t>=</t>
        </is>
      </c>
      <c r="E111" s="137" t="n">
        <v>150</v>
      </c>
      <c r="J111" s="137" t="inlineStr">
        <is>
          <t>Alt. Std. 2</t>
        </is>
      </c>
      <c r="K111" s="139" t="n"/>
      <c r="L111" s="153">
        <f t="array" ref="L111">_xlfn.IFS(C116="Area of Section",Database!BT12,C116="Elastic Modulus x-x",Database!BT20)</f>
        <v/>
      </c>
    </row>
    <row r="112" ht="12.75" customHeight="1">
      <c r="C112" s="137" t="inlineStr">
        <is>
          <t>Tf</t>
        </is>
      </c>
      <c r="D112" s="137" t="inlineStr">
        <is>
          <t>=</t>
        </is>
      </c>
      <c r="E112" s="137" t="n">
        <v>20</v>
      </c>
      <c r="G112" s="137" t="n"/>
      <c r="J112" s="137" t="inlineStr">
        <is>
          <t>Alt. Std. 3</t>
        </is>
      </c>
      <c r="K112" s="139" t="n"/>
      <c r="L112" s="153">
        <f t="array" ref="L112">_xlfn.IFS(C116="Area of Section",Database!BT13,C116="Elastic Modulus x-x",Database!BT21)</f>
        <v/>
      </c>
    </row>
    <row r="113" ht="12.75" customHeight="1">
      <c r="C113" s="137" t="inlineStr">
        <is>
          <t>Tc</t>
        </is>
      </c>
      <c r="D113" s="137" t="inlineStr">
        <is>
          <t>=</t>
        </is>
      </c>
      <c r="E113" s="137" t="n">
        <v>10</v>
      </c>
    </row>
    <row r="114" ht="12.75" customHeight="1">
      <c r="C114" s="137" t="inlineStr">
        <is>
          <t>To</t>
        </is>
      </c>
      <c r="D114" s="137" t="inlineStr">
        <is>
          <t>=</t>
        </is>
      </c>
      <c r="E114" s="137" t="n">
        <v>20</v>
      </c>
    </row>
    <row r="116" ht="12.75" customHeight="1">
      <c r="B116" s="153" t="inlineStr">
        <is>
          <t>Similarity by:</t>
        </is>
      </c>
      <c r="C116" s="164" t="inlineStr">
        <is>
          <t>Elastic Modulus x-x</t>
        </is>
      </c>
      <c r="D116" s="138" t="n"/>
      <c r="E116" s="139" t="n"/>
    </row>
    <row r="117" ht="12.75" customHeight="1">
      <c r="B117" s="153" t="inlineStr">
        <is>
          <t>Yield Strength fy:</t>
        </is>
      </c>
      <c r="C117" s="137" t="n">
        <v>275</v>
      </c>
      <c r="D117" s="138" t="n"/>
      <c r="E117" s="139" t="n"/>
      <c r="F117" s="153" t="inlineStr">
        <is>
          <t>MPa</t>
        </is>
      </c>
    </row>
    <row r="118" ht="12.75" customHeight="1">
      <c r="B118" s="15" t="n"/>
      <c r="C118" s="96" t="n"/>
      <c r="D118" s="139" t="n"/>
      <c r="E118" s="49" t="inlineStr">
        <is>
          <t>Custom</t>
        </is>
      </c>
      <c r="G118" s="137" t="inlineStr">
        <is>
          <t>Alt. Std. 1</t>
        </is>
      </c>
      <c r="H118" s="139" t="n"/>
      <c r="I118" s="137" t="inlineStr">
        <is>
          <t>Alt. Std. 2</t>
        </is>
      </c>
      <c r="J118" s="139" t="n"/>
      <c r="K118" s="137" t="inlineStr">
        <is>
          <t>Alt. Std. 3</t>
        </is>
      </c>
      <c r="L118" s="139" t="n"/>
    </row>
    <row r="119" ht="12.75" customHeight="1">
      <c r="B119" s="59" t="inlineStr">
        <is>
          <t>Mass per Metre</t>
        </is>
      </c>
      <c r="C119" s="50" t="inlineStr">
        <is>
          <t>-</t>
        </is>
      </c>
      <c r="D119" s="38" t="inlineStr">
        <is>
          <t>=</t>
        </is>
      </c>
      <c r="E119" s="153" t="inlineStr">
        <is>
          <t>-</t>
        </is>
      </c>
      <c r="F119" s="49" t="inlineStr">
        <is>
          <t>kg/m</t>
        </is>
      </c>
      <c r="G119" s="153">
        <f>VLOOKUP(L110,Database!A4:C1021,3,FALSE)</f>
        <v/>
      </c>
      <c r="H119" s="49" t="inlineStr">
        <is>
          <t>kg/m</t>
        </is>
      </c>
      <c r="I119" s="91">
        <f>VLOOKUP(L111,Database!A4:C1021,3,FALSE)</f>
        <v/>
      </c>
      <c r="J119" s="49" t="inlineStr">
        <is>
          <t>kg/m</t>
        </is>
      </c>
      <c r="K119" s="91">
        <f>VLOOKUP(L112,Database!A4:C1021,3,FALSE)</f>
        <v/>
      </c>
      <c r="L119" s="49" t="inlineStr">
        <is>
          <t>kg/m</t>
        </is>
      </c>
    </row>
    <row r="120" ht="12.75" customHeight="1">
      <c r="B120" s="58" t="inlineStr">
        <is>
          <t>Depth</t>
        </is>
      </c>
      <c r="C120" s="50" t="inlineStr">
        <is>
          <t>D</t>
        </is>
      </c>
      <c r="D120" s="38" t="inlineStr">
        <is>
          <t>=</t>
        </is>
      </c>
      <c r="E120" s="153">
        <f>Boxed_Up_DB!$B$4</f>
        <v/>
      </c>
      <c r="F120" s="49" t="inlineStr">
        <is>
          <t>mm</t>
        </is>
      </c>
      <c r="G120" s="153">
        <f>VLOOKUP(L110,Database!A4:D1021,4,FALSE)</f>
        <v/>
      </c>
      <c r="H120" s="49" t="inlineStr">
        <is>
          <t>mm</t>
        </is>
      </c>
      <c r="I120" s="153">
        <f>VLOOKUP(L111,Database!A4:D1021,4,FALSE)</f>
        <v/>
      </c>
      <c r="J120" s="49" t="inlineStr">
        <is>
          <t>mm</t>
        </is>
      </c>
      <c r="K120" s="153">
        <f>VLOOKUP(L112,Database!A4:D1021,4,FALSE)</f>
        <v/>
      </c>
      <c r="L120" s="49" t="inlineStr">
        <is>
          <t>mm</t>
        </is>
      </c>
    </row>
    <row r="121" ht="12.75" customHeight="1">
      <c r="B121" s="64" t="inlineStr">
        <is>
          <t>Flange Breadth</t>
        </is>
      </c>
      <c r="C121" s="55" t="inlineStr">
        <is>
          <t>Bf</t>
        </is>
      </c>
      <c r="D121" s="38" t="inlineStr">
        <is>
          <t>=</t>
        </is>
      </c>
      <c r="E121" s="153">
        <f>Boxed_Up_DB!C4</f>
        <v/>
      </c>
      <c r="F121" s="49" t="inlineStr">
        <is>
          <t>mm</t>
        </is>
      </c>
      <c r="G121" s="153">
        <f>VLOOKUP(L110,Database!A4:E1021,5,FALSE)</f>
        <v/>
      </c>
      <c r="H121" s="49" t="inlineStr">
        <is>
          <t>mm</t>
        </is>
      </c>
      <c r="I121" s="153">
        <f>VLOOKUP(L111,Database!A4:E1021,5,FALSE)</f>
        <v/>
      </c>
      <c r="J121" s="49" t="inlineStr">
        <is>
          <t>mm</t>
        </is>
      </c>
      <c r="K121" s="153">
        <f>VLOOKUP(L112,Database!A4:E1021,5,FALSE)</f>
        <v/>
      </c>
      <c r="L121" s="49" t="inlineStr">
        <is>
          <t>mm</t>
        </is>
      </c>
    </row>
    <row r="122" ht="12.75" customHeight="1">
      <c r="B122" s="64" t="inlineStr">
        <is>
          <t>Flange Thickness</t>
        </is>
      </c>
      <c r="C122" s="63" t="inlineStr">
        <is>
          <t>Tf</t>
        </is>
      </c>
      <c r="D122" s="38" t="inlineStr">
        <is>
          <t>=</t>
        </is>
      </c>
      <c r="E122" s="153">
        <f>Boxed_Up_DB!D4</f>
        <v/>
      </c>
      <c r="F122" s="49" t="inlineStr">
        <is>
          <t>mm</t>
        </is>
      </c>
      <c r="G122" s="153">
        <f>VLOOKUP(L110,Database!A4:F1021,6,FALSE)</f>
        <v/>
      </c>
      <c r="H122" s="49" t="inlineStr">
        <is>
          <t>mm</t>
        </is>
      </c>
      <c r="I122" s="153">
        <f>VLOOKUP(L111,Database!A4:F1021,6,FALSE)</f>
        <v/>
      </c>
      <c r="J122" s="49" t="inlineStr">
        <is>
          <t>mm</t>
        </is>
      </c>
      <c r="K122" s="153">
        <f>VLOOKUP(L112,Database!A4:F1021,6,FALSE)</f>
        <v/>
      </c>
      <c r="L122" s="49" t="inlineStr">
        <is>
          <t>mm</t>
        </is>
      </c>
    </row>
    <row r="123" ht="12.75" customHeight="1">
      <c r="B123" s="59" t="inlineStr">
        <is>
          <t>Center Web Thickness</t>
        </is>
      </c>
      <c r="C123" s="51" t="inlineStr">
        <is>
          <t>Tc</t>
        </is>
      </c>
      <c r="D123" s="38" t="inlineStr">
        <is>
          <t>=</t>
        </is>
      </c>
      <c r="E123" s="153">
        <f>Boxed_Up_DB!E4</f>
        <v/>
      </c>
      <c r="F123" s="49" t="inlineStr">
        <is>
          <t>mm</t>
        </is>
      </c>
      <c r="G123" s="153">
        <f>VLOOKUP(L110,Database!A4:G1021,7,FALSE)</f>
        <v/>
      </c>
      <c r="H123" s="49" t="inlineStr">
        <is>
          <t>mm</t>
        </is>
      </c>
      <c r="I123" s="153">
        <f>VLOOKUP(L111,Database!A4:G1021,7,FALSE)</f>
        <v/>
      </c>
      <c r="J123" s="49" t="inlineStr">
        <is>
          <t>mm</t>
        </is>
      </c>
      <c r="K123" s="153">
        <f>VLOOKUP(L112,Database!A4:G1021,7,FALSE)</f>
        <v/>
      </c>
      <c r="L123" s="49" t="inlineStr">
        <is>
          <t>mm</t>
        </is>
      </c>
    </row>
    <row r="124" ht="12.75" customHeight="1">
      <c r="B124" s="59" t="inlineStr">
        <is>
          <t>Outer Web Thickness</t>
        </is>
      </c>
      <c r="C124" s="51" t="inlineStr">
        <is>
          <t>To</t>
        </is>
      </c>
      <c r="D124" s="38" t="inlineStr">
        <is>
          <t>=</t>
        </is>
      </c>
      <c r="E124" s="153">
        <f>Boxed_Up_DB!F4</f>
        <v/>
      </c>
      <c r="F124" s="49" t="inlineStr">
        <is>
          <t>mm</t>
        </is>
      </c>
      <c r="G124" s="91" t="inlineStr">
        <is>
          <t>-</t>
        </is>
      </c>
      <c r="H124" s="49" t="inlineStr">
        <is>
          <t>mm</t>
        </is>
      </c>
      <c r="I124" s="91" t="inlineStr">
        <is>
          <t>-</t>
        </is>
      </c>
      <c r="J124" s="49" t="inlineStr">
        <is>
          <t>mm</t>
        </is>
      </c>
      <c r="K124" s="91" t="inlineStr">
        <is>
          <t>-</t>
        </is>
      </c>
      <c r="L124" s="49" t="inlineStr">
        <is>
          <t>mm</t>
        </is>
      </c>
    </row>
    <row r="125" ht="12.75" customHeight="1">
      <c r="B125" s="59" t="inlineStr">
        <is>
          <t>Root Radius</t>
        </is>
      </c>
      <c r="C125" s="50" t="inlineStr">
        <is>
          <t>r</t>
        </is>
      </c>
      <c r="D125" s="38" t="inlineStr">
        <is>
          <t>=</t>
        </is>
      </c>
      <c r="E125" s="91" t="inlineStr">
        <is>
          <t>-</t>
        </is>
      </c>
      <c r="F125" s="49" t="inlineStr">
        <is>
          <t>mm</t>
        </is>
      </c>
      <c r="G125" s="153">
        <f>VLOOKUP(L110,Database!A4:H1021,8,FALSE)</f>
        <v/>
      </c>
      <c r="H125" s="49" t="inlineStr">
        <is>
          <t>mm</t>
        </is>
      </c>
      <c r="I125" s="153">
        <f>VLOOKUP(L111,Database!A4:H1021,8,FALSE)</f>
        <v/>
      </c>
      <c r="J125" s="49" t="inlineStr">
        <is>
          <t>mm</t>
        </is>
      </c>
      <c r="K125" s="153">
        <f>VLOOKUP(L112,Database!A4:H1021,8,FALSE)</f>
        <v/>
      </c>
      <c r="L125" s="49" t="inlineStr">
        <is>
          <t>mm</t>
        </is>
      </c>
    </row>
    <row r="126" ht="12.75" customHeight="1">
      <c r="B126" s="59" t="inlineStr">
        <is>
          <t>Toe Fillet Distance</t>
        </is>
      </c>
      <c r="C126" s="50" t="inlineStr">
        <is>
          <t>d</t>
        </is>
      </c>
      <c r="D126" s="38" t="inlineStr">
        <is>
          <t>=</t>
        </is>
      </c>
      <c r="E126" s="153">
        <f>Boxed_Up_DB!G4</f>
        <v/>
      </c>
      <c r="F126" s="49" t="inlineStr">
        <is>
          <t>mm</t>
        </is>
      </c>
      <c r="G126" s="153">
        <f>VLOOKUP(L110,Database!A4:I1021,9,FALSE)</f>
        <v/>
      </c>
      <c r="H126" s="49" t="inlineStr">
        <is>
          <t>mm</t>
        </is>
      </c>
      <c r="I126" s="153">
        <f>VLOOKUP(L111,Database!A4:I1021,9,FALSE)</f>
        <v/>
      </c>
      <c r="J126" s="49" t="inlineStr">
        <is>
          <t>mm</t>
        </is>
      </c>
      <c r="K126" s="153">
        <f>VLOOKUP(L112,Database!A4:I1021,9,FALSE)</f>
        <v/>
      </c>
      <c r="L126" s="49" t="inlineStr">
        <is>
          <t>mm</t>
        </is>
      </c>
    </row>
    <row r="127" ht="12.75" customHeight="1">
      <c r="B127" s="59" t="inlineStr">
        <is>
          <t>Area of Section</t>
        </is>
      </c>
      <c r="C127" s="50" t="inlineStr">
        <is>
          <t>A</t>
        </is>
      </c>
      <c r="D127" s="38" t="inlineStr">
        <is>
          <t>=</t>
        </is>
      </c>
      <c r="E127" s="153">
        <f>Boxed_Up_DB!H4</f>
        <v/>
      </c>
      <c r="F127" s="49" t="inlineStr">
        <is>
          <t>cm2</t>
        </is>
      </c>
      <c r="G127" s="153">
        <f>VLOOKUP(L110,Database!A4:J1021,10,FALSE)</f>
        <v/>
      </c>
      <c r="H127" s="49" t="inlineStr">
        <is>
          <t>cm2</t>
        </is>
      </c>
      <c r="I127" s="153">
        <f>VLOOKUP(L111,Database!A4:J1021,10,FALSE)</f>
        <v/>
      </c>
      <c r="J127" s="49" t="inlineStr">
        <is>
          <t>cm2</t>
        </is>
      </c>
      <c r="K127" s="153">
        <f>VLOOKUP(L112,Database!A4:J1021,10,FALSE)</f>
        <v/>
      </c>
      <c r="L127" s="49" t="inlineStr">
        <is>
          <t>cm2</t>
        </is>
      </c>
    </row>
    <row r="128" ht="12.75" customHeight="1">
      <c r="B128" s="59" t="inlineStr">
        <is>
          <t>Surface Area /m</t>
        </is>
      </c>
      <c r="C128" s="50" t="inlineStr">
        <is>
          <t>-</t>
        </is>
      </c>
      <c r="D128" s="38" t="inlineStr">
        <is>
          <t>=</t>
        </is>
      </c>
      <c r="E128" s="153">
        <f>Boxed_Up_DB!I4</f>
        <v/>
      </c>
      <c r="F128" s="49" t="inlineStr">
        <is>
          <t>m2</t>
        </is>
      </c>
      <c r="G128" s="153">
        <f>VLOOKUP(L110,Database!A4:M1021,13,FALSE)</f>
        <v/>
      </c>
      <c r="H128" s="49" t="inlineStr">
        <is>
          <t>m2</t>
        </is>
      </c>
      <c r="I128" s="153">
        <f>VLOOKUP(L111,Database!A4:M1021,13,FALSE)</f>
        <v/>
      </c>
      <c r="J128" s="49" t="inlineStr">
        <is>
          <t>m2</t>
        </is>
      </c>
      <c r="K128" s="153">
        <f>VLOOKUP(L112,Database!A4:M1021,13,FALSE)</f>
        <v/>
      </c>
      <c r="L128" s="49" t="inlineStr">
        <is>
          <t>m2</t>
        </is>
      </c>
    </row>
    <row r="129" ht="12.75" customHeight="1">
      <c r="B129" s="57" t="inlineStr">
        <is>
          <t>Second Moment Of Area (X)</t>
        </is>
      </c>
      <c r="C129" s="52" t="inlineStr">
        <is>
          <t>Ix</t>
        </is>
      </c>
      <c r="D129" s="38" t="inlineStr">
        <is>
          <t>=</t>
        </is>
      </c>
      <c r="E129" s="153">
        <f>Boxed_Up_DB!J4</f>
        <v/>
      </c>
      <c r="F129" s="44" t="inlineStr">
        <is>
          <t xml:space="preserve">cm4 </t>
        </is>
      </c>
      <c r="G129" s="153">
        <f>VLOOKUP(L110,Database!A4:N1021,14,FALSE)</f>
        <v/>
      </c>
      <c r="H129" s="44" t="inlineStr">
        <is>
          <t xml:space="preserve">cm4 </t>
        </is>
      </c>
      <c r="I129" s="153">
        <f>VLOOKUP(L111,Database!A4:N1021,14,FALSE)</f>
        <v/>
      </c>
      <c r="J129" s="44" t="inlineStr">
        <is>
          <t xml:space="preserve">cm4 </t>
        </is>
      </c>
      <c r="K129" s="153">
        <f>VLOOKUP(L112,Database!A4:N1021,14,FALSE)</f>
        <v/>
      </c>
      <c r="L129" s="44" t="inlineStr">
        <is>
          <t xml:space="preserve">cm4 </t>
        </is>
      </c>
    </row>
    <row r="130" ht="12.75" customHeight="1">
      <c r="B130" s="57" t="inlineStr">
        <is>
          <t>Second Moment Of Area (Y)</t>
        </is>
      </c>
      <c r="C130" s="52" t="inlineStr">
        <is>
          <t>Iy</t>
        </is>
      </c>
      <c r="D130" s="38" t="inlineStr">
        <is>
          <t>=</t>
        </is>
      </c>
      <c r="E130" s="153">
        <f>Boxed_Up_DB!K4</f>
        <v/>
      </c>
      <c r="F130" s="44" t="inlineStr">
        <is>
          <t xml:space="preserve">cm4 </t>
        </is>
      </c>
      <c r="G130" s="153">
        <f>VLOOKUP(L110,Database!A4:O1021,15,FALSE)</f>
        <v/>
      </c>
      <c r="H130" s="44" t="inlineStr">
        <is>
          <t xml:space="preserve">cm4 </t>
        </is>
      </c>
      <c r="I130" s="153">
        <f>VLOOKUP(L111,Database!A4:O1021,15,FALSE)</f>
        <v/>
      </c>
      <c r="J130" s="44" t="inlineStr">
        <is>
          <t xml:space="preserve">cm4 </t>
        </is>
      </c>
      <c r="K130" s="153">
        <f>VLOOKUP(L112,Database!A4:O1021,15,FALSE)</f>
        <v/>
      </c>
      <c r="L130" s="44" t="inlineStr">
        <is>
          <t xml:space="preserve">cm4 </t>
        </is>
      </c>
    </row>
    <row r="131" ht="15" customHeight="1">
      <c r="B131" s="62" t="inlineStr">
        <is>
          <t>Radius Of Gyration (X)</t>
        </is>
      </c>
      <c r="C131" s="53" t="inlineStr">
        <is>
          <t xml:space="preserve">rx </t>
        </is>
      </c>
      <c r="D131" s="38" t="inlineStr">
        <is>
          <t>=</t>
        </is>
      </c>
      <c r="E131" s="153">
        <f>Boxed_Up_DB!L4</f>
        <v/>
      </c>
      <c r="F131" s="42" t="inlineStr">
        <is>
          <t>cm</t>
        </is>
      </c>
      <c r="G131" s="153">
        <f>VLOOKUP(L110,Database!A4:P1021,16,FALSE)</f>
        <v/>
      </c>
      <c r="H131" s="42" t="inlineStr">
        <is>
          <t>cm</t>
        </is>
      </c>
      <c r="I131" s="153">
        <f>VLOOKUP(L111,Database!A4:P1021,16,FALSE)</f>
        <v/>
      </c>
      <c r="J131" s="42" t="inlineStr">
        <is>
          <t>cm</t>
        </is>
      </c>
      <c r="K131" s="153">
        <f>VLOOKUP(L112,Database!A4:P1021,16,FALSE)</f>
        <v/>
      </c>
      <c r="L131" s="42" t="inlineStr">
        <is>
          <t>cm</t>
        </is>
      </c>
    </row>
    <row r="132" ht="12.75" customHeight="1">
      <c r="B132" s="62" t="inlineStr">
        <is>
          <t>Radius Of Gyration (Y)</t>
        </is>
      </c>
      <c r="C132" s="53" t="inlineStr">
        <is>
          <t xml:space="preserve">ry </t>
        </is>
      </c>
      <c r="D132" s="38" t="inlineStr">
        <is>
          <t>=</t>
        </is>
      </c>
      <c r="E132" s="153">
        <f>Boxed_Up_DB!M4</f>
        <v/>
      </c>
      <c r="F132" s="40" t="inlineStr">
        <is>
          <t>cm</t>
        </is>
      </c>
      <c r="G132" s="153">
        <f>VLOOKUP(L110,Database!A4:Q1021,17,FALSE)</f>
        <v/>
      </c>
      <c r="H132" s="40" t="inlineStr">
        <is>
          <t>cm</t>
        </is>
      </c>
      <c r="I132" s="153">
        <f>VLOOKUP(L111,Database!A4:Q1021,17,FALSE)</f>
        <v/>
      </c>
      <c r="J132" s="40" t="inlineStr">
        <is>
          <t>cm</t>
        </is>
      </c>
      <c r="K132" s="153">
        <f>VLOOKUP(L112,Database!A4:Q1021,17,FALSE)</f>
        <v/>
      </c>
      <c r="L132" s="40" t="inlineStr">
        <is>
          <t>cm</t>
        </is>
      </c>
    </row>
    <row r="133" ht="12.75" customHeight="1">
      <c r="B133" s="60" t="inlineStr">
        <is>
          <t>Elastic Modulus (X)</t>
        </is>
      </c>
      <c r="C133" s="54" t="inlineStr">
        <is>
          <t>Sex</t>
        </is>
      </c>
      <c r="D133" s="38" t="inlineStr">
        <is>
          <t>=</t>
        </is>
      </c>
      <c r="E133" s="153">
        <f>Boxed_Up_DB!N4</f>
        <v/>
      </c>
      <c r="F133" s="42" t="inlineStr">
        <is>
          <t>cm3</t>
        </is>
      </c>
      <c r="G133" s="153">
        <f>VLOOKUP(L110,Database!A4:R1021,18,FALSE)</f>
        <v/>
      </c>
      <c r="H133" s="42" t="inlineStr">
        <is>
          <t>cm3</t>
        </is>
      </c>
      <c r="I133" s="153">
        <f>VLOOKUP(L111,Database!A4:R1021,18,FALSE)</f>
        <v/>
      </c>
      <c r="J133" s="42" t="inlineStr">
        <is>
          <t>cm3</t>
        </is>
      </c>
      <c r="K133" s="153">
        <f>VLOOKUP(L112,Database!A4:R1021,18,FALSE)</f>
        <v/>
      </c>
      <c r="L133" s="42" t="inlineStr">
        <is>
          <t>cm3</t>
        </is>
      </c>
    </row>
    <row r="134" ht="12.75" customHeight="1">
      <c r="B134" s="60" t="inlineStr">
        <is>
          <t>Elastic Modulus (Y)</t>
        </is>
      </c>
      <c r="C134" s="54" t="inlineStr">
        <is>
          <t>Sey</t>
        </is>
      </c>
      <c r="D134" s="38" t="inlineStr">
        <is>
          <t>=</t>
        </is>
      </c>
      <c r="E134" s="153">
        <f>Boxed_Up_DB!O4</f>
        <v/>
      </c>
      <c r="F134" s="42" t="inlineStr">
        <is>
          <t>cm3</t>
        </is>
      </c>
      <c r="G134" s="153">
        <f>VLOOKUP(L110,Database!A4:S1021,19,FALSE)</f>
        <v/>
      </c>
      <c r="H134" s="42" t="inlineStr">
        <is>
          <t>cm3</t>
        </is>
      </c>
      <c r="I134" s="153">
        <f>VLOOKUP(L111,Database!A4:S1021,19,FALSE)</f>
        <v/>
      </c>
      <c r="J134" s="42" t="inlineStr">
        <is>
          <t>cm3</t>
        </is>
      </c>
      <c r="K134" s="153">
        <f>VLOOKUP(L112,Database!A4:S1021,19,FALSE)</f>
        <v/>
      </c>
      <c r="L134" s="42" t="inlineStr">
        <is>
          <t>cm3</t>
        </is>
      </c>
    </row>
    <row r="135" ht="12.75" customHeight="1">
      <c r="B135" s="61" t="inlineStr">
        <is>
          <t>Plastic Modulus (X)</t>
        </is>
      </c>
      <c r="C135" s="54" t="inlineStr">
        <is>
          <t>Zpx</t>
        </is>
      </c>
      <c r="D135" s="38" t="inlineStr">
        <is>
          <t>=</t>
        </is>
      </c>
      <c r="E135" s="153">
        <f>Boxed_Up_DB!P4</f>
        <v/>
      </c>
      <c r="F135" s="42" t="inlineStr">
        <is>
          <t>cm3</t>
        </is>
      </c>
      <c r="G135" s="153">
        <f>VLOOKUP(L110,Database!A4:T1021,20,FALSE)</f>
        <v/>
      </c>
      <c r="H135" s="42" t="inlineStr">
        <is>
          <t>cm3</t>
        </is>
      </c>
      <c r="I135" s="153">
        <f>VLOOKUP(L111,Database!A4:T1021,20,FALSE)</f>
        <v/>
      </c>
      <c r="J135" s="42" t="inlineStr">
        <is>
          <t>cm3</t>
        </is>
      </c>
      <c r="K135" s="153">
        <f>VLOOKUP(L112,Database!A4:T1021,20,FALSE)</f>
        <v/>
      </c>
      <c r="L135" s="42" t="inlineStr">
        <is>
          <t>cm3</t>
        </is>
      </c>
    </row>
    <row r="136" ht="12.75" customHeight="1">
      <c r="B136" s="61" t="inlineStr">
        <is>
          <t>Plastic Modulus (Y)</t>
        </is>
      </c>
      <c r="C136" s="54" t="inlineStr">
        <is>
          <t>Zpy</t>
        </is>
      </c>
      <c r="D136" s="38" t="inlineStr">
        <is>
          <t>=</t>
        </is>
      </c>
      <c r="E136" s="153">
        <f>Boxed_Up_DB!Q4</f>
        <v/>
      </c>
      <c r="F136" s="68" t="inlineStr">
        <is>
          <t>cm3</t>
        </is>
      </c>
      <c r="G136" s="153">
        <f>VLOOKUP(L110,Database!A4:U1021,21,FALSE)</f>
        <v/>
      </c>
      <c r="H136" s="68" t="inlineStr">
        <is>
          <t>cm3</t>
        </is>
      </c>
      <c r="I136" s="153">
        <f>VLOOKUP(L111,Database!A4:U1021,21,FALSE)</f>
        <v/>
      </c>
      <c r="J136" s="68" t="inlineStr">
        <is>
          <t>cm3</t>
        </is>
      </c>
      <c r="K136" s="153">
        <f>VLOOKUP(L112,Database!A4:U1021,21,FALSE)</f>
        <v/>
      </c>
      <c r="L136" s="68" t="inlineStr">
        <is>
          <t>cm3</t>
        </is>
      </c>
    </row>
    <row r="137" ht="12.75" customHeight="1">
      <c r="B137" s="57" t="inlineStr">
        <is>
          <t>Flange Ratios 
For Local Buckling</t>
        </is>
      </c>
      <c r="C137" s="50" t="inlineStr">
        <is>
          <t>b/T</t>
        </is>
      </c>
      <c r="D137" s="38" t="inlineStr">
        <is>
          <t>=</t>
        </is>
      </c>
      <c r="E137" s="91" t="inlineStr">
        <is>
          <t>-</t>
        </is>
      </c>
      <c r="F137" s="74" t="inlineStr">
        <is>
          <t>-</t>
        </is>
      </c>
      <c r="G137" s="153">
        <f>VLOOKUP(L110,Database!A4:K1021,11,FALSE)</f>
        <v/>
      </c>
      <c r="H137" s="74" t="inlineStr">
        <is>
          <t>-</t>
        </is>
      </c>
      <c r="I137" s="153">
        <f>VLOOKUP(L111,Database!A4:K1021,11,FALSE)</f>
        <v/>
      </c>
      <c r="J137" s="74" t="inlineStr">
        <is>
          <t>-</t>
        </is>
      </c>
      <c r="K137" s="153">
        <f>VLOOKUP(L112,Database!A4:K1021,11,FALSE)</f>
        <v/>
      </c>
      <c r="L137" s="74" t="inlineStr">
        <is>
          <t>-</t>
        </is>
      </c>
    </row>
    <row r="138" ht="12.75" customHeight="1">
      <c r="B138" s="57" t="inlineStr">
        <is>
          <t>Web Ratios 
For Local Buckling</t>
        </is>
      </c>
      <c r="C138" s="50" t="inlineStr">
        <is>
          <t>d/t</t>
        </is>
      </c>
      <c r="D138" s="38" t="inlineStr">
        <is>
          <t>=</t>
        </is>
      </c>
      <c r="E138" s="91" t="inlineStr">
        <is>
          <t>-</t>
        </is>
      </c>
      <c r="F138" s="74" t="inlineStr">
        <is>
          <t>-</t>
        </is>
      </c>
      <c r="G138" s="153">
        <f>VLOOKUP(L110,Database!A4:L1021,12,FALSE)</f>
        <v/>
      </c>
      <c r="H138" s="74" t="inlineStr">
        <is>
          <t>-</t>
        </is>
      </c>
      <c r="I138" s="153">
        <f>VLOOKUP(L111,Database!A4:L1021,12,FALSE)</f>
        <v/>
      </c>
      <c r="J138" s="74" t="inlineStr">
        <is>
          <t>-</t>
        </is>
      </c>
      <c r="K138" s="153">
        <f>VLOOKUP(L112,Database!A4:L1021,12,FALSE)</f>
        <v/>
      </c>
      <c r="L138" s="74" t="inlineStr">
        <is>
          <t>-</t>
        </is>
      </c>
    </row>
    <row r="139" ht="12.75" customHeight="1">
      <c r="B139" s="58" t="inlineStr">
        <is>
          <t>Web Section Class.</t>
        </is>
      </c>
      <c r="C139" s="50" t="inlineStr">
        <is>
          <t>-</t>
        </is>
      </c>
      <c r="D139" s="38" t="inlineStr">
        <is>
          <t>=</t>
        </is>
      </c>
      <c r="E139" s="91" t="inlineStr">
        <is>
          <t>-</t>
        </is>
      </c>
      <c r="F139" s="74" t="inlineStr">
        <is>
          <t>-</t>
        </is>
      </c>
      <c r="G139" s="153">
        <f>VLOOKUP(L110,Database!A4:X1021,24,FALSE)</f>
        <v/>
      </c>
      <c r="H139" s="74" t="inlineStr">
        <is>
          <t>-</t>
        </is>
      </c>
      <c r="I139" s="153">
        <f>VLOOKUP(L111,Database!A4:X1021,24,FALSE)</f>
        <v/>
      </c>
      <c r="J139" s="74" t="inlineStr">
        <is>
          <t>-</t>
        </is>
      </c>
      <c r="K139" s="153">
        <f>VLOOKUP(L112,Database!A4:X1021,24,FALSE)</f>
        <v/>
      </c>
      <c r="L139" s="74" t="inlineStr">
        <is>
          <t>-</t>
        </is>
      </c>
    </row>
    <row r="140" ht="12.75" customHeight="1">
      <c r="B140" s="58" t="inlineStr">
        <is>
          <t>Flange Section Class.</t>
        </is>
      </c>
      <c r="C140" s="50" t="inlineStr">
        <is>
          <t>-</t>
        </is>
      </c>
      <c r="D140" s="38" t="inlineStr">
        <is>
          <t>=</t>
        </is>
      </c>
      <c r="E140" s="112" t="inlineStr">
        <is>
          <t>-</t>
        </is>
      </c>
      <c r="F140" s="74" t="inlineStr">
        <is>
          <t>-</t>
        </is>
      </c>
      <c r="G140" s="153">
        <f>VLOOKUP(L110,Database!A4:Y1021,25,FALSE)</f>
        <v/>
      </c>
      <c r="H140" s="74" t="inlineStr">
        <is>
          <t>-</t>
        </is>
      </c>
      <c r="I140" s="153">
        <f>VLOOKUP(L111,Database!A4:Y1021,25,FALSE)</f>
        <v/>
      </c>
      <c r="J140" s="74" t="inlineStr">
        <is>
          <t>-</t>
        </is>
      </c>
      <c r="K140" s="153">
        <f>VLOOKUP(L112,Database!A4:Y1021,25,FALSE)</f>
        <v/>
      </c>
      <c r="L140" s="74" t="inlineStr">
        <is>
          <t>-</t>
        </is>
      </c>
    </row>
    <row r="141" ht="12.75" customHeight="1">
      <c r="A141" s="24" t="n"/>
      <c r="B141" s="110" t="n"/>
      <c r="C141" s="111" t="n"/>
      <c r="D141" s="73" t="n"/>
      <c r="F141" s="73" t="n"/>
      <c r="G141" s="22" t="n"/>
    </row>
    <row r="142" ht="12.75" customHeight="1">
      <c r="A142" s="24" t="n"/>
      <c r="B142" s="49" t="n"/>
      <c r="C142" s="109" t="n"/>
      <c r="D142" s="73" t="n"/>
      <c r="F142" s="73" t="n"/>
      <c r="G142" s="22" t="n"/>
    </row>
    <row r="143" ht="18.5" customHeight="1">
      <c r="B143" s="19" t="n"/>
      <c r="C143" s="106" t="inlineStr">
        <is>
          <t>Custom Rectangular Tube Section</t>
        </is>
      </c>
      <c r="D143" s="107" t="n"/>
      <c r="E143" s="107" t="n"/>
      <c r="F143" s="108" t="n"/>
    </row>
    <row r="144" ht="12.75" customHeight="1">
      <c r="C144" s="137" t="inlineStr">
        <is>
          <t>D</t>
        </is>
      </c>
      <c r="D144" s="137" t="inlineStr">
        <is>
          <t>=</t>
        </is>
      </c>
      <c r="E144" s="137" t="n">
        <v>200</v>
      </c>
      <c r="J144" s="137" t="inlineStr">
        <is>
          <t>Alt. Std. 1</t>
        </is>
      </c>
      <c r="K144" s="139" t="n"/>
      <c r="L144" s="153">
        <f t="array" ref="L144">_xlfn.IFS(C148="Area of Section",Database!CA11,C148="Elastic Modulus x-x",Database!CA19)</f>
        <v/>
      </c>
    </row>
    <row r="145" ht="12.75" customHeight="1">
      <c r="C145" s="137" t="inlineStr">
        <is>
          <t>B</t>
        </is>
      </c>
      <c r="D145" s="137" t="inlineStr">
        <is>
          <t>=</t>
        </is>
      </c>
      <c r="E145" s="137" t="n">
        <v>150</v>
      </c>
      <c r="J145" s="137" t="inlineStr">
        <is>
          <t>Alt. Std. 2</t>
        </is>
      </c>
      <c r="K145" s="139" t="n"/>
      <c r="L145" s="153">
        <f t="array" ref="L145">_xlfn.IFS(C148="Area of Section",Database!CA12,C148="Elastic Modulus x-x",Database!CA20)</f>
        <v/>
      </c>
    </row>
    <row r="146" ht="12.75" customHeight="1">
      <c r="C146" s="137" t="inlineStr">
        <is>
          <t>T</t>
        </is>
      </c>
      <c r="D146" s="137" t="inlineStr">
        <is>
          <t>=</t>
        </is>
      </c>
      <c r="E146" s="137" t="n">
        <v>20</v>
      </c>
      <c r="J146" s="137" t="inlineStr">
        <is>
          <t>Alt. Std. 3</t>
        </is>
      </c>
      <c r="K146" s="139" t="n"/>
      <c r="L146" s="153">
        <f t="array" ref="L146">_xlfn.IFS(C148="Area of Section",Database!CA13,C148="Elastic Modulus x-x",Database!CA21)</f>
        <v/>
      </c>
    </row>
    <row r="148" ht="12.75" customHeight="1">
      <c r="B148" s="153" t="inlineStr">
        <is>
          <t>Similarity by:</t>
        </is>
      </c>
      <c r="C148" s="164" t="inlineStr">
        <is>
          <t>Elastic Modulus x-x</t>
        </is>
      </c>
      <c r="D148" s="138" t="n"/>
      <c r="E148" s="139" t="n"/>
    </row>
    <row r="149" ht="12.75" customHeight="1">
      <c r="B149" s="153" t="inlineStr">
        <is>
          <t>Yield Strength fy:</t>
        </is>
      </c>
      <c r="C149" s="137" t="n">
        <v>275</v>
      </c>
      <c r="D149" s="138" t="n"/>
      <c r="E149" s="139" t="n"/>
      <c r="F149" s="153" t="inlineStr">
        <is>
          <t>MPa</t>
        </is>
      </c>
      <c r="M149" s="24" t="n"/>
    </row>
    <row r="150" ht="12.75" customHeight="1">
      <c r="B150" s="15" t="n"/>
      <c r="C150" s="96" t="n"/>
      <c r="D150" s="99" t="n"/>
      <c r="E150" s="49" t="inlineStr">
        <is>
          <t>Custom</t>
        </is>
      </c>
      <c r="G150" s="137" t="inlineStr">
        <is>
          <t>Alt. Std. 1</t>
        </is>
      </c>
      <c r="H150" s="139" t="n"/>
      <c r="I150" s="137" t="inlineStr">
        <is>
          <t>Alt. Std. 2</t>
        </is>
      </c>
      <c r="J150" s="139" t="n"/>
      <c r="K150" s="137" t="inlineStr">
        <is>
          <t>Alt. Std. 3</t>
        </is>
      </c>
      <c r="L150" s="139" t="n"/>
      <c r="M150" s="24" t="n"/>
    </row>
    <row r="151" ht="12.75" customHeight="1">
      <c r="B151" s="59" t="inlineStr">
        <is>
          <t>Mass per Metre</t>
        </is>
      </c>
      <c r="C151" s="50" t="inlineStr">
        <is>
          <t>-</t>
        </is>
      </c>
      <c r="D151" s="38" t="inlineStr">
        <is>
          <t>=</t>
        </is>
      </c>
      <c r="E151" s="91" t="inlineStr">
        <is>
          <t>-</t>
        </is>
      </c>
      <c r="F151" s="49" t="inlineStr">
        <is>
          <t>kg/m</t>
        </is>
      </c>
      <c r="G151" s="91">
        <f>VLOOKUP(L144,Database!A4:C1021,3,FALSE)</f>
        <v/>
      </c>
      <c r="H151" s="49" t="inlineStr">
        <is>
          <t>kg/m</t>
        </is>
      </c>
      <c r="I151" s="91">
        <f>VLOOKUP(L145,Database!A4:C1021,3,FALSE)</f>
        <v/>
      </c>
      <c r="J151" s="49" t="inlineStr">
        <is>
          <t>kg/m</t>
        </is>
      </c>
      <c r="K151" s="153">
        <f>VLOOKUP(L146,Database!A4:C1021,3,FALSE)</f>
        <v/>
      </c>
      <c r="L151" s="49" t="inlineStr">
        <is>
          <t>kg/m</t>
        </is>
      </c>
      <c r="M151" s="24" t="n"/>
      <c r="N151" s="28" t="n"/>
      <c r="O151" s="109" t="n"/>
      <c r="P151" s="73" t="n"/>
    </row>
    <row r="152" ht="12.75" customHeight="1">
      <c r="B152" s="58" t="inlineStr">
        <is>
          <t>Depth</t>
        </is>
      </c>
      <c r="C152" s="50" t="inlineStr">
        <is>
          <t>D</t>
        </is>
      </c>
      <c r="D152" s="38" t="inlineStr">
        <is>
          <t>=</t>
        </is>
      </c>
      <c r="E152" s="153">
        <f>Rec_Tube_DB!B4</f>
        <v/>
      </c>
      <c r="F152" s="49" t="inlineStr">
        <is>
          <t>mm</t>
        </is>
      </c>
      <c r="G152" s="153">
        <f>VLOOKUP(L144,Database!A4:D1021,4,FALSE)</f>
        <v/>
      </c>
      <c r="H152" s="49" t="inlineStr">
        <is>
          <t>mm</t>
        </is>
      </c>
      <c r="I152" s="153">
        <f>VLOOKUP(L145,Database!A4:D1021,4,FALSE)</f>
        <v/>
      </c>
      <c r="J152" s="49" t="inlineStr">
        <is>
          <t>mm</t>
        </is>
      </c>
      <c r="K152" s="153">
        <f>VLOOKUP(L146,Database!A4:D1021,4,FALSE)</f>
        <v/>
      </c>
      <c r="L152" s="49" t="inlineStr">
        <is>
          <t>mm</t>
        </is>
      </c>
      <c r="M152" s="24" t="n"/>
      <c r="N152" s="49" t="n"/>
      <c r="O152" s="109" t="n"/>
      <c r="P152" s="73" t="n"/>
    </row>
    <row r="153" ht="12.75" customHeight="1">
      <c r="B153" s="64" t="inlineStr">
        <is>
          <t>Flange Breadth</t>
        </is>
      </c>
      <c r="C153" s="55" t="inlineStr">
        <is>
          <t>Bf</t>
        </is>
      </c>
      <c r="D153" s="38" t="inlineStr">
        <is>
          <t>=</t>
        </is>
      </c>
      <c r="E153" s="153">
        <f>Rec_Tube_DB!C4</f>
        <v/>
      </c>
      <c r="F153" s="49" t="inlineStr">
        <is>
          <t>mm</t>
        </is>
      </c>
      <c r="G153" s="153">
        <f>VLOOKUP(L144,Database!A4:E1021,5,FALSE)</f>
        <v/>
      </c>
      <c r="H153" s="49" t="inlineStr">
        <is>
          <t>mm</t>
        </is>
      </c>
      <c r="I153" s="153">
        <f>VLOOKUP(L145,Database!A4:E1021,5,FALSE)</f>
        <v/>
      </c>
      <c r="J153" s="49" t="inlineStr">
        <is>
          <t>mm</t>
        </is>
      </c>
      <c r="K153" s="153">
        <f>VLOOKUP(L146,Database!A4:E1021,5,FALSE)</f>
        <v/>
      </c>
      <c r="L153" s="49" t="inlineStr">
        <is>
          <t>mm</t>
        </is>
      </c>
      <c r="M153" s="24" t="n"/>
      <c r="N153" s="28" t="n"/>
      <c r="O153" s="109" t="n"/>
      <c r="P153" s="73" t="n"/>
    </row>
    <row r="154" ht="12.75" customHeight="1">
      <c r="B154" s="59" t="inlineStr">
        <is>
          <t>Flange Thickness</t>
        </is>
      </c>
      <c r="C154" s="51" t="inlineStr">
        <is>
          <t>Tf</t>
        </is>
      </c>
      <c r="D154" s="37" t="inlineStr">
        <is>
          <t>=</t>
        </is>
      </c>
      <c r="E154" s="153">
        <f>Rec_Tube_DB!D4</f>
        <v/>
      </c>
      <c r="F154" s="49" t="inlineStr">
        <is>
          <t>mm</t>
        </is>
      </c>
      <c r="G154" s="153">
        <f>VLOOKUP(L144,Database!A4:F1021,6,FALSE)</f>
        <v/>
      </c>
      <c r="H154" s="49" t="inlineStr">
        <is>
          <t>mm</t>
        </is>
      </c>
      <c r="I154" s="153">
        <f>VLOOKUP(L145,Database!A4:F1021,6,FALSE)</f>
        <v/>
      </c>
      <c r="J154" s="49" t="inlineStr">
        <is>
          <t>mm</t>
        </is>
      </c>
      <c r="K154" s="153">
        <f>VLOOKUP(L146,Database!A4:F1021,6,FALSE)</f>
        <v/>
      </c>
      <c r="L154" s="49" t="inlineStr">
        <is>
          <t>mm</t>
        </is>
      </c>
      <c r="M154" s="24" t="n"/>
      <c r="N154" s="28" t="n"/>
      <c r="O154" s="113" t="n"/>
      <c r="P154" s="73" t="n"/>
    </row>
    <row r="155" ht="12.75" customHeight="1">
      <c r="B155" s="59" t="inlineStr">
        <is>
          <t>Web Thickness</t>
        </is>
      </c>
      <c r="C155" s="50" t="inlineStr">
        <is>
          <t>Tw</t>
        </is>
      </c>
      <c r="D155" s="38" t="inlineStr">
        <is>
          <t>=</t>
        </is>
      </c>
      <c r="E155" s="153">
        <f>Rec_Tube_DB!D4</f>
        <v/>
      </c>
      <c r="F155" s="49" t="inlineStr">
        <is>
          <t>mm</t>
        </is>
      </c>
      <c r="G155" s="153">
        <f>VLOOKUP(L144,Database!A4:G1021,7,FALSE)</f>
        <v/>
      </c>
      <c r="H155" s="49" t="inlineStr">
        <is>
          <t>mm</t>
        </is>
      </c>
      <c r="I155" s="153">
        <f>VLOOKUP(L145,Database!A4:G1021,7,FALSE)</f>
        <v/>
      </c>
      <c r="J155" s="49" t="inlineStr">
        <is>
          <t>mm</t>
        </is>
      </c>
      <c r="K155" s="153">
        <f>VLOOKUP(L146,Database!A4:G1021,7,FALSE)</f>
        <v/>
      </c>
      <c r="L155" s="49" t="inlineStr">
        <is>
          <t>mm</t>
        </is>
      </c>
      <c r="M155" s="24" t="n"/>
      <c r="N155" s="28" t="n"/>
      <c r="O155" s="113" t="n"/>
      <c r="P155" s="73" t="n"/>
    </row>
    <row r="156" ht="12.75" customHeight="1">
      <c r="B156" s="57" t="inlineStr">
        <is>
          <t>Root Radius</t>
        </is>
      </c>
      <c r="C156" s="52" t="inlineStr">
        <is>
          <t>r</t>
        </is>
      </c>
      <c r="D156" s="38" t="inlineStr">
        <is>
          <t>=</t>
        </is>
      </c>
      <c r="E156" s="91" t="inlineStr">
        <is>
          <t>-</t>
        </is>
      </c>
      <c r="F156" s="49" t="inlineStr">
        <is>
          <t>mm</t>
        </is>
      </c>
      <c r="G156" s="153">
        <f>VLOOKUP(L144,Database!A4:H1021,8,FALSE)</f>
        <v/>
      </c>
      <c r="H156" s="49" t="inlineStr">
        <is>
          <t>mm</t>
        </is>
      </c>
      <c r="I156" s="153">
        <f>VLOOKUP(L145,Database!A4:H1021,8,FALSE)</f>
        <v/>
      </c>
      <c r="J156" s="49" t="inlineStr">
        <is>
          <t>mm</t>
        </is>
      </c>
      <c r="K156" s="153">
        <f>VLOOKUP(L146,Database!A4:H1021,8,FALSE)</f>
        <v/>
      </c>
      <c r="L156" s="49" t="inlineStr">
        <is>
          <t>mm</t>
        </is>
      </c>
      <c r="M156" s="24" t="n"/>
      <c r="N156" s="28" t="n"/>
      <c r="O156" s="109" t="n"/>
      <c r="P156" s="73" t="n"/>
    </row>
    <row r="157" ht="12.75" customHeight="1">
      <c r="B157" s="57" t="inlineStr">
        <is>
          <t>Toe Fillet Distance</t>
        </is>
      </c>
      <c r="C157" s="52" t="inlineStr">
        <is>
          <t>d</t>
        </is>
      </c>
      <c r="D157" s="36" t="inlineStr">
        <is>
          <t>=</t>
        </is>
      </c>
      <c r="E157" s="91" t="inlineStr">
        <is>
          <t>-</t>
        </is>
      </c>
      <c r="F157" s="49" t="inlineStr">
        <is>
          <t>mm</t>
        </is>
      </c>
      <c r="G157" s="153">
        <f>VLOOKUP(L144,Database!A4:I1021,9,FALSE)</f>
        <v/>
      </c>
      <c r="H157" s="49" t="inlineStr">
        <is>
          <t>mm</t>
        </is>
      </c>
      <c r="I157" s="153">
        <f>VLOOKUP(L145,Database!A4:I1021,9,FALSE)</f>
        <v/>
      </c>
      <c r="J157" s="49" t="inlineStr">
        <is>
          <t>mm</t>
        </is>
      </c>
      <c r="K157" s="153">
        <f>VLOOKUP(L146,Database!A4:I1021,9,FALSE)</f>
        <v/>
      </c>
      <c r="L157" s="49" t="inlineStr">
        <is>
          <t>mm</t>
        </is>
      </c>
      <c r="M157" s="24" t="n"/>
      <c r="N157" s="28" t="n"/>
      <c r="O157" s="109" t="n"/>
      <c r="P157" s="73" t="n"/>
    </row>
    <row r="158" ht="12.75" customHeight="1">
      <c r="B158" s="62" t="inlineStr">
        <is>
          <t>Area of Section</t>
        </is>
      </c>
      <c r="C158" s="53" t="inlineStr">
        <is>
          <t>A</t>
        </is>
      </c>
      <c r="D158" s="38" t="inlineStr">
        <is>
          <t>=</t>
        </is>
      </c>
      <c r="E158" s="153">
        <f>Rec_Tube_DB!E4</f>
        <v/>
      </c>
      <c r="F158" s="49" t="inlineStr">
        <is>
          <t>cm2</t>
        </is>
      </c>
      <c r="G158" s="153">
        <f>VLOOKUP(L144,Database!A4:J1021,10,FALSE)</f>
        <v/>
      </c>
      <c r="H158" s="49" t="inlineStr">
        <is>
          <t>cm2</t>
        </is>
      </c>
      <c r="I158" s="153">
        <f>VLOOKUP(L145,Database!A4:J1021,10,FALSE)</f>
        <v/>
      </c>
      <c r="J158" s="49" t="inlineStr">
        <is>
          <t>cm2</t>
        </is>
      </c>
      <c r="K158" s="153">
        <f>VLOOKUP(L146,Database!A4:J1021,10,FALSE)</f>
        <v/>
      </c>
      <c r="L158" s="49" t="inlineStr">
        <is>
          <t>cm2</t>
        </is>
      </c>
      <c r="M158" s="24" t="n"/>
      <c r="N158" s="28" t="n"/>
      <c r="O158" s="109" t="n"/>
      <c r="P158" s="73" t="n"/>
    </row>
    <row r="159" ht="12.75" customHeight="1">
      <c r="B159" s="62" t="inlineStr">
        <is>
          <t>Surface Area /m</t>
        </is>
      </c>
      <c r="C159" s="53" t="inlineStr">
        <is>
          <t>-</t>
        </is>
      </c>
      <c r="D159" s="37" t="inlineStr">
        <is>
          <t>=</t>
        </is>
      </c>
      <c r="E159" s="153">
        <f>Rec_Tube_DB!F4</f>
        <v/>
      </c>
      <c r="F159" s="49" t="inlineStr">
        <is>
          <t>m2</t>
        </is>
      </c>
      <c r="G159" s="153">
        <f>VLOOKUP(L144,Database!A4:M1021,13,FALSE)</f>
        <v/>
      </c>
      <c r="H159" s="49" t="inlineStr">
        <is>
          <t>m2</t>
        </is>
      </c>
      <c r="I159" s="153">
        <f>VLOOKUP(L145,Database!A4:M1021,13,FALSE)</f>
        <v/>
      </c>
      <c r="J159" s="49" t="inlineStr">
        <is>
          <t>m2</t>
        </is>
      </c>
      <c r="K159" s="153">
        <f>VLOOKUP(L146,Database!A4:M1021,13,FALSE)</f>
        <v/>
      </c>
      <c r="L159" s="49" t="inlineStr">
        <is>
          <t>m2</t>
        </is>
      </c>
      <c r="M159" s="24" t="n"/>
      <c r="N159" s="28" t="n"/>
      <c r="O159" s="109" t="n"/>
      <c r="P159" s="73" t="n"/>
    </row>
    <row r="160" ht="12.75" customHeight="1">
      <c r="B160" s="60" t="inlineStr">
        <is>
          <t>Second Moment Of Area (X)</t>
        </is>
      </c>
      <c r="C160" s="54" t="inlineStr">
        <is>
          <t>Ix</t>
        </is>
      </c>
      <c r="D160" s="37" t="inlineStr">
        <is>
          <t>=</t>
        </is>
      </c>
      <c r="E160" s="153">
        <f>Rec_Tube_DB!G4</f>
        <v/>
      </c>
      <c r="F160" s="44" t="inlineStr">
        <is>
          <t xml:space="preserve">cm4 </t>
        </is>
      </c>
      <c r="G160" s="153">
        <f>VLOOKUP(L144,Database!A4:N1021,14,FALSE)</f>
        <v/>
      </c>
      <c r="H160" s="44" t="inlineStr">
        <is>
          <t xml:space="preserve">cm4 </t>
        </is>
      </c>
      <c r="I160" s="153">
        <f>VLOOKUP(L145,Database!A4:N1021,14,FALSE)</f>
        <v/>
      </c>
      <c r="J160" s="44" t="inlineStr">
        <is>
          <t xml:space="preserve">cm4 </t>
        </is>
      </c>
      <c r="K160" s="153">
        <f>VLOOKUP(L146,Database!A4:N1021,14,FALSE)</f>
        <v/>
      </c>
      <c r="L160" s="44" t="inlineStr">
        <is>
          <t xml:space="preserve">cm4 </t>
        </is>
      </c>
      <c r="M160" s="24" t="n"/>
      <c r="N160" s="114" t="n"/>
      <c r="O160" s="115" t="n"/>
      <c r="P160" s="73" t="n"/>
    </row>
    <row r="161" ht="12.75" customHeight="1">
      <c r="B161" s="60" t="inlineStr">
        <is>
          <t>Second Moment Of Area (Y)</t>
        </is>
      </c>
      <c r="C161" s="54" t="inlineStr">
        <is>
          <t>Iy</t>
        </is>
      </c>
      <c r="D161" s="37" t="inlineStr">
        <is>
          <t>=</t>
        </is>
      </c>
      <c r="E161" s="153">
        <f>Rec_Tube_DB!H4</f>
        <v/>
      </c>
      <c r="F161" s="44" t="inlineStr">
        <is>
          <t xml:space="preserve">cm4 </t>
        </is>
      </c>
      <c r="G161" s="153">
        <f>VLOOKUP(L144,Database!A4:O1021,15,FALSE)</f>
        <v/>
      </c>
      <c r="H161" s="44" t="inlineStr">
        <is>
          <t xml:space="preserve">cm4 </t>
        </is>
      </c>
      <c r="I161" s="153">
        <f>VLOOKUP(L145,Database!A4:O1021,15,FALSE)</f>
        <v/>
      </c>
      <c r="J161" s="44" t="inlineStr">
        <is>
          <t xml:space="preserve">cm4 </t>
        </is>
      </c>
      <c r="K161" s="153">
        <f>VLOOKUP(L146,Database!A4:O1021,15,FALSE)</f>
        <v/>
      </c>
      <c r="L161" s="44" t="inlineStr">
        <is>
          <t xml:space="preserve">cm4 </t>
        </is>
      </c>
      <c r="M161" s="24" t="n"/>
      <c r="N161" s="114" t="n"/>
      <c r="O161" s="115" t="n"/>
      <c r="P161" s="73" t="n"/>
    </row>
    <row r="162" ht="12.75" customHeight="1">
      <c r="B162" s="61" t="inlineStr">
        <is>
          <t>Radius Of Gyration (X)</t>
        </is>
      </c>
      <c r="C162" s="54" t="inlineStr">
        <is>
          <t xml:space="preserve">rx </t>
        </is>
      </c>
      <c r="D162" s="37" t="inlineStr">
        <is>
          <t>=</t>
        </is>
      </c>
      <c r="E162" s="153">
        <f>Rec_Tube_DB!I4</f>
        <v/>
      </c>
      <c r="F162" s="42" t="inlineStr">
        <is>
          <t>cm</t>
        </is>
      </c>
      <c r="G162" s="153">
        <f>VLOOKUP(L144,Database!A4:P1021,16,FALSE)</f>
        <v/>
      </c>
      <c r="H162" s="42" t="inlineStr">
        <is>
          <t>cm</t>
        </is>
      </c>
      <c r="I162" s="153">
        <f>VLOOKUP(L145,Database!A4:P1021,16,FALSE)</f>
        <v/>
      </c>
      <c r="J162" s="42" t="inlineStr">
        <is>
          <t>cm</t>
        </is>
      </c>
      <c r="K162" s="153">
        <f>VLOOKUP(L146,Database!A4:P1021,16,FALSE)</f>
        <v/>
      </c>
      <c r="L162" s="42" t="inlineStr">
        <is>
          <t>cm</t>
        </is>
      </c>
      <c r="M162" s="24" t="n"/>
      <c r="N162" s="116" t="n"/>
      <c r="O162" s="117" t="n"/>
      <c r="P162" s="73" t="n"/>
    </row>
    <row r="163" ht="12.75" customHeight="1">
      <c r="B163" s="61" t="inlineStr">
        <is>
          <t>Radius Of Gyration (Y)</t>
        </is>
      </c>
      <c r="C163" s="54" t="inlineStr">
        <is>
          <t xml:space="preserve">ry </t>
        </is>
      </c>
      <c r="D163" s="37" t="inlineStr">
        <is>
          <t>=</t>
        </is>
      </c>
      <c r="E163" s="153">
        <f>Rec_Tube_DB!J4</f>
        <v/>
      </c>
      <c r="F163" s="40" t="inlineStr">
        <is>
          <t>cm</t>
        </is>
      </c>
      <c r="G163" s="153">
        <f>VLOOKUP(L144,Database!A4:Q1021,17,FALSE)</f>
        <v/>
      </c>
      <c r="H163" s="40" t="inlineStr">
        <is>
          <t>cm</t>
        </is>
      </c>
      <c r="I163" s="153">
        <f>VLOOKUP(L145,Database!A4:Q1021,17,FALSE)</f>
        <v/>
      </c>
      <c r="J163" s="40" t="inlineStr">
        <is>
          <t>cm</t>
        </is>
      </c>
      <c r="K163" s="153">
        <f>VLOOKUP(L146,Database!A4:Q1021,17,FALSE)</f>
        <v/>
      </c>
      <c r="L163" s="40" t="inlineStr">
        <is>
          <t>cm</t>
        </is>
      </c>
      <c r="M163" s="24" t="n"/>
      <c r="N163" s="116" t="n"/>
      <c r="O163" s="117" t="n"/>
      <c r="P163" s="73" t="n"/>
    </row>
    <row r="164" ht="12.75" customHeight="1">
      <c r="A164" s="24" t="n"/>
      <c r="B164" s="6" t="inlineStr">
        <is>
          <t>Elastic Modulus (X)</t>
        </is>
      </c>
      <c r="C164" s="123" t="inlineStr">
        <is>
          <t>Sex</t>
        </is>
      </c>
      <c r="D164" s="22" t="inlineStr">
        <is>
          <t>=</t>
        </is>
      </c>
      <c r="E164" s="153">
        <f>Rec_Tube_DB!K4</f>
        <v/>
      </c>
      <c r="F164" s="42" t="inlineStr">
        <is>
          <t>cm3</t>
        </is>
      </c>
      <c r="G164" s="153">
        <f>VLOOKUP(L144,Database!A4:R1021,18,FALSE)</f>
        <v/>
      </c>
      <c r="H164" s="42" t="inlineStr">
        <is>
          <t>cm3</t>
        </is>
      </c>
      <c r="I164" s="153">
        <f>VLOOKUP(L145,Database!A4:R1021,18,FALSE)</f>
        <v/>
      </c>
      <c r="J164" s="42" t="inlineStr">
        <is>
          <t>cm3</t>
        </is>
      </c>
      <c r="K164" s="153">
        <f>VLOOKUP(L146,Database!A4:R1021,18,FALSE)</f>
        <v/>
      </c>
      <c r="L164" s="42" t="inlineStr">
        <is>
          <t>cm3</t>
        </is>
      </c>
      <c r="M164" s="24" t="n"/>
      <c r="N164" s="118" t="n"/>
      <c r="O164" s="119" t="n"/>
      <c r="P164" s="73" t="n"/>
    </row>
    <row r="165" ht="12.75" customHeight="1">
      <c r="A165" s="24" t="n"/>
      <c r="B165" s="6" t="inlineStr">
        <is>
          <t>Elastic Modulus (Y)</t>
        </is>
      </c>
      <c r="C165" s="123" t="inlineStr">
        <is>
          <t>Sey</t>
        </is>
      </c>
      <c r="D165" s="22" t="inlineStr">
        <is>
          <t>=</t>
        </is>
      </c>
      <c r="E165" s="153">
        <f>Rec_Tube_DB!L4</f>
        <v/>
      </c>
      <c r="F165" s="42" t="inlineStr">
        <is>
          <t>cm3</t>
        </is>
      </c>
      <c r="G165" s="153">
        <f>VLOOKUP(L144,Database!A4:S1021,19,FALSE)</f>
        <v/>
      </c>
      <c r="H165" s="42" t="inlineStr">
        <is>
          <t>cm3</t>
        </is>
      </c>
      <c r="I165" s="153">
        <f>VLOOKUP(L145,Database!A4:S1021,19,FALSE)</f>
        <v/>
      </c>
      <c r="J165" s="42" t="inlineStr">
        <is>
          <t>cm3</t>
        </is>
      </c>
      <c r="K165" s="153">
        <f>VLOOKUP(L146,Database!A4:S1021,19,FALSE)</f>
        <v/>
      </c>
      <c r="L165" s="42" t="inlineStr">
        <is>
          <t>cm3</t>
        </is>
      </c>
      <c r="M165" s="24" t="n"/>
      <c r="N165" s="118" t="n"/>
      <c r="O165" s="119" t="n"/>
      <c r="P165" s="73" t="n"/>
    </row>
    <row r="166" ht="12.75" customHeight="1">
      <c r="A166" s="24" t="n"/>
      <c r="B166" s="6" t="inlineStr">
        <is>
          <t>Plastic Modulus (X)</t>
        </is>
      </c>
      <c r="C166" s="123" t="inlineStr">
        <is>
          <t>Zpx</t>
        </is>
      </c>
      <c r="D166" s="22" t="inlineStr">
        <is>
          <t>=</t>
        </is>
      </c>
      <c r="E166" s="153">
        <f>Rec_Tube_DB!M4</f>
        <v/>
      </c>
      <c r="F166" s="42" t="inlineStr">
        <is>
          <t>cm3</t>
        </is>
      </c>
      <c r="G166" s="153">
        <f>VLOOKUP(L144,Database!A4:T1021,20,FALSE)</f>
        <v/>
      </c>
      <c r="H166" s="42" t="inlineStr">
        <is>
          <t>cm3</t>
        </is>
      </c>
      <c r="I166" s="153">
        <f>VLOOKUP(L145,Database!A4:T1021,20,FALSE)</f>
        <v/>
      </c>
      <c r="J166" s="42" t="inlineStr">
        <is>
          <t>cm3</t>
        </is>
      </c>
      <c r="K166" s="153">
        <f>VLOOKUP(L146,Database!A4:T1021,20,FALSE)</f>
        <v/>
      </c>
      <c r="L166" s="42" t="inlineStr">
        <is>
          <t>cm3</t>
        </is>
      </c>
      <c r="M166" s="24" t="n"/>
      <c r="N166" s="120" t="n"/>
      <c r="O166" s="119" t="n"/>
      <c r="P166" s="73" t="n"/>
    </row>
    <row r="167" ht="12.75" customHeight="1">
      <c r="A167" s="24" t="n"/>
      <c r="B167" s="6" t="inlineStr">
        <is>
          <t>Plastic Modulus (Y)</t>
        </is>
      </c>
      <c r="C167" s="123" t="inlineStr">
        <is>
          <t>Zpy</t>
        </is>
      </c>
      <c r="D167" s="22" t="inlineStr">
        <is>
          <t>=</t>
        </is>
      </c>
      <c r="E167" s="153">
        <f>Rec_Tube_DB!N4</f>
        <v/>
      </c>
      <c r="F167" s="68" t="inlineStr">
        <is>
          <t>cm3</t>
        </is>
      </c>
      <c r="G167" s="153">
        <f>VLOOKUP(L144,Database!A4:U1021,21,FALSE)</f>
        <v/>
      </c>
      <c r="H167" s="68" t="inlineStr">
        <is>
          <t>cm3</t>
        </is>
      </c>
      <c r="I167" s="153">
        <f>VLOOKUP(L145,Database!A4:U1021,21,FALSE)</f>
        <v/>
      </c>
      <c r="J167" s="68" t="inlineStr">
        <is>
          <t>cm3</t>
        </is>
      </c>
      <c r="K167" s="153">
        <f>VLOOKUP(L146,Database!A4:U1021,21,FALSE)</f>
        <v/>
      </c>
      <c r="L167" s="68" t="inlineStr">
        <is>
          <t>cm3</t>
        </is>
      </c>
      <c r="M167" s="24" t="n"/>
      <c r="N167" s="120" t="n"/>
      <c r="O167" s="119" t="n"/>
      <c r="P167" s="73" t="n"/>
    </row>
    <row r="168" ht="12.75" customHeight="1">
      <c r="A168" s="24" t="n"/>
      <c r="B168" s="6" t="inlineStr">
        <is>
          <t>Flange Ratios 
For Local Buckling</t>
        </is>
      </c>
      <c r="C168" s="6" t="inlineStr">
        <is>
          <t>b/T</t>
        </is>
      </c>
      <c r="D168" s="22" t="inlineStr">
        <is>
          <t>=</t>
        </is>
      </c>
      <c r="E168" s="91" t="inlineStr">
        <is>
          <t>-</t>
        </is>
      </c>
      <c r="F168" s="74" t="inlineStr">
        <is>
          <t>-</t>
        </is>
      </c>
      <c r="G168" s="153">
        <f>VLOOKUP(L144,Database!A4:K1021,11,FALSE)</f>
        <v/>
      </c>
      <c r="H168" s="74" t="inlineStr">
        <is>
          <t>-</t>
        </is>
      </c>
      <c r="I168" s="153">
        <f>VLOOKUP(L145,Database!A4:K1021,11,FALSE)</f>
        <v/>
      </c>
      <c r="J168" s="74" t="inlineStr">
        <is>
          <t>-</t>
        </is>
      </c>
      <c r="K168" s="153">
        <f>VLOOKUP(L146,Database!A4:K1021,11,FALSE)</f>
        <v/>
      </c>
      <c r="L168" s="74" t="inlineStr">
        <is>
          <t>-</t>
        </is>
      </c>
      <c r="M168" s="24" t="n"/>
      <c r="N168" s="114" t="n"/>
      <c r="O168" s="109" t="n"/>
      <c r="P168" s="73" t="n"/>
    </row>
    <row r="169" ht="12.75" customHeight="1">
      <c r="A169" s="24" t="n"/>
      <c r="B169" s="6" t="inlineStr">
        <is>
          <t>Web Ratios 
For Local Buckling</t>
        </is>
      </c>
      <c r="C169" s="6" t="inlineStr">
        <is>
          <t>d/t</t>
        </is>
      </c>
      <c r="D169" s="22" t="inlineStr">
        <is>
          <t>=</t>
        </is>
      </c>
      <c r="E169" s="91" t="inlineStr">
        <is>
          <t>-</t>
        </is>
      </c>
      <c r="F169" s="74" t="inlineStr">
        <is>
          <t>-</t>
        </is>
      </c>
      <c r="G169" s="153">
        <f>VLOOKUP(L144,Database!A4:L1021,12,FALSE)</f>
        <v/>
      </c>
      <c r="H169" s="74" t="inlineStr">
        <is>
          <t>-</t>
        </is>
      </c>
      <c r="I169" s="153">
        <f>VLOOKUP(L145,Database!A4:L1021,12,FALSE)</f>
        <v/>
      </c>
      <c r="J169" s="74" t="inlineStr">
        <is>
          <t>-</t>
        </is>
      </c>
      <c r="K169" s="153">
        <f>VLOOKUP(L146,Database!A4:L1021,12,FALSE)</f>
        <v/>
      </c>
      <c r="L169" s="74" t="inlineStr">
        <is>
          <t>-</t>
        </is>
      </c>
      <c r="M169" s="24" t="n"/>
      <c r="N169" s="114" t="n"/>
      <c r="O169" s="109" t="n"/>
      <c r="P169" s="73" t="n"/>
    </row>
    <row r="170" ht="12.75" customHeight="1">
      <c r="A170" s="24" t="n"/>
      <c r="B170" s="6" t="inlineStr">
        <is>
          <t>Web Section Class.</t>
        </is>
      </c>
      <c r="C170" s="6" t="inlineStr">
        <is>
          <t>-</t>
        </is>
      </c>
      <c r="D170" s="22" t="inlineStr">
        <is>
          <t>=</t>
        </is>
      </c>
      <c r="E170" s="91" t="inlineStr">
        <is>
          <t>-</t>
        </is>
      </c>
      <c r="F170" s="74" t="inlineStr">
        <is>
          <t>-</t>
        </is>
      </c>
      <c r="G170" s="153">
        <f>VLOOKUP(L144,Database!A4:X1021,24,FALSE)</f>
        <v/>
      </c>
      <c r="H170" s="74" t="inlineStr">
        <is>
          <t>-</t>
        </is>
      </c>
      <c r="I170" s="153">
        <f>VLOOKUP(L145,Database!A4:X1021,24,FALSE)</f>
        <v/>
      </c>
      <c r="J170" s="74" t="inlineStr">
        <is>
          <t>-</t>
        </is>
      </c>
      <c r="K170" s="153">
        <f>VLOOKUP(L146,Database!A4:X1021,24,FALSE)</f>
        <v/>
      </c>
      <c r="L170" s="74" t="inlineStr">
        <is>
          <t>-</t>
        </is>
      </c>
      <c r="M170" s="24" t="n"/>
      <c r="N170" s="49" t="n"/>
      <c r="O170" s="109" t="n"/>
      <c r="P170" s="73" t="n"/>
    </row>
    <row r="171" ht="12.75" customHeight="1">
      <c r="A171" s="24" t="n"/>
      <c r="B171" s="6" t="inlineStr">
        <is>
          <t>Flange Section Class.</t>
        </is>
      </c>
      <c r="C171" s="6" t="inlineStr">
        <is>
          <t>-</t>
        </is>
      </c>
      <c r="D171" s="22" t="inlineStr">
        <is>
          <t>=</t>
        </is>
      </c>
      <c r="E171" s="91" t="inlineStr">
        <is>
          <t>-</t>
        </is>
      </c>
      <c r="F171" s="74" t="inlineStr">
        <is>
          <t>-</t>
        </is>
      </c>
      <c r="G171" s="153">
        <f>VLOOKUP(L144,Database!A4:Y1021,25,FALSE)</f>
        <v/>
      </c>
      <c r="H171" s="74" t="inlineStr">
        <is>
          <t>-</t>
        </is>
      </c>
      <c r="I171" s="153">
        <f>VLOOKUP(L146,Database!A4:Y1021,25,FALSE)</f>
        <v/>
      </c>
      <c r="J171" s="74" t="inlineStr">
        <is>
          <t>-</t>
        </is>
      </c>
      <c r="K171" s="153">
        <f>VLOOKUP(L146,Database!A4:Y1021,25,FALSE)</f>
        <v/>
      </c>
      <c r="L171" s="74" t="inlineStr">
        <is>
          <t>-</t>
        </is>
      </c>
      <c r="M171" s="24" t="n"/>
      <c r="N171" s="49" t="n"/>
      <c r="O171" s="109" t="n"/>
      <c r="P171" s="73" t="n"/>
    </row>
    <row r="172" ht="12.75" customHeight="1">
      <c r="B172" s="19" t="n"/>
      <c r="C172" s="19" t="n"/>
      <c r="M172" s="24" t="n"/>
      <c r="N172" s="118" t="n"/>
      <c r="O172" s="119" t="n"/>
      <c r="P172" s="73" t="n"/>
    </row>
    <row r="173" ht="12.75" customHeight="1">
      <c r="M173" s="24" t="n"/>
    </row>
    <row r="174" ht="18.5" customHeight="1">
      <c r="C174" s="100" t="inlineStr">
        <is>
          <t>Custom Circular Tube Section</t>
        </is>
      </c>
      <c r="D174" s="97" t="n"/>
      <c r="E174" s="98" t="n"/>
    </row>
    <row r="175" ht="12.75" customHeight="1">
      <c r="C175" s="137" t="inlineStr">
        <is>
          <t>D</t>
        </is>
      </c>
      <c r="D175" s="137" t="inlineStr">
        <is>
          <t>=</t>
        </is>
      </c>
      <c r="E175" s="137" t="n">
        <v>200</v>
      </c>
      <c r="J175" s="137" t="inlineStr">
        <is>
          <t>Alt. Std. 1</t>
        </is>
      </c>
      <c r="K175" s="139" t="n"/>
      <c r="L175" s="153">
        <f t="array" ref="L175">_xlfn.IFS(C178="Area of Section",Database!CH11,C178="Elastic Modulus x-x",Database!CH19)</f>
        <v/>
      </c>
    </row>
    <row r="176" ht="12.75" customHeight="1">
      <c r="C176" s="137" t="inlineStr">
        <is>
          <t>T</t>
        </is>
      </c>
      <c r="D176" s="137" t="inlineStr">
        <is>
          <t>=</t>
        </is>
      </c>
      <c r="E176" s="137" t="n">
        <v>10</v>
      </c>
      <c r="J176" s="137" t="inlineStr">
        <is>
          <t>Alt. Std. 2</t>
        </is>
      </c>
      <c r="K176" s="139" t="n"/>
      <c r="L176" s="153">
        <f t="array" ref="L176">_xlfn.IFS(C178="Area of Section",Database!CH12,C178="Elastic Modulus x-x",Database!CH20)</f>
        <v/>
      </c>
    </row>
    <row r="177" ht="12.75" customHeight="1">
      <c r="J177" s="137" t="inlineStr">
        <is>
          <t>Alt. Std. 3</t>
        </is>
      </c>
      <c r="K177" s="139" t="n"/>
      <c r="L177" s="153">
        <f t="array" ref="L177">_xlfn.IFS(C178="Area of Section",Database!CH13,C178="Elastic Modulus x-x",Database!CH21)</f>
        <v/>
      </c>
    </row>
    <row r="178" ht="12.75" customHeight="1">
      <c r="B178" s="153" t="inlineStr">
        <is>
          <t>Similarity by:</t>
        </is>
      </c>
      <c r="C178" s="164" t="inlineStr">
        <is>
          <t>Area of Section</t>
        </is>
      </c>
      <c r="D178" s="138" t="n"/>
      <c r="E178" s="139" t="n"/>
    </row>
    <row r="179" ht="12.75" customHeight="1">
      <c r="B179" s="153" t="inlineStr">
        <is>
          <t>Yield Strength fy:</t>
        </is>
      </c>
      <c r="C179" s="137" t="n">
        <v>275</v>
      </c>
      <c r="D179" s="138" t="n"/>
      <c r="E179" s="139" t="n"/>
      <c r="F179" s="153" t="inlineStr">
        <is>
          <t>MPa</t>
        </is>
      </c>
    </row>
    <row r="180" ht="12.75" customHeight="1">
      <c r="B180" s="15" t="n"/>
      <c r="C180" s="96" t="n"/>
      <c r="D180" s="139" t="n"/>
      <c r="E180" s="49" t="inlineStr">
        <is>
          <t>Custom</t>
        </is>
      </c>
      <c r="G180" s="137" t="inlineStr">
        <is>
          <t>Alt. Std. 1</t>
        </is>
      </c>
      <c r="H180" s="139" t="n"/>
      <c r="I180" s="137" t="inlineStr">
        <is>
          <t>Alt. Std. 2</t>
        </is>
      </c>
      <c r="J180" s="139" t="n"/>
      <c r="K180" s="137" t="inlineStr">
        <is>
          <t>Alt. Std. 3</t>
        </is>
      </c>
      <c r="L180" s="139" t="n"/>
    </row>
    <row r="181" ht="12.75" customHeight="1">
      <c r="B181" s="59" t="inlineStr">
        <is>
          <t>Mass per Metre</t>
        </is>
      </c>
      <c r="C181" s="50" t="inlineStr">
        <is>
          <t>-</t>
        </is>
      </c>
      <c r="D181" s="38" t="inlineStr">
        <is>
          <t>=</t>
        </is>
      </c>
      <c r="E181" s="91" t="inlineStr">
        <is>
          <t>-</t>
        </is>
      </c>
      <c r="F181" s="49" t="inlineStr">
        <is>
          <t>kg/m</t>
        </is>
      </c>
      <c r="G181" s="91">
        <f>VLOOKUP(L175,Database!A4:C1021,3,FALSE)</f>
        <v/>
      </c>
      <c r="H181" s="49" t="inlineStr">
        <is>
          <t>kg/m</t>
        </is>
      </c>
      <c r="I181" s="91">
        <f>VLOOKUP(L176,Database!A4:C1021,3,FALSE)</f>
        <v/>
      </c>
      <c r="J181" s="49" t="inlineStr">
        <is>
          <t>kg/m</t>
        </is>
      </c>
      <c r="K181" s="153">
        <f>VLOOKUP(L177,Database!A4:C1021,3,FALSE)</f>
        <v/>
      </c>
      <c r="L181" s="49" t="inlineStr">
        <is>
          <t>kg/m</t>
        </is>
      </c>
    </row>
    <row r="182" ht="12.75" customHeight="1">
      <c r="B182" s="58" t="inlineStr">
        <is>
          <t>Diameter</t>
        </is>
      </c>
      <c r="C182" s="50" t="inlineStr">
        <is>
          <t>D</t>
        </is>
      </c>
      <c r="D182" s="38" t="inlineStr">
        <is>
          <t>=</t>
        </is>
      </c>
      <c r="E182" s="153">
        <f>Circular_Tube_DB!D4</f>
        <v/>
      </c>
      <c r="F182" s="49" t="inlineStr">
        <is>
          <t>mm</t>
        </is>
      </c>
      <c r="G182" s="153">
        <f>VLOOKUP(L175,Database!A4:D1021,4,FALSE)</f>
        <v/>
      </c>
      <c r="H182" s="49" t="inlineStr">
        <is>
          <t>mm</t>
        </is>
      </c>
      <c r="I182" s="153">
        <f>VLOOKUP(L176,Database!A4:D1021,4,FALSE)</f>
        <v/>
      </c>
      <c r="J182" s="49" t="inlineStr">
        <is>
          <t>mm</t>
        </is>
      </c>
      <c r="K182" s="153">
        <f>VLOOKUP(L177,Database!A4:D1021,4,FALSE)</f>
        <v/>
      </c>
      <c r="L182" s="49" t="inlineStr">
        <is>
          <t>mm</t>
        </is>
      </c>
    </row>
    <row r="183" ht="12.75" customHeight="1">
      <c r="B183" s="64" t="inlineStr">
        <is>
          <t>Flange Width</t>
        </is>
      </c>
      <c r="C183" s="55" t="inlineStr">
        <is>
          <t>Bf</t>
        </is>
      </c>
      <c r="D183" s="38" t="inlineStr">
        <is>
          <t>=</t>
        </is>
      </c>
      <c r="E183" s="91" t="inlineStr">
        <is>
          <t>-</t>
        </is>
      </c>
      <c r="F183" s="49" t="inlineStr">
        <is>
          <t>mm</t>
        </is>
      </c>
      <c r="G183" s="153">
        <f>VLOOKUP(L175,Database!A4:E1021,5,FALSE)</f>
        <v/>
      </c>
      <c r="H183" s="49" t="inlineStr">
        <is>
          <t>mm</t>
        </is>
      </c>
      <c r="I183" s="153">
        <f>VLOOKUP(L176,Database!A4:E1021,5,FALSE)</f>
        <v/>
      </c>
      <c r="J183" s="49" t="inlineStr">
        <is>
          <t>mm</t>
        </is>
      </c>
      <c r="K183" s="153">
        <f>VLOOKUP(L177,Database!A4:E1021,5,FALSE)</f>
        <v/>
      </c>
      <c r="L183" s="49" t="inlineStr">
        <is>
          <t>mm</t>
        </is>
      </c>
    </row>
    <row r="184" ht="12.75" customHeight="1">
      <c r="B184" s="64" t="inlineStr">
        <is>
          <t>Thickness</t>
        </is>
      </c>
      <c r="C184" s="55" t="inlineStr">
        <is>
          <t>T</t>
        </is>
      </c>
      <c r="D184" s="38" t="inlineStr">
        <is>
          <t>=</t>
        </is>
      </c>
      <c r="E184" s="91">
        <f>Circular_Tube_DB!E4</f>
        <v/>
      </c>
      <c r="F184" s="49" t="inlineStr">
        <is>
          <t>mm</t>
        </is>
      </c>
      <c r="G184" s="91" t="inlineStr">
        <is>
          <t>-</t>
        </is>
      </c>
      <c r="H184" s="49" t="inlineStr">
        <is>
          <t>mm</t>
        </is>
      </c>
      <c r="I184" s="91" t="inlineStr">
        <is>
          <t>-</t>
        </is>
      </c>
      <c r="J184" s="49" t="inlineStr">
        <is>
          <t>mm</t>
        </is>
      </c>
      <c r="K184" s="91" t="inlineStr">
        <is>
          <t>-</t>
        </is>
      </c>
      <c r="L184" s="49" t="inlineStr">
        <is>
          <t>mm</t>
        </is>
      </c>
    </row>
    <row r="185" ht="12.75" customHeight="1">
      <c r="B185" s="59" t="inlineStr">
        <is>
          <t>Flange Thickness</t>
        </is>
      </c>
      <c r="C185" s="51" t="inlineStr">
        <is>
          <t>Tf</t>
        </is>
      </c>
      <c r="D185" s="37" t="inlineStr">
        <is>
          <t>=</t>
        </is>
      </c>
      <c r="E185" s="91" t="inlineStr">
        <is>
          <t>-</t>
        </is>
      </c>
      <c r="F185" s="49" t="inlineStr">
        <is>
          <t>mm</t>
        </is>
      </c>
      <c r="G185" s="153">
        <f>VLOOKUP(L175,Database!A4:F1021,6,FALSE)</f>
        <v/>
      </c>
      <c r="H185" s="49" t="inlineStr">
        <is>
          <t>mm</t>
        </is>
      </c>
      <c r="I185" s="153">
        <f>VLOOKUP(L176,Database!A4:F1021,6,FALSE)</f>
        <v/>
      </c>
      <c r="J185" s="49" t="inlineStr">
        <is>
          <t>mm</t>
        </is>
      </c>
      <c r="K185" s="153">
        <f>VLOOKUP(L177,Database!A4:F1021,6,FALSE)</f>
        <v/>
      </c>
      <c r="L185" s="49" t="inlineStr">
        <is>
          <t>mm</t>
        </is>
      </c>
    </row>
    <row r="186" ht="12.75" customHeight="1">
      <c r="B186" s="59" t="inlineStr">
        <is>
          <t>Web Thickness</t>
        </is>
      </c>
      <c r="C186" s="50" t="inlineStr">
        <is>
          <t>Tw</t>
        </is>
      </c>
      <c r="D186" s="38" t="inlineStr">
        <is>
          <t>=</t>
        </is>
      </c>
      <c r="E186" s="91" t="inlineStr">
        <is>
          <t>-</t>
        </is>
      </c>
      <c r="F186" s="49" t="inlineStr">
        <is>
          <t>mm</t>
        </is>
      </c>
      <c r="G186" s="153">
        <f>VLOOKUP(L175,Database!A4:G1021,7,FALSE)</f>
        <v/>
      </c>
      <c r="H186" s="49" t="inlineStr">
        <is>
          <t>mm</t>
        </is>
      </c>
      <c r="I186" s="153">
        <f>VLOOKUP(L176,Database!A4:G1021,7,FALSE)</f>
        <v/>
      </c>
      <c r="J186" s="49" t="inlineStr">
        <is>
          <t>mm</t>
        </is>
      </c>
      <c r="K186" s="153">
        <f>VLOOKUP(L177,Database!A4:G1021,7,FALSE)</f>
        <v/>
      </c>
      <c r="L186" s="49" t="inlineStr">
        <is>
          <t>mm</t>
        </is>
      </c>
    </row>
    <row r="187" ht="12.75" customHeight="1">
      <c r="B187" s="57" t="inlineStr">
        <is>
          <t>Root Radius</t>
        </is>
      </c>
      <c r="C187" s="52" t="inlineStr">
        <is>
          <t>r</t>
        </is>
      </c>
      <c r="D187" s="38" t="inlineStr">
        <is>
          <t>=</t>
        </is>
      </c>
      <c r="E187" s="91" t="inlineStr">
        <is>
          <t>-</t>
        </is>
      </c>
      <c r="F187" s="49" t="inlineStr">
        <is>
          <t>mm</t>
        </is>
      </c>
      <c r="G187" s="153">
        <f>VLOOKUP(L175,Database!A4:H1021,8,FALSE)</f>
        <v/>
      </c>
      <c r="H187" s="49" t="inlineStr">
        <is>
          <t>mm</t>
        </is>
      </c>
      <c r="I187" s="153">
        <f>VLOOKUP(L176,Database!A4:H1021,8,FALSE)</f>
        <v/>
      </c>
      <c r="J187" s="49" t="inlineStr">
        <is>
          <t>mm</t>
        </is>
      </c>
      <c r="K187" s="153">
        <f>VLOOKUP(L177,Database!A4:H1021,8,FALSE)</f>
        <v/>
      </c>
      <c r="L187" s="49" t="inlineStr">
        <is>
          <t>mm</t>
        </is>
      </c>
    </row>
    <row r="188" ht="12.75" customHeight="1">
      <c r="B188" s="57" t="inlineStr">
        <is>
          <t>Toe Fillet Distance</t>
        </is>
      </c>
      <c r="C188" s="52" t="inlineStr">
        <is>
          <t>d</t>
        </is>
      </c>
      <c r="D188" s="36" t="inlineStr">
        <is>
          <t>=</t>
        </is>
      </c>
      <c r="E188" s="91" t="inlineStr">
        <is>
          <t>-</t>
        </is>
      </c>
      <c r="F188" s="49" t="inlineStr">
        <is>
          <t>mm</t>
        </is>
      </c>
      <c r="G188" s="153">
        <f>VLOOKUP(L175,Database!A4:I1021,9,FALSE)</f>
        <v/>
      </c>
      <c r="H188" s="49" t="inlineStr">
        <is>
          <t>mm</t>
        </is>
      </c>
      <c r="I188" s="153">
        <f>VLOOKUP(L176,Database!A4:I1021,9,FALSE)</f>
        <v/>
      </c>
      <c r="J188" s="49" t="inlineStr">
        <is>
          <t>mm</t>
        </is>
      </c>
      <c r="K188" s="153">
        <f>VLOOKUP(L177,Database!A4:I1021,9,FALSE)</f>
        <v/>
      </c>
      <c r="L188" s="49" t="inlineStr">
        <is>
          <t>mm</t>
        </is>
      </c>
    </row>
    <row r="189" ht="12.75" customHeight="1">
      <c r="B189" s="62" t="inlineStr">
        <is>
          <t>Area of Section</t>
        </is>
      </c>
      <c r="C189" s="53" t="inlineStr">
        <is>
          <t>A</t>
        </is>
      </c>
      <c r="D189" s="38" t="inlineStr">
        <is>
          <t>=</t>
        </is>
      </c>
      <c r="E189" s="153">
        <f>Circular_Tube_DB!F4</f>
        <v/>
      </c>
      <c r="F189" s="49" t="inlineStr">
        <is>
          <t>cm2</t>
        </is>
      </c>
      <c r="G189" s="153">
        <f>VLOOKUP(L175,Database!A4:J1021,10,FALSE)</f>
        <v/>
      </c>
      <c r="H189" s="49" t="inlineStr">
        <is>
          <t>cm2</t>
        </is>
      </c>
      <c r="I189" s="153">
        <f>VLOOKUP(L176,Database!A4:J1021,10,FALSE)</f>
        <v/>
      </c>
      <c r="J189" s="49" t="inlineStr">
        <is>
          <t>cm2</t>
        </is>
      </c>
      <c r="K189" s="153">
        <f>VLOOKUP(L177,Database!A4:J1021,10,FALSE)</f>
        <v/>
      </c>
      <c r="L189" s="49" t="inlineStr">
        <is>
          <t>cm2</t>
        </is>
      </c>
    </row>
    <row r="190" ht="12.75" customHeight="1">
      <c r="B190" s="62" t="inlineStr">
        <is>
          <t>Surface Area /m</t>
        </is>
      </c>
      <c r="C190" s="53" t="inlineStr">
        <is>
          <t>-</t>
        </is>
      </c>
      <c r="D190" s="37" t="inlineStr">
        <is>
          <t>=</t>
        </is>
      </c>
      <c r="E190" s="153">
        <f>Circular_Tube_DB!G4</f>
        <v/>
      </c>
      <c r="F190" s="49" t="inlineStr">
        <is>
          <t>m2</t>
        </is>
      </c>
      <c r="G190" s="153">
        <f>VLOOKUP(L175,Database!A4:M1021,13,FALSE)</f>
        <v/>
      </c>
      <c r="H190" s="49" t="inlineStr">
        <is>
          <t>m2</t>
        </is>
      </c>
      <c r="I190" s="153">
        <f>VLOOKUP(L176,Database!A4:M1021,13,FALSE)</f>
        <v/>
      </c>
      <c r="J190" s="49" t="inlineStr">
        <is>
          <t>m2</t>
        </is>
      </c>
      <c r="K190" s="153">
        <f>VLOOKUP(L177,Database!A4:M1021,13,FALSE)</f>
        <v/>
      </c>
      <c r="L190" s="49" t="inlineStr">
        <is>
          <t>m2</t>
        </is>
      </c>
    </row>
    <row r="191" ht="12.75" customHeight="1">
      <c r="B191" s="60" t="inlineStr">
        <is>
          <t>Second Moment Of Area (X)</t>
        </is>
      </c>
      <c r="C191" s="54" t="inlineStr">
        <is>
          <t>Ix</t>
        </is>
      </c>
      <c r="D191" s="37" t="inlineStr">
        <is>
          <t>=</t>
        </is>
      </c>
      <c r="E191" s="153">
        <f>Circular_Tube_DB!H4</f>
        <v/>
      </c>
      <c r="F191" s="44" t="inlineStr">
        <is>
          <t xml:space="preserve">cm4 </t>
        </is>
      </c>
      <c r="G191" s="153">
        <f>VLOOKUP(L175,Database!A4:N1021,14,FALSE)</f>
        <v/>
      </c>
      <c r="H191" s="44" t="inlineStr">
        <is>
          <t xml:space="preserve">cm4 </t>
        </is>
      </c>
      <c r="I191" s="153">
        <f>VLOOKUP(L176,Database!A4:N1021,14,FALSE)</f>
        <v/>
      </c>
      <c r="J191" s="44" t="inlineStr">
        <is>
          <t xml:space="preserve">cm4 </t>
        </is>
      </c>
      <c r="K191" s="153">
        <f>VLOOKUP(L177,Database!A4:N1021,14,FALSE)</f>
        <v/>
      </c>
      <c r="L191" s="44" t="inlineStr">
        <is>
          <t xml:space="preserve">cm4 </t>
        </is>
      </c>
    </row>
    <row r="192" ht="12.75" customHeight="1">
      <c r="B192" s="60" t="inlineStr">
        <is>
          <t>Second Moment Of Area (Y)</t>
        </is>
      </c>
      <c r="C192" s="54" t="inlineStr">
        <is>
          <t>Iy</t>
        </is>
      </c>
      <c r="D192" s="37" t="inlineStr">
        <is>
          <t>=</t>
        </is>
      </c>
      <c r="E192" s="153">
        <f>Circular_Tube_DB!I4</f>
        <v/>
      </c>
      <c r="F192" s="44" t="inlineStr">
        <is>
          <t xml:space="preserve">cm4 </t>
        </is>
      </c>
      <c r="G192" s="153">
        <f>VLOOKUP(L175,Database!A4:O1021,15,FALSE)</f>
        <v/>
      </c>
      <c r="H192" s="44" t="inlineStr">
        <is>
          <t xml:space="preserve">cm4 </t>
        </is>
      </c>
      <c r="I192" s="153">
        <f>VLOOKUP(L176,Database!A4:O1021,15,FALSE)</f>
        <v/>
      </c>
      <c r="J192" s="44" t="inlineStr">
        <is>
          <t xml:space="preserve">cm4 </t>
        </is>
      </c>
      <c r="K192" s="153">
        <f>VLOOKUP(L177,Database!A4:O1021,15,FALSE)</f>
        <v/>
      </c>
      <c r="L192" s="44" t="inlineStr">
        <is>
          <t xml:space="preserve">cm4 </t>
        </is>
      </c>
    </row>
    <row r="193" ht="12.75" customHeight="1">
      <c r="B193" s="61" t="inlineStr">
        <is>
          <t>Radius Of Gyration (X)</t>
        </is>
      </c>
      <c r="C193" s="54" t="inlineStr">
        <is>
          <t xml:space="preserve">rx </t>
        </is>
      </c>
      <c r="D193" s="37" t="inlineStr">
        <is>
          <t>=</t>
        </is>
      </c>
      <c r="E193" s="153">
        <f>Circular_Tube_DB!J4</f>
        <v/>
      </c>
      <c r="F193" s="42" t="inlineStr">
        <is>
          <t>cm</t>
        </is>
      </c>
      <c r="G193" s="153">
        <f>VLOOKUP(L175,Database!A4:P1021,16,FALSE)</f>
        <v/>
      </c>
      <c r="H193" s="42" t="inlineStr">
        <is>
          <t>cm</t>
        </is>
      </c>
      <c r="I193" s="153">
        <f>VLOOKUP(L176,Database!A4:P1021,16,FALSE)</f>
        <v/>
      </c>
      <c r="J193" s="42" t="inlineStr">
        <is>
          <t>cm</t>
        </is>
      </c>
      <c r="K193" s="153">
        <f>VLOOKUP(L177,Database!A4:P1021,16,FALSE)</f>
        <v/>
      </c>
      <c r="L193" s="42" t="inlineStr">
        <is>
          <t>cm</t>
        </is>
      </c>
    </row>
    <row r="194" ht="12.75" customHeight="1">
      <c r="B194" s="61" t="inlineStr">
        <is>
          <t>Radius Of Gyration (Y)</t>
        </is>
      </c>
      <c r="C194" s="54" t="inlineStr">
        <is>
          <t xml:space="preserve">ry </t>
        </is>
      </c>
      <c r="D194" s="37" t="inlineStr">
        <is>
          <t>=</t>
        </is>
      </c>
      <c r="E194" s="153">
        <f>Circular_Tube_DB!K4</f>
        <v/>
      </c>
      <c r="F194" s="40" t="inlineStr">
        <is>
          <t>cm</t>
        </is>
      </c>
      <c r="G194" s="153">
        <f>VLOOKUP(L175,Database!A4:Q1021,17,FALSE)</f>
        <v/>
      </c>
      <c r="H194" s="40" t="inlineStr">
        <is>
          <t>cm</t>
        </is>
      </c>
      <c r="I194" s="153">
        <f>VLOOKUP(L176,Database!A4:Q1021,17,FALSE)</f>
        <v/>
      </c>
      <c r="J194" s="40" t="inlineStr">
        <is>
          <t>cm</t>
        </is>
      </c>
      <c r="K194" s="153">
        <f>VLOOKUP(L177,Database!A4:Q1021,17,FALSE)</f>
        <v/>
      </c>
      <c r="L194" s="40" t="inlineStr">
        <is>
          <t>cm</t>
        </is>
      </c>
    </row>
    <row r="195" ht="12.75" customHeight="1">
      <c r="B195" s="6" t="inlineStr">
        <is>
          <t>Elastic Modulus (X)</t>
        </is>
      </c>
      <c r="C195" s="6" t="inlineStr">
        <is>
          <t>Sex</t>
        </is>
      </c>
      <c r="D195" s="85" t="inlineStr">
        <is>
          <t>=</t>
        </is>
      </c>
      <c r="E195" s="153">
        <f>Circular_Tube_DB!L4</f>
        <v/>
      </c>
      <c r="F195" s="42" t="inlineStr">
        <is>
          <t>cm3</t>
        </is>
      </c>
      <c r="G195" s="153">
        <f>VLOOKUP(L175,Database!A4:R1021,18,FALSE)</f>
        <v/>
      </c>
      <c r="H195" s="42" t="inlineStr">
        <is>
          <t>cm3</t>
        </is>
      </c>
      <c r="I195" s="153">
        <f>VLOOKUP(L176,Database!A4:R1021,18,FALSE)</f>
        <v/>
      </c>
      <c r="J195" s="42" t="inlineStr">
        <is>
          <t>cm3</t>
        </is>
      </c>
      <c r="K195" s="153">
        <f>VLOOKUP(L177,Database!A4:R1021,18,FALSE)</f>
        <v/>
      </c>
      <c r="L195" s="42" t="inlineStr">
        <is>
          <t>cm3</t>
        </is>
      </c>
    </row>
    <row r="196" ht="12.75" customHeight="1">
      <c r="B196" s="6" t="inlineStr">
        <is>
          <t>Elastic Modulus (Y)</t>
        </is>
      </c>
      <c r="C196" s="6" t="inlineStr">
        <is>
          <t>Sey</t>
        </is>
      </c>
      <c r="D196" s="85" t="inlineStr">
        <is>
          <t>=</t>
        </is>
      </c>
      <c r="E196" s="153">
        <f>Circular_Tube_DB!M4</f>
        <v/>
      </c>
      <c r="F196" s="42" t="inlineStr">
        <is>
          <t>cm3</t>
        </is>
      </c>
      <c r="G196" s="153">
        <f>VLOOKUP(L175,Database!A4:S1021,19,FALSE)</f>
        <v/>
      </c>
      <c r="H196" s="42" t="inlineStr">
        <is>
          <t>cm3</t>
        </is>
      </c>
      <c r="I196" s="153">
        <f>VLOOKUP(L176,Database!A4:S1021,19,FALSE)</f>
        <v/>
      </c>
      <c r="J196" s="42" t="inlineStr">
        <is>
          <t>cm3</t>
        </is>
      </c>
      <c r="K196" s="153">
        <f>VLOOKUP(L177,Database!A4:S1021,19,FALSE)</f>
        <v/>
      </c>
      <c r="L196" s="42" t="inlineStr">
        <is>
          <t>cm3</t>
        </is>
      </c>
    </row>
    <row r="197" ht="12.75" customHeight="1">
      <c r="B197" s="6" t="inlineStr">
        <is>
          <t>Plastic Modulus (X)</t>
        </is>
      </c>
      <c r="C197" s="6" t="inlineStr">
        <is>
          <t>Zpx</t>
        </is>
      </c>
      <c r="D197" s="85" t="inlineStr">
        <is>
          <t>=</t>
        </is>
      </c>
      <c r="E197" s="153">
        <f>Circular_Tube_DB!N4</f>
        <v/>
      </c>
      <c r="F197" s="42" t="inlineStr">
        <is>
          <t>cm3</t>
        </is>
      </c>
      <c r="G197" s="153">
        <f>VLOOKUP(L175,Database!A4:T1021,20,FALSE)</f>
        <v/>
      </c>
      <c r="H197" s="42" t="inlineStr">
        <is>
          <t>cm3</t>
        </is>
      </c>
      <c r="I197" s="153">
        <f>VLOOKUP(L176,Database!A4:T1021,20,FALSE)</f>
        <v/>
      </c>
      <c r="J197" s="42" t="inlineStr">
        <is>
          <t>cm3</t>
        </is>
      </c>
      <c r="K197" s="153">
        <f>VLOOKUP(L177,Database!A4:T1021,20,FALSE)</f>
        <v/>
      </c>
      <c r="L197" s="42" t="inlineStr">
        <is>
          <t>cm3</t>
        </is>
      </c>
    </row>
    <row r="198" ht="12.75" customHeight="1">
      <c r="B198" s="6" t="inlineStr">
        <is>
          <t>Plastic Modulus (Y)</t>
        </is>
      </c>
      <c r="C198" s="6" t="inlineStr">
        <is>
          <t>Zpy</t>
        </is>
      </c>
      <c r="D198" s="85" t="inlineStr">
        <is>
          <t>=</t>
        </is>
      </c>
      <c r="E198" s="153">
        <f>Circular_Tube_DB!O4</f>
        <v/>
      </c>
      <c r="F198" s="68" t="inlineStr">
        <is>
          <t>cm3</t>
        </is>
      </c>
      <c r="G198" s="153">
        <f>VLOOKUP(L175,Database!A4:U1021,21,FALSE)</f>
        <v/>
      </c>
      <c r="H198" s="68" t="inlineStr">
        <is>
          <t>cm3</t>
        </is>
      </c>
      <c r="I198" s="153">
        <f>VLOOKUP(L176,Database!A4:U1021,21,FALSE)</f>
        <v/>
      </c>
      <c r="J198" s="68" t="inlineStr">
        <is>
          <t>cm3</t>
        </is>
      </c>
      <c r="K198" s="153">
        <f>VLOOKUP(L177,Database!A4:U1021,21,FALSE)</f>
        <v/>
      </c>
      <c r="L198" s="68" t="inlineStr">
        <is>
          <t>cm3</t>
        </is>
      </c>
    </row>
    <row r="199" ht="12.75" customHeight="1">
      <c r="B199" s="6" t="inlineStr">
        <is>
          <t>Flange Ratios 
For Local Buckling</t>
        </is>
      </c>
      <c r="C199" s="6" t="inlineStr">
        <is>
          <t>b/T</t>
        </is>
      </c>
      <c r="D199" s="85" t="inlineStr">
        <is>
          <t>=</t>
        </is>
      </c>
      <c r="E199" s="91" t="inlineStr">
        <is>
          <t>-</t>
        </is>
      </c>
      <c r="F199" s="74" t="inlineStr">
        <is>
          <t>-</t>
        </is>
      </c>
      <c r="G199" s="153">
        <f>VLOOKUP(L175,Database!A4:K1021,11,FALSE)</f>
        <v/>
      </c>
      <c r="H199" s="74" t="inlineStr">
        <is>
          <t>-</t>
        </is>
      </c>
      <c r="I199" s="153">
        <f>VLOOKUP(L176,Database!A4:K1021,11,FALSE)</f>
        <v/>
      </c>
      <c r="J199" s="74" t="inlineStr">
        <is>
          <t>-</t>
        </is>
      </c>
      <c r="K199" s="153">
        <f>VLOOKUP(L177,Database!A4:K1021,11,FALSE)</f>
        <v/>
      </c>
      <c r="L199" s="74" t="inlineStr">
        <is>
          <t>-</t>
        </is>
      </c>
    </row>
    <row r="200" ht="12.75" customHeight="1">
      <c r="B200" s="6" t="inlineStr">
        <is>
          <t>Web Ratios 
For Local Buckling</t>
        </is>
      </c>
      <c r="C200" s="6" t="inlineStr">
        <is>
          <t>d/t</t>
        </is>
      </c>
      <c r="D200" s="85" t="inlineStr">
        <is>
          <t>=</t>
        </is>
      </c>
      <c r="E200" s="91" t="inlineStr">
        <is>
          <t>-</t>
        </is>
      </c>
      <c r="F200" s="74" t="inlineStr">
        <is>
          <t>-</t>
        </is>
      </c>
      <c r="G200" s="153">
        <f>VLOOKUP(L175,Database!A4:L1021,12,FALSE)</f>
        <v/>
      </c>
      <c r="H200" s="74" t="inlineStr">
        <is>
          <t>-</t>
        </is>
      </c>
      <c r="I200" s="153">
        <f>VLOOKUP(L176,Database!A4:L1021,12,FALSE)</f>
        <v/>
      </c>
      <c r="J200" s="74" t="inlineStr">
        <is>
          <t>-</t>
        </is>
      </c>
      <c r="K200" s="153">
        <f>VLOOKUP(L177,Database!A4:L1021,12,FALSE)</f>
        <v/>
      </c>
      <c r="L200" s="74" t="inlineStr">
        <is>
          <t>-</t>
        </is>
      </c>
    </row>
    <row r="201" ht="12.75" customHeight="1">
      <c r="B201" s="6" t="inlineStr">
        <is>
          <t>Web Section Class.</t>
        </is>
      </c>
      <c r="C201" s="6" t="inlineStr">
        <is>
          <t>-</t>
        </is>
      </c>
      <c r="D201" s="85" t="inlineStr">
        <is>
          <t>=</t>
        </is>
      </c>
      <c r="E201" s="91" t="inlineStr">
        <is>
          <t>-</t>
        </is>
      </c>
      <c r="F201" s="74" t="inlineStr">
        <is>
          <t>-</t>
        </is>
      </c>
      <c r="G201" s="153">
        <f>VLOOKUP(L175,Database!A4:X1021,24,FALSE)</f>
        <v/>
      </c>
      <c r="H201" s="74" t="inlineStr">
        <is>
          <t>-</t>
        </is>
      </c>
      <c r="I201" s="153">
        <f>VLOOKUP(L176,Database!A4:X1021,24,FALSE)</f>
        <v/>
      </c>
      <c r="J201" s="74" t="inlineStr">
        <is>
          <t>-</t>
        </is>
      </c>
      <c r="K201" s="153">
        <f>VLOOKUP(L177,Database!A4:X1021,24,FALSE)</f>
        <v/>
      </c>
      <c r="L201" s="74" t="inlineStr">
        <is>
          <t>-</t>
        </is>
      </c>
    </row>
    <row r="202" ht="12.75" customHeight="1">
      <c r="B202" s="6" t="inlineStr">
        <is>
          <t>Flange Section Class.</t>
        </is>
      </c>
      <c r="C202" s="6" t="inlineStr">
        <is>
          <t>-</t>
        </is>
      </c>
      <c r="D202" s="85" t="inlineStr">
        <is>
          <t>=</t>
        </is>
      </c>
      <c r="E202" s="91" t="inlineStr">
        <is>
          <t>-</t>
        </is>
      </c>
      <c r="F202" s="74" t="inlineStr">
        <is>
          <t>-</t>
        </is>
      </c>
      <c r="G202" s="153">
        <f>VLOOKUP(L175,Database!A4:Y1021,25,FALSE)</f>
        <v/>
      </c>
      <c r="H202" s="74" t="inlineStr">
        <is>
          <t>-</t>
        </is>
      </c>
      <c r="I202" s="153">
        <f>VLOOKUP(L176,Database!A4:Y1021,25,FALSE)</f>
        <v/>
      </c>
      <c r="J202" s="74" t="inlineStr">
        <is>
          <t>-</t>
        </is>
      </c>
      <c r="K202" s="153">
        <f>VLOOKUP(L177,Database!A4:Y1021,25,FALSE)</f>
        <v/>
      </c>
      <c r="L202" s="74" t="inlineStr">
        <is>
          <t>-</t>
        </is>
      </c>
    </row>
  </sheetData>
  <mergeCells count="60">
    <mergeCell ref="K118:L118"/>
    <mergeCell ref="J144:K144"/>
    <mergeCell ref="K49:L49"/>
    <mergeCell ref="J44:K44"/>
    <mergeCell ref="K83:L83"/>
    <mergeCell ref="J111:K111"/>
    <mergeCell ref="C117:E117"/>
    <mergeCell ref="N2:P2"/>
    <mergeCell ref="E1:P1"/>
    <mergeCell ref="J112:K112"/>
    <mergeCell ref="I49:J49"/>
    <mergeCell ref="J146:K146"/>
    <mergeCell ref="C148:E148"/>
    <mergeCell ref="J13:K13"/>
    <mergeCell ref="C12:E12"/>
    <mergeCell ref="C4:D4"/>
    <mergeCell ref="J176:K176"/>
    <mergeCell ref="E4:F4"/>
    <mergeCell ref="K2:M2"/>
    <mergeCell ref="E2:J2"/>
    <mergeCell ref="C178:E178"/>
    <mergeCell ref="I150:J150"/>
    <mergeCell ref="C48:E48"/>
    <mergeCell ref="K150:L150"/>
    <mergeCell ref="C82:E82"/>
    <mergeCell ref="J74:K74"/>
    <mergeCell ref="J175:K175"/>
    <mergeCell ref="C149:E149"/>
    <mergeCell ref="C81:E81"/>
    <mergeCell ref="G118:H118"/>
    <mergeCell ref="G49:H49"/>
    <mergeCell ref="G83:H83"/>
    <mergeCell ref="K180:L180"/>
    <mergeCell ref="C13:E13"/>
    <mergeCell ref="K4:M4"/>
    <mergeCell ref="G180:H180"/>
    <mergeCell ref="I180:J180"/>
    <mergeCell ref="I118:J118"/>
    <mergeCell ref="C179:E179"/>
    <mergeCell ref="J75:K75"/>
    <mergeCell ref="I83:J83"/>
    <mergeCell ref="N4:P4"/>
    <mergeCell ref="E3:J3"/>
    <mergeCell ref="C15:E15"/>
    <mergeCell ref="G4:H4"/>
    <mergeCell ref="C14:E14"/>
    <mergeCell ref="J43:K43"/>
    <mergeCell ref="C116:E116"/>
    <mergeCell ref="J12:K12"/>
    <mergeCell ref="I4:J4"/>
    <mergeCell ref="J177:K177"/>
    <mergeCell ref="G16:H16"/>
    <mergeCell ref="A1:B4"/>
    <mergeCell ref="J42:K42"/>
    <mergeCell ref="J76:K76"/>
    <mergeCell ref="G150:H150"/>
    <mergeCell ref="J145:K145"/>
    <mergeCell ref="J110:K110"/>
    <mergeCell ref="N3:P3"/>
    <mergeCell ref="C47:E47"/>
  </mergeCells>
  <conditionalFormatting sqref="C21:C22 C122:C124 C154 O164:O167 O172">
    <cfRule type="expression" priority="64" dxfId="0">
      <formula>MOD(ROW()-4,50)=0</formula>
    </cfRule>
  </conditionalFormatting>
  <conditionalFormatting sqref="C27:C28">
    <cfRule type="expression" priority="61" dxfId="0">
      <formula>MOD(ROW()-4,50)=0</formula>
    </cfRule>
  </conditionalFormatting>
  <conditionalFormatting sqref="C31:C34">
    <cfRule type="expression" priority="55" dxfId="0">
      <formula>MOD(ROW()-4,50)=0</formula>
    </cfRule>
  </conditionalFormatting>
  <conditionalFormatting sqref="C53:C54">
    <cfRule type="expression" priority="34" dxfId="0">
      <formula>MOD(ROW()-4,50)=0</formula>
    </cfRule>
  </conditionalFormatting>
  <conditionalFormatting sqref="C59:C60">
    <cfRule type="expression" priority="47" dxfId="0">
      <formula>MOD(ROW()-4,50)=0</formula>
    </cfRule>
  </conditionalFormatting>
  <conditionalFormatting sqref="C63:C66">
    <cfRule type="expression" priority="45" dxfId="0">
      <formula>MOD(ROW()-4,50)=0</formula>
    </cfRule>
  </conditionalFormatting>
  <conditionalFormatting sqref="C88:C90">
    <cfRule type="expression" priority="41" dxfId="0">
      <formula>MOD(ROW()-4,50)=0</formula>
    </cfRule>
  </conditionalFormatting>
  <conditionalFormatting sqref="C95:C96">
    <cfRule type="expression" priority="40" dxfId="0">
      <formula>MOD(ROW()-4,50)=0</formula>
    </cfRule>
  </conditionalFormatting>
  <conditionalFormatting sqref="C99:C102">
    <cfRule type="expression" priority="39" dxfId="0">
      <formula>MOD(ROW()-4,50)=0</formula>
    </cfRule>
  </conditionalFormatting>
  <conditionalFormatting sqref="C129:C130">
    <cfRule type="expression" priority="23" dxfId="0">
      <formula>MOD(ROW()-4,50)=0</formula>
    </cfRule>
  </conditionalFormatting>
  <conditionalFormatting sqref="C133:C136">
    <cfRule type="expression" priority="22" dxfId="0">
      <formula>MOD(ROW()-4,50)=0</formula>
    </cfRule>
  </conditionalFormatting>
  <conditionalFormatting sqref="C156:C157">
    <cfRule type="expression" priority="31" dxfId="0">
      <formula>MOD(ROW()-4,50)=0</formula>
    </cfRule>
  </conditionalFormatting>
  <conditionalFormatting sqref="C160:C163">
    <cfRule type="expression" priority="30" dxfId="0">
      <formula>MOD(ROW()-4,50)=0</formula>
    </cfRule>
  </conditionalFormatting>
  <conditionalFormatting sqref="C185">
    <cfRule type="expression" priority="16" dxfId="0">
      <formula>MOD(ROW()-4,50)=0</formula>
    </cfRule>
  </conditionalFormatting>
  <conditionalFormatting sqref="C187:C188">
    <cfRule type="expression" priority="15" dxfId="0">
      <formula>MOD(ROW()-4,50)=0</formula>
    </cfRule>
  </conditionalFormatting>
  <conditionalFormatting sqref="C191:C194">
    <cfRule type="expression" priority="14" dxfId="0">
      <formula>MOD(ROW()-4,50)=0</formula>
    </cfRule>
  </conditionalFormatting>
  <conditionalFormatting sqref="F27:F34">
    <cfRule type="expression" priority="59" dxfId="0">
      <formula>MOD(ROW()-4,50)=0</formula>
    </cfRule>
  </conditionalFormatting>
  <conditionalFormatting sqref="F59:F66">
    <cfRule type="expression" priority="46" dxfId="0">
      <formula>MOD(ROW()-4,50)=0</formula>
    </cfRule>
  </conditionalFormatting>
  <conditionalFormatting sqref="F95:F102">
    <cfRule type="expression" priority="35" dxfId="0">
      <formula>MOD(ROW()-4,50)=0</formula>
    </cfRule>
  </conditionalFormatting>
  <conditionalFormatting sqref="F129:F136">
    <cfRule type="expression" priority="21" dxfId="0">
      <formula>MOD(ROW()-4,50)=0</formula>
    </cfRule>
  </conditionalFormatting>
  <conditionalFormatting sqref="F160:F167">
    <cfRule type="expression" priority="17" dxfId="0">
      <formula>MOD(ROW()-4,50)=0</formula>
    </cfRule>
  </conditionalFormatting>
  <conditionalFormatting sqref="F191:F198">
    <cfRule type="expression" priority="13" dxfId="0">
      <formula>MOD(ROW()-4,50)=0</formula>
    </cfRule>
  </conditionalFormatting>
  <conditionalFormatting sqref="H27:H34">
    <cfRule type="expression" priority="50" dxfId="0">
      <formula>MOD(ROW()-4,50)=0</formula>
    </cfRule>
  </conditionalFormatting>
  <conditionalFormatting sqref="H59:H66">
    <cfRule type="expression" priority="44" dxfId="0">
      <formula>MOD(ROW()-4,50)=0</formula>
    </cfRule>
  </conditionalFormatting>
  <conditionalFormatting sqref="H95:H102">
    <cfRule type="expression" priority="12" dxfId="0">
      <formula>MOD(ROW()-4,50)=0</formula>
    </cfRule>
  </conditionalFormatting>
  <conditionalFormatting sqref="H129:H136">
    <cfRule type="expression" priority="9" dxfId="0">
      <formula>MOD(ROW()-4,50)=0</formula>
    </cfRule>
  </conditionalFormatting>
  <conditionalFormatting sqref="H160:H167">
    <cfRule type="expression" priority="6" dxfId="0">
      <formula>MOD(ROW()-4,50)=0</formula>
    </cfRule>
  </conditionalFormatting>
  <conditionalFormatting sqref="H191:H198">
    <cfRule type="expression" priority="3" dxfId="0">
      <formula>MOD(ROW()-4,50)=0</formula>
    </cfRule>
  </conditionalFormatting>
  <conditionalFormatting sqref="I32">
    <cfRule type="expression" priority="53" dxfId="0">
      <formula>MOD(ROW()-4,50)=0</formula>
    </cfRule>
  </conditionalFormatting>
  <conditionalFormatting sqref="J27:J34">
    <cfRule type="expression" priority="49" dxfId="0">
      <formula>MOD(ROW()-4,50)=0</formula>
    </cfRule>
  </conditionalFormatting>
  <conditionalFormatting sqref="J59:J66">
    <cfRule type="expression" priority="43" dxfId="0">
      <formula>MOD(ROW()-4,50)=0</formula>
    </cfRule>
  </conditionalFormatting>
  <conditionalFormatting sqref="J95:J102">
    <cfRule type="expression" priority="11" dxfId="0">
      <formula>MOD(ROW()-4,50)=0</formula>
    </cfRule>
  </conditionalFormatting>
  <conditionalFormatting sqref="J129:J136">
    <cfRule type="expression" priority="8" dxfId="0">
      <formula>MOD(ROW()-4,50)=0</formula>
    </cfRule>
  </conditionalFormatting>
  <conditionalFormatting sqref="J160:J167">
    <cfRule type="expression" priority="5" dxfId="0">
      <formula>MOD(ROW()-4,50)=0</formula>
    </cfRule>
  </conditionalFormatting>
  <conditionalFormatting sqref="J191:J198">
    <cfRule type="expression" priority="2" dxfId="0">
      <formula>MOD(ROW()-4,50)=0</formula>
    </cfRule>
  </conditionalFormatting>
  <conditionalFormatting sqref="K34:K38">
    <cfRule type="expression" priority="90" dxfId="15">
      <formula>$J$37=" "</formula>
    </cfRule>
    <cfRule type="expression" priority="91" dxfId="13">
      <formula>IF($J$34="=", TRUE, FALSE)</formula>
    </cfRule>
  </conditionalFormatting>
  <conditionalFormatting sqref="K33:L33">
    <cfRule type="expression" priority="89" dxfId="13">
      <formula>IF($J$34="=", TRUE, FALSE)</formula>
    </cfRule>
  </conditionalFormatting>
  <conditionalFormatting sqref="L59:L66">
    <cfRule type="expression" priority="42" dxfId="0">
      <formula>MOD(ROW()-4,50)=0</formula>
    </cfRule>
  </conditionalFormatting>
  <conditionalFormatting sqref="L95:L102">
    <cfRule type="expression" priority="10" dxfId="0">
      <formula>MOD(ROW()-4,50)=0</formula>
    </cfRule>
  </conditionalFormatting>
  <conditionalFormatting sqref="L129:L136">
    <cfRule type="expression" priority="7" dxfId="0">
      <formula>MOD(ROW()-4,50)=0</formula>
    </cfRule>
  </conditionalFormatting>
  <conditionalFormatting sqref="L160:L167">
    <cfRule type="expression" priority="4" dxfId="0">
      <formula>MOD(ROW()-4,50)=0</formula>
    </cfRule>
  </conditionalFormatting>
  <conditionalFormatting sqref="L191:L198">
    <cfRule type="expression" priority="1" dxfId="0">
      <formula>MOD(ROW()-4,50)=0</formula>
    </cfRule>
  </conditionalFormatting>
  <conditionalFormatting sqref="O154:O155">
    <cfRule type="expression" priority="20" dxfId="0">
      <formula>MOD(ROW()-4,50)=0</formula>
    </cfRule>
  </conditionalFormatting>
  <conditionalFormatting sqref="O160:O161">
    <cfRule type="expression" priority="19" dxfId="0">
      <formula>MOD(ROW()-4,50)=0</formula>
    </cfRule>
  </conditionalFormatting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AS1021"/>
  <sheetViews>
    <sheetView zoomScaleNormal="100" workbookViewId="0">
      <pane ySplit="3" topLeftCell="A4" activePane="bottomLeft" state="frozen"/>
      <selection pane="bottomLeft" activeCell="X1021" sqref="X4:Z1021"/>
    </sheetView>
  </sheetViews>
  <sheetFormatPr baseColWidth="8" defaultRowHeight="14.5"/>
  <cols>
    <col width="13.26953125" bestFit="1" customWidth="1" style="125" min="1" max="1"/>
    <col width="9.7265625" bestFit="1" customWidth="1" min="2" max="2"/>
    <col width="10.453125" customWidth="1" style="125" min="3" max="3"/>
    <col width="12.81640625" customWidth="1" style="125" min="4" max="4"/>
    <col width="11.54296875" customWidth="1" style="125" min="5" max="5"/>
    <col hidden="1" width="13" customWidth="1" style="125" min="6" max="21"/>
    <col hidden="1" width="13" customWidth="1" min="22" max="23"/>
  </cols>
  <sheetData>
    <row r="1" ht="43.5" customHeight="1">
      <c r="A1" s="124" t="n"/>
      <c r="C1" s="124" t="inlineStr">
        <is>
          <t>Mass per Metre</t>
        </is>
      </c>
      <c r="D1" s="124" t="inlineStr">
        <is>
          <t>Depth Of Section</t>
        </is>
      </c>
      <c r="E1" s="124" t="inlineStr">
        <is>
          <t>Width Of Section</t>
        </is>
      </c>
      <c r="F1" s="124" t="inlineStr">
        <is>
          <t xml:space="preserve"> Thickness</t>
        </is>
      </c>
      <c r="H1" s="124" t="inlineStr">
        <is>
          <t>Root Radius</t>
        </is>
      </c>
      <c r="I1" s="131" t="inlineStr">
        <is>
          <t>Depth Between Fillets</t>
        </is>
      </c>
      <c r="J1" s="131" t="inlineStr">
        <is>
          <t>Area of Section</t>
        </is>
      </c>
      <c r="K1" s="131" t="inlineStr">
        <is>
          <t>Ratios For Local Buckling</t>
        </is>
      </c>
      <c r="M1" s="131" t="inlineStr">
        <is>
          <t>Surface Area per Metre</t>
        </is>
      </c>
      <c r="N1" s="128" t="inlineStr">
        <is>
          <t>Second
Moment Of Area</t>
        </is>
      </c>
      <c r="P1" s="128" t="inlineStr">
        <is>
          <t>Radius Of Gyration</t>
        </is>
      </c>
      <c r="R1" s="124" t="inlineStr">
        <is>
          <t>Elastic Modulus</t>
        </is>
      </c>
      <c r="T1" s="130" t="inlineStr">
        <is>
          <t>Plastic Modulus</t>
        </is>
      </c>
    </row>
    <row r="2" ht="15" customHeight="1">
      <c r="A2" s="124" t="n"/>
      <c r="C2" s="124" t="n"/>
      <c r="D2" s="124" t="inlineStr">
        <is>
          <t>D</t>
        </is>
      </c>
      <c r="E2" s="124" t="inlineStr">
        <is>
          <t>B</t>
        </is>
      </c>
      <c r="F2" s="30" t="inlineStr">
        <is>
          <t>tf</t>
        </is>
      </c>
      <c r="G2" s="30" t="inlineStr">
        <is>
          <t>tw</t>
        </is>
      </c>
      <c r="H2" s="124" t="inlineStr">
        <is>
          <t>r</t>
        </is>
      </c>
      <c r="I2" s="124" t="inlineStr">
        <is>
          <t>d</t>
        </is>
      </c>
      <c r="J2" s="124" t="inlineStr">
        <is>
          <t>A</t>
        </is>
      </c>
      <c r="K2" s="124" t="inlineStr">
        <is>
          <t>Flange</t>
        </is>
      </c>
      <c r="L2" s="124" t="inlineStr">
        <is>
          <t>Web</t>
        </is>
      </c>
      <c r="M2" s="32" t="n"/>
      <c r="N2" s="33" t="inlineStr">
        <is>
          <t>Ix</t>
        </is>
      </c>
      <c r="O2" s="33" t="inlineStr">
        <is>
          <t>Iy</t>
        </is>
      </c>
      <c r="P2" s="31" t="inlineStr">
        <is>
          <t xml:space="preserve">rx </t>
        </is>
      </c>
      <c r="Q2" s="31" t="inlineStr">
        <is>
          <t xml:space="preserve">ry </t>
        </is>
      </c>
      <c r="R2" s="31" t="inlineStr">
        <is>
          <t>Sex</t>
        </is>
      </c>
      <c r="S2" s="31" t="inlineStr">
        <is>
          <t>Sey</t>
        </is>
      </c>
      <c r="T2" s="31" t="inlineStr">
        <is>
          <t>Zpx</t>
        </is>
      </c>
      <c r="U2" s="31" t="inlineStr">
        <is>
          <t>Zpy</t>
        </is>
      </c>
    </row>
    <row r="3" ht="16.5" customHeight="1">
      <c r="A3" s="124" t="inlineStr">
        <is>
          <t>Type</t>
        </is>
      </c>
      <c r="B3" s="46" t="inlineStr">
        <is>
          <t>Standards</t>
        </is>
      </c>
      <c r="C3" s="124" t="inlineStr">
        <is>
          <t>kg/m</t>
        </is>
      </c>
      <c r="D3" s="124" t="inlineStr">
        <is>
          <t>mm</t>
        </is>
      </c>
      <c r="E3" s="124" t="inlineStr">
        <is>
          <t>mm</t>
        </is>
      </c>
      <c r="F3" s="30" t="inlineStr">
        <is>
          <t>mm</t>
        </is>
      </c>
      <c r="G3" s="30" t="inlineStr">
        <is>
          <t>mm</t>
        </is>
      </c>
      <c r="H3" s="124" t="inlineStr">
        <is>
          <t>mm</t>
        </is>
      </c>
      <c r="I3" s="124" t="inlineStr">
        <is>
          <t>mm</t>
        </is>
      </c>
      <c r="J3" s="124" t="inlineStr">
        <is>
          <t>cm2</t>
        </is>
      </c>
      <c r="K3" s="124" t="inlineStr">
        <is>
          <t>b/T</t>
        </is>
      </c>
      <c r="L3" s="124" t="inlineStr">
        <is>
          <t>d/t</t>
        </is>
      </c>
      <c r="M3" s="124" t="inlineStr">
        <is>
          <t>m2</t>
        </is>
      </c>
      <c r="N3" s="33" t="inlineStr">
        <is>
          <t xml:space="preserve">cm4 </t>
        </is>
      </c>
      <c r="O3" s="33" t="inlineStr">
        <is>
          <t xml:space="preserve">cm4 </t>
        </is>
      </c>
      <c r="P3" s="124" t="inlineStr">
        <is>
          <t>cm</t>
        </is>
      </c>
      <c r="Q3" s="124" t="inlineStr">
        <is>
          <t>cm</t>
        </is>
      </c>
      <c r="R3" s="124" t="inlineStr">
        <is>
          <t>cm3</t>
        </is>
      </c>
      <c r="S3" s="124" t="inlineStr">
        <is>
          <t>cm3</t>
        </is>
      </c>
      <c r="T3" s="124" t="inlineStr">
        <is>
          <t>cm3</t>
        </is>
      </c>
      <c r="U3" s="124" t="inlineStr">
        <is>
          <t>cm3</t>
        </is>
      </c>
    </row>
    <row r="4">
      <c r="A4" s="125" t="inlineStr">
        <is>
          <t>W4X13</t>
        </is>
      </c>
      <c r="B4" s="129" t="inlineStr">
        <is>
          <t>AISC</t>
        </is>
      </c>
      <c r="C4" s="125" t="n">
        <v>19.4</v>
      </c>
      <c r="D4" s="125" t="n">
        <v>105.7</v>
      </c>
      <c r="E4" s="125" t="n">
        <v>103.1</v>
      </c>
      <c r="F4" s="125" t="n">
        <v>8.800000000000001</v>
      </c>
      <c r="G4" s="125" t="n">
        <v>7.1</v>
      </c>
      <c r="H4" s="125" t="n">
        <v>6.4</v>
      </c>
      <c r="I4" s="125" t="n">
        <v>75.5</v>
      </c>
      <c r="J4" s="125" t="n">
        <v>24.7</v>
      </c>
      <c r="K4" s="125" t="n">
        <v>5.88</v>
      </c>
      <c r="L4" s="125" t="n">
        <v>10.6</v>
      </c>
      <c r="M4" s="125" t="n">
        <v>0.599</v>
      </c>
      <c r="N4" s="125" t="n">
        <v>472</v>
      </c>
      <c r="O4" s="125" t="n">
        <v>160</v>
      </c>
      <c r="P4" s="125" t="n">
        <v>4.38</v>
      </c>
      <c r="Q4" s="125" t="n">
        <v>2.55</v>
      </c>
      <c r="R4" s="125" t="n">
        <v>89.40000000000001</v>
      </c>
      <c r="S4" s="125" t="n">
        <v>31.1</v>
      </c>
      <c r="T4" s="125">
        <f>(((E4*D4*D4)/4)-(((E4-G4)*(D4-F4-F4)*(D4-F4-F4))/4)+(4*(H4*H4*(D4/2-F4-(H4/2))-((PI()*H4*H4)/4*((D4/2)-F4-(H4-((4*H4)/(3*PI()))))))))/1000</f>
        <v/>
      </c>
      <c r="U4" s="125">
        <f>(((D4*E4*E4)/4)-(2*((D4-F4-F4)*(E4/2-(G4/2))*(((E4/2-(G4/2))/2)+(G4/2))))+(4*(((H4*H4)-(((PI()*H4*H4)/4)))*((H4-((4*H4)/(3*PI())))+(G4/2)))))/1000</f>
        <v/>
      </c>
      <c r="V4" s="125" t="n">
        <v>103</v>
      </c>
      <c r="W4" s="125" t="n">
        <v>47.8</v>
      </c>
      <c r="X4">
        <f>Beam_Check!C12</f>
        <v/>
      </c>
      <c r="Y4">
        <f>SQRT((((VLOOKUP($X$4,$A$4:$D$1021,4,FALSE))-D4)^2)+(((VLOOKUP($X$4,$A$4:$E$1021,5,FALSE))-E4)^2))</f>
        <v/>
      </c>
      <c r="Z4">
        <f>_xlfn.MINIFS(Y4:Y1021,Y4:Y1021,"&gt;0")</f>
        <v/>
      </c>
    </row>
    <row r="5">
      <c r="A5" s="125" t="inlineStr">
        <is>
          <t>W4X13.8</t>
        </is>
      </c>
      <c r="B5" s="129" t="inlineStr">
        <is>
          <t>AISC</t>
        </is>
      </c>
      <c r="C5" s="125" t="n">
        <v>21</v>
      </c>
      <c r="D5" s="125" t="n">
        <v>102</v>
      </c>
      <c r="E5" s="125" t="n">
        <v>102</v>
      </c>
      <c r="F5" s="125" t="n">
        <v>9.4</v>
      </c>
      <c r="G5" s="125" t="n">
        <v>8</v>
      </c>
      <c r="H5" s="125" t="n">
        <v>6</v>
      </c>
      <c r="I5" s="125" t="n">
        <v>71.2</v>
      </c>
      <c r="J5" s="125" t="n">
        <v>26.1</v>
      </c>
      <c r="K5" s="125" t="n">
        <v>5.43</v>
      </c>
      <c r="L5" s="125" t="n">
        <v>8.9</v>
      </c>
      <c r="M5" s="125" t="n">
        <v>0.586</v>
      </c>
      <c r="N5" s="125" t="n">
        <v>456</v>
      </c>
      <c r="O5" s="125" t="n">
        <v>167</v>
      </c>
      <c r="P5" s="125" t="n">
        <v>4.18</v>
      </c>
      <c r="Q5" s="125" t="n">
        <v>2.53</v>
      </c>
      <c r="R5" s="125" t="n">
        <v>89.40000000000001</v>
      </c>
      <c r="S5" s="125" t="n">
        <v>32.7</v>
      </c>
      <c r="T5" s="125">
        <f>(((E5*D5*D5)/4)-(((E5-G5)*(D5-F5-F5)*(D5-F5-F5))/4)+(4*(H5*H5*(D5/2-F5-(H5/2))-((PI()*H5*H5)/4*((D5/2)-F5-(H5-((4*H5)/(3*PI()))))))))/1000</f>
        <v/>
      </c>
      <c r="U5" s="125">
        <f>(((D5*E5*E5)/4)-(2*((D5-F5-F5)*(E5/2-(G5/2))*(((E5/2-(G5/2))/2)+(G5/2))))+(4*(((H5*H5)-(((PI()*H5*H5)/4)))*((H5-((4*H5)/(3*PI())))+(G5/2)))))/1000</f>
        <v/>
      </c>
      <c r="V5" s="125" t="n">
        <v>104</v>
      </c>
      <c r="W5" s="125" t="n">
        <v>50.4</v>
      </c>
      <c r="Y5">
        <f>SQRT((((VLOOKUP($X$4,$A$4:$D$1021,4,FALSE))-D5)^2)+(((VLOOKUP($X$4,$A$4:$E$1021,5,FALSE))-E5)^2))</f>
        <v/>
      </c>
    </row>
    <row r="6">
      <c r="A6" s="129" t="inlineStr">
        <is>
          <t>W4X16.3</t>
        </is>
      </c>
      <c r="B6" s="129" t="inlineStr">
        <is>
          <t>AISC</t>
        </is>
      </c>
      <c r="C6" s="125" t="n">
        <v>24</v>
      </c>
      <c r="D6" s="125" t="n">
        <v>107</v>
      </c>
      <c r="E6" s="125" t="n">
        <v>100</v>
      </c>
      <c r="F6" s="125" t="n">
        <v>12</v>
      </c>
      <c r="G6" s="125" t="n">
        <v>7.9</v>
      </c>
      <c r="H6" s="125" t="n">
        <v>6</v>
      </c>
      <c r="I6" s="125" t="n">
        <v>71</v>
      </c>
      <c r="J6" s="125" t="n">
        <v>30.9</v>
      </c>
      <c r="K6" s="125" t="n">
        <v>4.17</v>
      </c>
      <c r="L6" s="125" t="n">
        <v>8.99</v>
      </c>
      <c r="M6" s="125" t="n">
        <v>0.588</v>
      </c>
      <c r="N6" s="125" t="n">
        <v>587</v>
      </c>
      <c r="O6" s="125" t="n">
        <v>200</v>
      </c>
      <c r="P6" s="125" t="n">
        <v>4.36</v>
      </c>
      <c r="Q6" s="125" t="n">
        <v>2.55</v>
      </c>
      <c r="R6" s="125" t="n">
        <v>110</v>
      </c>
      <c r="S6" s="125" t="n">
        <v>40.1</v>
      </c>
      <c r="T6" s="125">
        <f>(((E6*D6*D6)/4)-(((E6-G6)*(D6-F6-F6)*(D6-F6-F6))/4)+(4*(H6*H6*(D6/2-F6-(H6/2))-((PI()*H6*H6)/4*((D6/2)-F6-(H6-((4*H6)/(3*PI()))))))))/1000</f>
        <v/>
      </c>
      <c r="U6" s="125">
        <f>(((D6*E6*E6)/4)-(2*((D6-F6-F6)*(E6/2-(G6/2))*(((E6/2-(G6/2))/2)+(G6/2))))+(4*(((H6*H6)-(((PI()*H6*H6)/4)))*((H6-((4*H6)/(3*PI())))+(G6/2)))))/1000</f>
        <v/>
      </c>
      <c r="V6" s="125" t="n">
        <v>129</v>
      </c>
      <c r="W6" s="125" t="n">
        <v>61.5</v>
      </c>
      <c r="Y6">
        <f>SQRT((((VLOOKUP($X$4,$A$4:$D$1021,4,FALSE))-D6)^2)+(((VLOOKUP($X$4,$A$4:$E$1021,5,FALSE))-E6)^2))</f>
        <v/>
      </c>
    </row>
    <row r="7">
      <c r="A7" s="125" t="inlineStr">
        <is>
          <t>W5X9</t>
        </is>
      </c>
      <c r="B7" s="129" t="inlineStr">
        <is>
          <t>AISC</t>
        </is>
      </c>
      <c r="C7" s="125" t="n">
        <v>13</v>
      </c>
      <c r="D7" s="125" t="n">
        <v>127</v>
      </c>
      <c r="E7" s="125" t="n">
        <v>76</v>
      </c>
      <c r="F7" s="125" t="n">
        <v>7.6</v>
      </c>
      <c r="G7" s="125" t="n">
        <v>4</v>
      </c>
      <c r="H7" s="125" t="n">
        <v>7.6</v>
      </c>
      <c r="I7" s="125" t="n">
        <v>96.59999999999999</v>
      </c>
      <c r="J7" s="125" t="n">
        <v>16.5</v>
      </c>
      <c r="K7" s="125" t="n">
        <v>5</v>
      </c>
      <c r="L7" s="125" t="n">
        <v>24.2</v>
      </c>
      <c r="M7" s="125" t="n">
        <v>0.537</v>
      </c>
      <c r="N7" s="125" t="n">
        <v>473</v>
      </c>
      <c r="O7" s="125" t="n">
        <v>55.8</v>
      </c>
      <c r="P7" s="125" t="n">
        <v>5.35</v>
      </c>
      <c r="Q7" s="125" t="n">
        <v>1.84</v>
      </c>
      <c r="R7" s="125" t="n">
        <v>74.59999999999999</v>
      </c>
      <c r="S7" s="125" t="n">
        <v>14.7</v>
      </c>
      <c r="T7" s="125">
        <f>(((E7*D7*D7)/4)-(((E7-G7)*(D7-F7-F7)*(D7-F7-F7))/4)+(4*(H7*H7*(D7/2-F7-(H7/2))-((PI()*H7*H7)/4*((D7/2)-F7-(H7-((4*H7)/(3*PI()))))))))/1000</f>
        <v/>
      </c>
      <c r="U7" s="125">
        <f>(((D7*E7*E7)/4)-(2*((D7-F7-F7)*(E7/2-(G7/2))*(((E7/2-(G7/2))/2)+(G7/2))))+(4*(((H7*H7)-(((PI()*H7*H7)/4)))*((H7-((4*H7)/(3*PI())))+(G7/2)))))/1000</f>
        <v/>
      </c>
      <c r="V7" s="125" t="n">
        <v>84.2</v>
      </c>
      <c r="W7" s="125" t="n">
        <v>22.6</v>
      </c>
      <c r="Y7">
        <f>SQRT((((VLOOKUP($X$4,$A$4:$D$1021,4,FALSE))-D7)^2)+(((VLOOKUP($X$4,$A$4:$E$1021,5,FALSE))-E7)^2))</f>
        <v/>
      </c>
    </row>
    <row r="8">
      <c r="A8" s="125" t="inlineStr">
        <is>
          <t>W5X16</t>
        </is>
      </c>
      <c r="B8" s="129" t="inlineStr">
        <is>
          <t>AISC</t>
        </is>
      </c>
      <c r="C8" s="125" t="n">
        <v>23.8</v>
      </c>
      <c r="D8" s="125" t="n">
        <v>127.3</v>
      </c>
      <c r="E8" s="125" t="n">
        <v>127</v>
      </c>
      <c r="F8" s="125" t="n">
        <v>9.1</v>
      </c>
      <c r="G8" s="125" t="n">
        <v>6.1</v>
      </c>
      <c r="H8" s="125" t="n">
        <v>7.6</v>
      </c>
      <c r="I8" s="125" t="n">
        <v>93.8</v>
      </c>
      <c r="J8" s="125" t="n">
        <v>30.4</v>
      </c>
      <c r="K8" s="125" t="n">
        <v>6.95</v>
      </c>
      <c r="L8" s="125" t="n">
        <v>15.4</v>
      </c>
      <c r="M8" s="125" t="n">
        <v>0.737</v>
      </c>
      <c r="N8" s="125" t="n">
        <v>892</v>
      </c>
      <c r="O8" s="125" t="n">
        <v>312</v>
      </c>
      <c r="P8" s="125" t="n">
        <v>5.42</v>
      </c>
      <c r="Q8" s="125" t="n">
        <v>3.21</v>
      </c>
      <c r="R8" s="125" t="n">
        <v>140</v>
      </c>
      <c r="S8" s="125" t="n">
        <v>49.2</v>
      </c>
      <c r="T8" s="125">
        <f>(((E8*D8*D8)/4)-(((E8-G8)*(D8-F8-F8)*(D8-F8-F8))/4)+(4*(H8*H8*(D8/2-F8-(H8/2))-((PI()*H8*H8)/4*((D8/2)-F8-(H8-((4*H8)/(3*PI()))))))))/1000</f>
        <v/>
      </c>
      <c r="U8" s="125">
        <f>(((D8*E8*E8)/4)-(2*((D8-F8-F8)*(E8/2-(G8/2))*(((E8/2-(G8/2))/2)+(G8/2))))+(4*(((H8*H8)-(((PI()*H8*H8)/4)))*((H8-((4*H8)/(3*PI())))+(G8/2)))))/1000</f>
        <v/>
      </c>
      <c r="V8" s="125" t="n">
        <v>158</v>
      </c>
      <c r="W8" s="125" t="n">
        <v>75</v>
      </c>
      <c r="Y8">
        <f>SQRT((((VLOOKUP($X$4,$A$4:$D$1021,4,FALSE))-D8)^2)+(((VLOOKUP($X$4,$A$4:$E$1021,5,FALSE))-E8)^2))</f>
        <v/>
      </c>
    </row>
    <row r="9">
      <c r="A9" s="125" t="inlineStr">
        <is>
          <t>W5X19</t>
        </is>
      </c>
      <c r="B9" s="129" t="inlineStr">
        <is>
          <t>AISC</t>
        </is>
      </c>
      <c r="C9" s="125" t="n">
        <v>28.3</v>
      </c>
      <c r="D9" s="125" t="n">
        <v>130.8</v>
      </c>
      <c r="E9" s="125" t="n">
        <v>127.8</v>
      </c>
      <c r="F9" s="125" t="n">
        <v>10.9</v>
      </c>
      <c r="G9" s="125" t="n">
        <v>6.9</v>
      </c>
      <c r="H9" s="125" t="n">
        <v>7.6</v>
      </c>
      <c r="I9" s="125" t="n">
        <v>93.8</v>
      </c>
      <c r="J9" s="125" t="n">
        <v>35.8</v>
      </c>
      <c r="K9" s="125" t="n">
        <v>5.86</v>
      </c>
      <c r="L9" s="125" t="n">
        <v>13.7</v>
      </c>
      <c r="M9" s="125" t="n">
        <v>0.746</v>
      </c>
      <c r="N9" s="125" t="n">
        <v>1092</v>
      </c>
      <c r="O9" s="125" t="n">
        <v>380</v>
      </c>
      <c r="P9" s="125" t="n">
        <v>5.52</v>
      </c>
      <c r="Q9" s="125" t="n">
        <v>3.25</v>
      </c>
      <c r="R9" s="125" t="n">
        <v>167</v>
      </c>
      <c r="S9" s="125" t="n">
        <v>59.4</v>
      </c>
      <c r="T9" s="125">
        <f>(((E9*D9*D9)/4)-(((E9-G9)*(D9-F9-F9)*(D9-F9-F9))/4)+(4*(H9*H9*(D9/2-F9-(H9/2))-((PI()*H9*H9)/4*((D9/2)-F9-(H9-((4*H9)/(3*PI()))))))))/1000</f>
        <v/>
      </c>
      <c r="U9" s="125">
        <f>(((D9*E9*E9)/4)-(2*((D9-F9-F9)*(E9/2-(G9/2))*(((E9/2-(G9/2))/2)+(G9/2))))+(4*(((H9*H9)-(((PI()*H9*H9)/4)))*((H9-((4*H9)/(3*PI())))+(G9/2)))))/1000</f>
        <v/>
      </c>
      <c r="V9" s="125" t="n">
        <v>190</v>
      </c>
      <c r="W9" s="125" t="n">
        <v>90.59999999999999</v>
      </c>
      <c r="Y9">
        <f>SQRT((((VLOOKUP($X$4,$A$4:$D$1021,4,FALSE))-D9)^2)+(((VLOOKUP($X$4,$A$4:$E$1021,5,FALSE))-E9)^2))</f>
        <v/>
      </c>
    </row>
    <row r="10">
      <c r="A10" s="125" t="inlineStr">
        <is>
          <t>W6X9</t>
        </is>
      </c>
      <c r="B10" s="129" t="inlineStr">
        <is>
          <t>AISC</t>
        </is>
      </c>
      <c r="C10" s="125" t="n">
        <v>14</v>
      </c>
      <c r="D10" s="125" t="n">
        <v>150</v>
      </c>
      <c r="E10" s="125" t="n">
        <v>75</v>
      </c>
      <c r="F10" s="125" t="n">
        <v>7</v>
      </c>
      <c r="G10" s="125" t="n">
        <v>5</v>
      </c>
      <c r="H10" s="125" t="n">
        <v>8</v>
      </c>
      <c r="I10" s="125" t="n">
        <v>120</v>
      </c>
      <c r="J10" s="125" t="n">
        <v>17.8</v>
      </c>
      <c r="K10" s="125" t="n">
        <v>5.36</v>
      </c>
      <c r="L10" s="125" t="n">
        <v>24</v>
      </c>
      <c r="M10" s="125" t="n">
        <v>0.576</v>
      </c>
      <c r="N10" s="125" t="n">
        <v>666</v>
      </c>
      <c r="O10" s="125" t="n">
        <v>49.5</v>
      </c>
      <c r="P10" s="125" t="n">
        <v>6.11</v>
      </c>
      <c r="Q10" s="125" t="n">
        <v>1.67</v>
      </c>
      <c r="R10" s="125" t="n">
        <v>88.8</v>
      </c>
      <c r="S10" s="125" t="n">
        <v>13.2</v>
      </c>
      <c r="T10" s="125">
        <f>(((E10*D10*D10)/4)-(((E10-G10)*(D10-F10-F10)*(D10-F10-F10))/4)+(4*(H10*H10*(D10/2-F10-(H10/2))-((PI()*H10*H10)/4*((D10/2)-F10-(H10-((4*H10)/(3*PI()))))))))/1000</f>
        <v/>
      </c>
      <c r="U10" s="125">
        <f>(((D10*E10*E10)/4)-(2*((D10-F10-F10)*(E10/2-(G10/2))*(((E10/2-(G10/2))/2)+(G10/2))))+(4*(((H10*H10)-(((PI()*H10*H10)/4)))*((H10-((4*H10)/(3*PI())))+(G10/2)))))/1000</f>
        <v/>
      </c>
      <c r="V10" s="125" t="n">
        <v>102</v>
      </c>
      <c r="W10" s="125" t="n">
        <v>20.8</v>
      </c>
      <c r="Y10">
        <f>SQRT((((VLOOKUP($X$4,$A$4:$D$1021,4,FALSE))-D10)^2)+(((VLOOKUP($X$4,$A$4:$E$1021,5,FALSE))-E10)^2))</f>
        <v/>
      </c>
    </row>
    <row r="11">
      <c r="A11" s="125" t="inlineStr">
        <is>
          <t>W6X12</t>
        </is>
      </c>
      <c r="B11" s="129" t="inlineStr">
        <is>
          <t>AISC</t>
        </is>
      </c>
      <c r="C11" s="125" t="n">
        <v>18</v>
      </c>
      <c r="D11" s="125" t="n">
        <v>155</v>
      </c>
      <c r="E11" s="125" t="n">
        <v>75</v>
      </c>
      <c r="F11" s="125" t="n">
        <v>8.5</v>
      </c>
      <c r="G11" s="125" t="n">
        <v>6</v>
      </c>
      <c r="H11" s="125" t="n">
        <v>8</v>
      </c>
      <c r="I11" s="125" t="n">
        <v>122</v>
      </c>
      <c r="J11" s="125" t="n">
        <v>21.6</v>
      </c>
      <c r="K11" s="125" t="n">
        <v>4.41</v>
      </c>
      <c r="L11" s="125" t="n">
        <v>20.3</v>
      </c>
      <c r="M11" s="125" t="n">
        <v>0.584</v>
      </c>
      <c r="N11" s="125" t="n">
        <v>841</v>
      </c>
      <c r="O11" s="125" t="n">
        <v>60.2</v>
      </c>
      <c r="P11" s="125" t="n">
        <v>6.24</v>
      </c>
      <c r="Q11" s="125" t="n">
        <v>1.67</v>
      </c>
      <c r="R11" s="125" t="n">
        <v>109</v>
      </c>
      <c r="S11" s="125" t="n">
        <v>16</v>
      </c>
      <c r="T11" s="125">
        <f>(((E11*D11*D11)/4)-(((E11-G11)*(D11-F11-F11)*(D11-F11-F11))/4)+(4*(H11*H11*(D11/2-F11-(H11/2))-((PI()*H11*H11)/4*((D11/2)-F11-(H11-((4*H11)/(3*PI()))))))))/1000</f>
        <v/>
      </c>
      <c r="U11" s="125">
        <f>(((D11*E11*E11)/4)-(2*((D11-F11-F11)*(E11/2-(G11/2))*(((E11/2-(G11/2))/2)+(G11/2))))+(4*(((H11*H11)-(((PI()*H11*H11)/4)))*((H11-((4*H11)/(3*PI())))+(G11/2)))))/1000</f>
        <v/>
      </c>
      <c r="V11" s="125" t="n">
        <v>126</v>
      </c>
      <c r="W11" s="125" t="n">
        <v>25.4</v>
      </c>
      <c r="Y11">
        <f>SQRT((((VLOOKUP($X$4,$A$4:$D$1021,4,FALSE))-D11)^2)+(((VLOOKUP($X$4,$A$4:$E$1021,5,FALSE))-E11)^2))</f>
        <v/>
      </c>
    </row>
    <row r="12">
      <c r="A12" s="125" t="inlineStr">
        <is>
          <t>W6X11</t>
        </is>
      </c>
      <c r="B12" s="129" t="inlineStr">
        <is>
          <t>AISC</t>
        </is>
      </c>
      <c r="C12" s="125" t="n">
        <v>16</v>
      </c>
      <c r="D12" s="125" t="n">
        <v>152.4</v>
      </c>
      <c r="E12" s="125" t="n">
        <v>88.7</v>
      </c>
      <c r="F12" s="125" t="n">
        <v>7.7</v>
      </c>
      <c r="G12" s="125" t="n">
        <v>4.5</v>
      </c>
      <c r="H12" s="125" t="n">
        <v>7.6</v>
      </c>
      <c r="I12" s="125" t="n">
        <v>121.8</v>
      </c>
      <c r="J12" s="125" t="n">
        <v>20.3</v>
      </c>
      <c r="K12" s="125" t="n">
        <v>5.76</v>
      </c>
      <c r="L12" s="125" t="n">
        <v>27.1</v>
      </c>
      <c r="M12" s="125" t="n">
        <v>0.638</v>
      </c>
      <c r="N12" s="125" t="n">
        <v>834</v>
      </c>
      <c r="O12" s="125" t="n">
        <v>89.8</v>
      </c>
      <c r="P12" s="125" t="n">
        <v>6.41</v>
      </c>
      <c r="Q12" s="125" t="n">
        <v>2.1</v>
      </c>
      <c r="R12" s="125" t="n">
        <v>109</v>
      </c>
      <c r="S12" s="125" t="n">
        <v>20.2</v>
      </c>
      <c r="T12" s="125">
        <f>(((E12*D12*D12)/4)-(((E12-G12)*(D12-F12-F12)*(D12-F12-F12))/4)+(4*(H12*H12*(D12/2-F12-(H12/2))-((PI()*H12*H12)/4*((D12/2)-F12-(H12-((4*H12)/(3*PI()))))))))/1000</f>
        <v/>
      </c>
      <c r="U12" s="125">
        <f>(((D12*E12*E12)/4)-(2*((D12-F12-F12)*(E12/2-(G12/2))*(((E12/2-(G12/2))/2)+(G12/2))))+(4*(((H12*H12)-(((PI()*H12*H12)/4)))*((H12-((4*H12)/(3*PI())))+(G12/2)))))/1000</f>
        <v/>
      </c>
      <c r="V12" s="125" t="n">
        <v>123</v>
      </c>
      <c r="W12" s="125" t="n">
        <v>31.2</v>
      </c>
      <c r="Y12">
        <f>SQRT((((VLOOKUP($X$4,$A$4:$D$1021,4,FALSE))-D12)^2)+(((VLOOKUP($X$4,$A$4:$E$1021,5,FALSE))-E12)^2))</f>
        <v/>
      </c>
    </row>
    <row r="13">
      <c r="A13" s="125" t="inlineStr">
        <is>
          <t>W6X9*</t>
        </is>
      </c>
      <c r="B13" s="129" t="inlineStr">
        <is>
          <t>AISC</t>
        </is>
      </c>
      <c r="C13" s="125" t="n">
        <v>13.4</v>
      </c>
      <c r="D13" s="125" t="n">
        <v>149.9</v>
      </c>
      <c r="E13" s="125" t="n">
        <v>100.1</v>
      </c>
      <c r="F13" s="125" t="n">
        <v>5.5</v>
      </c>
      <c r="G13" s="125" t="n">
        <v>4.3</v>
      </c>
      <c r="H13" s="125" t="n">
        <v>6.4</v>
      </c>
      <c r="I13" s="125" t="n">
        <v>126.3</v>
      </c>
      <c r="J13" s="125" t="n">
        <v>17.3</v>
      </c>
      <c r="K13" s="125" t="n">
        <v>9.17</v>
      </c>
      <c r="L13" s="125" t="n">
        <v>29.2</v>
      </c>
      <c r="M13" s="125" t="n">
        <v>0.681</v>
      </c>
      <c r="N13" s="125" t="n">
        <v>683</v>
      </c>
      <c r="O13" s="125" t="n">
        <v>91.40000000000001</v>
      </c>
      <c r="P13" s="125" t="n">
        <v>6.29</v>
      </c>
      <c r="Q13" s="125" t="n">
        <v>2.3</v>
      </c>
      <c r="R13" s="125" t="n">
        <v>91.09999999999999</v>
      </c>
      <c r="S13" s="125" t="n">
        <v>18.3</v>
      </c>
      <c r="T13" s="125">
        <f>(((E13*D13*D13)/4)-(((E13-G13)*(D13-F13-F13)*(D13-F13-F13))/4)+(4*(H13*H13*(D13/2-F13-(H13/2))-((PI()*H13*H13)/4*((D13/2)-F13-(H13-((4*H13)/(3*PI()))))))))/1000</f>
        <v/>
      </c>
      <c r="U13" s="125">
        <f>(((D13*E13*E13)/4)-(2*((D13-F13-F13)*(E13/2-(G13/2))*(((E13/2-(G13/2))/2)+(G13/2))))+(4*(((H13*H13)-(((PI()*H13*H13)/4)))*((H13-((4*H13)/(3*PI())))+(G13/2)))))/1000</f>
        <v/>
      </c>
      <c r="V13" s="125" t="n">
        <v>102</v>
      </c>
      <c r="W13" s="125" t="n">
        <v>28.1</v>
      </c>
      <c r="Y13">
        <f>SQRT((((VLOOKUP($X$4,$A$4:$D$1021,4,FALSE))-D13)^2)+(((VLOOKUP($X$4,$A$4:$E$1021,5,FALSE))-E13)^2))</f>
        <v/>
      </c>
    </row>
    <row r="14">
      <c r="A14" s="125" t="inlineStr">
        <is>
          <t>W6X12*</t>
        </is>
      </c>
      <c r="B14" s="129" t="inlineStr">
        <is>
          <t>AISC</t>
        </is>
      </c>
      <c r="C14" s="125" t="n">
        <v>17.9</v>
      </c>
      <c r="D14" s="125" t="n">
        <v>153.2</v>
      </c>
      <c r="E14" s="125" t="n">
        <v>101.6</v>
      </c>
      <c r="F14" s="125" t="n">
        <v>7.1</v>
      </c>
      <c r="G14" s="125" t="n">
        <v>5.8</v>
      </c>
      <c r="H14" s="125" t="n">
        <v>6.4</v>
      </c>
      <c r="I14" s="125" t="n">
        <v>126.3</v>
      </c>
      <c r="J14" s="125" t="n">
        <v>22.9</v>
      </c>
      <c r="K14" s="125" t="n">
        <v>7.14</v>
      </c>
      <c r="L14" s="125" t="n">
        <v>21.6</v>
      </c>
      <c r="M14" s="125" t="n">
        <v>0.6899999999999999</v>
      </c>
      <c r="N14" s="125" t="n">
        <v>918</v>
      </c>
      <c r="O14" s="125" t="n">
        <v>125</v>
      </c>
      <c r="P14" s="125" t="n">
        <v>6.33</v>
      </c>
      <c r="Q14" s="125" t="n">
        <v>2.33</v>
      </c>
      <c r="R14" s="125" t="n">
        <v>120</v>
      </c>
      <c r="S14" s="125" t="n">
        <v>24.5</v>
      </c>
      <c r="T14" s="125">
        <f>(((E14*D14*D14)/4)-(((E14-G14)*(D14-F14-F14)*(D14-F14-F14))/4)+(4*(H14*H14*(D14/2-F14-(H14/2))-((PI()*H14*H14)/4*((D14/2)-F14-(H14-((4*H14)/(3*PI()))))))))/1000</f>
        <v/>
      </c>
      <c r="U14" s="125">
        <f>(((D14*E14*E14)/4)-(2*((D14-F14-F14)*(E14/2-(G14/2))*(((E14/2-(G14/2))/2)+(G14/2))))+(4*(((H14*H14)-(((PI()*H14*H14)/4)))*((H14-((4*H14)/(3*PI())))+(G14/2)))))/1000</f>
        <v/>
      </c>
      <c r="V14" s="125" t="n">
        <v>136</v>
      </c>
      <c r="W14" s="125" t="n">
        <v>38</v>
      </c>
      <c r="Y14">
        <f>SQRT((((VLOOKUP($X$4,$A$4:$D$1021,4,FALSE))-D14)^2)+(((VLOOKUP($X$4,$A$4:$E$1021,5,FALSE))-E14)^2))</f>
        <v/>
      </c>
    </row>
    <row r="15">
      <c r="A15" s="125" t="inlineStr">
        <is>
          <t>W6X16</t>
        </is>
      </c>
      <c r="B15" s="129" t="inlineStr">
        <is>
          <t>AISC</t>
        </is>
      </c>
      <c r="C15" s="125" t="n">
        <v>23.8</v>
      </c>
      <c r="D15" s="125" t="n">
        <v>159.5</v>
      </c>
      <c r="E15" s="125" t="n">
        <v>102.4</v>
      </c>
      <c r="F15" s="125" t="n">
        <v>10.2</v>
      </c>
      <c r="G15" s="125" t="n">
        <v>6.6</v>
      </c>
      <c r="H15" s="125" t="n">
        <v>6.4</v>
      </c>
      <c r="I15" s="125" t="n">
        <v>126.4</v>
      </c>
      <c r="J15" s="125" t="n">
        <v>30.4</v>
      </c>
      <c r="K15" s="125" t="n">
        <v>5.02</v>
      </c>
      <c r="L15" s="125" t="n">
        <v>19.2</v>
      </c>
      <c r="M15" s="125" t="n">
        <v>0.704</v>
      </c>
      <c r="N15" s="125" t="n">
        <v>1330</v>
      </c>
      <c r="O15" s="125" t="n">
        <v>183</v>
      </c>
      <c r="P15" s="125" t="n">
        <v>6.61</v>
      </c>
      <c r="Q15" s="125" t="n">
        <v>2.45</v>
      </c>
      <c r="R15" s="125" t="n">
        <v>167</v>
      </c>
      <c r="S15" s="125" t="n">
        <v>35.7</v>
      </c>
      <c r="T15" s="125">
        <f>(((E15*D15*D15)/4)-(((E15-G15)*(D15-F15-F15)*(D15-F15-F15))/4)+(4*(H15*H15*(D15/2-F15-(H15/2))-((PI()*H15*H15)/4*((D15/2)-F15-(H15-((4*H15)/(3*PI()))))))))/1000</f>
        <v/>
      </c>
      <c r="U15" s="125">
        <f>(((D15*E15*E15)/4)-(2*((D15-F15-F15)*(E15/2-(G15/2))*(((E15/2-(G15/2))/2)+(G15/2))))+(4*(((H15*H15)-(((PI()*H15*H15)/4)))*((H15-((4*H15)/(3*PI())))+(G15/2)))))/1000</f>
        <v/>
      </c>
      <c r="V15" s="125" t="n">
        <v>190</v>
      </c>
      <c r="W15" s="125" t="n">
        <v>55.2</v>
      </c>
      <c r="Y15">
        <f>SQRT((((VLOOKUP($X$4,$A$4:$D$1021,4,FALSE))-D15)^2)+(((VLOOKUP($X$4,$A$4:$E$1021,5,FALSE))-E15)^2))</f>
        <v/>
      </c>
    </row>
    <row r="16">
      <c r="A16" s="125" t="inlineStr">
        <is>
          <t>W6X15</t>
        </is>
      </c>
      <c r="B16" s="129" t="inlineStr">
        <is>
          <t>AISC</t>
        </is>
      </c>
      <c r="C16" s="125" t="n">
        <v>22.3</v>
      </c>
      <c r="D16" s="125" t="n">
        <v>152.1</v>
      </c>
      <c r="E16" s="125" t="n">
        <v>152.1</v>
      </c>
      <c r="F16" s="125" t="n">
        <v>6.6</v>
      </c>
      <c r="G16" s="125" t="n">
        <v>5.8</v>
      </c>
      <c r="H16" s="125" t="n">
        <v>6.4</v>
      </c>
      <c r="I16" s="125" t="n">
        <v>126.2</v>
      </c>
      <c r="J16" s="125" t="n">
        <v>28.5</v>
      </c>
      <c r="K16" s="125" t="n">
        <v>11.5</v>
      </c>
      <c r="L16" s="125" t="n">
        <v>21.6</v>
      </c>
      <c r="M16" s="125" t="n">
        <v>0.89</v>
      </c>
      <c r="N16" s="125" t="n">
        <v>1210</v>
      </c>
      <c r="O16" s="125" t="n">
        <v>387</v>
      </c>
      <c r="P16" s="125" t="n">
        <v>6.51</v>
      </c>
      <c r="Q16" s="125" t="n">
        <v>3.68</v>
      </c>
      <c r="R16" s="125" t="n">
        <v>159</v>
      </c>
      <c r="S16" s="125" t="n">
        <v>50.9</v>
      </c>
      <c r="T16" s="125">
        <f>(((E16*D16*D16)/4)-(((E16-G16)*(D16-F16-F16)*(D16-F16-F16))/4)+(4*(H16*H16*(D16/2-F16-(H16/2))-((PI()*H16*H16)/4*((D16/2)-F16-(H16-((4*H16)/(3*PI()))))))))/1000</f>
        <v/>
      </c>
      <c r="U16" s="125">
        <f>(((D16*E16*E16)/4)-(2*((D16-F16-F16)*(E16/2-(G16/2))*(((E16/2-(G16/2))/2)+(G16/2))))+(4*(((H16*H16)-(((PI()*H16*H16)/4)))*((H16-((4*H16)/(3*PI())))+(G16/2)))))/1000</f>
        <v/>
      </c>
      <c r="V16" s="125" t="n">
        <v>177</v>
      </c>
      <c r="W16" s="125" t="n">
        <v>77.7</v>
      </c>
      <c r="Y16">
        <f>SQRT((((VLOOKUP($X$4,$A$4:$D$1021,4,FALSE))-D16)^2)+(((VLOOKUP($X$4,$A$4:$E$1021,5,FALSE))-E16)^2))</f>
        <v/>
      </c>
    </row>
    <row r="17">
      <c r="A17" s="125" t="inlineStr">
        <is>
          <t>W6X15.7</t>
        </is>
      </c>
      <c r="B17" s="129" t="inlineStr">
        <is>
          <t>AISC</t>
        </is>
      </c>
      <c r="C17" s="125" t="n">
        <v>23</v>
      </c>
      <c r="D17" s="125" t="n">
        <v>152.4</v>
      </c>
      <c r="E17" s="125" t="n">
        <v>152.2</v>
      </c>
      <c r="F17" s="125" t="n">
        <v>6.8</v>
      </c>
      <c r="G17" s="125" t="n">
        <v>5.8</v>
      </c>
      <c r="H17" s="125" t="n">
        <v>7.6</v>
      </c>
      <c r="I17" s="125" t="n">
        <v>123.6</v>
      </c>
      <c r="J17" s="125" t="n">
        <v>29.2</v>
      </c>
      <c r="K17" s="125" t="n">
        <v>11.2</v>
      </c>
      <c r="L17" s="125" t="n">
        <v>21.3</v>
      </c>
      <c r="M17" s="125" t="n">
        <v>0.889</v>
      </c>
      <c r="N17" s="125" t="n">
        <v>1250</v>
      </c>
      <c r="O17" s="125" t="n">
        <v>400</v>
      </c>
      <c r="P17" s="125" t="n">
        <v>6.54</v>
      </c>
      <c r="Q17" s="125" t="n">
        <v>3.7</v>
      </c>
      <c r="R17" s="125" t="n">
        <v>164</v>
      </c>
      <c r="S17" s="125" t="n">
        <v>52.6</v>
      </c>
      <c r="T17" s="125">
        <f>(((E17*D17*D17)/4)-(((E17-G17)*(D17-F17-F17)*(D17-F17-F17))/4)+(4*(H17*H17*(D17/2-F17-(H17/2))-((PI()*H17*H17)/4*((D17/2)-F17-(H17-((4*H17)/(3*PI()))))))))/1000</f>
        <v/>
      </c>
      <c r="U17" s="125">
        <f>(((D17*E17*E17)/4)-(2*((D17-F17-F17)*(E17/2-(G17/2))*(((E17/2-(G17/2))/2)+(G17/2))))+(4*(((H17*H17)-(((PI()*H17*H17)/4)))*((H17-((4*H17)/(3*PI())))+(G17/2)))))/1000</f>
        <v/>
      </c>
      <c r="V17" s="125" t="n">
        <v>182</v>
      </c>
      <c r="W17" s="125" t="n">
        <v>80.2</v>
      </c>
      <c r="Y17">
        <f>SQRT((((VLOOKUP($X$4,$A$4:$D$1021,4,FALSE))-D17)^2)+(((VLOOKUP($X$4,$A$4:$E$1021,5,FALSE))-E17)^2))</f>
        <v/>
      </c>
    </row>
    <row r="18">
      <c r="A18" s="125" t="inlineStr">
        <is>
          <t>W6X20</t>
        </is>
      </c>
      <c r="B18" s="129" t="inlineStr">
        <is>
          <t>AISC</t>
        </is>
      </c>
      <c r="C18" s="125" t="n">
        <v>30</v>
      </c>
      <c r="D18" s="125" t="n">
        <v>157.6</v>
      </c>
      <c r="E18" s="125" t="n">
        <v>152.9</v>
      </c>
      <c r="F18" s="125" t="n">
        <v>9.4</v>
      </c>
      <c r="G18" s="125" t="n">
        <v>6.5</v>
      </c>
      <c r="H18" s="125" t="n">
        <v>7.6</v>
      </c>
      <c r="I18" s="125" t="n">
        <v>123.6</v>
      </c>
      <c r="J18" s="125" t="n">
        <v>38.3</v>
      </c>
      <c r="K18" s="125" t="n">
        <v>8.130000000000001</v>
      </c>
      <c r="L18" s="125" t="n">
        <v>19</v>
      </c>
      <c r="M18" s="125" t="n">
        <v>0.901</v>
      </c>
      <c r="N18" s="125" t="n">
        <v>1748</v>
      </c>
      <c r="O18" s="125" t="n">
        <v>560</v>
      </c>
      <c r="P18" s="125" t="n">
        <v>6.76</v>
      </c>
      <c r="Q18" s="125" t="n">
        <v>3.83</v>
      </c>
      <c r="R18" s="125" t="n">
        <v>222</v>
      </c>
      <c r="S18" s="125" t="n">
        <v>73.3</v>
      </c>
      <c r="T18" s="125">
        <f>(((E18*D18*D18)/4)-(((E18-G18)*(D18-F18-F18)*(D18-F18-F18))/4)+(4*(H18*H18*(D18/2-F18-(H18/2))-((PI()*H18*H18)/4*((D18/2)-F18-(H18-((4*H18)/(3*PI()))))))))/1000</f>
        <v/>
      </c>
      <c r="U18" s="125">
        <f>(((D18*E18*E18)/4)-(2*((D18-F18-F18)*(E18/2-(G18/2))*(((E18/2-(G18/2))/2)+(G18/2))))+(4*(((H18*H18)-(((PI()*H18*H18)/4)))*((H18-((4*H18)/(3*PI())))+(G18/2)))))/1000</f>
        <v/>
      </c>
      <c r="V18" s="125" t="n">
        <v>248</v>
      </c>
      <c r="W18" s="125" t="n">
        <v>112</v>
      </c>
      <c r="Y18">
        <f>SQRT((((VLOOKUP($X$4,$A$4:$D$1021,4,FALSE))-D18)^2)+(((VLOOKUP($X$4,$A$4:$E$1021,5,FALSE))-E18)^2))</f>
        <v/>
      </c>
    </row>
    <row r="19">
      <c r="A19" s="125" t="inlineStr">
        <is>
          <t>W6X25</t>
        </is>
      </c>
      <c r="B19" s="129" t="inlineStr">
        <is>
          <t>AISC</t>
        </is>
      </c>
      <c r="C19" s="125" t="n">
        <v>37</v>
      </c>
      <c r="D19" s="125" t="n">
        <v>161.8</v>
      </c>
      <c r="E19" s="125" t="n">
        <v>154.4</v>
      </c>
      <c r="F19" s="125" t="n">
        <v>11.5</v>
      </c>
      <c r="G19" s="125" t="n">
        <v>8</v>
      </c>
      <c r="H19" s="125" t="n">
        <v>7.6</v>
      </c>
      <c r="I19" s="125" t="n">
        <v>123.6</v>
      </c>
      <c r="J19" s="125" t="n">
        <v>47.1</v>
      </c>
      <c r="K19" s="125" t="n">
        <v>6.71</v>
      </c>
      <c r="L19" s="125" t="n">
        <v>15.5</v>
      </c>
      <c r="M19" s="125" t="n">
        <v>0.912</v>
      </c>
      <c r="N19" s="125" t="n">
        <v>2210</v>
      </c>
      <c r="O19" s="125" t="n">
        <v>706</v>
      </c>
      <c r="P19" s="125" t="n">
        <v>6.85</v>
      </c>
      <c r="Q19" s="125" t="n">
        <v>3.87</v>
      </c>
      <c r="R19" s="125" t="n">
        <v>273</v>
      </c>
      <c r="S19" s="125" t="n">
        <v>91.5</v>
      </c>
      <c r="T19" s="125">
        <f>(((E19*D19*D19)/4)-(((E19-G19)*(D19-F19-F19)*(D19-F19-F19))/4)+(4*(H19*H19*(D19/2-F19-(H19/2))-((PI()*H19*H19)/4*((D19/2)-F19-(H19-((4*H19)/(3*PI()))))))))/1000</f>
        <v/>
      </c>
      <c r="U19" s="125">
        <f>(((D19*E19*E19)/4)-(2*((D19-F19-F19)*(E19/2-(G19/2))*(((E19/2-(G19/2))/2)+(G19/2))))+(4*(((H19*H19)-(((PI()*H19*H19)/4)))*((H19-((4*H19)/(3*PI())))+(G19/2)))))/1000</f>
        <v/>
      </c>
      <c r="V19" s="125" t="n">
        <v>309</v>
      </c>
      <c r="W19" s="125" t="n">
        <v>140</v>
      </c>
      <c r="Y19">
        <f>SQRT((((VLOOKUP($X$4,$A$4:$D$1021,4,FALSE))-D19)^2)+(((VLOOKUP($X$4,$A$4:$E$1021,5,FALSE))-E19)^2))</f>
        <v/>
      </c>
    </row>
    <row r="20">
      <c r="A20" s="125" t="inlineStr">
        <is>
          <t>W7X11</t>
        </is>
      </c>
      <c r="B20" s="129" t="inlineStr">
        <is>
          <t>AISC</t>
        </is>
      </c>
      <c r="C20" s="125" t="n">
        <v>16.1</v>
      </c>
      <c r="D20" s="125" t="n">
        <v>173</v>
      </c>
      <c r="E20" s="125" t="n">
        <v>90</v>
      </c>
      <c r="F20" s="125" t="n">
        <v>7</v>
      </c>
      <c r="G20" s="125" t="n">
        <v>4.5</v>
      </c>
      <c r="H20" s="125" t="n">
        <v>8.9</v>
      </c>
      <c r="I20" s="125" t="n">
        <v>141.2</v>
      </c>
      <c r="J20" s="125" t="n">
        <v>20.4</v>
      </c>
      <c r="K20" s="125" t="n">
        <v>6.43</v>
      </c>
      <c r="L20" s="125" t="n">
        <v>31.4</v>
      </c>
      <c r="M20" s="125" t="n">
        <v>0.6820000000000001</v>
      </c>
      <c r="N20" s="125" t="n">
        <v>1060</v>
      </c>
      <c r="O20" s="125" t="n">
        <v>85.40000000000001</v>
      </c>
      <c r="P20" s="125" t="n">
        <v>7.2</v>
      </c>
      <c r="Q20" s="125" t="n">
        <v>2.04</v>
      </c>
      <c r="R20" s="125" t="n">
        <v>123</v>
      </c>
      <c r="S20" s="125" t="n">
        <v>19</v>
      </c>
      <c r="T20" s="125">
        <f>(((E20*D20*D20)/4)-(((E20-G20)*(D20-F20-F20)*(D20-F20-F20))/4)+(4*(H20*H20*(D20/2-F20-(H20/2))-((PI()*H20*H20)/4*((D20/2)-F20-(H20-((4*H20)/(3*PI()))))))))/1000</f>
        <v/>
      </c>
      <c r="U20" s="125">
        <f>(((D20*E20*E20)/4)-(2*((D20-F20-F20)*(E20/2-(G20/2))*(((E20/2-(G20/2))/2)+(G20/2))))+(4*(((H20*H20)-(((PI()*H20*H20)/4)))*((H20-((4*H20)/(3*PI())))+(G20/2)))))/1000</f>
        <v/>
      </c>
      <c r="V20" s="125" t="n">
        <v>138</v>
      </c>
      <c r="W20" s="125" t="n">
        <v>29.4</v>
      </c>
      <c r="Y20">
        <f>SQRT((((VLOOKUP($X$4,$A$4:$D$1021,4,FALSE))-D20)^2)+(((VLOOKUP($X$4,$A$4:$E$1021,5,FALSE))-E20)^2))</f>
        <v/>
      </c>
    </row>
    <row r="21">
      <c r="A21" s="125" t="inlineStr">
        <is>
          <t>W7X12</t>
        </is>
      </c>
      <c r="B21" s="129" t="inlineStr">
        <is>
          <t>AISC</t>
        </is>
      </c>
      <c r="C21" s="125" t="n">
        <v>18.1</v>
      </c>
      <c r="D21" s="125" t="n">
        <v>175</v>
      </c>
      <c r="E21" s="125" t="n">
        <v>90</v>
      </c>
      <c r="F21" s="125" t="n">
        <v>8</v>
      </c>
      <c r="G21" s="125" t="n">
        <v>5</v>
      </c>
      <c r="H21" s="125" t="n">
        <v>8.9</v>
      </c>
      <c r="I21" s="125" t="n">
        <v>141.2</v>
      </c>
      <c r="J21" s="125" t="n">
        <v>23</v>
      </c>
      <c r="K21" s="125" t="n">
        <v>5.63</v>
      </c>
      <c r="L21" s="125" t="n">
        <v>28.2</v>
      </c>
      <c r="M21" s="125" t="n">
        <v>0.6850000000000001</v>
      </c>
      <c r="N21" s="125" t="n">
        <v>1213</v>
      </c>
      <c r="O21" s="125" t="n">
        <v>97.59999999999999</v>
      </c>
      <c r="P21" s="125" t="n">
        <v>7.26</v>
      </c>
      <c r="Q21" s="125" t="n">
        <v>2.06</v>
      </c>
      <c r="R21" s="125" t="n">
        <v>139</v>
      </c>
      <c r="S21" s="125" t="n">
        <v>21.7</v>
      </c>
      <c r="T21" s="125">
        <f>(((E21*D21*D21)/4)-(((E21-G21)*(D21-F21-F21)*(D21-F21-F21))/4)+(4*(H21*H21*(D21/2-F21-(H21/2))-((PI()*H21*H21)/4*((D21/2)-F21-(H21-((4*H21)/(3*PI()))))))))/1000</f>
        <v/>
      </c>
      <c r="U21" s="125">
        <f>(((D21*E21*E21)/4)-(2*((D21-F21-F21)*(E21/2-(G21/2))*(((E21/2-(G21/2))/2)+(G21/2))))+(4*(((H21*H21)-(((PI()*H21*H21)/4)))*((H21-((4*H21)/(3*PI())))+(G21/2)))))/1000</f>
        <v/>
      </c>
      <c r="V21" s="125" t="n">
        <v>157</v>
      </c>
      <c r="W21" s="125" t="n">
        <v>33.7</v>
      </c>
      <c r="Y21">
        <f>SQRT((((VLOOKUP($X$4,$A$4:$D$1021,4,FALSE))-D21)^2)+(((VLOOKUP($X$4,$A$4:$E$1021,5,FALSE))-E21)^2))</f>
        <v/>
      </c>
    </row>
    <row r="22">
      <c r="A22" s="125" t="inlineStr">
        <is>
          <t>W7X15</t>
        </is>
      </c>
      <c r="B22" s="129" t="inlineStr">
        <is>
          <t>AISC</t>
        </is>
      </c>
      <c r="C22" s="125" t="n">
        <v>22.2</v>
      </c>
      <c r="D22" s="125" t="n">
        <v>179</v>
      </c>
      <c r="E22" s="125" t="n">
        <v>90</v>
      </c>
      <c r="F22" s="125" t="n">
        <v>10</v>
      </c>
      <c r="G22" s="125" t="n">
        <v>6</v>
      </c>
      <c r="H22" s="125" t="n">
        <v>8.9</v>
      </c>
      <c r="I22" s="125" t="n">
        <v>141.2</v>
      </c>
      <c r="J22" s="125" t="n">
        <v>28.2</v>
      </c>
      <c r="K22" s="125" t="n">
        <v>4.5</v>
      </c>
      <c r="L22" s="125" t="n">
        <v>23.5</v>
      </c>
      <c r="M22" s="125" t="n">
        <v>0.6909999999999999</v>
      </c>
      <c r="N22" s="125" t="n">
        <v>1529</v>
      </c>
      <c r="O22" s="125" t="n">
        <v>122</v>
      </c>
      <c r="P22" s="125" t="n">
        <v>7.36</v>
      </c>
      <c r="Q22" s="125" t="n">
        <v>2.08</v>
      </c>
      <c r="R22" s="125" t="n">
        <v>171</v>
      </c>
      <c r="S22" s="125" t="n">
        <v>27.1</v>
      </c>
      <c r="T22" s="125">
        <f>(((E22*D22*D22)/4)-(((E22-G22)*(D22-F22-F22)*(D22-F22-F22))/4)+(4*(H22*H22*(D22/2-F22-(H22/2))-((PI()*H22*H22)/4*((D22/2)-F22-(H22-((4*H22)/(3*PI()))))))))/1000</f>
        <v/>
      </c>
      <c r="U22" s="125">
        <f>(((D22*E22*E22)/4)-(2*((D22-F22-F22)*(E22/2-(G22/2))*(((E22/2-(G22/2))/2)+(G22/2))))+(4*(((H22*H22)-(((PI()*H22*H22)/4)))*((H22-((4*H22)/(3*PI())))+(G22/2)))))/1000</f>
        <v/>
      </c>
      <c r="V22" s="125" t="n">
        <v>195</v>
      </c>
      <c r="W22" s="125" t="n">
        <v>42.3</v>
      </c>
      <c r="Y22">
        <f>SQRT((((VLOOKUP($X$4,$A$4:$D$1021,4,FALSE))-D22)^2)+(((VLOOKUP($X$4,$A$4:$E$1021,5,FALSE))-E22)^2))</f>
        <v/>
      </c>
    </row>
    <row r="23">
      <c r="A23" s="125" t="inlineStr">
        <is>
          <t>W7X13</t>
        </is>
      </c>
      <c r="B23" s="129" t="inlineStr">
        <is>
          <t>AISC</t>
        </is>
      </c>
      <c r="C23" s="125" t="n">
        <v>19</v>
      </c>
      <c r="D23" s="125" t="n">
        <v>177.8</v>
      </c>
      <c r="E23" s="125" t="n">
        <v>101.2</v>
      </c>
      <c r="F23" s="125" t="n">
        <v>7.9</v>
      </c>
      <c r="G23" s="125" t="n">
        <v>4.8</v>
      </c>
      <c r="H23" s="125" t="n">
        <v>7.6</v>
      </c>
      <c r="I23" s="125" t="n">
        <v>146.8</v>
      </c>
      <c r="J23" s="125" t="n">
        <v>24.3</v>
      </c>
      <c r="K23" s="125" t="n">
        <v>6.41</v>
      </c>
      <c r="L23" s="125" t="n">
        <v>30.6</v>
      </c>
      <c r="M23" s="125" t="n">
        <v>0.738</v>
      </c>
      <c r="N23" s="125" t="n">
        <v>1356</v>
      </c>
      <c r="O23" s="125" t="n">
        <v>137</v>
      </c>
      <c r="P23" s="125" t="n">
        <v>7.48</v>
      </c>
      <c r="Q23" s="125" t="n">
        <v>2.37</v>
      </c>
      <c r="R23" s="125" t="n">
        <v>153</v>
      </c>
      <c r="S23" s="125" t="n">
        <v>27</v>
      </c>
      <c r="T23" s="125">
        <f>(((E23*D23*D23)/4)-(((E23-G23)*(D23-F23-F23)*(D23-F23-F23))/4)+(4*(H23*H23*(D23/2-F23-(H23/2))-((PI()*H23*H23)/4*((D23/2)-F23-(H23-((4*H23)/(3*PI()))))))))/1000</f>
        <v/>
      </c>
      <c r="U23" s="125">
        <f>(((D23*E23*E23)/4)-(2*((D23-F23-F23)*(E23/2-(G23/2))*(((E23/2-(G23/2))/2)+(G23/2))))+(4*(((H23*H23)-(((PI()*H23*H23)/4)))*((H23-((4*H23)/(3*PI())))+(G23/2)))))/1000</f>
        <v/>
      </c>
      <c r="V23" s="125" t="n">
        <v>171</v>
      </c>
      <c r="W23" s="125" t="n">
        <v>41.6</v>
      </c>
      <c r="Y23">
        <f>SQRT((((VLOOKUP($X$4,$A$4:$D$1021,4,FALSE))-D23)^2)+(((VLOOKUP($X$4,$A$4:$E$1021,5,FALSE))-E23)^2))</f>
        <v/>
      </c>
    </row>
    <row r="24">
      <c r="A24" s="125" t="inlineStr">
        <is>
          <t>W8X10</t>
        </is>
      </c>
      <c r="B24" s="129" t="inlineStr">
        <is>
          <t>AISC</t>
        </is>
      </c>
      <c r="C24" s="125" t="n">
        <v>14.9</v>
      </c>
      <c r="D24" s="125" t="n">
        <v>200.4</v>
      </c>
      <c r="E24" s="125" t="n">
        <v>100.1</v>
      </c>
      <c r="F24" s="125" t="n">
        <v>5.2</v>
      </c>
      <c r="G24" s="125" t="n">
        <v>4.3</v>
      </c>
      <c r="H24" s="125" t="n">
        <v>7.6</v>
      </c>
      <c r="I24" s="125" t="n">
        <v>174.7</v>
      </c>
      <c r="J24" s="125" t="n">
        <v>19.1</v>
      </c>
      <c r="K24" s="125" t="n">
        <v>9.609999999999999</v>
      </c>
      <c r="L24" s="125" t="n">
        <v>40.4</v>
      </c>
      <c r="M24" s="125" t="n">
        <v>0.779</v>
      </c>
      <c r="N24" s="125" t="n">
        <v>1284</v>
      </c>
      <c r="O24" s="125" t="n">
        <v>87.3</v>
      </c>
      <c r="P24" s="125" t="n">
        <v>8.19</v>
      </c>
      <c r="Q24" s="125" t="n">
        <v>2.14</v>
      </c>
      <c r="R24" s="125" t="n">
        <v>128</v>
      </c>
      <c r="S24" s="125" t="n">
        <v>17.4</v>
      </c>
      <c r="T24" s="125">
        <f>(((E24*D24*D24)/4)-(((E24-G24)*(D24-F24-F24)*(D24-F24-F24))/4)+(4*(H24*H24*(D24/2-F24-(H24/2))-((PI()*H24*H24)/4*((D24/2)-F24-(H24-((4*H24)/(3*PI()))))))))/1000</f>
        <v/>
      </c>
      <c r="U24" s="125">
        <f>(((D24*E24*E24)/4)-(2*((D24-F24-F24)*(E24/2-(G24/2))*(((E24/2-(G24/2))/2)+(G24/2))))+(4*(((H24*H24)-(((PI()*H24*H24)/4)))*((H24-((4*H24)/(3*PI())))+(G24/2)))))/1000</f>
        <v/>
      </c>
      <c r="V24" s="125" t="n">
        <v>145</v>
      </c>
      <c r="W24" s="125" t="n">
        <v>27.2</v>
      </c>
      <c r="Y24">
        <f>SQRT((((VLOOKUP($X$4,$A$4:$D$1021,4,FALSE))-D24)^2)+(((VLOOKUP($X$4,$A$4:$E$1021,5,FALSE))-E24)^2))</f>
        <v/>
      </c>
    </row>
    <row r="25">
      <c r="A25" s="125" t="inlineStr">
        <is>
          <t>W8X13</t>
        </is>
      </c>
      <c r="B25" s="129" t="inlineStr">
        <is>
          <t>AISC</t>
        </is>
      </c>
      <c r="C25" s="125" t="n">
        <v>19.4</v>
      </c>
      <c r="D25" s="125" t="n">
        <v>202.9</v>
      </c>
      <c r="E25" s="125" t="n">
        <v>101.6</v>
      </c>
      <c r="F25" s="125" t="n">
        <v>6.5</v>
      </c>
      <c r="G25" s="125" t="n">
        <v>5.8</v>
      </c>
      <c r="H25" s="125" t="n">
        <v>7.6</v>
      </c>
      <c r="I25" s="125" t="n">
        <v>174.7</v>
      </c>
      <c r="J25" s="125" t="n">
        <v>24.8</v>
      </c>
      <c r="K25" s="125" t="n">
        <v>7.84</v>
      </c>
      <c r="L25" s="125" t="n">
        <v>29.9</v>
      </c>
      <c r="M25" s="125" t="n">
        <v>0.787</v>
      </c>
      <c r="N25" s="125" t="n">
        <v>1647</v>
      </c>
      <c r="O25" s="125" t="n">
        <v>114</v>
      </c>
      <c r="P25" s="125" t="n">
        <v>8.16</v>
      </c>
      <c r="Q25" s="125" t="n">
        <v>2.14</v>
      </c>
      <c r="R25" s="125" t="n">
        <v>162</v>
      </c>
      <c r="S25" s="125" t="n">
        <v>22.4</v>
      </c>
      <c r="T25" s="125">
        <f>(((E25*D25*D25)/4)-(((E25-G25)*(D25-F25-F25)*(D25-F25-F25))/4)+(4*(H25*H25*(D25/2-F25-(H25/2))-((PI()*H25*H25)/4*((D25/2)-F25-(H25-((4*H25)/(3*PI()))))))))/1000</f>
        <v/>
      </c>
      <c r="U25" s="125">
        <f>(((D25*E25*E25)/4)-(2*((D25-F25-F25)*(E25/2-(G25/2))*(((E25/2-(G25/2))/2)+(G25/2))))+(4*(((H25*H25)-(((PI()*H25*H25)/4)))*((H25-((4*H25)/(3*PI())))+(G25/2)))))/1000</f>
        <v/>
      </c>
      <c r="V25" s="125" t="n">
        <v>187</v>
      </c>
      <c r="W25" s="125" t="n">
        <v>35.3</v>
      </c>
      <c r="Y25">
        <f>SQRT((((VLOOKUP($X$4,$A$4:$D$1021,4,FALSE))-D25)^2)+(((VLOOKUP($X$4,$A$4:$E$1021,5,FALSE))-E25)^2))</f>
        <v/>
      </c>
    </row>
    <row r="26">
      <c r="A26" s="125" t="inlineStr">
        <is>
          <t>W8X15</t>
        </is>
      </c>
      <c r="B26" s="129" t="inlineStr">
        <is>
          <t>AISC</t>
        </is>
      </c>
      <c r="C26" s="125" t="n">
        <v>22.3</v>
      </c>
      <c r="D26" s="125" t="n">
        <v>206</v>
      </c>
      <c r="E26" s="125" t="n">
        <v>102</v>
      </c>
      <c r="F26" s="125" t="n">
        <v>8</v>
      </c>
      <c r="G26" s="125" t="n">
        <v>6.2</v>
      </c>
      <c r="H26" s="125" t="n">
        <v>7.6</v>
      </c>
      <c r="I26" s="125" t="n">
        <v>174.8</v>
      </c>
      <c r="J26" s="125" t="n">
        <v>28.6</v>
      </c>
      <c r="K26" s="125" t="n">
        <v>6.38</v>
      </c>
      <c r="L26" s="125" t="n">
        <v>28.1</v>
      </c>
      <c r="M26" s="125" t="n">
        <v>0.794</v>
      </c>
      <c r="N26" s="125" t="n">
        <v>1999</v>
      </c>
      <c r="O26" s="125" t="n">
        <v>142</v>
      </c>
      <c r="P26" s="125" t="n">
        <v>8.359999999999999</v>
      </c>
      <c r="Q26" s="125" t="n">
        <v>2.23</v>
      </c>
      <c r="R26" s="125" t="n">
        <v>194</v>
      </c>
      <c r="S26" s="125" t="n">
        <v>27.8</v>
      </c>
      <c r="T26" s="125">
        <f>(((E26*D26*D26)/4)-(((E26-G26)*(D26-F26-F26)*(D26-F26-F26))/4)+(4*(H26*H26*(D26/2-F26-(H26/2))-((PI()*H26*H26)/4*((D26/2)-F26-(H26-((4*H26)/(3*PI()))))))))/1000</f>
        <v/>
      </c>
      <c r="U26" s="125">
        <f>(((D26*E26*E26)/4)-(2*((D26-F26-F26)*(E26/2-(G26/2))*(((E26/2-(G26/2))/2)+(G26/2))))+(4*(((H26*H26)-(((PI()*H26*H26)/4)))*((H26-((4*H26)/(3*PI())))+(G26/2)))))/1000</f>
        <v/>
      </c>
      <c r="V26" s="125" t="n">
        <v>222</v>
      </c>
      <c r="W26" s="125" t="n">
        <v>43.7</v>
      </c>
      <c r="Y26">
        <f>SQRT((((VLOOKUP($X$4,$A$4:$D$1021,4,FALSE))-D26)^2)+(((VLOOKUP($X$4,$A$4:$E$1021,5,FALSE))-E26)^2))</f>
        <v/>
      </c>
    </row>
    <row r="27">
      <c r="A27" s="125" t="inlineStr">
        <is>
          <t>W8X16</t>
        </is>
      </c>
      <c r="B27" s="129" t="inlineStr">
        <is>
          <t>AISC</t>
        </is>
      </c>
      <c r="C27" s="125" t="n">
        <v>23.1</v>
      </c>
      <c r="D27" s="125" t="n">
        <v>203.2</v>
      </c>
      <c r="E27" s="125" t="n">
        <v>101.8</v>
      </c>
      <c r="F27" s="125" t="n">
        <v>9.300000000000001</v>
      </c>
      <c r="G27" s="125" t="n">
        <v>5.4</v>
      </c>
      <c r="H27" s="125" t="n">
        <v>7.6</v>
      </c>
      <c r="I27" s="125" t="n">
        <v>169.4</v>
      </c>
      <c r="J27" s="125" t="n">
        <v>29.4</v>
      </c>
      <c r="K27" s="125" t="n">
        <v>5.47</v>
      </c>
      <c r="L27" s="125" t="n">
        <v>31.4</v>
      </c>
      <c r="M27" s="125" t="n">
        <v>0.79</v>
      </c>
      <c r="N27" s="125" t="n">
        <v>2105</v>
      </c>
      <c r="O27" s="125" t="n">
        <v>164</v>
      </c>
      <c r="P27" s="125" t="n">
        <v>8.460000000000001</v>
      </c>
      <c r="Q27" s="125" t="n">
        <v>2.36</v>
      </c>
      <c r="R27" s="125" t="n">
        <v>207</v>
      </c>
      <c r="S27" s="125" t="n">
        <v>32.2</v>
      </c>
      <c r="T27" s="125">
        <f>(((E27*D27*D27)/4)-(((E27-G27)*(D27-F27-F27)*(D27-F27-F27))/4)+(4*(H27*H27*(D27/2-F27-(H27/2))-((PI()*H27*H27)/4*((D27/2)-F27-(H27-((4*H27)/(3*PI()))))))))/1000</f>
        <v/>
      </c>
      <c r="U27" s="125">
        <f>(((D27*E27*E27)/4)-(2*((D27-F27-F27)*(E27/2-(G27/2))*(((E27/2-(G27/2))/2)+(G27/2))))+(4*(((H27*H27)-(((PI()*H27*H27)/4)))*((H27-((4*H27)/(3*PI())))+(G27/2)))))/1000</f>
        <v/>
      </c>
      <c r="V27" s="125" t="n">
        <v>234</v>
      </c>
      <c r="W27" s="125" t="n">
        <v>49.8</v>
      </c>
      <c r="Y27">
        <f>SQRT((((VLOOKUP($X$4,$A$4:$D$1021,4,FALSE))-D27)^2)+(((VLOOKUP($X$4,$A$4:$E$1021,5,FALSE))-E27)^2))</f>
        <v/>
      </c>
    </row>
    <row r="28">
      <c r="A28" s="125" t="inlineStr">
        <is>
          <t>W8X14</t>
        </is>
      </c>
      <c r="B28" s="129" t="inlineStr">
        <is>
          <t>AISC</t>
        </is>
      </c>
      <c r="C28" s="125" t="n">
        <v>21</v>
      </c>
      <c r="D28" s="125" t="n">
        <v>203</v>
      </c>
      <c r="E28" s="125" t="n">
        <v>133</v>
      </c>
      <c r="F28" s="125" t="n">
        <v>6.4</v>
      </c>
      <c r="G28" s="125" t="n">
        <v>5</v>
      </c>
      <c r="H28" s="125" t="n">
        <v>8</v>
      </c>
      <c r="I28" s="125" t="n">
        <v>174.2</v>
      </c>
      <c r="J28" s="125" t="n">
        <v>27.1</v>
      </c>
      <c r="K28" s="125" t="n">
        <v>10.39</v>
      </c>
      <c r="L28" s="125" t="n">
        <v>34.8</v>
      </c>
      <c r="M28" s="125" t="n">
        <v>0.914</v>
      </c>
      <c r="N28" s="125" t="n">
        <v>1980</v>
      </c>
      <c r="O28" s="125" t="n">
        <v>251</v>
      </c>
      <c r="P28" s="125" t="n">
        <v>8.550000000000001</v>
      </c>
      <c r="Q28" s="125" t="n">
        <v>3.05</v>
      </c>
      <c r="R28" s="125" t="n">
        <v>195</v>
      </c>
      <c r="S28" s="125" t="n">
        <v>37.8</v>
      </c>
      <c r="T28" s="125">
        <f>(((E28*D28*D28)/4)-(((E28-G28)*(D28-F28-F28)*(D28-F28-F28))/4)+(4*(H28*H28*(D28/2-F28-(H28/2))-((PI()*H28*H28)/4*((D28/2)-F28-(H28-((4*H28)/(3*PI()))))))))/1000</f>
        <v/>
      </c>
      <c r="U28" s="125">
        <f>(((D28*E28*E28)/4)-(2*((D28-F28-F28)*(E28/2-(G28/2))*(((E28/2-(G28/2))/2)+(G28/2))))+(4*(((H28*H28)-(((PI()*H28*H28)/4)))*((H28-((4*H28)/(3*PI())))+(G28/2)))))/1000</f>
        <v/>
      </c>
      <c r="V28" s="125" t="n">
        <v>218</v>
      </c>
      <c r="W28" s="125" t="n">
        <v>58</v>
      </c>
      <c r="Y28">
        <f>SQRT((((VLOOKUP($X$4,$A$4:$D$1021,4,FALSE))-D28)^2)+(((VLOOKUP($X$4,$A$4:$E$1021,5,FALSE))-E28)^2))</f>
        <v/>
      </c>
    </row>
    <row r="29">
      <c r="A29" s="125" t="inlineStr">
        <is>
          <t>W8X15*</t>
        </is>
      </c>
      <c r="B29" s="129" t="inlineStr">
        <is>
          <t>AISC</t>
        </is>
      </c>
      <c r="C29" s="125" t="n">
        <v>22.3</v>
      </c>
      <c r="D29" s="125" t="n">
        <v>202</v>
      </c>
      <c r="E29" s="125" t="n">
        <v>133</v>
      </c>
      <c r="F29" s="125" t="n">
        <v>7</v>
      </c>
      <c r="G29" s="125" t="n">
        <v>5</v>
      </c>
      <c r="H29" s="125" t="n">
        <v>8.9</v>
      </c>
      <c r="I29" s="125" t="n">
        <v>170.2</v>
      </c>
      <c r="J29" s="125" t="n">
        <v>28.7</v>
      </c>
      <c r="K29" s="125" t="n">
        <v>9.5</v>
      </c>
      <c r="L29" s="125" t="n">
        <v>34</v>
      </c>
      <c r="M29" s="125" t="n">
        <v>0.911</v>
      </c>
      <c r="N29" s="125" t="n">
        <v>2105</v>
      </c>
      <c r="O29" s="125" t="n">
        <v>275</v>
      </c>
      <c r="P29" s="125" t="n">
        <v>8.56</v>
      </c>
      <c r="Q29" s="125" t="n">
        <v>3.09</v>
      </c>
      <c r="R29" s="125" t="n">
        <v>208</v>
      </c>
      <c r="S29" s="125" t="n">
        <v>41.3</v>
      </c>
      <c r="T29" s="125">
        <f>(((E29*D29*D29)/4)-(((E29-G29)*(D29-F29-F29)*(D29-F29-F29))/4)+(4*(H29*H29*(D29/2-F29-(H29/2))-((PI()*H29*H29)/4*((D29/2)-F29-(H29-((4*H29)/(3*PI()))))))))/1000</f>
        <v/>
      </c>
      <c r="U29" s="125">
        <f>(((D29*E29*E29)/4)-(2*((D29-F29-F29)*(E29/2-(G29/2))*(((E29/2-(G29/2))/2)+(G29/2))))+(4*(((H29*H29)-(((PI()*H29*H29)/4)))*((H29-((4*H29)/(3*PI())))+(G29/2)))))/1000</f>
        <v/>
      </c>
      <c r="V29" s="125" t="n">
        <v>232</v>
      </c>
      <c r="W29" s="125" t="n">
        <v>63.4</v>
      </c>
      <c r="Y29">
        <f>SQRT((((VLOOKUP($X$4,$A$4:$D$1021,4,FALSE))-D29)^2)+(((VLOOKUP($X$4,$A$4:$E$1021,5,FALSE))-E29)^2))</f>
        <v/>
      </c>
    </row>
    <row r="30">
      <c r="A30" s="125" t="inlineStr">
        <is>
          <t>W8X17</t>
        </is>
      </c>
      <c r="B30" s="129" t="inlineStr">
        <is>
          <t>AISC</t>
        </is>
      </c>
      <c r="C30" s="125" t="n">
        <v>25.1</v>
      </c>
      <c r="D30" s="125" t="n">
        <v>203.2</v>
      </c>
      <c r="E30" s="125" t="n">
        <v>133.2</v>
      </c>
      <c r="F30" s="125" t="n">
        <v>7.8</v>
      </c>
      <c r="G30" s="125" t="n">
        <v>5.7</v>
      </c>
      <c r="H30" s="125" t="n">
        <v>7.6</v>
      </c>
      <c r="I30" s="125" t="n">
        <v>172.4</v>
      </c>
      <c r="J30" s="125" t="n">
        <v>32</v>
      </c>
      <c r="K30" s="125" t="n">
        <v>8.539999999999999</v>
      </c>
      <c r="L30" s="125" t="n">
        <v>30.2</v>
      </c>
      <c r="M30" s="125" t="n">
        <v>0.915</v>
      </c>
      <c r="N30" s="125" t="n">
        <v>2340</v>
      </c>
      <c r="O30" s="125" t="n">
        <v>308</v>
      </c>
      <c r="P30" s="125" t="n">
        <v>8.56</v>
      </c>
      <c r="Q30" s="125" t="n">
        <v>3.1</v>
      </c>
      <c r="R30" s="125" t="n">
        <v>230</v>
      </c>
      <c r="S30" s="125" t="n">
        <v>46.2</v>
      </c>
      <c r="T30" s="125">
        <f>(((E30*D30*D30)/4)-(((E30-G30)*(D30-F30-F30)*(D30-F30-F30))/4)+(4*(H30*H30*(D30/2-F30-(H30/2))-((PI()*H30*H30)/4*((D30/2)-F30-(H30-((4*H30)/(3*PI()))))))))/1000</f>
        <v/>
      </c>
      <c r="U30" s="125">
        <f>(((D30*E30*E30)/4)-(2*((D30-F30-F30)*(E30/2-(G30/2))*(((E30/2-(G30/2))/2)+(G30/2))))+(4*(((H30*H30)-(((PI()*H30*H30)/4)))*((H30-((4*H30)/(3*PI())))+(G30/2)))))/1000</f>
        <v/>
      </c>
      <c r="V30" s="125" t="n">
        <v>258</v>
      </c>
      <c r="W30" s="125" t="n">
        <v>70.90000000000001</v>
      </c>
      <c r="Y30">
        <f>SQRT((((VLOOKUP($X$4,$A$4:$D$1021,4,FALSE))-D30)^2)+(((VLOOKUP($X$4,$A$4:$E$1021,5,FALSE))-E30)^2))</f>
        <v/>
      </c>
    </row>
    <row r="31">
      <c r="A31" s="125" t="inlineStr">
        <is>
          <t>W8X18</t>
        </is>
      </c>
      <c r="B31" s="129" t="inlineStr">
        <is>
          <t>AISC</t>
        </is>
      </c>
      <c r="C31" s="125" t="n">
        <v>26.8</v>
      </c>
      <c r="D31" s="125" t="n">
        <v>206.8</v>
      </c>
      <c r="E31" s="125" t="n">
        <v>133.3</v>
      </c>
      <c r="F31" s="125" t="n">
        <v>8.4</v>
      </c>
      <c r="G31" s="125" t="n">
        <v>5.8</v>
      </c>
      <c r="H31" s="125" t="n">
        <v>7.6</v>
      </c>
      <c r="I31" s="125" t="n">
        <v>174.8</v>
      </c>
      <c r="J31" s="125" t="n">
        <v>33.9</v>
      </c>
      <c r="K31" s="125" t="n">
        <v>7.95</v>
      </c>
      <c r="L31" s="125" t="n">
        <v>29.9</v>
      </c>
      <c r="M31" s="125" t="n">
        <v>0.922</v>
      </c>
      <c r="N31" s="125" t="n">
        <v>2578</v>
      </c>
      <c r="O31" s="125" t="n">
        <v>331</v>
      </c>
      <c r="P31" s="125" t="n">
        <v>8.720000000000001</v>
      </c>
      <c r="Q31" s="125" t="n">
        <v>3.12</v>
      </c>
      <c r="R31" s="125" t="n">
        <v>249</v>
      </c>
      <c r="S31" s="125" t="n">
        <v>49.7</v>
      </c>
      <c r="T31" s="125">
        <f>(((E31*D31*D31)/4)-(((E31-G31)*(D31-F31-F31)*(D31-F31-F31))/4)+(4*(H31*H31*(D31/2-F31-(H31/2))-((PI()*H31*H31)/4*((D31/2)-F31-(H31-((4*H31)/(3*PI()))))))))/1000</f>
        <v/>
      </c>
      <c r="U31" s="125">
        <f>(((D31*E31*E31)/4)-(2*((D31-F31-F31)*(E31/2-(G31/2))*(((E31/2-(G31/2))/2)+(G31/2))))+(4*(((H31*H31)-(((PI()*H31*H31)/4)))*((H31-((4*H31)/(3*PI())))+(G31/2)))))/1000</f>
        <v/>
      </c>
      <c r="V31" s="125" t="n">
        <v>279</v>
      </c>
      <c r="W31" s="125" t="n">
        <v>76.3</v>
      </c>
      <c r="Y31">
        <f>SQRT((((VLOOKUP($X$4,$A$4:$D$1021,4,FALSE))-D31)^2)+(((VLOOKUP($X$4,$A$4:$E$1021,5,FALSE))-E31)^2))</f>
        <v/>
      </c>
    </row>
    <row r="32">
      <c r="A32" s="125" t="inlineStr">
        <is>
          <t>W8X20</t>
        </is>
      </c>
      <c r="B32" s="129" t="inlineStr">
        <is>
          <t>AISC</t>
        </is>
      </c>
      <c r="C32" s="125" t="n">
        <v>30</v>
      </c>
      <c r="D32" s="125" t="n">
        <v>206.8</v>
      </c>
      <c r="E32" s="125" t="n">
        <v>133.9</v>
      </c>
      <c r="F32" s="125" t="n">
        <v>9.6</v>
      </c>
      <c r="G32" s="125" t="n">
        <v>6.4</v>
      </c>
      <c r="H32" s="125" t="n">
        <v>7.6</v>
      </c>
      <c r="I32" s="125" t="n">
        <v>172.4</v>
      </c>
      <c r="J32" s="125" t="n">
        <v>38.2</v>
      </c>
      <c r="K32" s="125" t="n">
        <v>6.97</v>
      </c>
      <c r="L32" s="125" t="n">
        <v>26.9</v>
      </c>
      <c r="M32" s="125" t="n">
        <v>0.923</v>
      </c>
      <c r="N32" s="125" t="n">
        <v>2896</v>
      </c>
      <c r="O32" s="125" t="n">
        <v>385</v>
      </c>
      <c r="P32" s="125" t="n">
        <v>8.710000000000001</v>
      </c>
      <c r="Q32" s="125" t="n">
        <v>3.17</v>
      </c>
      <c r="R32" s="125" t="n">
        <v>280</v>
      </c>
      <c r="S32" s="125" t="n">
        <v>57.5</v>
      </c>
      <c r="T32" s="125">
        <f>(((E32*D32*D32)/4)-(((E32-G32)*(D32-F32-F32)*(D32-F32-F32))/4)+(4*(H32*H32*(D32/2-F32-(H32/2))-((PI()*H32*H32)/4*((D32/2)-F32-(H32-((4*H32)/(3*PI()))))))))/1000</f>
        <v/>
      </c>
      <c r="U32" s="125">
        <f>(((D32*E32*E32)/4)-(2*((D32-F32-F32)*(E32/2-(G32/2))*(((E32/2-(G32/2))/2)+(G32/2))))+(4*(((H32*H32)-(((PI()*H32*H32)/4)))*((H32-((4*H32)/(3*PI())))+(G32/2)))))/1000</f>
        <v/>
      </c>
      <c r="V32" s="125" t="n">
        <v>314</v>
      </c>
      <c r="W32" s="125" t="n">
        <v>88.2</v>
      </c>
      <c r="Y32">
        <f>SQRT((((VLOOKUP($X$4,$A$4:$D$1021,4,FALSE))-D32)^2)+(((VLOOKUP($X$4,$A$4:$E$1021,5,FALSE))-E32)^2))</f>
        <v/>
      </c>
    </row>
    <row r="33">
      <c r="A33" s="125" t="inlineStr">
        <is>
          <t>W8X21</t>
        </is>
      </c>
      <c r="B33" s="129" t="inlineStr">
        <is>
          <t>AISC</t>
        </is>
      </c>
      <c r="C33" s="125" t="n">
        <v>31.3</v>
      </c>
      <c r="D33" s="125" t="n">
        <v>210.3</v>
      </c>
      <c r="E33" s="125" t="n">
        <v>133.9</v>
      </c>
      <c r="F33" s="125" t="n">
        <v>10.1</v>
      </c>
      <c r="G33" s="125" t="n">
        <v>6.4</v>
      </c>
      <c r="H33" s="125" t="n">
        <v>7.6</v>
      </c>
      <c r="I33" s="125" t="n">
        <v>174.9</v>
      </c>
      <c r="J33" s="125" t="n">
        <v>39.6</v>
      </c>
      <c r="K33" s="125" t="n">
        <v>6.63</v>
      </c>
      <c r="L33" s="125" t="n">
        <v>27.5</v>
      </c>
      <c r="M33" s="125" t="n">
        <v>0.93</v>
      </c>
      <c r="N33" s="125" t="n">
        <v>3119</v>
      </c>
      <c r="O33" s="125" t="n">
        <v>405</v>
      </c>
      <c r="P33" s="125" t="n">
        <v>8.869999999999999</v>
      </c>
      <c r="Q33" s="125" t="n">
        <v>3.2</v>
      </c>
      <c r="R33" s="125" t="n">
        <v>297</v>
      </c>
      <c r="S33" s="125" t="n">
        <v>60.4</v>
      </c>
      <c r="T33" s="125">
        <f>(((E33*D33*D33)/4)-(((E33-G33)*(D33-F33-F33)*(D33-F33-F33))/4)+(4*(H33*H33*(D33/2-F33-(H33/2))-((PI()*H33*H33)/4*((D33/2)-F33-(H33-((4*H33)/(3*PI()))))))))/1000</f>
        <v/>
      </c>
      <c r="U33" s="125">
        <f>(((D33*E33*E33)/4)-(2*((D33-F33-F33)*(E33/2-(G33/2))*(((E33/2-(G33/2))/2)+(G33/2))))+(4*(((H33*H33)-(((PI()*H33*H33)/4)))*((H33-((4*H33)/(3*PI())))+(G33/2)))))/1000</f>
        <v/>
      </c>
      <c r="V33" s="125" t="n">
        <v>333</v>
      </c>
      <c r="W33" s="125" t="n">
        <v>92.7</v>
      </c>
      <c r="Y33">
        <f>SQRT((((VLOOKUP($X$4,$A$4:$D$1021,4,FALSE))-D33)^2)+(((VLOOKUP($X$4,$A$4:$E$1021,5,FALSE))-E33)^2))</f>
        <v/>
      </c>
    </row>
    <row r="34">
      <c r="A34" s="125" t="inlineStr">
        <is>
          <t>W8X24</t>
        </is>
      </c>
      <c r="B34" s="129" t="inlineStr">
        <is>
          <t>AISC</t>
        </is>
      </c>
      <c r="C34" s="125" t="n">
        <v>35.7</v>
      </c>
      <c r="D34" s="125" t="n">
        <v>201.4</v>
      </c>
      <c r="E34" s="125" t="n">
        <v>165</v>
      </c>
      <c r="F34" s="125" t="n">
        <v>10.1</v>
      </c>
      <c r="G34" s="125" t="n">
        <v>6.2</v>
      </c>
      <c r="H34" s="125" t="n">
        <v>10.2</v>
      </c>
      <c r="I34" s="125" t="n">
        <v>160.8</v>
      </c>
      <c r="J34" s="125" t="n">
        <v>45.5</v>
      </c>
      <c r="K34" s="125" t="n">
        <v>8.17</v>
      </c>
      <c r="L34" s="125" t="n">
        <v>25.9</v>
      </c>
      <c r="M34" s="125" t="n">
        <v>1.03</v>
      </c>
      <c r="N34" s="125" t="n">
        <v>3430</v>
      </c>
      <c r="O34" s="125" t="n">
        <v>757</v>
      </c>
      <c r="P34" s="125" t="n">
        <v>8.68</v>
      </c>
      <c r="Q34" s="125" t="n">
        <v>4.08</v>
      </c>
      <c r="R34" s="125" t="n">
        <v>341</v>
      </c>
      <c r="S34" s="125" t="n">
        <v>91.7</v>
      </c>
      <c r="T34" s="125">
        <f>(((E34*D34*D34)/4)-(((E34-G34)*(D34-F34-F34)*(D34-F34-F34))/4)+(4*(H34*H34*(D34/2-F34-(H34/2))-((PI()*H34*H34)/4*((D34/2)-F34-(H34-((4*H34)/(3*PI()))))))))/1000</f>
        <v/>
      </c>
      <c r="U34" s="125">
        <f>(((D34*E34*E34)/4)-(2*((D34-F34-F34)*(E34/2-(G34/2))*(((E34/2-(G34/2))/2)+(G34/2))))+(4*(((H34*H34)-(((PI()*H34*H34)/4)))*((H34-((4*H34)/(3*PI())))+(G34/2)))))/1000</f>
        <v/>
      </c>
      <c r="V34" s="125" t="n">
        <v>378</v>
      </c>
      <c r="W34" s="125" t="n">
        <v>140</v>
      </c>
      <c r="Y34">
        <f>SQRT((((VLOOKUP($X$4,$A$4:$D$1021,4,FALSE))-D34)^2)+(((VLOOKUP($X$4,$A$4:$E$1021,5,FALSE))-E34)^2))</f>
        <v/>
      </c>
    </row>
    <row r="35">
      <c r="A35" s="125" t="inlineStr">
        <is>
          <t>W8X28</t>
        </is>
      </c>
      <c r="B35" s="129" t="inlineStr">
        <is>
          <t>AISC</t>
        </is>
      </c>
      <c r="C35" s="125" t="n">
        <v>41.7</v>
      </c>
      <c r="D35" s="125" t="n">
        <v>204.7</v>
      </c>
      <c r="E35" s="125" t="n">
        <v>166</v>
      </c>
      <c r="F35" s="125" t="n">
        <v>11.8</v>
      </c>
      <c r="G35" s="125" t="n">
        <v>7.2</v>
      </c>
      <c r="H35" s="125" t="n">
        <v>10.2</v>
      </c>
      <c r="I35" s="125" t="n">
        <v>160.7</v>
      </c>
      <c r="J35" s="125" t="n">
        <v>53.2</v>
      </c>
      <c r="K35" s="125" t="n">
        <v>7.03</v>
      </c>
      <c r="L35" s="125" t="n">
        <v>22.2</v>
      </c>
      <c r="M35" s="125" t="n">
        <v>1.04</v>
      </c>
      <c r="N35" s="125" t="n">
        <v>4077</v>
      </c>
      <c r="O35" s="125" t="n">
        <v>901</v>
      </c>
      <c r="P35" s="125" t="n">
        <v>8.76</v>
      </c>
      <c r="Q35" s="125" t="n">
        <v>4.12</v>
      </c>
      <c r="R35" s="125" t="n">
        <v>398</v>
      </c>
      <c r="S35" s="125" t="n">
        <v>109</v>
      </c>
      <c r="T35" s="125">
        <f>(((E35*D35*D35)/4)-(((E35-G35)*(D35-F35-F35)*(D35-F35-F35))/4)+(4*(H35*H35*(D35/2-F35-(H35/2))-((PI()*H35*H35)/4*((D35/2)-F35-(H35-((4*H35)/(3*PI()))))))))/1000</f>
        <v/>
      </c>
      <c r="U35" s="125">
        <f>(((D35*E35*E35)/4)-(2*((D35-F35-F35)*(E35/2-(G35/2))*(((E35/2-(G35/2))/2)+(G35/2))))+(4*(((H35*H35)-(((PI()*H35*H35)/4)))*((H35-((4*H35)/(3*PI())))+(G35/2)))))/1000</f>
        <v/>
      </c>
      <c r="V35" s="125" t="n">
        <v>445</v>
      </c>
      <c r="W35" s="125" t="n">
        <v>165</v>
      </c>
      <c r="Y35">
        <f>SQRT((((VLOOKUP($X$4,$A$4:$D$1021,4,FALSE))-D35)^2)+(((VLOOKUP($X$4,$A$4:$E$1021,5,FALSE))-E35)^2))</f>
        <v/>
      </c>
    </row>
    <row r="36">
      <c r="A36" s="125" t="inlineStr">
        <is>
          <t>W8X31</t>
        </is>
      </c>
      <c r="B36" s="129" t="inlineStr">
        <is>
          <t>AISC</t>
        </is>
      </c>
      <c r="C36" s="125" t="n">
        <v>46.1</v>
      </c>
      <c r="D36" s="125" t="n">
        <v>203.2</v>
      </c>
      <c r="E36" s="125" t="n">
        <v>203.6</v>
      </c>
      <c r="F36" s="125" t="n">
        <v>11</v>
      </c>
      <c r="G36" s="125" t="n">
        <v>7.2</v>
      </c>
      <c r="H36" s="125" t="n">
        <v>10.2</v>
      </c>
      <c r="I36" s="125" t="n">
        <v>160.8</v>
      </c>
      <c r="J36" s="125" t="n">
        <v>58.7</v>
      </c>
      <c r="K36" s="125" t="n">
        <v>9.25</v>
      </c>
      <c r="L36" s="125" t="n">
        <v>22.3</v>
      </c>
      <c r="M36" s="125" t="n">
        <v>1.19</v>
      </c>
      <c r="N36" s="125" t="n">
        <v>4568</v>
      </c>
      <c r="O36" s="125" t="n">
        <v>1548</v>
      </c>
      <c r="P36" s="125" t="n">
        <v>8.82</v>
      </c>
      <c r="Q36" s="125" t="n">
        <v>5.13</v>
      </c>
      <c r="R36" s="125" t="n">
        <v>450</v>
      </c>
      <c r="S36" s="125" t="n">
        <v>152</v>
      </c>
      <c r="T36" s="125">
        <f>(((E36*D36*D36)/4)-(((E36-G36)*(D36-F36-F36)*(D36-F36-F36))/4)+(4*(H36*H36*(D36/2-F36-(H36/2))-((PI()*H36*H36)/4*((D36/2)-F36-(H36-((4*H36)/(3*PI()))))))))/1000</f>
        <v/>
      </c>
      <c r="U36" s="125">
        <f>(((D36*E36*E36)/4)-(2*((D36-F36-F36)*(E36/2-(G36/2))*(((E36/2-(G36/2))/2)+(G36/2))))+(4*(((H36*H36)-(((PI()*H36*H36)/4)))*((H36-((4*H36)/(3*PI())))+(G36/2)))))/1000</f>
        <v/>
      </c>
      <c r="V36" s="125" t="n">
        <v>497</v>
      </c>
      <c r="W36" s="125" t="n">
        <v>231</v>
      </c>
      <c r="Y36">
        <f>SQRT((((VLOOKUP($X$4,$A$4:$D$1021,4,FALSE))-D36)^2)+(((VLOOKUP($X$4,$A$4:$E$1021,5,FALSE))-E36)^2))</f>
        <v/>
      </c>
    </row>
    <row r="37">
      <c r="A37" s="125" t="inlineStr">
        <is>
          <t>W8X35</t>
        </is>
      </c>
      <c r="B37" s="129" t="inlineStr">
        <is>
          <t>AISC</t>
        </is>
      </c>
      <c r="C37" s="125" t="n">
        <v>52</v>
      </c>
      <c r="D37" s="125" t="n">
        <v>206.2</v>
      </c>
      <c r="E37" s="125" t="n">
        <v>204.3</v>
      </c>
      <c r="F37" s="125" t="n">
        <v>12.5</v>
      </c>
      <c r="G37" s="125" t="n">
        <v>7.9</v>
      </c>
      <c r="H37" s="125" t="n">
        <v>10.2</v>
      </c>
      <c r="I37" s="125" t="n">
        <v>160.8</v>
      </c>
      <c r="J37" s="125" t="n">
        <v>66.3</v>
      </c>
      <c r="K37" s="125" t="n">
        <v>8.17</v>
      </c>
      <c r="L37" s="125" t="n">
        <v>20.4</v>
      </c>
      <c r="M37" s="125" t="n">
        <v>1.2</v>
      </c>
      <c r="N37" s="125" t="n">
        <v>5259</v>
      </c>
      <c r="O37" s="125" t="n">
        <v>1778</v>
      </c>
      <c r="P37" s="125" t="n">
        <v>8.91</v>
      </c>
      <c r="Q37" s="125" t="n">
        <v>5.18</v>
      </c>
      <c r="R37" s="125" t="n">
        <v>510</v>
      </c>
      <c r="S37" s="125" t="n">
        <v>174</v>
      </c>
      <c r="T37" s="125">
        <f>(((E37*D37*D37)/4)-(((E37-G37)*(D37-F37-F37)*(D37-F37-F37))/4)+(4*(H37*H37*(D37/2-F37-(H37/2))-((PI()*H37*H37)/4*((D37/2)-F37-(H37-((4*H37)/(3*PI()))))))))/1000</f>
        <v/>
      </c>
      <c r="U37" s="125">
        <f>(((D37*E37*E37)/4)-(2*((D37-F37-F37)*(E37/2-(G37/2))*(((E37/2-(G37/2))/2)+(G37/2))))+(4*(((H37*H37)-(((PI()*H37*H37)/4)))*((H37-((4*H37)/(3*PI())))+(G37/2)))))/1000</f>
        <v/>
      </c>
      <c r="V37" s="125" t="n">
        <v>567</v>
      </c>
      <c r="W37" s="125" t="n">
        <v>264</v>
      </c>
      <c r="Y37">
        <f>SQRT((((VLOOKUP($X$4,$A$4:$D$1021,4,FALSE))-D37)^2)+(((VLOOKUP($X$4,$A$4:$E$1021,5,FALSE))-E37)^2))</f>
        <v/>
      </c>
    </row>
    <row r="38">
      <c r="A38" s="125" t="inlineStr">
        <is>
          <t>W8X40</t>
        </is>
      </c>
      <c r="B38" s="129" t="inlineStr">
        <is>
          <t>AISC</t>
        </is>
      </c>
      <c r="C38" s="125" t="n">
        <v>60</v>
      </c>
      <c r="D38" s="125" t="n">
        <v>209.6</v>
      </c>
      <c r="E38" s="125" t="n">
        <v>205.8</v>
      </c>
      <c r="F38" s="125" t="n">
        <v>14.2</v>
      </c>
      <c r="G38" s="125" t="n">
        <v>9.4</v>
      </c>
      <c r="H38" s="125" t="n">
        <v>10.2</v>
      </c>
      <c r="I38" s="125" t="n">
        <v>160.8</v>
      </c>
      <c r="J38" s="125" t="n">
        <v>76.40000000000001</v>
      </c>
      <c r="K38" s="125" t="n">
        <v>7.25</v>
      </c>
      <c r="L38" s="125" t="n">
        <v>17.1</v>
      </c>
      <c r="M38" s="125" t="n">
        <v>1.21</v>
      </c>
      <c r="N38" s="125" t="n">
        <v>6125</v>
      </c>
      <c r="O38" s="125" t="n">
        <v>2065</v>
      </c>
      <c r="P38" s="125" t="n">
        <v>8.960000000000001</v>
      </c>
      <c r="Q38" s="125" t="n">
        <v>5.2</v>
      </c>
      <c r="R38" s="125" t="n">
        <v>584</v>
      </c>
      <c r="S38" s="125" t="n">
        <v>201</v>
      </c>
      <c r="T38" s="125">
        <f>(((E38*D38*D38)/4)-(((E38-G38)*(D38-F38-F38)*(D38-F38-F38))/4)+(4*(H38*H38*(D38/2-F38-(H38/2))-((PI()*H38*H38)/4*((D38/2)-F38-(H38-((4*H38)/(3*PI()))))))))/1000</f>
        <v/>
      </c>
      <c r="U38" s="125">
        <f>(((D38*E38*E38)/4)-(2*((D38-F38-F38)*(E38/2-(G38/2))*(((E38/2-(G38/2))/2)+(G38/2))))+(4*(((H38*H38)-(((PI()*H38*H38)/4)))*((H38-((4*H38)/(3*PI())))+(G38/2)))))/1000</f>
        <v/>
      </c>
      <c r="V38" s="125" t="n">
        <v>656</v>
      </c>
      <c r="W38" s="125" t="n">
        <v>305</v>
      </c>
      <c r="Y38">
        <f>SQRT((((VLOOKUP($X$4,$A$4:$D$1021,4,FALSE))-D38)^2)+(((VLOOKUP($X$4,$A$4:$E$1021,5,FALSE))-E38)^2))</f>
        <v/>
      </c>
    </row>
    <row r="39">
      <c r="A39" s="125" t="inlineStr">
        <is>
          <t>W8X48</t>
        </is>
      </c>
      <c r="B39" s="129" t="inlineStr">
        <is>
          <t>AISC</t>
        </is>
      </c>
      <c r="C39" s="125" t="n">
        <v>71</v>
      </c>
      <c r="D39" s="125" t="n">
        <v>215.8</v>
      </c>
      <c r="E39" s="125" t="n">
        <v>206.4</v>
      </c>
      <c r="F39" s="125" t="n">
        <v>17.3</v>
      </c>
      <c r="G39" s="125" t="n">
        <v>10</v>
      </c>
      <c r="H39" s="125" t="n">
        <v>10.2</v>
      </c>
      <c r="I39" s="125" t="n">
        <v>160.8</v>
      </c>
      <c r="J39" s="125" t="n">
        <v>90.40000000000001</v>
      </c>
      <c r="K39" s="125" t="n">
        <v>5.97</v>
      </c>
      <c r="L39" s="125" t="n">
        <v>16.1</v>
      </c>
      <c r="M39" s="125" t="n">
        <v>1.22</v>
      </c>
      <c r="N39" s="125" t="n">
        <v>7618</v>
      </c>
      <c r="O39" s="125" t="n">
        <v>2537</v>
      </c>
      <c r="P39" s="125" t="n">
        <v>9.18</v>
      </c>
      <c r="Q39" s="125" t="n">
        <v>5.3</v>
      </c>
      <c r="R39" s="125" t="n">
        <v>706</v>
      </c>
      <c r="S39" s="125" t="n">
        <v>246</v>
      </c>
      <c r="T39" s="125">
        <f>(((E39*D39*D39)/4)-(((E39-G39)*(D39-F39-F39)*(D39-F39-F39))/4)+(4*(H39*H39*(D39/2-F39-(H39/2))-((PI()*H39*H39)/4*((D39/2)-F39-(H39-((4*H39)/(3*PI()))))))))/1000</f>
        <v/>
      </c>
      <c r="U39" s="125">
        <f>(((D39*E39*E39)/4)-(2*((D39-F39-F39)*(E39/2-(G39/2))*(((E39/2-(G39/2))/2)+(G39/2))))+(4*(((H39*H39)-(((PI()*H39*H39)/4)))*((H39-((4*H39)/(3*PI())))+(G39/2)))))/1000</f>
        <v/>
      </c>
      <c r="V39" s="125" t="n">
        <v>799</v>
      </c>
      <c r="W39" s="125" t="n">
        <v>374</v>
      </c>
      <c r="Y39">
        <f>SQRT((((VLOOKUP($X$4,$A$4:$D$1021,4,FALSE))-D39)^2)+(((VLOOKUP($X$4,$A$4:$E$1021,5,FALSE))-E39)^2))</f>
        <v/>
      </c>
    </row>
    <row r="40">
      <c r="A40" s="125" t="inlineStr">
        <is>
          <t>W8X58</t>
        </is>
      </c>
      <c r="B40" s="129" t="inlineStr">
        <is>
          <t>AISC</t>
        </is>
      </c>
      <c r="C40" s="125" t="n">
        <v>86.09999999999999</v>
      </c>
      <c r="D40" s="125" t="n">
        <v>222.2</v>
      </c>
      <c r="E40" s="125" t="n">
        <v>209.1</v>
      </c>
      <c r="F40" s="125" t="n">
        <v>20.5</v>
      </c>
      <c r="G40" s="125" t="n">
        <v>12.7</v>
      </c>
      <c r="H40" s="125" t="n">
        <v>10.2</v>
      </c>
      <c r="I40" s="125" t="n">
        <v>160.8</v>
      </c>
      <c r="J40" s="125" t="n">
        <v>110</v>
      </c>
      <c r="K40" s="125" t="n">
        <v>5.1</v>
      </c>
      <c r="L40" s="125" t="n">
        <v>12.7</v>
      </c>
      <c r="M40" s="125" t="n">
        <v>1.24</v>
      </c>
      <c r="N40" s="125" t="n">
        <v>9449</v>
      </c>
      <c r="O40" s="125" t="n">
        <v>3128</v>
      </c>
      <c r="P40" s="125" t="n">
        <v>9.279999999999999</v>
      </c>
      <c r="Q40" s="125" t="n">
        <v>5.34</v>
      </c>
      <c r="R40" s="125" t="n">
        <v>850</v>
      </c>
      <c r="S40" s="125" t="n">
        <v>299</v>
      </c>
      <c r="T40" s="125">
        <f>(((E40*D40*D40)/4)-(((E40-G40)*(D40-F40-F40)*(D40-F40-F40))/4)+(4*(H40*H40*(D40/2-F40-(H40/2))-((PI()*H40*H40)/4*((D40/2)-F40-(H40-((4*H40)/(3*PI()))))))))/1000</f>
        <v/>
      </c>
      <c r="U40" s="125">
        <f>(((D40*E40*E40)/4)-(2*((D40-F40-F40)*(E40/2-(G40/2))*(((E40/2-(G40/2))/2)+(G40/2))))+(4*(((H40*H40)-(((PI()*H40*H40)/4)))*((H40-((4*H40)/(3*PI())))+(G40/2)))))/1000</f>
        <v/>
      </c>
      <c r="V40" s="125" t="n">
        <v>977</v>
      </c>
      <c r="W40" s="125" t="n">
        <v>456</v>
      </c>
      <c r="Y40">
        <f>SQRT((((VLOOKUP($X$4,$A$4:$D$1021,4,FALSE))-D40)^2)+(((VLOOKUP($X$4,$A$4:$E$1021,5,FALSE))-E40)^2))</f>
        <v/>
      </c>
    </row>
    <row r="41">
      <c r="A41" s="125" t="inlineStr">
        <is>
          <t>W8X67</t>
        </is>
      </c>
      <c r="B41" s="129" t="inlineStr">
        <is>
          <t>AISC</t>
        </is>
      </c>
      <c r="C41" s="125" t="n">
        <v>99.7</v>
      </c>
      <c r="D41" s="125" t="n">
        <v>228.6</v>
      </c>
      <c r="E41" s="125" t="n">
        <v>210.3</v>
      </c>
      <c r="F41" s="125" t="n">
        <v>23.8</v>
      </c>
      <c r="G41" s="125" t="n">
        <v>14.5</v>
      </c>
      <c r="H41" s="125" t="n">
        <v>10.2</v>
      </c>
      <c r="I41" s="125" t="n">
        <v>160.7</v>
      </c>
      <c r="J41" s="125" t="n">
        <v>127</v>
      </c>
      <c r="K41" s="125" t="n">
        <v>4.43</v>
      </c>
      <c r="L41" s="125" t="n">
        <v>11.1</v>
      </c>
      <c r="M41" s="125" t="n">
        <v>1.25</v>
      </c>
      <c r="N41" s="125" t="n">
        <v>11310</v>
      </c>
      <c r="O41" s="125" t="n">
        <v>3687</v>
      </c>
      <c r="P41" s="125" t="n">
        <v>9.44</v>
      </c>
      <c r="Q41" s="125" t="n">
        <v>5.39</v>
      </c>
      <c r="R41" s="125" t="n">
        <v>990</v>
      </c>
      <c r="S41" s="125" t="n">
        <v>351</v>
      </c>
      <c r="T41" s="125">
        <f>(((E41*D41*D41)/4)-(((E41-G41)*(D41-F41-F41)*(D41-F41-F41))/4)+(4*(H41*H41*(D41/2-F41-(H41/2))-((PI()*H41*H41)/4*((D41/2)-F41-(H41-((4*H41)/(3*PI()))))))))/1000</f>
        <v/>
      </c>
      <c r="U41" s="125">
        <f>(((D41*E41*E41)/4)-(2*((D41-F41-F41)*(E41/2-(G41/2))*(((E41/2-(G41/2))/2)+(G41/2))))+(4*(((H41*H41)-(((PI()*H41*H41)/4)))*((H41-((4*H41)/(3*PI())))+(G41/2)))))/1000</f>
        <v/>
      </c>
      <c r="V41" s="125" t="n">
        <v>1150</v>
      </c>
      <c r="W41" s="125" t="n">
        <v>536</v>
      </c>
      <c r="X41" s="125" t="n"/>
      <c r="Y41">
        <f>SQRT((((VLOOKUP($X$4,$A$4:$D$1021,4,FALSE))-D41)^2)+(((VLOOKUP($X$4,$A$4:$E$1021,5,FALSE))-E41)^2))</f>
        <v/>
      </c>
      <c r="Z41" s="125" t="n"/>
      <c r="AA41" s="125" t="n"/>
      <c r="AB41" s="125" t="n"/>
      <c r="AC41" s="125" t="n"/>
      <c r="AD41" s="125" t="n"/>
      <c r="AE41" s="125" t="n"/>
      <c r="AF41" s="125" t="n"/>
      <c r="AG41" s="125" t="n"/>
      <c r="AH41" s="125" t="n"/>
      <c r="AI41" s="125" t="n"/>
      <c r="AJ41" s="125" t="n"/>
      <c r="AK41" s="125" t="n"/>
      <c r="AL41" s="125" t="n"/>
      <c r="AM41" s="125" t="n"/>
      <c r="AN41" s="125" t="n"/>
      <c r="AO41" s="125" t="n"/>
      <c r="AP41" s="125" t="n"/>
    </row>
    <row r="42">
      <c r="A42" s="125" t="inlineStr">
        <is>
          <t>W10X12</t>
        </is>
      </c>
      <c r="B42" s="129" t="inlineStr">
        <is>
          <t>AISC</t>
        </is>
      </c>
      <c r="C42" s="125" t="n">
        <v>17.9</v>
      </c>
      <c r="D42" s="125" t="n">
        <v>250.7</v>
      </c>
      <c r="E42" s="125" t="n">
        <v>100.6</v>
      </c>
      <c r="F42" s="125" t="n">
        <v>5.3</v>
      </c>
      <c r="G42" s="125" t="n">
        <v>4.8</v>
      </c>
      <c r="H42" s="125" t="n">
        <v>7.6</v>
      </c>
      <c r="I42" s="125" t="n">
        <v>224.8</v>
      </c>
      <c r="J42" s="125" t="n">
        <v>22.8</v>
      </c>
      <c r="K42" s="125" t="n">
        <v>9.44</v>
      </c>
      <c r="L42" s="125" t="n">
        <v>46.5</v>
      </c>
      <c r="M42" s="125" t="n">
        <v>0.881</v>
      </c>
      <c r="N42" s="125" t="n">
        <v>2241</v>
      </c>
      <c r="O42" s="125" t="n">
        <v>90.8</v>
      </c>
      <c r="P42" s="125" t="n">
        <v>9.91</v>
      </c>
      <c r="Q42" s="125" t="n">
        <v>1.99</v>
      </c>
      <c r="R42" s="125" t="n">
        <v>179</v>
      </c>
      <c r="S42" s="125" t="n">
        <v>18</v>
      </c>
      <c r="T42" s="125">
        <f>(((E42*D42*D42)/4)-(((E42-G42)*(D42-F42-F42)*(D42-F42-F42))/4)+(4*(H42*H42*(D42/2-F42-(H42/2))-((PI()*H42*H42)/4*((D42/2)-F42-(H42-((4*H42)/(3*PI()))))))))/1000</f>
        <v/>
      </c>
      <c r="U42" s="125">
        <f>(((D42*E42*E42)/4)-(2*((D42-F42-F42)*(E42/2-(G42/2))*(((E42/2-(G42/2))/2)+(G42/2))))+(4*(((H42*H42)-(((PI()*H42*H42)/4)))*((H42-((4*H42)/(3*PI())))+(G42/2)))))/1000</f>
        <v/>
      </c>
      <c r="V42" s="125" t="n">
        <v>207</v>
      </c>
      <c r="W42" s="125" t="n">
        <v>28.6</v>
      </c>
      <c r="X42" s="125" t="n"/>
      <c r="Y42">
        <f>SQRT((((VLOOKUP($X$4,$A$4:$D$1021,4,FALSE))-D42)^2)+(((VLOOKUP($X$4,$A$4:$E$1021,5,FALSE))-E42)^2))</f>
        <v/>
      </c>
      <c r="Z42" s="125" t="n"/>
      <c r="AA42" s="125" t="n"/>
      <c r="AB42" s="125" t="n"/>
      <c r="AC42" s="125" t="n"/>
      <c r="AD42" s="125" t="n"/>
      <c r="AE42" s="125" t="n"/>
      <c r="AF42" s="125" t="n"/>
      <c r="AG42" s="125" t="n"/>
      <c r="AH42" s="125" t="n"/>
      <c r="AI42" s="125" t="n"/>
      <c r="AJ42" s="125" t="n"/>
      <c r="AK42" s="125" t="n"/>
      <c r="AL42" s="125" t="n"/>
      <c r="AM42" s="125" t="n"/>
      <c r="AN42" s="125" t="n"/>
      <c r="AO42" s="125" t="n"/>
      <c r="AP42" s="125" t="n"/>
    </row>
    <row r="43">
      <c r="A43" s="125" t="inlineStr">
        <is>
          <t>W10X15</t>
        </is>
      </c>
      <c r="B43" s="129" t="inlineStr">
        <is>
          <t>AISC</t>
        </is>
      </c>
      <c r="C43" s="125" t="n">
        <v>22</v>
      </c>
      <c r="D43" s="125" t="n">
        <v>254</v>
      </c>
      <c r="E43" s="125" t="n">
        <v>101.6</v>
      </c>
      <c r="F43" s="125" t="n">
        <v>6.8</v>
      </c>
      <c r="G43" s="125" t="n">
        <v>5.7</v>
      </c>
      <c r="H43" s="125" t="n">
        <v>7.6</v>
      </c>
      <c r="I43" s="125" t="n">
        <v>225.2</v>
      </c>
      <c r="J43" s="125" t="n">
        <v>28</v>
      </c>
      <c r="K43" s="125" t="n">
        <v>7.47</v>
      </c>
      <c r="L43" s="125" t="n">
        <v>39.5</v>
      </c>
      <c r="M43" s="125" t="n">
        <v>0.89</v>
      </c>
      <c r="N43" s="125" t="n">
        <v>2841</v>
      </c>
      <c r="O43" s="125" t="n">
        <v>119</v>
      </c>
      <c r="P43" s="125" t="n">
        <v>10.1</v>
      </c>
      <c r="Q43" s="125" t="n">
        <v>2.06</v>
      </c>
      <c r="R43" s="125" t="n">
        <v>224</v>
      </c>
      <c r="S43" s="125" t="n">
        <v>23.5</v>
      </c>
      <c r="T43" s="125">
        <f>(((E43*D43*D43)/4)-(((E43-G43)*(D43-F43-F43)*(D43-F43-F43))/4)+(4*(H43*H43*(D43/2-F43-(H43/2))-((PI()*H43*H43)/4*((D43/2)-F43-(H43-((4*H43)/(3*PI()))))))))/1000</f>
        <v/>
      </c>
      <c r="U43" s="125">
        <f>(((D43*E43*E43)/4)-(2*((D43-F43-F43)*(E43/2-(G43/2))*(((E43/2-(G43/2))/2)+(G43/2))))+(4*(((H43*H43)-(((PI()*H43*H43)/4)))*((H43-((4*H43)/(3*PI())))+(G43/2)))))/1000</f>
        <v/>
      </c>
      <c r="V43" s="125" t="n">
        <v>259</v>
      </c>
      <c r="W43" s="125" t="n">
        <v>37.3</v>
      </c>
      <c r="X43" s="125" t="n"/>
      <c r="Y43">
        <f>SQRT((((VLOOKUP($X$4,$A$4:$D$1021,4,FALSE))-D43)^2)+(((VLOOKUP($X$4,$A$4:$E$1021,5,FALSE))-E43)^2))</f>
        <v/>
      </c>
      <c r="Z43" s="125" t="n"/>
      <c r="AA43" s="125" t="n"/>
      <c r="AB43" s="125" t="n"/>
      <c r="AC43" s="125" t="n"/>
      <c r="AD43" s="125" t="n"/>
      <c r="AE43" s="125" t="n"/>
      <c r="AF43" s="125" t="n"/>
      <c r="AG43" s="125" t="n"/>
      <c r="AH43" s="125" t="n"/>
      <c r="AI43" s="125" t="n"/>
      <c r="AJ43" s="125" t="n"/>
      <c r="AK43" s="125" t="n"/>
      <c r="AL43" s="125" t="n"/>
      <c r="AM43" s="125" t="n"/>
      <c r="AN43" s="125" t="n"/>
      <c r="AO43" s="125" t="n"/>
      <c r="AP43" s="125" t="n"/>
    </row>
    <row r="44">
      <c r="A44" s="125" t="inlineStr">
        <is>
          <t>W10X17</t>
        </is>
      </c>
      <c r="B44" s="129" t="inlineStr">
        <is>
          <t>AISC</t>
        </is>
      </c>
      <c r="C44" s="125" t="n">
        <v>25.2</v>
      </c>
      <c r="D44" s="125" t="n">
        <v>257.2</v>
      </c>
      <c r="E44" s="125" t="n">
        <v>101.9</v>
      </c>
      <c r="F44" s="125" t="n">
        <v>8.4</v>
      </c>
      <c r="G44" s="125" t="n">
        <v>6</v>
      </c>
      <c r="H44" s="125" t="n">
        <v>7.6</v>
      </c>
      <c r="I44" s="125" t="n">
        <v>225.2</v>
      </c>
      <c r="J44" s="125" t="n">
        <v>32</v>
      </c>
      <c r="K44" s="125" t="n">
        <v>6.07</v>
      </c>
      <c r="L44" s="125" t="n">
        <v>37.5</v>
      </c>
      <c r="M44" s="125" t="n">
        <v>0.897</v>
      </c>
      <c r="N44" s="125" t="n">
        <v>3415</v>
      </c>
      <c r="O44" s="125" t="n">
        <v>149</v>
      </c>
      <c r="P44" s="125" t="n">
        <v>10.3</v>
      </c>
      <c r="Q44" s="125" t="n">
        <v>2.15</v>
      </c>
      <c r="R44" s="125" t="n">
        <v>266</v>
      </c>
      <c r="S44" s="125" t="n">
        <v>29.2</v>
      </c>
      <c r="T44" s="125">
        <f>(((E44*D44*D44)/4)-(((E44-G44)*(D44-F44-F44)*(D44-F44-F44))/4)+(4*(H44*H44*(D44/2-F44-(H44/2))-((PI()*H44*H44)/4*((D44/2)-F44-(H44-((4*H44)/(3*PI()))))))))/1000</f>
        <v/>
      </c>
      <c r="U44" s="125">
        <f>(((D44*E44*E44)/4)-(2*((D44-F44-F44)*(E44/2-(G44/2))*(((E44/2-(G44/2))/2)+(G44/2))))+(4*(((H44*H44)-(((PI()*H44*H44)/4)))*((H44-((4*H44)/(3*PI())))+(G44/2)))))/1000</f>
        <v/>
      </c>
      <c r="V44" s="125" t="n">
        <v>306</v>
      </c>
      <c r="W44" s="125" t="n">
        <v>46</v>
      </c>
      <c r="X44" s="125" t="n"/>
      <c r="Y44">
        <f>SQRT((((VLOOKUP($X$4,$A$4:$D$1021,4,FALSE))-D44)^2)+(((VLOOKUP($X$4,$A$4:$E$1021,5,FALSE))-E44)^2))</f>
        <v/>
      </c>
      <c r="Z44" s="125" t="n"/>
      <c r="AA44" s="125" t="n"/>
      <c r="AB44" s="125" t="n"/>
      <c r="AC44" s="125" t="n"/>
      <c r="AD44" s="125" t="n"/>
      <c r="AE44" s="125" t="n"/>
      <c r="AF44" s="125" t="n"/>
      <c r="AG44" s="125" t="n"/>
      <c r="AH44" s="125" t="n"/>
      <c r="AI44" s="125" t="n"/>
      <c r="AJ44" s="125" t="n"/>
      <c r="AK44" s="125" t="n"/>
      <c r="AL44" s="125" t="n"/>
      <c r="AM44" s="125" t="n"/>
      <c r="AN44" s="125" t="n"/>
      <c r="AO44" s="125" t="n"/>
      <c r="AP44" s="125" t="n"/>
    </row>
    <row r="45">
      <c r="A45" s="125" t="inlineStr">
        <is>
          <t>W10X19</t>
        </is>
      </c>
      <c r="B45" s="129" t="inlineStr">
        <is>
          <t>AISC</t>
        </is>
      </c>
      <c r="C45" s="125" t="n">
        <v>28.3</v>
      </c>
      <c r="D45" s="125" t="n">
        <v>260.4</v>
      </c>
      <c r="E45" s="125" t="n">
        <v>102.2</v>
      </c>
      <c r="F45" s="125" t="n">
        <v>10</v>
      </c>
      <c r="G45" s="125" t="n">
        <v>6.3</v>
      </c>
      <c r="H45" s="125" t="n">
        <v>7.6</v>
      </c>
      <c r="I45" s="125" t="n">
        <v>225.2</v>
      </c>
      <c r="J45" s="125" t="n">
        <v>36.1</v>
      </c>
      <c r="K45" s="125" t="n">
        <v>5.11</v>
      </c>
      <c r="L45" s="125" t="n">
        <v>35.7</v>
      </c>
      <c r="M45" s="125" t="n">
        <v>0.904</v>
      </c>
      <c r="N45" s="125" t="n">
        <v>4005</v>
      </c>
      <c r="O45" s="125" t="n">
        <v>179</v>
      </c>
      <c r="P45" s="125" t="n">
        <v>10.5</v>
      </c>
      <c r="Q45" s="125" t="n">
        <v>2.22</v>
      </c>
      <c r="R45" s="125" t="n">
        <v>308</v>
      </c>
      <c r="S45" s="125" t="n">
        <v>34.9</v>
      </c>
      <c r="T45" s="125">
        <f>(((E45*D45*D45)/4)-(((E45-G45)*(D45-F45-F45)*(D45-F45-F45))/4)+(4*(H45*H45*(D45/2-F45-(H45/2))-((PI()*H45*H45)/4*((D45/2)-F45-(H45-((4*H45)/(3*PI()))))))))/1000</f>
        <v/>
      </c>
      <c r="U45" s="125">
        <f>(((D45*E45*E45)/4)-(2*((D45-F45-F45)*(E45/2-(G45/2))*(((E45/2-(G45/2))/2)+(G45/2))))+(4*(((H45*H45)-(((PI()*H45*H45)/4)))*((H45-((4*H45)/(3*PI())))+(G45/2)))))/1000</f>
        <v/>
      </c>
      <c r="V45" s="125" t="n">
        <v>353</v>
      </c>
      <c r="W45" s="125" t="n">
        <v>54.8</v>
      </c>
      <c r="X45" s="125" t="n"/>
      <c r="Y45">
        <f>SQRT((((VLOOKUP($X$4,$A$4:$D$1021,4,FALSE))-D45)^2)+(((VLOOKUP($X$4,$A$4:$E$1021,5,FALSE))-E45)^2))</f>
        <v/>
      </c>
      <c r="Z45" s="125" t="n"/>
      <c r="AA45" s="125" t="n"/>
      <c r="AB45" s="125" t="n"/>
      <c r="AC45" s="125" t="n"/>
      <c r="AD45" s="125" t="n"/>
      <c r="AE45" s="125" t="n"/>
      <c r="AF45" s="125" t="n"/>
      <c r="AG45" s="125" t="n"/>
      <c r="AH45" s="125" t="n"/>
      <c r="AI45" s="125" t="n"/>
      <c r="AJ45" s="125" t="n"/>
      <c r="AK45" s="125" t="n"/>
      <c r="AL45" s="125" t="n"/>
      <c r="AM45" s="125" t="n"/>
      <c r="AN45" s="125" t="n"/>
      <c r="AO45" s="125" t="n"/>
      <c r="AP45" s="125" t="n"/>
    </row>
    <row r="46">
      <c r="A46" s="125" t="inlineStr">
        <is>
          <t>W10X16</t>
        </is>
      </c>
      <c r="B46" s="129" t="inlineStr">
        <is>
          <t>AISC</t>
        </is>
      </c>
      <c r="C46" s="125" t="n">
        <v>24</v>
      </c>
      <c r="D46" s="125" t="n">
        <v>253</v>
      </c>
      <c r="E46" s="125" t="n">
        <v>145</v>
      </c>
      <c r="F46" s="125" t="n">
        <v>6.4</v>
      </c>
      <c r="G46" s="125" t="n">
        <v>5</v>
      </c>
      <c r="H46" s="125" t="n">
        <v>7.6</v>
      </c>
      <c r="I46" s="125" t="n">
        <v>224.2</v>
      </c>
      <c r="J46" s="125" t="n">
        <v>31.1</v>
      </c>
      <c r="K46" s="125" t="n">
        <v>11.33</v>
      </c>
      <c r="L46" s="125" t="n">
        <v>44.8</v>
      </c>
      <c r="M46" s="125" t="n">
        <v>1.06</v>
      </c>
      <c r="N46" s="125" t="n">
        <v>3477</v>
      </c>
      <c r="O46" s="125" t="n">
        <v>326</v>
      </c>
      <c r="P46" s="125" t="n">
        <v>10.6</v>
      </c>
      <c r="Q46" s="125" t="n">
        <v>3.23</v>
      </c>
      <c r="R46" s="125" t="n">
        <v>275</v>
      </c>
      <c r="S46" s="125" t="n">
        <v>44.9</v>
      </c>
      <c r="T46" s="125">
        <f>(((E46*D46*D46)/4)-(((E46-G46)*(D46-F46-F46)*(D46-F46-F46))/4)+(4*(H46*H46*(D46/2-F46-(H46/2))-((PI()*H46*H46)/4*((D46/2)-F46-(H46-((4*H46)/(3*PI()))))))))/1000</f>
        <v/>
      </c>
      <c r="U46" s="125">
        <f>(((D46*E46*E46)/4)-(2*((D46-F46-F46)*(E46/2-(G46/2))*(((E46/2-(G46/2))/2)+(G46/2))))+(4*(((H46*H46)-(((PI()*H46*H46)/4)))*((H46-((4*H46)/(3*PI())))+(G46/2)))))/1000</f>
        <v/>
      </c>
      <c r="V46" s="125" t="n">
        <v>308</v>
      </c>
      <c r="W46" s="125" t="n">
        <v>69</v>
      </c>
      <c r="X46" s="125" t="n"/>
      <c r="Y46">
        <f>SQRT((((VLOOKUP($X$4,$A$4:$D$1021,4,FALSE))-D46)^2)+(((VLOOKUP($X$4,$A$4:$E$1021,5,FALSE))-E46)^2))</f>
        <v/>
      </c>
      <c r="Z46" s="125" t="n"/>
      <c r="AA46" s="125" t="n"/>
      <c r="AB46" s="125" t="n"/>
      <c r="AC46" s="125" t="n"/>
      <c r="AD46" s="125" t="n"/>
      <c r="AE46" s="125" t="n"/>
      <c r="AF46" s="125" t="n"/>
      <c r="AG46" s="125" t="n"/>
      <c r="AH46" s="125" t="n"/>
      <c r="AI46" s="125" t="n"/>
      <c r="AJ46" s="125" t="n"/>
      <c r="AK46" s="125" t="n"/>
      <c r="AL46" s="125" t="n"/>
      <c r="AM46" s="125" t="n"/>
      <c r="AN46" s="125" t="n"/>
      <c r="AO46" s="125" t="n"/>
      <c r="AP46" s="125" t="n"/>
    </row>
    <row r="47">
      <c r="A47" s="125" t="inlineStr">
        <is>
          <t>W10X21</t>
        </is>
      </c>
      <c r="B47" s="129" t="inlineStr">
        <is>
          <t>AISC</t>
        </is>
      </c>
      <c r="C47" s="125" t="n">
        <v>31.1</v>
      </c>
      <c r="D47" s="125" t="n">
        <v>251.4</v>
      </c>
      <c r="E47" s="125" t="n">
        <v>146.1</v>
      </c>
      <c r="F47" s="125" t="n">
        <v>8.6</v>
      </c>
      <c r="G47" s="125" t="n">
        <v>6</v>
      </c>
      <c r="H47" s="125" t="n">
        <v>7.6</v>
      </c>
      <c r="I47" s="125" t="n">
        <v>219</v>
      </c>
      <c r="J47" s="125" t="n">
        <v>39.7</v>
      </c>
      <c r="K47" s="125" t="n">
        <v>8.49</v>
      </c>
      <c r="L47" s="125" t="n">
        <v>36.5</v>
      </c>
      <c r="M47" s="125" t="n">
        <v>1.06</v>
      </c>
      <c r="N47" s="125" t="n">
        <v>4413</v>
      </c>
      <c r="O47" s="125" t="n">
        <v>448</v>
      </c>
      <c r="P47" s="125" t="n">
        <v>10.5</v>
      </c>
      <c r="Q47" s="125" t="n">
        <v>3.36</v>
      </c>
      <c r="R47" s="125" t="n">
        <v>351</v>
      </c>
      <c r="S47" s="125" t="n">
        <v>61.3</v>
      </c>
      <c r="T47" s="125">
        <f>(((E47*D47*D47)/4)-(((E47-G47)*(D47-F47-F47)*(D47-F47-F47))/4)+(4*(H47*H47*(D47/2-F47-(H47/2))-((PI()*H47*H47)/4*((D47/2)-F47-(H47-((4*H47)/(3*PI()))))))))/1000</f>
        <v/>
      </c>
      <c r="U47" s="125">
        <f>(((D47*E47*E47)/4)-(2*((D47-F47-F47)*(E47/2-(G47/2))*(((E47/2-(G47/2))/2)+(G47/2))))+(4*(((H47*H47)-(((PI()*H47*H47)/4)))*((H47-((4*H47)/(3*PI())))+(G47/2)))))/1000</f>
        <v/>
      </c>
      <c r="V47" s="125" t="n">
        <v>393</v>
      </c>
      <c r="W47" s="125" t="n">
        <v>94.09999999999999</v>
      </c>
      <c r="X47" s="125" t="n"/>
      <c r="Y47">
        <f>SQRT((((VLOOKUP($X$4,$A$4:$D$1021,4,FALSE))-D47)^2)+(((VLOOKUP($X$4,$A$4:$E$1021,5,FALSE))-E47)^2))</f>
        <v/>
      </c>
      <c r="Z47" s="125" t="n"/>
      <c r="AA47" s="125" t="n"/>
      <c r="AB47" s="125" t="n"/>
      <c r="AC47" s="125" t="n"/>
      <c r="AD47" s="125" t="n"/>
      <c r="AE47" s="125" t="n"/>
      <c r="AF47" s="125" t="n"/>
      <c r="AG47" s="125" t="n"/>
      <c r="AH47" s="125" t="n"/>
      <c r="AI47" s="125" t="n"/>
      <c r="AJ47" s="125" t="n"/>
      <c r="AK47" s="125" t="n"/>
      <c r="AL47" s="125" t="n"/>
      <c r="AM47" s="125" t="n"/>
      <c r="AN47" s="125" t="n"/>
      <c r="AO47" s="125" t="n"/>
      <c r="AP47" s="125" t="n"/>
    </row>
    <row r="48">
      <c r="A48" s="125" t="inlineStr">
        <is>
          <t>W10X22</t>
        </is>
      </c>
      <c r="B48" s="129" t="inlineStr">
        <is>
          <t>AISC</t>
        </is>
      </c>
      <c r="C48" s="125" t="n">
        <v>32.7</v>
      </c>
      <c r="D48" s="125" t="n">
        <v>258.3</v>
      </c>
      <c r="E48" s="125" t="n">
        <v>146</v>
      </c>
      <c r="F48" s="125" t="n">
        <v>9.1</v>
      </c>
      <c r="G48" s="125" t="n">
        <v>6.1</v>
      </c>
      <c r="H48" s="125" t="n">
        <v>7.6</v>
      </c>
      <c r="I48" s="125" t="n">
        <v>224.8</v>
      </c>
      <c r="J48" s="125" t="n">
        <v>41.8</v>
      </c>
      <c r="K48" s="125" t="n">
        <v>7.99</v>
      </c>
      <c r="L48" s="125" t="n">
        <v>36.8</v>
      </c>
      <c r="M48" s="125" t="n">
        <v>1.08</v>
      </c>
      <c r="N48" s="125" t="n">
        <v>4917</v>
      </c>
      <c r="O48" s="125" t="n">
        <v>475</v>
      </c>
      <c r="P48" s="125" t="n">
        <v>10.8</v>
      </c>
      <c r="Q48" s="125" t="n">
        <v>3.37</v>
      </c>
      <c r="R48" s="125" t="n">
        <v>381</v>
      </c>
      <c r="S48" s="125" t="n">
        <v>65</v>
      </c>
      <c r="T48" s="125">
        <f>(((E48*D48*D48)/4)-(((E48-G48)*(D48-F48-F48)*(D48-F48-F48))/4)+(4*(H48*H48*(D48/2-F48-(H48/2))-((PI()*H48*H48)/4*((D48/2)-F48-(H48-((4*H48)/(3*PI()))))))))/1000</f>
        <v/>
      </c>
      <c r="U48" s="125">
        <f>(((D48*E48*E48)/4)-(2*((D48-F48-F48)*(E48/2-(G48/2))*(((E48/2-(G48/2))/2)+(G48/2))))+(4*(((H48*H48)-(((PI()*H48*H48)/4)))*((H48-((4*H48)/(3*PI())))+(G48/2)))))/1000</f>
        <v/>
      </c>
      <c r="V48" s="125" t="n">
        <v>426</v>
      </c>
      <c r="W48" s="125" t="n">
        <v>100</v>
      </c>
      <c r="X48" s="125" t="n"/>
      <c r="Y48">
        <f>SQRT((((VLOOKUP($X$4,$A$4:$D$1021,4,FALSE))-D48)^2)+(((VLOOKUP($X$4,$A$4:$E$1021,5,FALSE))-E48)^2))</f>
        <v/>
      </c>
      <c r="Z48" s="125" t="n"/>
      <c r="AA48" s="125" t="n"/>
      <c r="AB48" s="125" t="n"/>
      <c r="AC48" s="125" t="n"/>
      <c r="AD48" s="125" t="n"/>
      <c r="AE48" s="125" t="n"/>
      <c r="AF48" s="125" t="n"/>
      <c r="AG48" s="125" t="n"/>
      <c r="AH48" s="125" t="n"/>
      <c r="AI48" s="125" t="n"/>
      <c r="AJ48" s="125" t="n"/>
      <c r="AK48" s="125" t="n"/>
      <c r="AL48" s="125" t="n"/>
      <c r="AM48" s="125" t="n"/>
      <c r="AN48" s="125" t="n"/>
      <c r="AO48" s="125" t="n"/>
      <c r="AP48" s="125" t="n"/>
    </row>
    <row r="49">
      <c r="A49" s="125" t="inlineStr">
        <is>
          <t>W10X25</t>
        </is>
      </c>
      <c r="B49" s="129" t="inlineStr">
        <is>
          <t>AISC</t>
        </is>
      </c>
      <c r="C49" s="125" t="n">
        <v>37</v>
      </c>
      <c r="D49" s="125" t="n">
        <v>256</v>
      </c>
      <c r="E49" s="125" t="n">
        <v>146.4</v>
      </c>
      <c r="F49" s="125" t="n">
        <v>10.9</v>
      </c>
      <c r="G49" s="125" t="n">
        <v>6.3</v>
      </c>
      <c r="H49" s="125" t="n">
        <v>7.6</v>
      </c>
      <c r="I49" s="125" t="n">
        <v>219</v>
      </c>
      <c r="J49" s="125" t="n">
        <v>47.2</v>
      </c>
      <c r="K49" s="125" t="n">
        <v>6.72</v>
      </c>
      <c r="L49" s="125" t="n">
        <v>34.8</v>
      </c>
      <c r="M49" s="125" t="n">
        <v>1.07</v>
      </c>
      <c r="N49" s="125" t="n">
        <v>5537</v>
      </c>
      <c r="O49" s="125" t="n">
        <v>571</v>
      </c>
      <c r="P49" s="125" t="n">
        <v>10.8</v>
      </c>
      <c r="Q49" s="125" t="n">
        <v>3.48</v>
      </c>
      <c r="R49" s="125" t="n">
        <v>433</v>
      </c>
      <c r="S49" s="125" t="n">
        <v>78</v>
      </c>
      <c r="T49" s="125">
        <f>(((E49*D49*D49)/4)-(((E49-G49)*(D49-F49-F49)*(D49-F49-F49))/4)+(4*(H49*H49*(D49/2-F49-(H49/2))-((PI()*H49*H49)/4*((D49/2)-F49-(H49-((4*H49)/(3*PI()))))))))/1000</f>
        <v/>
      </c>
      <c r="U49" s="125">
        <f>(((D49*E49*E49)/4)-(2*((D49-F49-F49)*(E49/2-(G49/2))*(((E49/2-(G49/2))/2)+(G49/2))))+(4*(((H49*H49)-(((PI()*H49*H49)/4)))*((H49-((4*H49)/(3*PI())))+(G49/2)))))/1000</f>
        <v/>
      </c>
      <c r="V49" s="125" t="n">
        <v>483</v>
      </c>
      <c r="W49" s="125" t="n">
        <v>119</v>
      </c>
      <c r="X49" s="125" t="n"/>
      <c r="Y49">
        <f>SQRT((((VLOOKUP($X$4,$A$4:$D$1021,4,FALSE))-D49)^2)+(((VLOOKUP($X$4,$A$4:$E$1021,5,FALSE))-E49)^2))</f>
        <v/>
      </c>
      <c r="Z49" s="125" t="n"/>
      <c r="AA49" s="125" t="n"/>
      <c r="AB49" s="125" t="n"/>
      <c r="AC49" s="125" t="n"/>
      <c r="AD49" s="125" t="n"/>
      <c r="AE49" s="125" t="n"/>
      <c r="AF49" s="125" t="n"/>
      <c r="AG49" s="125" t="n"/>
      <c r="AH49" s="125" t="n"/>
      <c r="AI49" s="125" t="n"/>
      <c r="AJ49" s="125" t="n"/>
      <c r="AK49" s="125" t="n"/>
      <c r="AL49" s="125" t="n"/>
      <c r="AM49" s="125" t="n"/>
      <c r="AN49" s="125" t="n"/>
      <c r="AO49" s="125" t="n"/>
      <c r="AP49" s="125" t="n"/>
    </row>
    <row r="50">
      <c r="A50" s="125" t="inlineStr">
        <is>
          <t>W10X26</t>
        </is>
      </c>
      <c r="B50" s="129" t="inlineStr">
        <is>
          <t>AISC</t>
        </is>
      </c>
      <c r="C50" s="125" t="n">
        <v>38.7</v>
      </c>
      <c r="D50" s="125" t="n">
        <v>262.4</v>
      </c>
      <c r="E50" s="125" t="n">
        <v>146.6</v>
      </c>
      <c r="F50" s="125" t="n">
        <v>11.1</v>
      </c>
      <c r="G50" s="125" t="n">
        <v>6.6</v>
      </c>
      <c r="H50" s="125" t="n">
        <v>7.6</v>
      </c>
      <c r="I50" s="125" t="n">
        <v>225</v>
      </c>
      <c r="J50" s="125" t="n">
        <v>48.9</v>
      </c>
      <c r="K50" s="125" t="n">
        <v>6.6</v>
      </c>
      <c r="L50" s="125" t="n">
        <v>34.1</v>
      </c>
      <c r="M50" s="125" t="n">
        <v>1.08</v>
      </c>
      <c r="N50" s="125" t="n">
        <v>5974</v>
      </c>
      <c r="O50" s="125" t="n">
        <v>584</v>
      </c>
      <c r="P50" s="125" t="n">
        <v>11.1</v>
      </c>
      <c r="Q50" s="125" t="n">
        <v>3.45</v>
      </c>
      <c r="R50" s="125" t="n">
        <v>455</v>
      </c>
      <c r="S50" s="125" t="n">
        <v>79.59999999999999</v>
      </c>
      <c r="T50" s="125">
        <f>(((E50*D50*D50)/4)-(((E50-G50)*(D50-F50-F50)*(D50-F50-F50))/4)+(4*(H50*H50*(D50/2-F50-(H50/2))-((PI()*H50*H50)/4*((D50/2)-F50-(H50-((4*H50)/(3*PI()))))))))/1000</f>
        <v/>
      </c>
      <c r="U50" s="125">
        <f>(((D50*E50*E50)/4)-(2*((D50-F50-F50)*(E50/2-(G50/2))*(((E50/2-(G50/2))/2)+(G50/2))))+(4*(((H50*H50)-(((PI()*H50*H50)/4)))*((H50-((4*H50)/(3*PI())))+(G50/2)))))/1000</f>
        <v/>
      </c>
      <c r="V50" s="125" t="n">
        <v>510</v>
      </c>
      <c r="W50" s="125" t="n">
        <v>122</v>
      </c>
      <c r="Y50">
        <f>SQRT((((VLOOKUP($X$4,$A$4:$D$1021,4,FALSE))-D50)^2)+(((VLOOKUP($X$4,$A$4:$E$1021,5,FALSE))-E50)^2))</f>
        <v/>
      </c>
    </row>
    <row r="51">
      <c r="A51" s="125" t="inlineStr">
        <is>
          <t>W10X29</t>
        </is>
      </c>
      <c r="B51" s="129" t="inlineStr">
        <is>
          <t>AISC</t>
        </is>
      </c>
      <c r="C51" s="125" t="n">
        <v>43</v>
      </c>
      <c r="D51" s="125" t="n">
        <v>259.6</v>
      </c>
      <c r="E51" s="125" t="n">
        <v>147.3</v>
      </c>
      <c r="F51" s="125" t="n">
        <v>12.7</v>
      </c>
      <c r="G51" s="125" t="n">
        <v>7.2</v>
      </c>
      <c r="H51" s="125" t="n">
        <v>7.6</v>
      </c>
      <c r="I51" s="125" t="n">
        <v>219</v>
      </c>
      <c r="J51" s="125" t="n">
        <v>54.8</v>
      </c>
      <c r="K51" s="125" t="n">
        <v>5.8</v>
      </c>
      <c r="L51" s="125" t="n">
        <v>30.4</v>
      </c>
      <c r="M51" s="125" t="n">
        <v>1.08</v>
      </c>
      <c r="N51" s="125" t="n">
        <v>6544</v>
      </c>
      <c r="O51" s="125" t="n">
        <v>677</v>
      </c>
      <c r="P51" s="125" t="n">
        <v>10.9</v>
      </c>
      <c r="Q51" s="125" t="n">
        <v>3.52</v>
      </c>
      <c r="R51" s="125" t="n">
        <v>504</v>
      </c>
      <c r="S51" s="125" t="n">
        <v>92</v>
      </c>
      <c r="T51" s="125">
        <f>(((E51*D51*D51)/4)-(((E51-G51)*(D51-F51-F51)*(D51-F51-F51))/4)+(4*(H51*H51*(D51/2-F51-(H51/2))-((PI()*H51*H51)/4*((D51/2)-F51-(H51-((4*H51)/(3*PI()))))))))/1000</f>
        <v/>
      </c>
      <c r="U51" s="125">
        <f>(((D51*E51*E51)/4)-(2*((D51-F51-F51)*(E51/2-(G51/2))*(((E51/2-(G51/2))/2)+(G51/2))))+(4*(((H51*H51)-(((PI()*H51*H51)/4)))*((H51-((4*H51)/(3*PI())))+(G51/2)))))/1000</f>
        <v/>
      </c>
      <c r="V51" s="125" t="n">
        <v>566</v>
      </c>
      <c r="W51" s="125" t="n">
        <v>141</v>
      </c>
      <c r="Y51">
        <f>SQRT((((VLOOKUP($X$4,$A$4:$D$1021,4,FALSE))-D51)^2)+(((VLOOKUP($X$4,$A$4:$E$1021,5,FALSE))-E51)^2))</f>
        <v/>
      </c>
    </row>
    <row r="52">
      <c r="A52" s="125" t="inlineStr">
        <is>
          <t>W10X30</t>
        </is>
      </c>
      <c r="B52" s="129" t="inlineStr">
        <is>
          <t>AISC</t>
        </is>
      </c>
      <c r="C52" s="125" t="n">
        <v>44.6</v>
      </c>
      <c r="D52" s="125" t="n">
        <v>265.9</v>
      </c>
      <c r="E52" s="125" t="n">
        <v>147.6</v>
      </c>
      <c r="F52" s="125" t="n">
        <v>12.9</v>
      </c>
      <c r="G52" s="125" t="n">
        <v>7.6</v>
      </c>
      <c r="H52" s="125" t="n">
        <v>7.6</v>
      </c>
      <c r="I52" s="125" t="n">
        <v>224.9</v>
      </c>
      <c r="J52" s="125" t="n">
        <v>56.9</v>
      </c>
      <c r="K52" s="125" t="n">
        <v>5.72</v>
      </c>
      <c r="L52" s="125" t="n">
        <v>29.5</v>
      </c>
      <c r="M52" s="125" t="n">
        <v>1.09</v>
      </c>
      <c r="N52" s="125" t="n">
        <v>7048</v>
      </c>
      <c r="O52" s="125" t="n">
        <v>692</v>
      </c>
      <c r="P52" s="125" t="n">
        <v>11.1</v>
      </c>
      <c r="Q52" s="125" t="n">
        <v>3.49</v>
      </c>
      <c r="R52" s="125" t="n">
        <v>530</v>
      </c>
      <c r="S52" s="125" t="n">
        <v>93.8</v>
      </c>
      <c r="T52" s="125">
        <f>(((E52*D52*D52)/4)-(((E52-G52)*(D52-F52-F52)*(D52-F52-F52))/4)+(4*(H52*H52*(D52/2-F52-(H52/2))-((PI()*H52*H52)/4*((D52/2)-F52-(H52-((4*H52)/(3*PI()))))))))/1000</f>
        <v/>
      </c>
      <c r="U52" s="125">
        <f>(((D52*E52*E52)/4)-(2*((D52-F52-F52)*(E52/2-(G52/2))*(((E52/2-(G52/2))/2)+(G52/2))))+(4*(((H52*H52)-(((PI()*H52*H52)/4)))*((H52-((4*H52)/(3*PI())))+(G52/2)))))/1000</f>
        <v/>
      </c>
      <c r="V52" s="125" t="n">
        <v>597</v>
      </c>
      <c r="W52" s="125" t="n">
        <v>144</v>
      </c>
      <c r="Y52">
        <f>SQRT((((VLOOKUP($X$4,$A$4:$D$1021,4,FALSE))-D52)^2)+(((VLOOKUP($X$4,$A$4:$E$1021,5,FALSE))-E52)^2))</f>
        <v/>
      </c>
    </row>
    <row r="53">
      <c r="A53" s="125" t="inlineStr">
        <is>
          <t>W10X33</t>
        </is>
      </c>
      <c r="B53" s="129" t="inlineStr">
        <is>
          <t>AISC</t>
        </is>
      </c>
      <c r="C53" s="125" t="n">
        <v>49.1</v>
      </c>
      <c r="D53" s="125" t="n">
        <v>247.1</v>
      </c>
      <c r="E53" s="125" t="n">
        <v>202.2</v>
      </c>
      <c r="F53" s="125" t="n">
        <v>11</v>
      </c>
      <c r="G53" s="125" t="n">
        <v>7.4</v>
      </c>
      <c r="H53" s="125" t="n">
        <v>12.7</v>
      </c>
      <c r="I53" s="125" t="n">
        <v>199.7</v>
      </c>
      <c r="J53" s="125" t="n">
        <v>62.5</v>
      </c>
      <c r="K53" s="125" t="n">
        <v>9.19</v>
      </c>
      <c r="L53" s="125" t="n">
        <v>27.1</v>
      </c>
      <c r="M53" s="125" t="n">
        <v>1.27</v>
      </c>
      <c r="N53" s="125" t="n">
        <v>7071</v>
      </c>
      <c r="O53" s="125" t="n">
        <v>1517</v>
      </c>
      <c r="P53" s="125" t="n">
        <v>10.6</v>
      </c>
      <c r="Q53" s="125" t="n">
        <v>4.93</v>
      </c>
      <c r="R53" s="125" t="n">
        <v>572</v>
      </c>
      <c r="S53" s="125" t="n">
        <v>150</v>
      </c>
      <c r="T53" s="125">
        <f>(((E53*D53*D53)/4)-(((E53-G53)*(D53-F53-F53)*(D53-F53-F53))/4)+(4*(H53*H53*(D53/2-F53-(H53/2))-((PI()*H53*H53)/4*((D53/2)-F53-(H53-((4*H53)/(3*PI()))))))))/1000</f>
        <v/>
      </c>
      <c r="U53" s="125">
        <f>(((D53*E53*E53)/4)-(2*((D53-F53-F53)*(E53/2-(G53/2))*(((E53/2-(G53/2))/2)+(G53/2))))+(4*(((H53*H53)-(((PI()*H53*H53)/4)))*((H53-((4*H53)/(3*PI())))+(G53/2)))))/1000</f>
        <v/>
      </c>
      <c r="V53" s="125" t="n">
        <v>634</v>
      </c>
      <c r="W53" s="125" t="n">
        <v>229</v>
      </c>
      <c r="Y53">
        <f>SQRT((((VLOOKUP($X$4,$A$4:$D$1021,4,FALSE))-D53)^2)+(((VLOOKUP($X$4,$A$4:$E$1021,5,FALSE))-E53)^2))</f>
        <v/>
      </c>
    </row>
    <row r="54">
      <c r="A54" s="125" t="inlineStr">
        <is>
          <t>W10X39</t>
        </is>
      </c>
      <c r="B54" s="129" t="inlineStr">
        <is>
          <t>AISC</t>
        </is>
      </c>
      <c r="C54" s="125" t="n">
        <v>58</v>
      </c>
      <c r="D54" s="125" t="n">
        <v>252</v>
      </c>
      <c r="E54" s="125" t="n">
        <v>202.8</v>
      </c>
      <c r="F54" s="125" t="n">
        <v>13.4</v>
      </c>
      <c r="G54" s="125" t="n">
        <v>8</v>
      </c>
      <c r="H54" s="125" t="n">
        <v>12.7</v>
      </c>
      <c r="I54" s="125" t="n">
        <v>199.8</v>
      </c>
      <c r="J54" s="125" t="n">
        <v>73.8</v>
      </c>
      <c r="K54" s="125" t="n">
        <v>7.57</v>
      </c>
      <c r="L54" s="125" t="n">
        <v>25</v>
      </c>
      <c r="M54" s="125" t="n">
        <v>1.28</v>
      </c>
      <c r="N54" s="125" t="n">
        <v>8672</v>
      </c>
      <c r="O54" s="125" t="n">
        <v>1865</v>
      </c>
      <c r="P54" s="125" t="n">
        <v>10.8</v>
      </c>
      <c r="Q54" s="125" t="n">
        <v>5.03</v>
      </c>
      <c r="R54" s="125" t="n">
        <v>688</v>
      </c>
      <c r="S54" s="125" t="n">
        <v>184</v>
      </c>
      <c r="T54" s="125">
        <f>(((E54*D54*D54)/4)-(((E54-G54)*(D54-F54-F54)*(D54-F54-F54))/4)+(4*(H54*H54*(D54/2-F54-(H54/2))-((PI()*H54*H54)/4*((D54/2)-F54-(H54-((4*H54)/(3*PI()))))))))/1000</f>
        <v/>
      </c>
      <c r="U54" s="125">
        <f>(((D54*E54*E54)/4)-(2*((D54-F54-F54)*(E54/2-(G54/2))*(((E54/2-(G54/2))/2)+(G54/2))))+(4*(((H54*H54)-(((PI()*H54*H54)/4)))*((H54-((4*H54)/(3*PI())))+(G54/2)))))/1000</f>
        <v/>
      </c>
      <c r="V54" s="125" t="n">
        <v>765</v>
      </c>
      <c r="W54" s="125" t="n">
        <v>280</v>
      </c>
      <c r="Y54">
        <f>SQRT((((VLOOKUP($X$4,$A$4:$D$1021,4,FALSE))-D54)^2)+(((VLOOKUP($X$4,$A$4:$E$1021,5,FALSE))-E54)^2))</f>
        <v/>
      </c>
    </row>
    <row r="55">
      <c r="A55" s="125" t="inlineStr">
        <is>
          <t>W10X42</t>
        </is>
      </c>
      <c r="B55" s="129" t="inlineStr">
        <is>
          <t>AISC</t>
        </is>
      </c>
      <c r="C55" s="125" t="n">
        <v>62.5</v>
      </c>
      <c r="D55" s="125" t="n">
        <v>249.4</v>
      </c>
      <c r="E55" s="125" t="n">
        <v>207</v>
      </c>
      <c r="F55" s="125" t="n">
        <v>12.2</v>
      </c>
      <c r="G55" s="125" t="n">
        <v>12.2</v>
      </c>
      <c r="H55" s="125" t="n">
        <v>12.7</v>
      </c>
      <c r="I55" s="125" t="n">
        <v>199.6</v>
      </c>
      <c r="J55" s="125" t="n">
        <v>79.3</v>
      </c>
      <c r="K55" s="125" t="n">
        <v>8.49</v>
      </c>
      <c r="L55" s="125" t="n">
        <v>16.4</v>
      </c>
      <c r="M55" s="125" t="n">
        <v>1.25</v>
      </c>
      <c r="N55" s="125" t="n">
        <v>8430</v>
      </c>
      <c r="O55" s="125" t="n">
        <v>1807</v>
      </c>
      <c r="P55" s="125" t="n">
        <v>10.3</v>
      </c>
      <c r="Q55" s="125" t="n">
        <v>4.77</v>
      </c>
      <c r="R55" s="125" t="n">
        <v>676</v>
      </c>
      <c r="S55" s="125" t="n">
        <v>175</v>
      </c>
      <c r="T55" s="125">
        <f>(((E55*D55*D55)/4)-(((E55-G55)*(D55-F55-F55)*(D55-F55-F55))/4)+(4*(H55*H55*(D55/2-F55-(H55/2))-((PI()*H55*H55)/4*((D55/2)-F55-(H55-((4*H55)/(3*PI()))))))))/1000</f>
        <v/>
      </c>
      <c r="U55" s="125">
        <f>(((D55*E55*E55)/4)-(2*((D55-F55-F55)*(E55/2-(G55/2))*(((E55/2-(G55/2))/2)+(G55/2))))+(4*(((H55*H55)-(((PI()*H55*H55)/4)))*((H55-((4*H55)/(3*PI())))+(G55/2)))))/1000</f>
        <v/>
      </c>
      <c r="V55" s="125" t="n">
        <v>768</v>
      </c>
      <c r="W55" s="125" t="n">
        <v>271</v>
      </c>
      <c r="Y55">
        <f>SQRT((((VLOOKUP($X$4,$A$4:$D$1021,4,FALSE))-D55)^2)+(((VLOOKUP($X$4,$A$4:$E$1021,5,FALSE))-E55)^2))</f>
        <v/>
      </c>
    </row>
    <row r="56">
      <c r="A56" s="125" t="inlineStr">
        <is>
          <t>W10X45</t>
        </is>
      </c>
      <c r="B56" s="129" t="inlineStr">
        <is>
          <t>AISC</t>
        </is>
      </c>
      <c r="C56" s="125" t="n">
        <v>67</v>
      </c>
      <c r="D56" s="125" t="n">
        <v>256.5</v>
      </c>
      <c r="E56" s="125" t="n">
        <v>203.7</v>
      </c>
      <c r="F56" s="125" t="n">
        <v>15.7</v>
      </c>
      <c r="G56" s="125" t="n">
        <v>8.9</v>
      </c>
      <c r="H56" s="125" t="n">
        <v>12.7</v>
      </c>
      <c r="I56" s="125" t="n">
        <v>199.7</v>
      </c>
      <c r="J56" s="125" t="n">
        <v>85.40000000000001</v>
      </c>
      <c r="K56" s="125" t="n">
        <v>6.49</v>
      </c>
      <c r="L56" s="125" t="n">
        <v>22.5</v>
      </c>
      <c r="M56" s="125" t="n">
        <v>1.29</v>
      </c>
      <c r="N56" s="125" t="n">
        <v>10300</v>
      </c>
      <c r="O56" s="125" t="n">
        <v>2214</v>
      </c>
      <c r="P56" s="125" t="n">
        <v>11</v>
      </c>
      <c r="Q56" s="125" t="n">
        <v>5.09</v>
      </c>
      <c r="R56" s="125" t="n">
        <v>803</v>
      </c>
      <c r="S56" s="125" t="n">
        <v>217</v>
      </c>
      <c r="T56" s="125">
        <f>(((E56*D56*D56)/4)-(((E56-G56)*(D56-F56-F56)*(D56-F56-F56))/4)+(4*(H56*H56*(D56/2-F56-(H56/2))-((PI()*H56*H56)/4*((D56/2)-F56-(H56-((4*H56)/(3*PI()))))))))/1000</f>
        <v/>
      </c>
      <c r="U56" s="125">
        <f>(((D56*E56*E56)/4)-(2*((D56-F56-F56)*(E56/2-(G56/2))*(((E56/2-(G56/2))/2)+(G56/2))))+(4*(((H56*H56)-(((PI()*H56*H56)/4)))*((H56-((4*H56)/(3*PI())))+(G56/2)))))/1000</f>
        <v/>
      </c>
      <c r="V56" s="125" t="n">
        <v>898</v>
      </c>
      <c r="W56" s="125" t="n">
        <v>331</v>
      </c>
      <c r="Y56">
        <f>SQRT((((VLOOKUP($X$4,$A$4:$D$1021,4,FALSE))-D56)^2)+(((VLOOKUP($X$4,$A$4:$E$1021,5,FALSE))-E56)^2))</f>
        <v/>
      </c>
    </row>
    <row r="57">
      <c r="A57" s="125" t="inlineStr">
        <is>
          <t>W10X57</t>
        </is>
      </c>
      <c r="B57" s="129" t="inlineStr">
        <is>
          <t>AISC</t>
        </is>
      </c>
      <c r="C57" s="125" t="n">
        <v>84.8</v>
      </c>
      <c r="D57" s="125" t="n">
        <v>258.1</v>
      </c>
      <c r="E57" s="125" t="n">
        <v>211.3</v>
      </c>
      <c r="F57" s="125" t="n">
        <v>16.5</v>
      </c>
      <c r="G57" s="125" t="n">
        <v>16.5</v>
      </c>
      <c r="H57" s="125" t="n">
        <v>12.7</v>
      </c>
      <c r="I57" s="125" t="n">
        <v>199.7</v>
      </c>
      <c r="J57" s="125" t="n">
        <v>108</v>
      </c>
      <c r="K57" s="125" t="n">
        <v>6.4</v>
      </c>
      <c r="L57" s="125" t="n">
        <v>12.1</v>
      </c>
      <c r="M57" s="125" t="n">
        <v>1.31</v>
      </c>
      <c r="N57" s="125" t="n">
        <v>11930</v>
      </c>
      <c r="O57" s="125" t="n">
        <v>2606</v>
      </c>
      <c r="P57" s="125" t="n">
        <v>10.5</v>
      </c>
      <c r="Q57" s="125" t="n">
        <v>4.91</v>
      </c>
      <c r="R57" s="125" t="n">
        <v>925</v>
      </c>
      <c r="S57" s="125" t="n">
        <v>247</v>
      </c>
      <c r="T57" s="125">
        <f>(((E57*D57*D57)/4)-(((E57-G57)*(D57-F57-F57)*(D57-F57-F57))/4)+(4*(H57*H57*(D57/2-F57-(H57/2))-((PI()*H57*H57)/4*((D57/2)-F57-(H57-((4*H57)/(3*PI()))))))))/1000</f>
        <v/>
      </c>
      <c r="U57" s="125">
        <f>(((D57*E57*E57)/4)-(2*((D57-F57-F57)*(E57/2-(G57/2))*(((E57/2-(G57/2))/2)+(G57/2))))+(4*(((H57*H57)-(((PI()*H57*H57)/4)))*((H57-((4*H57)/(3*PI())))+(G57/2)))))/1000</f>
        <v/>
      </c>
      <c r="V57" s="125" t="n">
        <v>1067</v>
      </c>
      <c r="W57" s="125" t="n">
        <v>385</v>
      </c>
      <c r="Y57">
        <f>SQRT((((VLOOKUP($X$4,$A$4:$D$1021,4,FALSE))-D57)^2)+(((VLOOKUP($X$4,$A$4:$E$1021,5,FALSE))-E57)^2))</f>
        <v/>
      </c>
    </row>
    <row r="58">
      <c r="A58" s="125" t="inlineStr">
        <is>
          <t>W10X49</t>
        </is>
      </c>
      <c r="B58" s="129" t="inlineStr">
        <is>
          <t>AISC</t>
        </is>
      </c>
      <c r="C58" s="125" t="n">
        <v>73.09999999999999</v>
      </c>
      <c r="D58" s="125" t="n">
        <v>254.1</v>
      </c>
      <c r="E58" s="125" t="n">
        <v>254.6</v>
      </c>
      <c r="F58" s="125" t="n">
        <v>14.2</v>
      </c>
      <c r="G58" s="125" t="n">
        <v>8.6</v>
      </c>
      <c r="H58" s="125" t="n">
        <v>12.7</v>
      </c>
      <c r="I58" s="125" t="n">
        <v>200.3</v>
      </c>
      <c r="J58" s="125" t="n">
        <v>93.09999999999999</v>
      </c>
      <c r="K58" s="125" t="n">
        <v>8.960000000000001</v>
      </c>
      <c r="L58" s="125" t="n">
        <v>23.3</v>
      </c>
      <c r="M58" s="125" t="n">
        <v>1.49</v>
      </c>
      <c r="N58" s="125" t="n">
        <v>11410</v>
      </c>
      <c r="O58" s="125" t="n">
        <v>3908</v>
      </c>
      <c r="P58" s="125" t="n">
        <v>11.1</v>
      </c>
      <c r="Q58" s="125" t="n">
        <v>6.48</v>
      </c>
      <c r="R58" s="125" t="n">
        <v>898</v>
      </c>
      <c r="S58" s="125" t="n">
        <v>307</v>
      </c>
      <c r="T58" s="125">
        <f>(((E58*D58*D58)/4)-(((E58-G58)*(D58-F58-F58)*(D58-F58-F58))/4)+(4*(H58*H58*(D58/2-F58-(H58/2))-((PI()*H58*H58)/4*((D58/2)-F58-(H58-((4*H58)/(3*PI()))))))))/1000</f>
        <v/>
      </c>
      <c r="U58" s="125">
        <f>(((D58*E58*E58)/4)-(2*((D58-F58-F58)*(E58/2-(G58/2))*(((E58/2-(G58/2))/2)+(G58/2))))+(4*(((H58*H58)-(((PI()*H58*H58)/4)))*((H58-((4*H58)/(3*PI())))+(G58/2)))))/1000</f>
        <v/>
      </c>
      <c r="V58" s="125" t="n">
        <v>992</v>
      </c>
      <c r="W58" s="125" t="n">
        <v>465</v>
      </c>
      <c r="Y58">
        <f>SQRT((((VLOOKUP($X$4,$A$4:$D$1021,4,FALSE))-D58)^2)+(((VLOOKUP($X$4,$A$4:$E$1021,5,FALSE))-E58)^2))</f>
        <v/>
      </c>
    </row>
    <row r="59">
      <c r="A59" s="125" t="inlineStr">
        <is>
          <t>W10X54</t>
        </is>
      </c>
      <c r="B59" s="129" t="inlineStr">
        <is>
          <t>AISC</t>
        </is>
      </c>
      <c r="C59" s="125" t="n">
        <v>80.40000000000001</v>
      </c>
      <c r="D59" s="125" t="n">
        <v>256.3</v>
      </c>
      <c r="E59" s="125" t="n">
        <v>254.8</v>
      </c>
      <c r="F59" s="125" t="n">
        <v>15.6</v>
      </c>
      <c r="G59" s="125" t="n">
        <v>9.4</v>
      </c>
      <c r="H59" s="125" t="n">
        <v>12.7</v>
      </c>
      <c r="I59" s="125" t="n">
        <v>199.7</v>
      </c>
      <c r="J59" s="125" t="n">
        <v>102</v>
      </c>
      <c r="K59" s="125" t="n">
        <v>8.17</v>
      </c>
      <c r="L59" s="125" t="n">
        <v>21.2</v>
      </c>
      <c r="M59" s="125" t="n">
        <v>1.49</v>
      </c>
      <c r="N59" s="125" t="n">
        <v>12590</v>
      </c>
      <c r="O59" s="125" t="n">
        <v>4304</v>
      </c>
      <c r="P59" s="125" t="n">
        <v>11.1</v>
      </c>
      <c r="Q59" s="125" t="n">
        <v>6.49</v>
      </c>
      <c r="R59" s="125" t="n">
        <v>983</v>
      </c>
      <c r="S59" s="125" t="n">
        <v>338</v>
      </c>
      <c r="T59" s="125">
        <f>(((E59*D59*D59)/4)-(((E59-G59)*(D59-F59-F59)*(D59-F59-F59))/4)+(4*(H59*H59*(D59/2-F59-(H59/2))-((PI()*H59*H59)/4*((D59/2)-F59-(H59-((4*H59)/(3*PI()))))))))/1000</f>
        <v/>
      </c>
      <c r="U59" s="125">
        <f>(((D59*E59*E59)/4)-(2*((D59-F59-F59)*(E59/2-(G59/2))*(((E59/2-(G59/2))/2)+(G59/2))))+(4*(((H59*H59)-(((PI()*H59*H59)/4)))*((H59-((4*H59)/(3*PI())))+(G59/2)))))/1000</f>
        <v/>
      </c>
      <c r="V59" s="125" t="n">
        <v>1091</v>
      </c>
      <c r="W59" s="125" t="n">
        <v>512</v>
      </c>
      <c r="Y59">
        <f>SQRT((((VLOOKUP($X$4,$A$4:$D$1021,4,FALSE))-D59)^2)+(((VLOOKUP($X$4,$A$4:$E$1021,5,FALSE))-E59)^2))</f>
        <v/>
      </c>
    </row>
    <row r="60">
      <c r="A60" s="125" t="inlineStr">
        <is>
          <t>W10X60</t>
        </is>
      </c>
      <c r="B60" s="129" t="inlineStr">
        <is>
          <t>AISC</t>
        </is>
      </c>
      <c r="C60" s="125" t="n">
        <v>88.90000000000001</v>
      </c>
      <c r="D60" s="125" t="n">
        <v>260.3</v>
      </c>
      <c r="E60" s="125" t="n">
        <v>256.3</v>
      </c>
      <c r="F60" s="125" t="n">
        <v>17.3</v>
      </c>
      <c r="G60" s="125" t="n">
        <v>10.3</v>
      </c>
      <c r="H60" s="125" t="n">
        <v>12.7</v>
      </c>
      <c r="I60" s="125" t="n">
        <v>200.3</v>
      </c>
      <c r="J60" s="125" t="n">
        <v>113</v>
      </c>
      <c r="K60" s="125" t="n">
        <v>7.41</v>
      </c>
      <c r="L60" s="125" t="n">
        <v>19.4</v>
      </c>
      <c r="M60" s="125" t="n">
        <v>1.5</v>
      </c>
      <c r="N60" s="125" t="n">
        <v>14270</v>
      </c>
      <c r="O60" s="125" t="n">
        <v>4858</v>
      </c>
      <c r="P60" s="125" t="n">
        <v>11.2</v>
      </c>
      <c r="Q60" s="125" t="n">
        <v>6.55</v>
      </c>
      <c r="R60" s="125" t="n">
        <v>1096</v>
      </c>
      <c r="S60" s="125" t="n">
        <v>379</v>
      </c>
      <c r="T60" s="125">
        <f>(((E60*D60*D60)/4)-(((E60-G60)*(D60-F60-F60)*(D60-F60-F60))/4)+(4*(H60*H60*(D60/2-F60-(H60/2))-((PI()*H60*H60)/4*((D60/2)-F60-(H60-((4*H60)/(3*PI()))))))))/1000</f>
        <v/>
      </c>
      <c r="U60" s="125">
        <f>(((D60*E60*E60)/4)-(2*((D60-F60-F60)*(E60/2-(G60/2))*(((E60/2-(G60/2))/2)+(G60/2))))+(4*(((H60*H60)-(((PI()*H60*H60)/4)))*((H60-((4*H60)/(3*PI())))+(G60/2)))))/1000</f>
        <v/>
      </c>
      <c r="V60" s="125" t="n">
        <v>1224</v>
      </c>
      <c r="W60" s="125" t="n">
        <v>575</v>
      </c>
      <c r="Y60">
        <f>SQRT((((VLOOKUP($X$4,$A$4:$D$1021,4,FALSE))-D60)^2)+(((VLOOKUP($X$4,$A$4:$E$1021,5,FALSE))-E60)^2))</f>
        <v/>
      </c>
    </row>
    <row r="61">
      <c r="A61" s="125" t="inlineStr">
        <is>
          <t>W10X68</t>
        </is>
      </c>
      <c r="B61" s="129" t="inlineStr">
        <is>
          <t>AISC</t>
        </is>
      </c>
      <c r="C61" s="125" t="n">
        <v>101.2</v>
      </c>
      <c r="D61" s="125" t="n">
        <v>264.2</v>
      </c>
      <c r="E61" s="125" t="n">
        <v>257.3</v>
      </c>
      <c r="F61" s="125" t="n">
        <v>19.6</v>
      </c>
      <c r="G61" s="125" t="n">
        <v>11.9</v>
      </c>
      <c r="H61" s="125" t="n">
        <v>12.7</v>
      </c>
      <c r="I61" s="125" t="n">
        <v>199.7</v>
      </c>
      <c r="J61" s="125" t="n">
        <v>129</v>
      </c>
      <c r="K61" s="125" t="n">
        <v>6.58</v>
      </c>
      <c r="L61" s="125" t="n">
        <v>16.7</v>
      </c>
      <c r="M61" s="125" t="n">
        <v>1.51</v>
      </c>
      <c r="N61" s="125" t="n">
        <v>16390</v>
      </c>
      <c r="O61" s="125" t="n">
        <v>5558</v>
      </c>
      <c r="P61" s="125" t="n">
        <v>11.3</v>
      </c>
      <c r="Q61" s="125" t="n">
        <v>6.57</v>
      </c>
      <c r="R61" s="125" t="n">
        <v>1241</v>
      </c>
      <c r="S61" s="125" t="n">
        <v>432</v>
      </c>
      <c r="T61" s="125">
        <f>(((E61*D61*D61)/4)-(((E61-G61)*(D61-F61-F61)*(D61-F61-F61))/4)+(4*(H61*H61*(D61/2-F61-(H61/2))-((PI()*H61*H61)/4*((D61/2)-F61-(H61-((4*H61)/(3*PI()))))))))/1000</f>
        <v/>
      </c>
      <c r="U61" s="125">
        <f>(((D61*E61*E61)/4)-(2*((D61-F61-F61)*(E61/2-(G61/2))*(((E61/2-(G61/2))/2)+(G61/2))))+(4*(((H61*H61)-(((PI()*H61*H61)/4)))*((H61-((4*H61)/(3*PI())))+(G61/2)))))/1000</f>
        <v/>
      </c>
      <c r="V61" s="125" t="n">
        <v>1398</v>
      </c>
      <c r="W61" s="125" t="n">
        <v>657</v>
      </c>
      <c r="Y61">
        <f>SQRT((((VLOOKUP($X$4,$A$4:$D$1021,4,FALSE))-D61)^2)+(((VLOOKUP($X$4,$A$4:$E$1021,5,FALSE))-E61)^2))</f>
        <v/>
      </c>
    </row>
    <row r="62">
      <c r="A62" s="125" t="inlineStr">
        <is>
          <t>W10X72</t>
        </is>
      </c>
      <c r="B62" s="129" t="inlineStr">
        <is>
          <t>AISC</t>
        </is>
      </c>
      <c r="C62" s="125" t="n">
        <v>107.1</v>
      </c>
      <c r="D62" s="125" t="n">
        <v>266.7</v>
      </c>
      <c r="E62" s="125" t="n">
        <v>258.8</v>
      </c>
      <c r="F62" s="125" t="n">
        <v>20.5</v>
      </c>
      <c r="G62" s="125" t="n">
        <v>12.8</v>
      </c>
      <c r="H62" s="125" t="n">
        <v>12.7</v>
      </c>
      <c r="I62" s="125" t="n">
        <v>200.3</v>
      </c>
      <c r="J62" s="125" t="n">
        <v>136</v>
      </c>
      <c r="K62" s="125" t="n">
        <v>6.31</v>
      </c>
      <c r="L62" s="125" t="n">
        <v>15.6</v>
      </c>
      <c r="M62" s="125" t="n">
        <v>1.52</v>
      </c>
      <c r="N62" s="125" t="n">
        <v>17510</v>
      </c>
      <c r="O62" s="125" t="n">
        <v>5928</v>
      </c>
      <c r="P62" s="125" t="n">
        <v>11.3</v>
      </c>
      <c r="Q62" s="125" t="n">
        <v>6.59</v>
      </c>
      <c r="R62" s="125" t="n">
        <v>1313</v>
      </c>
      <c r="S62" s="125" t="n">
        <v>458</v>
      </c>
      <c r="T62" s="125">
        <f>(((E62*D62*D62)/4)-(((E62-G62)*(D62-F62-F62)*(D62-F62-F62))/4)+(4*(H62*H62*(D62/2-F62-(H62/2))-((PI()*H62*H62)/4*((D62/2)-F62-(H62-((4*H62)/(3*PI()))))))))/1000</f>
        <v/>
      </c>
      <c r="U62" s="125">
        <f>(((D62*E62*E62)/4)-(2*((D62-F62-F62)*(E62/2-(G62/2))*(((E62/2-(G62/2))/2)+(G62/2))))+(4*(((H62*H62)-(((PI()*H62*H62)/4)))*((H62-((4*H62)/(3*PI())))+(G62/2)))))/1000</f>
        <v/>
      </c>
      <c r="V62" s="125" t="n">
        <v>1484</v>
      </c>
      <c r="W62" s="125" t="n">
        <v>697</v>
      </c>
      <c r="Y62">
        <f>SQRT((((VLOOKUP($X$4,$A$4:$D$1021,4,FALSE))-D62)^2)+(((VLOOKUP($X$4,$A$4:$E$1021,5,FALSE))-E62)^2))</f>
        <v/>
      </c>
    </row>
    <row r="63">
      <c r="A63" s="125" t="inlineStr">
        <is>
          <t>W10X77</t>
        </is>
      </c>
      <c r="B63" s="129" t="inlineStr">
        <is>
          <t>AISC</t>
        </is>
      </c>
      <c r="C63" s="125" t="n">
        <v>114.6</v>
      </c>
      <c r="D63" s="125" t="n">
        <v>269.2</v>
      </c>
      <c r="E63" s="125" t="n">
        <v>258.8</v>
      </c>
      <c r="F63" s="125" t="n">
        <v>22.1</v>
      </c>
      <c r="G63" s="125" t="n">
        <v>13.5</v>
      </c>
      <c r="H63" s="125" t="n">
        <v>12.7</v>
      </c>
      <c r="I63" s="125" t="n">
        <v>199.6</v>
      </c>
      <c r="J63" s="125" t="n">
        <v>146</v>
      </c>
      <c r="K63" s="125" t="n">
        <v>5.86</v>
      </c>
      <c r="L63" s="125" t="n">
        <v>14.8</v>
      </c>
      <c r="M63" s="125" t="n">
        <v>1.52</v>
      </c>
      <c r="N63" s="125" t="n">
        <v>18950</v>
      </c>
      <c r="O63" s="125" t="n">
        <v>6391</v>
      </c>
      <c r="P63" s="125" t="n">
        <v>11.4</v>
      </c>
      <c r="Q63" s="125" t="n">
        <v>6.61</v>
      </c>
      <c r="R63" s="125" t="n">
        <v>1408</v>
      </c>
      <c r="S63" s="125" t="n">
        <v>494</v>
      </c>
      <c r="T63" s="125">
        <f>(((E63*D63*D63)/4)-(((E63-G63)*(D63-F63-F63)*(D63-F63-F63))/4)+(4*(H63*H63*(D63/2-F63-(H63/2))-((PI()*H63*H63)/4*((D63/2)-F63-(H63-((4*H63)/(3*PI()))))))))/1000</f>
        <v/>
      </c>
      <c r="U63" s="125">
        <f>(((D63*E63*E63)/4)-(2*((D63-F63-F63)*(E63/2-(G63/2))*(((E63/2-(G63/2))/2)+(G63/2))))+(4*(((H63*H63)-(((PI()*H63*H63)/4)))*((H63-((4*H63)/(3*PI())))+(G63/2)))))/1000</f>
        <v/>
      </c>
      <c r="V63" s="125" t="n">
        <v>1599</v>
      </c>
      <c r="W63" s="125" t="n">
        <v>752</v>
      </c>
      <c r="Y63">
        <f>SQRT((((VLOOKUP($X$4,$A$4:$D$1021,4,FALSE))-D63)^2)+(((VLOOKUP($X$4,$A$4:$E$1021,5,FALSE))-E63)^2))</f>
        <v/>
      </c>
    </row>
    <row r="64">
      <c r="A64" s="125" t="inlineStr">
        <is>
          <t>W10X88</t>
        </is>
      </c>
      <c r="B64" s="129" t="inlineStr">
        <is>
          <t>AISC</t>
        </is>
      </c>
      <c r="C64" s="125" t="n">
        <v>131</v>
      </c>
      <c r="D64" s="125" t="n">
        <v>275.3</v>
      </c>
      <c r="E64" s="125" t="n">
        <v>260.7</v>
      </c>
      <c r="F64" s="125" t="n">
        <v>25.2</v>
      </c>
      <c r="G64" s="125" t="n">
        <v>15.4</v>
      </c>
      <c r="H64" s="125" t="n">
        <v>12.7</v>
      </c>
      <c r="I64" s="125" t="n">
        <v>199.6</v>
      </c>
      <c r="J64" s="125" t="n">
        <v>167</v>
      </c>
      <c r="K64" s="125" t="n">
        <v>5.18</v>
      </c>
      <c r="L64" s="125" t="n">
        <v>13</v>
      </c>
      <c r="M64" s="125" t="n">
        <v>1.54</v>
      </c>
      <c r="N64" s="125" t="n">
        <v>22210</v>
      </c>
      <c r="O64" s="125" t="n">
        <v>7436</v>
      </c>
      <c r="P64" s="125" t="n">
        <v>11.5</v>
      </c>
      <c r="Q64" s="125" t="n">
        <v>6.67</v>
      </c>
      <c r="R64" s="125" t="n">
        <v>1613</v>
      </c>
      <c r="S64" s="125" t="n">
        <v>570</v>
      </c>
      <c r="T64" s="125">
        <f>(((E64*D64*D64)/4)-(((E64-G64)*(D64-F64-F64)*(D64-F64-F64))/4)+(4*(H64*H64*(D64/2-F64-(H64/2))-((PI()*H64*H64)/4*((D64/2)-F64-(H64-((4*H64)/(3*PI()))))))))/1000</f>
        <v/>
      </c>
      <c r="U64" s="125">
        <f>(((D64*E64*E64)/4)-(2*((D64-F64-F64)*(E64/2-(G64/2))*(((E64/2-(G64/2))/2)+(G64/2))))+(4*(((H64*H64)-(((PI()*H64*H64)/4)))*((H64-((4*H64)/(3*PI())))+(G64/2)))))/1000</f>
        <v/>
      </c>
      <c r="V64" s="125" t="n">
        <v>1850</v>
      </c>
      <c r="W64" s="125" t="n">
        <v>869</v>
      </c>
      <c r="Y64">
        <f>SQRT((((VLOOKUP($X$4,$A$4:$D$1021,4,FALSE))-D64)^2)+(((VLOOKUP($X$4,$A$4:$E$1021,5,FALSE))-E64)^2))</f>
        <v/>
      </c>
    </row>
    <row r="65">
      <c r="A65" s="125" t="inlineStr">
        <is>
          <t>W10X89</t>
        </is>
      </c>
      <c r="B65" s="129" t="inlineStr">
        <is>
          <t>AISC</t>
        </is>
      </c>
      <c r="C65" s="125" t="n">
        <v>132</v>
      </c>
      <c r="D65" s="125" t="n">
        <v>276.3</v>
      </c>
      <c r="E65" s="125" t="n">
        <v>261.3</v>
      </c>
      <c r="F65" s="125" t="n">
        <v>25.3</v>
      </c>
      <c r="G65" s="125" t="n">
        <v>15.3</v>
      </c>
      <c r="H65" s="125" t="n">
        <v>12.7</v>
      </c>
      <c r="I65" s="125" t="n">
        <v>200.3</v>
      </c>
      <c r="J65" s="125" t="n">
        <v>168</v>
      </c>
      <c r="K65" s="125" t="n">
        <v>5.16</v>
      </c>
      <c r="L65" s="125" t="n">
        <v>13.1</v>
      </c>
      <c r="M65" s="125" t="n">
        <v>1.55</v>
      </c>
      <c r="N65" s="125" t="n">
        <v>22530</v>
      </c>
      <c r="O65" s="125" t="n">
        <v>7531</v>
      </c>
      <c r="P65" s="125" t="n">
        <v>11.6</v>
      </c>
      <c r="Q65" s="125" t="n">
        <v>6.69</v>
      </c>
      <c r="R65" s="125" t="n">
        <v>1631</v>
      </c>
      <c r="S65" s="125" t="n">
        <v>576</v>
      </c>
      <c r="T65" s="125">
        <f>(((E65*D65*D65)/4)-(((E65-G65)*(D65-F65-F65)*(D65-F65-F65))/4)+(4*(H65*H65*(D65/2-F65-(H65/2))-((PI()*H65*H65)/4*((D65/2)-F65-(H65-((4*H65)/(3*PI()))))))))/1000</f>
        <v/>
      </c>
      <c r="U65" s="125">
        <f>(((D65*E65*E65)/4)-(2*((D65-F65-F65)*(E65/2-(G65/2))*(((E65/2-(G65/2))/2)+(G65/2))))+(4*(((H65*H65)-(((PI()*H65*H65)/4)))*((H65-((4*H65)/(3*PI())))+(G65/2)))))/1000</f>
        <v/>
      </c>
      <c r="V65" s="125" t="n">
        <v>1869</v>
      </c>
      <c r="W65" s="125" t="n">
        <v>878</v>
      </c>
      <c r="Y65">
        <f>SQRT((((VLOOKUP($X$4,$A$4:$D$1021,4,FALSE))-D65)^2)+(((VLOOKUP($X$4,$A$4:$E$1021,5,FALSE))-E65)^2))</f>
        <v/>
      </c>
    </row>
    <row r="66">
      <c r="A66" s="125" t="inlineStr">
        <is>
          <t>W10X100</t>
        </is>
      </c>
      <c r="B66" s="129" t="inlineStr">
        <is>
          <t>AISC</t>
        </is>
      </c>
      <c r="C66" s="125" t="n">
        <v>148.8</v>
      </c>
      <c r="D66" s="125" t="n">
        <v>281.9</v>
      </c>
      <c r="E66" s="125" t="n">
        <v>262.6</v>
      </c>
      <c r="F66" s="125" t="n">
        <v>28.5</v>
      </c>
      <c r="G66" s="125" t="n">
        <v>17.3</v>
      </c>
      <c r="H66" s="125" t="n">
        <v>12.7</v>
      </c>
      <c r="I66" s="125" t="n">
        <v>199.6</v>
      </c>
      <c r="J66" s="125" t="n">
        <v>190</v>
      </c>
      <c r="K66" s="125" t="n">
        <v>4.62</v>
      </c>
      <c r="L66" s="125" t="n">
        <v>11.6</v>
      </c>
      <c r="M66" s="125" t="n">
        <v>1.56</v>
      </c>
      <c r="N66" s="125" t="n">
        <v>25900</v>
      </c>
      <c r="O66" s="125" t="n">
        <v>8598</v>
      </c>
      <c r="P66" s="125" t="n">
        <v>11.7</v>
      </c>
      <c r="Q66" s="125" t="n">
        <v>6.73</v>
      </c>
      <c r="R66" s="125" t="n">
        <v>1838</v>
      </c>
      <c r="S66" s="125" t="n">
        <v>655</v>
      </c>
      <c r="T66" s="125">
        <f>(((E66*D66*D66)/4)-(((E66-G66)*(D66-F66-F66)*(D66-F66-F66))/4)+(4*(H66*H66*(D66/2-F66-(H66/2))-((PI()*H66*H66)/4*((D66/2)-F66-(H66-((4*H66)/(3*PI()))))))))/1000</f>
        <v/>
      </c>
      <c r="U66" s="125">
        <f>(((D66*E66*E66)/4)-(2*((D66-F66-F66)*(E66/2-(G66/2))*(((E66/2-(G66/2))/2)+(G66/2))))+(4*(((H66*H66)-(((PI()*H66*H66)/4)))*((H66-((4*H66)/(3*PI())))+(G66/2)))))/1000</f>
        <v/>
      </c>
      <c r="V66" s="125" t="n">
        <v>2127</v>
      </c>
      <c r="W66" s="125" t="n">
        <v>999</v>
      </c>
      <c r="Y66">
        <f>SQRT((((VLOOKUP($X$4,$A$4:$D$1021,4,FALSE))-D66)^2)+(((VLOOKUP($X$4,$A$4:$E$1021,5,FALSE))-E66)^2))</f>
        <v/>
      </c>
    </row>
    <row r="67">
      <c r="A67" s="125" t="inlineStr">
        <is>
          <t>W10X112</t>
        </is>
      </c>
      <c r="B67" s="129" t="inlineStr">
        <is>
          <t>AISC</t>
        </is>
      </c>
      <c r="C67" s="125" t="n">
        <v>167.1</v>
      </c>
      <c r="D67" s="125" t="n">
        <v>289.1</v>
      </c>
      <c r="E67" s="125" t="n">
        <v>265.2</v>
      </c>
      <c r="F67" s="125" t="n">
        <v>31.7</v>
      </c>
      <c r="G67" s="125" t="n">
        <v>19.2</v>
      </c>
      <c r="H67" s="125" t="n">
        <v>12.7</v>
      </c>
      <c r="I67" s="125" t="n">
        <v>200.3</v>
      </c>
      <c r="J67" s="125" t="n">
        <v>213</v>
      </c>
      <c r="K67" s="125" t="n">
        <v>4.18</v>
      </c>
      <c r="L67" s="125" t="n">
        <v>10.4</v>
      </c>
      <c r="M67" s="125" t="n">
        <v>1.58</v>
      </c>
      <c r="N67" s="125" t="n">
        <v>30000</v>
      </c>
      <c r="O67" s="125" t="n">
        <v>9870</v>
      </c>
      <c r="P67" s="125" t="n">
        <v>11.9</v>
      </c>
      <c r="Q67" s="125" t="n">
        <v>6.81</v>
      </c>
      <c r="R67" s="125" t="n">
        <v>2075</v>
      </c>
      <c r="S67" s="125" t="n">
        <v>744</v>
      </c>
      <c r="T67" s="125">
        <f>(((E67*D67*D67)/4)-(((E67-G67)*(D67-F67-F67)*(D67-F67-F67))/4)+(4*(H67*H67*(D67/2-F67-(H67/2))-((PI()*H67*H67)/4*((D67/2)-F67-(H67-((4*H67)/(3*PI()))))))))/1000</f>
        <v/>
      </c>
      <c r="U67" s="125">
        <f>(((D67*E67*E67)/4)-(2*((D67-F67-F67)*(E67/2-(G67/2))*(((E67/2-(G67/2))/2)+(G67/2))))+(4*(((H67*H67)-(((PI()*H67*H67)/4)))*((H67-((4*H67)/(3*PI())))+(G67/2)))))/1000</f>
        <v/>
      </c>
      <c r="V67" s="125" t="n">
        <v>2424</v>
      </c>
      <c r="W67" s="125" t="n">
        <v>1137</v>
      </c>
      <c r="Y67">
        <f>SQRT((((VLOOKUP($X$4,$A$4:$D$1021,4,FALSE))-D67)^2)+(((VLOOKUP($X$4,$A$4:$E$1021,5,FALSE))-E67)^2))</f>
        <v/>
      </c>
    </row>
    <row r="68">
      <c r="A68" s="125" t="inlineStr">
        <is>
          <t>W12X14</t>
        </is>
      </c>
      <c r="B68" s="129" t="inlineStr">
        <is>
          <t>AISC</t>
        </is>
      </c>
      <c r="C68" s="125" t="n">
        <v>20.8</v>
      </c>
      <c r="D68" s="125" t="n">
        <v>302.5</v>
      </c>
      <c r="E68" s="125" t="n">
        <v>100.8</v>
      </c>
      <c r="F68" s="125" t="n">
        <v>5.7</v>
      </c>
      <c r="G68" s="129" t="n">
        <v>5.1</v>
      </c>
      <c r="H68" s="125" t="n">
        <v>7.6</v>
      </c>
      <c r="I68" s="125" t="n">
        <v>275.8</v>
      </c>
      <c r="J68" s="125" t="n">
        <v>26.8</v>
      </c>
      <c r="K68" s="125" t="n">
        <v>8.83</v>
      </c>
      <c r="L68" s="125" t="n">
        <v>54.3</v>
      </c>
      <c r="M68" s="125" t="n">
        <v>0.985</v>
      </c>
      <c r="N68" s="125" t="n">
        <v>3682</v>
      </c>
      <c r="O68" s="125" t="n">
        <v>97.90000000000001</v>
      </c>
      <c r="P68" s="125" t="n">
        <v>11.7</v>
      </c>
      <c r="Q68" s="125" t="n">
        <v>1.91</v>
      </c>
      <c r="R68" s="125" t="n">
        <v>243</v>
      </c>
      <c r="S68" s="125" t="n">
        <v>19.4</v>
      </c>
      <c r="T68" s="125">
        <f>(((E68*D68*D68)/4)-(((E68-G68)*(D68-F68-F68)*(D68-F68-F68))/4)+(4*(H68*H68*(D68/2-F68-(H68/2))-((PI()*H68*H68)/4*((D68/2)-F68-(H68-((4*H68)/(3*PI()))))))))/1000</f>
        <v/>
      </c>
      <c r="U68" s="125">
        <f>(((D68*E68*E68)/4)-(2*((D68-F68-F68)*(E68/2-(G68/2))*(((E68/2-(G68/2))/2)+(G68/2))))+(4*(((H68*H68)-(((PI()*H68*H68)/4)))*((H68-((4*H68)/(3*PI())))+(G68/2)))))/1000</f>
        <v/>
      </c>
      <c r="V68" s="125" t="n">
        <v>286</v>
      </c>
      <c r="W68" s="125" t="n">
        <v>31.1</v>
      </c>
      <c r="Y68">
        <f>SQRT((((VLOOKUP($X$4,$A$4:$D$1021,4,FALSE))-D68)^2)+(((VLOOKUP($X$4,$A$4:$E$1021,5,FALSE))-E68)^2))</f>
        <v/>
      </c>
    </row>
    <row r="69">
      <c r="A69" s="125" t="inlineStr">
        <is>
          <t>W12X16</t>
        </is>
      </c>
      <c r="B69" s="129" t="inlineStr">
        <is>
          <t>AISC</t>
        </is>
      </c>
      <c r="C69" s="125" t="n">
        <v>23.8</v>
      </c>
      <c r="D69" s="125" t="n">
        <v>304.5</v>
      </c>
      <c r="E69" s="125" t="n">
        <v>101.3</v>
      </c>
      <c r="F69" s="125" t="n">
        <v>6.7</v>
      </c>
      <c r="G69" s="125" t="n">
        <v>5.6</v>
      </c>
      <c r="H69" s="125" t="n">
        <v>7.6</v>
      </c>
      <c r="I69" s="125" t="n">
        <v>275.8</v>
      </c>
      <c r="J69" s="125" t="n">
        <v>30.4</v>
      </c>
      <c r="K69" s="125" t="n">
        <v>7.53</v>
      </c>
      <c r="L69" s="125" t="n">
        <v>49.3</v>
      </c>
      <c r="M69" s="125" t="n">
        <v>0.99</v>
      </c>
      <c r="N69" s="125" t="n">
        <v>4274</v>
      </c>
      <c r="O69" s="125" t="n">
        <v>117</v>
      </c>
      <c r="P69" s="125" t="n">
        <v>11.9</v>
      </c>
      <c r="Q69" s="125" t="n">
        <v>1.96</v>
      </c>
      <c r="R69" s="125" t="n">
        <v>281</v>
      </c>
      <c r="S69" s="125" t="n">
        <v>23.1</v>
      </c>
      <c r="T69" s="125">
        <f>(((E69*D69*D69)/4)-(((E69-G69)*(D69-F69-F69)*(D69-F69-F69))/4)+(4*(H69*H69*(D69/2-F69-(H69/2))-((PI()*H69*H69)/4*((D69/2)-F69-(H69-((4*H69)/(3*PI()))))))))/1000</f>
        <v/>
      </c>
      <c r="U69" s="125">
        <f>(((D69*E69*E69)/4)-(2*((D69-F69-F69)*(E69/2-(G69/2))*(((E69/2-(G69/2))/2)+(G69/2))))+(4*(((H69*H69)-(((PI()*H69*H69)/4)))*((H69-((4*H69)/(3*PI())))+(G69/2)))))/1000</f>
        <v/>
      </c>
      <c r="V69" s="125" t="n">
        <v>329</v>
      </c>
      <c r="W69" s="125" t="n">
        <v>37</v>
      </c>
      <c r="Y69">
        <f>SQRT((((VLOOKUP($X$4,$A$4:$D$1021,4,FALSE))-D69)^2)+(((VLOOKUP($X$4,$A$4:$E$1021,5,FALSE))-E69)^2))</f>
        <v/>
      </c>
    </row>
    <row r="70">
      <c r="A70" s="125" t="inlineStr">
        <is>
          <t>W12X16.5</t>
        </is>
      </c>
      <c r="B70" s="129" t="inlineStr">
        <is>
          <t>AISC</t>
        </is>
      </c>
      <c r="C70" s="125" t="n">
        <v>24.8</v>
      </c>
      <c r="D70" s="125" t="n">
        <v>305.1</v>
      </c>
      <c r="E70" s="125" t="n">
        <v>101.6</v>
      </c>
      <c r="F70" s="125" t="n">
        <v>7</v>
      </c>
      <c r="G70" s="125" t="n">
        <v>5.8</v>
      </c>
      <c r="H70" s="125" t="n">
        <v>7.6</v>
      </c>
      <c r="I70" s="125" t="n">
        <v>275.9</v>
      </c>
      <c r="J70" s="125" t="n">
        <v>31.6</v>
      </c>
      <c r="K70" s="125" t="n">
        <v>7.26</v>
      </c>
      <c r="L70" s="125" t="n">
        <v>47.6</v>
      </c>
      <c r="M70" s="125" t="n">
        <v>0.992</v>
      </c>
      <c r="N70" s="125" t="n">
        <v>4455</v>
      </c>
      <c r="O70" s="125" t="n">
        <v>123</v>
      </c>
      <c r="P70" s="125" t="n">
        <v>11.9</v>
      </c>
      <c r="Q70" s="125" t="n">
        <v>1.97</v>
      </c>
      <c r="R70" s="125" t="n">
        <v>292</v>
      </c>
      <c r="S70" s="125" t="n">
        <v>24.2</v>
      </c>
      <c r="T70" s="125">
        <f>(((E70*D70*D70)/4)-(((E70-G70)*(D70-F70-F70)*(D70-F70-F70))/4)+(4*(H70*H70*(D70/2-F70-(H70/2))-((PI()*H70*H70)/4*((D70/2)-F70-(H70-((4*H70)/(3*PI()))))))))/1000</f>
        <v/>
      </c>
      <c r="U70" s="125">
        <f>(((D70*E70*E70)/4)-(2*((D70-F70-F70)*(E70/2-(G70/2))*(((E70/2-(G70/2))/2)+(G70/2))))+(4*(((H70*H70)-(((PI()*H70*H70)/4)))*((H70-((4*H70)/(3*PI())))+(G70/2)))))/1000</f>
        <v/>
      </c>
      <c r="V70" s="125" t="n">
        <v>342</v>
      </c>
      <c r="W70" s="125" t="n">
        <v>38.8</v>
      </c>
      <c r="Y70">
        <f>SQRT((((VLOOKUP($X$4,$A$4:$D$1021,4,FALSE))-D70)^2)+(((VLOOKUP($X$4,$A$4:$E$1021,5,FALSE))-E70)^2))</f>
        <v/>
      </c>
    </row>
    <row r="71">
      <c r="A71" s="125" t="inlineStr">
        <is>
          <t>W12X19</t>
        </is>
      </c>
      <c r="B71" s="129" t="inlineStr">
        <is>
          <t>AISC</t>
        </is>
      </c>
      <c r="C71" s="125" t="n">
        <v>28.2</v>
      </c>
      <c r="D71" s="125" t="n">
        <v>308.7</v>
      </c>
      <c r="E71" s="125" t="n">
        <v>101.8</v>
      </c>
      <c r="F71" s="125" t="n">
        <v>8.800000000000001</v>
      </c>
      <c r="G71" s="125" t="n">
        <v>6</v>
      </c>
      <c r="H71" s="125" t="n">
        <v>7.6</v>
      </c>
      <c r="I71" s="125" t="n">
        <v>275.9</v>
      </c>
      <c r="J71" s="125" t="n">
        <v>35.9</v>
      </c>
      <c r="K71" s="125" t="n">
        <v>5.78</v>
      </c>
      <c r="L71" s="125" t="n">
        <v>46</v>
      </c>
      <c r="M71" s="125" t="n">
        <v>1</v>
      </c>
      <c r="N71" s="125" t="n">
        <v>5366</v>
      </c>
      <c r="O71" s="125" t="n">
        <v>155</v>
      </c>
      <c r="P71" s="125" t="n">
        <v>12.2</v>
      </c>
      <c r="Q71" s="125" t="n">
        <v>2.08</v>
      </c>
      <c r="R71" s="125" t="n">
        <v>348</v>
      </c>
      <c r="S71" s="125" t="n">
        <v>30.5</v>
      </c>
      <c r="T71" s="125">
        <f>(((E71*D71*D71)/4)-(((E71-G71)*(D71-F71-F71)*(D71-F71-F71))/4)+(4*(H71*H71*(D71/2-F71-(H71/2))-((PI()*H71*H71)/4*((D71/2)-F71-(H71-((4*H71)/(3*PI()))))))))/1000</f>
        <v/>
      </c>
      <c r="U71" s="125">
        <f>(((D71*E71*E71)/4)-(2*((D71-F71-F71)*(E71/2-(G71/2))*(((E71/2-(G71/2))/2)+(G71/2))))+(4*(((H71*H71)-(((PI()*H71*H71)/4)))*((H71-((4*H71)/(3*PI())))+(G71/2)))))/1000</f>
        <v/>
      </c>
      <c r="V71" s="125" t="n">
        <v>403</v>
      </c>
      <c r="W71" s="125" t="n">
        <v>48.5</v>
      </c>
      <c r="Y71">
        <f>SQRT((((VLOOKUP($X$4,$A$4:$D$1021,4,FALSE))-D71)^2)+(((VLOOKUP($X$4,$A$4:$E$1021,5,FALSE))-E71)^2))</f>
        <v/>
      </c>
    </row>
    <row r="72">
      <c r="A72" s="125" t="inlineStr">
        <is>
          <t>W12X22</t>
        </is>
      </c>
      <c r="B72" s="129" t="inlineStr">
        <is>
          <t>AISC</t>
        </is>
      </c>
      <c r="C72" s="125" t="n">
        <v>32.8</v>
      </c>
      <c r="D72" s="125" t="n">
        <v>312.7</v>
      </c>
      <c r="E72" s="125" t="n">
        <v>102.4</v>
      </c>
      <c r="F72" s="125" t="n">
        <v>10.8</v>
      </c>
      <c r="G72" s="125" t="n">
        <v>6.6</v>
      </c>
      <c r="H72" s="125" t="n">
        <v>7.6</v>
      </c>
      <c r="I72" s="125" t="n">
        <v>275.9</v>
      </c>
      <c r="J72" s="125" t="n">
        <v>41.8</v>
      </c>
      <c r="K72" s="125" t="n">
        <v>4.74</v>
      </c>
      <c r="L72" s="125" t="n">
        <v>41.8</v>
      </c>
      <c r="M72" s="125" t="n">
        <v>1.01</v>
      </c>
      <c r="N72" s="125" t="n">
        <v>6501</v>
      </c>
      <c r="O72" s="125" t="n">
        <v>194</v>
      </c>
      <c r="P72" s="125" t="n">
        <v>12.5</v>
      </c>
      <c r="Q72" s="125" t="n">
        <v>2.15</v>
      </c>
      <c r="R72" s="125" t="n">
        <v>416</v>
      </c>
      <c r="S72" s="125" t="n">
        <v>37.9</v>
      </c>
      <c r="T72" s="125">
        <f>(((E72*D72*D72)/4)-(((E72-G72)*(D72-F72-F72)*(D72-F72-F72))/4)+(4*(H72*H72*(D72/2-F72-(H72/2))-((PI()*H72*H72)/4*((D72/2)-F72-(H72-((4*H72)/(3*PI()))))))))/1000</f>
        <v/>
      </c>
      <c r="U72" s="125">
        <f>(((D72*E72*E72)/4)-(2*((D72-F72-F72)*(E72/2-(G72/2))*(((E72/2-(G72/2))/2)+(G72/2))))+(4*(((H72*H72)-(((PI()*H72*H72)/4)))*((H72-((4*H72)/(3*PI())))+(G72/2)))))/1000</f>
        <v/>
      </c>
      <c r="V72" s="125" t="n">
        <v>481</v>
      </c>
      <c r="W72" s="125" t="n">
        <v>60</v>
      </c>
      <c r="Y72">
        <f>SQRT((((VLOOKUP($X$4,$A$4:$D$1021,4,FALSE))-D72)^2)+(((VLOOKUP($X$4,$A$4:$E$1021,5,FALSE))-E72)^2))</f>
        <v/>
      </c>
    </row>
    <row r="73">
      <c r="A73" s="125" t="inlineStr">
        <is>
          <t>W12X25</t>
        </is>
      </c>
      <c r="B73" s="129" t="inlineStr">
        <is>
          <t>AISC</t>
        </is>
      </c>
      <c r="C73" s="125" t="n">
        <v>37</v>
      </c>
      <c r="D73" s="125" t="n">
        <v>304.4</v>
      </c>
      <c r="E73" s="125" t="n">
        <v>123.3</v>
      </c>
      <c r="F73" s="125" t="n">
        <v>10.7</v>
      </c>
      <c r="G73" s="125" t="n">
        <v>7.1</v>
      </c>
      <c r="H73" s="125" t="n">
        <v>8.9</v>
      </c>
      <c r="I73" s="125" t="n">
        <v>265.2</v>
      </c>
      <c r="J73" s="125" t="n">
        <v>47.2</v>
      </c>
      <c r="K73" s="125" t="n">
        <v>5.76</v>
      </c>
      <c r="L73" s="125" t="n">
        <v>37.4</v>
      </c>
      <c r="M73" s="125" t="n">
        <v>1.07</v>
      </c>
      <c r="N73" s="125" t="n">
        <v>7166</v>
      </c>
      <c r="O73" s="125" t="n">
        <v>335</v>
      </c>
      <c r="P73" s="125" t="n">
        <v>12.3</v>
      </c>
      <c r="Q73" s="125" t="n">
        <v>2.67</v>
      </c>
      <c r="R73" s="125" t="n">
        <v>471</v>
      </c>
      <c r="S73" s="125" t="n">
        <v>54.4</v>
      </c>
      <c r="T73" s="125">
        <f>(((E73*D73*D73)/4)-(((E73-G73)*(D73-F73-F73)*(D73-F73-F73))/4)+(4*(H73*H73*(D73/2-F73-(H73/2))-((PI()*H73*H73)/4*((D73/2)-F73-(H73-((4*H73)/(3*PI()))))))))/1000</f>
        <v/>
      </c>
      <c r="U73" s="125">
        <f>(((D73*E73*E73)/4)-(2*((D73-F73-F73)*(E73/2-(G73/2))*(((E73/2-(G73/2))/2)+(G73/2))))+(4*(((H73*H73)-(((PI()*H73*H73)/4)))*((H73-((4*H73)/(3*PI())))+(G73/2)))))/1000</f>
        <v/>
      </c>
      <c r="V73" s="125" t="n">
        <v>539</v>
      </c>
      <c r="W73" s="125" t="n">
        <v>85.3</v>
      </c>
      <c r="Y73">
        <f>SQRT((((VLOOKUP($X$4,$A$4:$D$1021,4,FALSE))-D73)^2)+(((VLOOKUP($X$4,$A$4:$E$1021,5,FALSE))-E73)^2))</f>
        <v/>
      </c>
    </row>
    <row r="74">
      <c r="A74" s="125" t="inlineStr">
        <is>
          <t>W12X28</t>
        </is>
      </c>
      <c r="B74" s="129" t="inlineStr">
        <is>
          <t>AISC</t>
        </is>
      </c>
      <c r="C74" s="125" t="n">
        <v>41.9</v>
      </c>
      <c r="D74" s="125" t="n">
        <v>307.2</v>
      </c>
      <c r="E74" s="125" t="n">
        <v>124.3</v>
      </c>
      <c r="F74" s="125" t="n">
        <v>12.1</v>
      </c>
      <c r="G74" s="125" t="n">
        <v>8</v>
      </c>
      <c r="H74" s="125" t="n">
        <v>8.9</v>
      </c>
      <c r="I74" s="125" t="n">
        <v>265.2</v>
      </c>
      <c r="J74" s="125" t="n">
        <v>53.4</v>
      </c>
      <c r="K74" s="125" t="n">
        <v>5.14</v>
      </c>
      <c r="L74" s="125" t="n">
        <v>33.2</v>
      </c>
      <c r="M74" s="125" t="n">
        <v>1.08</v>
      </c>
      <c r="N74" s="125" t="n">
        <v>8196</v>
      </c>
      <c r="O74" s="125" t="n">
        <v>389</v>
      </c>
      <c r="P74" s="125" t="n">
        <v>12.4</v>
      </c>
      <c r="Q74" s="125" t="n">
        <v>2.7</v>
      </c>
      <c r="R74" s="125" t="n">
        <v>534</v>
      </c>
      <c r="S74" s="125" t="n">
        <v>62.6</v>
      </c>
      <c r="T74" s="125">
        <f>(((E74*D74*D74)/4)-(((E74-G74)*(D74-F74-F74)*(D74-F74-F74))/4)+(4*(H74*H74*(D74/2-F74-(H74/2))-((PI()*H74*H74)/4*((D74/2)-F74-(H74-((4*H74)/(3*PI()))))))))/1000</f>
        <v/>
      </c>
      <c r="U74" s="125">
        <f>(((D74*E74*E74)/4)-(2*((D74-F74-F74)*(E74/2-(G74/2))*(((E74/2-(G74/2))/2)+(G74/2))))+(4*(((H74*H74)-(((PI()*H74*H74)/4)))*((H74-((4*H74)/(3*PI())))+(G74/2)))))/1000</f>
        <v/>
      </c>
      <c r="V74" s="125" t="n">
        <v>614</v>
      </c>
      <c r="W74" s="125" t="n">
        <v>98.40000000000001</v>
      </c>
      <c r="Y74">
        <f>SQRT((((VLOOKUP($X$4,$A$4:$D$1021,4,FALSE))-D74)^2)+(((VLOOKUP($X$4,$A$4:$E$1021,5,FALSE))-E74)^2))</f>
        <v/>
      </c>
    </row>
    <row r="75">
      <c r="A75" s="125" t="inlineStr">
        <is>
          <t>W12X32</t>
        </is>
      </c>
      <c r="B75" s="129" t="inlineStr">
        <is>
          <t>AISC</t>
        </is>
      </c>
      <c r="C75" s="125" t="n">
        <v>48.1</v>
      </c>
      <c r="D75" s="125" t="n">
        <v>311</v>
      </c>
      <c r="E75" s="125" t="n">
        <v>125.3</v>
      </c>
      <c r="F75" s="125" t="n">
        <v>14</v>
      </c>
      <c r="G75" s="125" t="n">
        <v>9</v>
      </c>
      <c r="H75" s="125" t="n">
        <v>8.9</v>
      </c>
      <c r="I75" s="125" t="n">
        <v>265.2</v>
      </c>
      <c r="J75" s="125" t="n">
        <v>61.2</v>
      </c>
      <c r="K75" s="125" t="n">
        <v>4.48</v>
      </c>
      <c r="L75" s="125" t="n">
        <v>29.5</v>
      </c>
      <c r="M75" s="125" t="n">
        <v>1.09</v>
      </c>
      <c r="N75" s="125" t="n">
        <v>9575</v>
      </c>
      <c r="O75" s="125" t="n">
        <v>461</v>
      </c>
      <c r="P75" s="125" t="n">
        <v>12.5</v>
      </c>
      <c r="Q75" s="125" t="n">
        <v>2.74</v>
      </c>
      <c r="R75" s="125" t="n">
        <v>616</v>
      </c>
      <c r="S75" s="125" t="n">
        <v>73.59999999999999</v>
      </c>
      <c r="T75" s="125">
        <f>(((E75*D75*D75)/4)-(((E75-G75)*(D75-F75-F75)*(D75-F75-F75))/4)+(4*(H75*H75*(D75/2-F75-(H75/2))-((PI()*H75*H75)/4*((D75/2)-F75-(H75-((4*H75)/(3*PI()))))))))/1000</f>
        <v/>
      </c>
      <c r="U75" s="125">
        <f>(((D75*E75*E75)/4)-(2*((D75-F75-F75)*(E75/2-(G75/2))*(((E75/2-(G75/2))/2)+(G75/2))))+(4*(((H75*H75)-(((PI()*H75*H75)/4)))*((H75-((4*H75)/(3*PI())))+(G75/2)))))/1000</f>
        <v/>
      </c>
      <c r="V75" s="125" t="n">
        <v>711</v>
      </c>
      <c r="W75" s="125" t="n">
        <v>116</v>
      </c>
      <c r="Y75">
        <f>SQRT((((VLOOKUP($X$4,$A$4:$D$1021,4,FALSE))-D75)^2)+(((VLOOKUP($X$4,$A$4:$E$1021,5,FALSE))-E75)^2))</f>
        <v/>
      </c>
    </row>
    <row r="76">
      <c r="A76" s="125" t="inlineStr">
        <is>
          <t>W12X21</t>
        </is>
      </c>
      <c r="B76" s="129" t="inlineStr">
        <is>
          <t>AISC</t>
        </is>
      </c>
      <c r="C76" s="125" t="n">
        <v>31</v>
      </c>
      <c r="D76" s="125" t="n">
        <v>306</v>
      </c>
      <c r="E76" s="125" t="n">
        <v>164</v>
      </c>
      <c r="F76" s="125" t="n">
        <v>7.4</v>
      </c>
      <c r="G76" s="125" t="n">
        <v>5</v>
      </c>
      <c r="H76" s="125" t="n">
        <v>7.6</v>
      </c>
      <c r="I76" s="125" t="n">
        <v>275.2</v>
      </c>
      <c r="J76" s="125" t="n">
        <v>39.4</v>
      </c>
      <c r="K76" s="125" t="n">
        <v>11.08</v>
      </c>
      <c r="L76" s="125" t="n">
        <v>55</v>
      </c>
      <c r="M76" s="125" t="n">
        <v>1.24</v>
      </c>
      <c r="N76" s="125" t="n">
        <v>6554</v>
      </c>
      <c r="O76" s="125" t="n">
        <v>544</v>
      </c>
      <c r="P76" s="125" t="n">
        <v>12.9</v>
      </c>
      <c r="Q76" s="125" t="n">
        <v>3.72</v>
      </c>
      <c r="R76" s="125" t="n">
        <v>428</v>
      </c>
      <c r="S76" s="125" t="n">
        <v>66.40000000000001</v>
      </c>
      <c r="T76" s="125">
        <f>(((E76*D76*D76)/4)-(((E76-G76)*(D76-F76-F76)*(D76-F76-F76))/4)+(4*(H76*H76*(D76/2-F76-(H76/2))-((PI()*H76*H76)/4*((D76/2)-F76-(H76-((4*H76)/(3*PI()))))))))/1000</f>
        <v/>
      </c>
      <c r="U76" s="125">
        <f>(((D76*E76*E76)/4)-(2*((D76-F76-F76)*(E76/2-(G76/2))*(((E76/2-(G76/2))/2)+(G76/2))))+(4*(((H76*H76)-(((PI()*H76*H76)/4)))*((H76-((4*H76)/(3*PI())))+(G76/2)))))/1000</f>
        <v/>
      </c>
      <c r="V76" s="125" t="n">
        <v>476</v>
      </c>
      <c r="W76" s="125" t="n">
        <v>102</v>
      </c>
      <c r="Y76">
        <f>SQRT((((VLOOKUP($X$4,$A$4:$D$1021,4,FALSE))-D76)^2)+(((VLOOKUP($X$4,$A$4:$E$1021,5,FALSE))-E76)^2))</f>
        <v/>
      </c>
    </row>
    <row r="77">
      <c r="A77" s="125" t="inlineStr">
        <is>
          <t>W12X26</t>
        </is>
      </c>
      <c r="B77" s="129" t="inlineStr">
        <is>
          <t>AISC</t>
        </is>
      </c>
      <c r="C77" s="125" t="n">
        <v>38.7</v>
      </c>
      <c r="D77" s="125" t="n">
        <v>310.4</v>
      </c>
      <c r="E77" s="125" t="n">
        <v>164.8</v>
      </c>
      <c r="F77" s="125" t="n">
        <v>9.699999999999999</v>
      </c>
      <c r="G77" s="125" t="n">
        <v>5.8</v>
      </c>
      <c r="H77" s="125" t="n">
        <v>7.6</v>
      </c>
      <c r="I77" s="125" t="n">
        <v>275.9</v>
      </c>
      <c r="J77" s="125" t="n">
        <v>49.3</v>
      </c>
      <c r="K77" s="125" t="n">
        <v>8.539999999999999</v>
      </c>
      <c r="L77" s="125" t="n">
        <v>47.2</v>
      </c>
      <c r="M77" s="125" t="n">
        <v>1.26</v>
      </c>
      <c r="N77" s="125" t="n">
        <v>8498</v>
      </c>
      <c r="O77" s="125" t="n">
        <v>720</v>
      </c>
      <c r="P77" s="125" t="n">
        <v>13.1</v>
      </c>
      <c r="Q77" s="125" t="n">
        <v>3.82</v>
      </c>
      <c r="R77" s="125" t="n">
        <v>548</v>
      </c>
      <c r="S77" s="125" t="n">
        <v>87.40000000000001</v>
      </c>
      <c r="T77" s="125">
        <f>(((E77*D77*D77)/4)-(((E77-G77)*(D77-F77-F77)*(D77-F77-F77))/4)+(4*(H77*H77*(D77/2-F77-(H77/2))-((PI()*H77*H77)/4*((D77/2)-F77-(H77-((4*H77)/(3*PI()))))))))/1000</f>
        <v/>
      </c>
      <c r="U77" s="125">
        <f>(((D77*E77*E77)/4)-(2*((D77-F77-F77)*(E77/2-(G77/2))*(((E77/2-(G77/2))/2)+(G77/2))))+(4*(((H77*H77)-(((PI()*H77*H77)/4)))*((H77-((4*H77)/(3*PI())))+(G77/2)))))/1000</f>
        <v/>
      </c>
      <c r="V77" s="125" t="n">
        <v>609</v>
      </c>
      <c r="W77" s="125" t="n">
        <v>134</v>
      </c>
      <c r="Y77">
        <f>SQRT((((VLOOKUP($X$4,$A$4:$D$1021,4,FALSE))-D77)^2)+(((VLOOKUP($X$4,$A$4:$E$1021,5,FALSE))-E77)^2))</f>
        <v/>
      </c>
    </row>
    <row r="78">
      <c r="A78" s="125" t="inlineStr">
        <is>
          <t>W12X27</t>
        </is>
      </c>
      <c r="B78" s="129" t="inlineStr">
        <is>
          <t>AISC</t>
        </is>
      </c>
      <c r="C78" s="125" t="n">
        <v>40.3</v>
      </c>
      <c r="D78" s="125" t="n">
        <v>303.4</v>
      </c>
      <c r="E78" s="125" t="n">
        <v>165</v>
      </c>
      <c r="F78" s="125" t="n">
        <v>10.2</v>
      </c>
      <c r="G78" s="125" t="n">
        <v>6</v>
      </c>
      <c r="H78" s="125" t="n">
        <v>8.9</v>
      </c>
      <c r="I78" s="125" t="n">
        <v>265.2</v>
      </c>
      <c r="J78" s="125" t="n">
        <v>51.3</v>
      </c>
      <c r="K78" s="125" t="n">
        <v>8.09</v>
      </c>
      <c r="L78" s="125" t="n">
        <v>44.2</v>
      </c>
      <c r="M78" s="125" t="n">
        <v>1.24</v>
      </c>
      <c r="N78" s="125" t="n">
        <v>8503</v>
      </c>
      <c r="O78" s="125" t="n">
        <v>764</v>
      </c>
      <c r="P78" s="125" t="n">
        <v>12.9</v>
      </c>
      <c r="Q78" s="125" t="n">
        <v>3.86</v>
      </c>
      <c r="R78" s="125" t="n">
        <v>560</v>
      </c>
      <c r="S78" s="125" t="n">
        <v>92.7</v>
      </c>
      <c r="T78" s="125">
        <f>(((E78*D78*D78)/4)-(((E78-G78)*(D78-F78-F78)*(D78-F78-F78))/4)+(4*(H78*H78*(D78/2-F78-(H78/2))-((PI()*H78*H78)/4*((D78/2)-F78-(H78-((4*H78)/(3*PI()))))))))/1000</f>
        <v/>
      </c>
      <c r="U78" s="125">
        <f>(((D78*E78*E78)/4)-(2*((D78-F78-F78)*(E78/2-(G78/2))*(((E78/2-(G78/2))/2)+(G78/2))))+(4*(((H78*H78)-(((PI()*H78*H78)/4)))*((H78-((4*H78)/(3*PI())))+(G78/2)))))/1000</f>
        <v/>
      </c>
      <c r="V78" s="125" t="n">
        <v>623</v>
      </c>
      <c r="W78" s="125" t="n">
        <v>142</v>
      </c>
      <c r="Y78">
        <f>SQRT((((VLOOKUP($X$4,$A$4:$D$1021,4,FALSE))-D78)^2)+(((VLOOKUP($X$4,$A$4:$E$1021,5,FALSE))-E78)^2))</f>
        <v/>
      </c>
    </row>
    <row r="79">
      <c r="A79" s="125" t="inlineStr">
        <is>
          <t>W12X30</t>
        </is>
      </c>
      <c r="B79" s="129" t="inlineStr">
        <is>
          <t>AISC</t>
        </is>
      </c>
      <c r="C79" s="125" t="n">
        <v>44.6</v>
      </c>
      <c r="D79" s="125" t="n">
        <v>313.4</v>
      </c>
      <c r="E79" s="125" t="n">
        <v>165.6</v>
      </c>
      <c r="F79" s="125" t="n">
        <v>11.1</v>
      </c>
      <c r="G79" s="125" t="n">
        <v>6.6</v>
      </c>
      <c r="H79" s="125" t="n">
        <v>7.6</v>
      </c>
      <c r="I79" s="125" t="n">
        <v>276</v>
      </c>
      <c r="J79" s="125" t="n">
        <v>56.5</v>
      </c>
      <c r="K79" s="125" t="n">
        <v>7.46</v>
      </c>
      <c r="L79" s="125" t="n">
        <v>41.8</v>
      </c>
      <c r="M79" s="125" t="n">
        <v>1.26</v>
      </c>
      <c r="N79" s="125" t="n">
        <v>9864</v>
      </c>
      <c r="O79" s="125" t="n">
        <v>841</v>
      </c>
      <c r="P79" s="125" t="n">
        <v>13.2</v>
      </c>
      <c r="Q79" s="125" t="n">
        <v>3.86</v>
      </c>
      <c r="R79" s="125" t="n">
        <v>629</v>
      </c>
      <c r="S79" s="125" t="n">
        <v>102</v>
      </c>
      <c r="T79" s="125">
        <f>(((E79*D79*D79)/4)-(((E79-G79)*(D79-F79-F79)*(D79-F79-F79))/4)+(4*(H79*H79*(D79/2-F79-(H79/2))-((PI()*H79*H79)/4*((D79/2)-F79-(H79-((4*H79)/(3*PI()))))))))/1000</f>
        <v/>
      </c>
      <c r="U79" s="125">
        <f>(((D79*E79*E79)/4)-(2*((D79-F79-F79)*(E79/2-(G79/2))*(((E79/2-(G79/2))/2)+(G79/2))))+(4*(((H79*H79)-(((PI()*H79*H79)/4)))*((H79-((4*H79)/(3*PI())))+(G79/2)))))/1000</f>
        <v/>
      </c>
      <c r="V79" s="125" t="n">
        <v>703</v>
      </c>
      <c r="W79" s="125" t="n">
        <v>156</v>
      </c>
      <c r="Y79">
        <f>SQRT((((VLOOKUP($X$4,$A$4:$D$1021,4,FALSE))-D79)^2)+(((VLOOKUP($X$4,$A$4:$E$1021,5,FALSE))-E79)^2))</f>
        <v/>
      </c>
    </row>
    <row r="80">
      <c r="A80" s="125" t="inlineStr">
        <is>
          <t>W12X31</t>
        </is>
      </c>
      <c r="B80" s="129" t="inlineStr">
        <is>
          <t>AISC</t>
        </is>
      </c>
      <c r="C80" s="125" t="n">
        <v>46.1</v>
      </c>
      <c r="D80" s="125" t="n">
        <v>306.6</v>
      </c>
      <c r="E80" s="125" t="n">
        <v>165.7</v>
      </c>
      <c r="F80" s="125" t="n">
        <v>11.8</v>
      </c>
      <c r="G80" s="125" t="n">
        <v>6.7</v>
      </c>
      <c r="H80" s="125" t="n">
        <v>8.9</v>
      </c>
      <c r="I80" s="125" t="n">
        <v>265.2</v>
      </c>
      <c r="J80" s="125" t="n">
        <v>58.7</v>
      </c>
      <c r="K80" s="125" t="n">
        <v>7.02</v>
      </c>
      <c r="L80" s="125" t="n">
        <v>39.6</v>
      </c>
      <c r="M80" s="125" t="n">
        <v>1.25</v>
      </c>
      <c r="N80" s="125" t="n">
        <v>9899</v>
      </c>
      <c r="O80" s="125" t="n">
        <v>896</v>
      </c>
      <c r="P80" s="125" t="n">
        <v>13</v>
      </c>
      <c r="Q80" s="125" t="n">
        <v>3.9</v>
      </c>
      <c r="R80" s="125" t="n">
        <v>646</v>
      </c>
      <c r="S80" s="125" t="n">
        <v>108</v>
      </c>
      <c r="T80" s="125">
        <f>(((E80*D80*D80)/4)-(((E80-G80)*(D80-F80-F80)*(D80-F80-F80))/4)+(4*(H80*H80*(D80/2-F80-(H80/2))-((PI()*H80*H80)/4*((D80/2)-F80-(H80-((4*H80)/(3*PI()))))))))/1000</f>
        <v/>
      </c>
      <c r="U80" s="125">
        <f>(((D80*E80*E80)/4)-(2*((D80-F80-F80)*(E80/2-(G80/2))*(((E80/2-(G80/2))/2)+(G80/2))))+(4*(((H80*H80)-(((PI()*H80*H80)/4)))*((H80-((4*H80)/(3*PI())))+(G80/2)))))/1000</f>
        <v/>
      </c>
      <c r="V80" s="125" t="n">
        <v>720</v>
      </c>
      <c r="W80" s="125" t="n">
        <v>166</v>
      </c>
      <c r="Y80">
        <f>SQRT((((VLOOKUP($X$4,$A$4:$D$1021,4,FALSE))-D80)^2)+(((VLOOKUP($X$4,$A$4:$E$1021,5,FALSE))-E80)^2))</f>
        <v/>
      </c>
    </row>
    <row r="81">
      <c r="A81" s="125" t="inlineStr">
        <is>
          <t>W12X35</t>
        </is>
      </c>
      <c r="B81" s="129" t="inlineStr">
        <is>
          <t>AISC</t>
        </is>
      </c>
      <c r="C81" s="125" t="n">
        <v>52.1</v>
      </c>
      <c r="D81" s="125" t="n">
        <v>317.5</v>
      </c>
      <c r="E81" s="125" t="n">
        <v>166.6</v>
      </c>
      <c r="F81" s="125" t="n">
        <v>13.2</v>
      </c>
      <c r="G81" s="125" t="n">
        <v>7.6</v>
      </c>
      <c r="H81" s="125" t="n">
        <v>7.6</v>
      </c>
      <c r="I81" s="125" t="n">
        <v>275.9</v>
      </c>
      <c r="J81" s="125" t="n">
        <v>66.7</v>
      </c>
      <c r="K81" s="125" t="n">
        <v>6.31</v>
      </c>
      <c r="L81" s="125" t="n">
        <v>36.2</v>
      </c>
      <c r="M81" s="125" t="n">
        <v>1.27</v>
      </c>
      <c r="N81" s="125" t="n">
        <v>11860</v>
      </c>
      <c r="O81" s="125" t="n">
        <v>1019</v>
      </c>
      <c r="P81" s="125" t="n">
        <v>13.3</v>
      </c>
      <c r="Q81" s="125" t="n">
        <v>3.91</v>
      </c>
      <c r="R81" s="125" t="n">
        <v>747</v>
      </c>
      <c r="S81" s="125" t="n">
        <v>122</v>
      </c>
      <c r="T81" s="125">
        <f>(((E81*D81*D81)/4)-(((E81-G81)*(D81-F81-F81)*(D81-F81-F81))/4)+(4*(H81*H81*(D81/2-F81-(H81/2))-((PI()*H81*H81)/4*((D81/2)-F81-(H81-((4*H81)/(3*PI()))))))))/1000</f>
        <v/>
      </c>
      <c r="U81" s="125">
        <f>(((D81*E81*E81)/4)-(2*((D81-F81-F81)*(E81/2-(G81/2))*(((E81/2-(G81/2))/2)+(G81/2))))+(4*(((H81*H81)-(((PI()*H81*H81)/4)))*((H81-((4*H81)/(3*PI())))+(G81/2)))))/1000</f>
        <v/>
      </c>
      <c r="V81" s="125" t="n">
        <v>838</v>
      </c>
      <c r="W81" s="125" t="n">
        <v>188</v>
      </c>
      <c r="Y81">
        <f>SQRT((((VLOOKUP($X$4,$A$4:$D$1021,4,FALSE))-D81)^2)+(((VLOOKUP($X$4,$A$4:$E$1021,5,FALSE))-E81)^2))</f>
        <v/>
      </c>
    </row>
    <row r="82">
      <c r="A82" s="125" t="inlineStr">
        <is>
          <t>W12X36</t>
        </is>
      </c>
      <c r="B82" s="129" t="inlineStr">
        <is>
          <t>AISC</t>
        </is>
      </c>
      <c r="C82" s="125" t="n">
        <v>54</v>
      </c>
      <c r="D82" s="125" t="n">
        <v>310.4</v>
      </c>
      <c r="E82" s="125" t="n">
        <v>166.9</v>
      </c>
      <c r="F82" s="125" t="n">
        <v>13.7</v>
      </c>
      <c r="G82" s="125" t="n">
        <v>7.9</v>
      </c>
      <c r="H82" s="125" t="n">
        <v>8.9</v>
      </c>
      <c r="I82" s="125" t="n">
        <v>265.2</v>
      </c>
      <c r="J82" s="125" t="n">
        <v>68.8</v>
      </c>
      <c r="K82" s="125" t="n">
        <v>6.09</v>
      </c>
      <c r="L82" s="125" t="n">
        <v>33.6</v>
      </c>
      <c r="M82" s="125" t="n">
        <v>1.26</v>
      </c>
      <c r="N82" s="125" t="n">
        <v>11700</v>
      </c>
      <c r="O82" s="125" t="n">
        <v>1063</v>
      </c>
      <c r="P82" s="125" t="n">
        <v>13</v>
      </c>
      <c r="Q82" s="125" t="n">
        <v>3.93</v>
      </c>
      <c r="R82" s="125" t="n">
        <v>754</v>
      </c>
      <c r="S82" s="125" t="n">
        <v>127</v>
      </c>
      <c r="T82" s="125">
        <f>(((E82*D82*D82)/4)-(((E82-G82)*(D82-F82-F82)*(D82-F82-F82))/4)+(4*(H82*H82*(D82/2-F82-(H82/2))-((PI()*H82*H82)/4*((D82/2)-F82-(H82-((4*H82)/(3*PI()))))))))/1000</f>
        <v/>
      </c>
      <c r="U82" s="125">
        <f>(((D82*E82*E82)/4)-(2*((D82-F82-F82)*(E82/2-(G82/2))*(((E82/2-(G82/2))/2)+(G82/2))))+(4*(((H82*H82)-(((PI()*H82*H82)/4)))*((H82-((4*H82)/(3*PI())))+(G82/2)))))/1000</f>
        <v/>
      </c>
      <c r="V82" s="125" t="n">
        <v>846</v>
      </c>
      <c r="W82" s="125" t="n">
        <v>196</v>
      </c>
      <c r="Y82">
        <f>SQRT((((VLOOKUP($X$4,$A$4:$D$1021,4,FALSE))-D82)^2)+(((VLOOKUP($X$4,$A$4:$E$1021,5,FALSE))-E82)^2))</f>
        <v/>
      </c>
    </row>
    <row r="83">
      <c r="A83" s="125" t="inlineStr">
        <is>
          <t>W12X40</t>
        </is>
      </c>
      <c r="B83" s="129" t="inlineStr">
        <is>
          <t>AISC</t>
        </is>
      </c>
      <c r="C83" s="125" t="n">
        <v>59.5</v>
      </c>
      <c r="D83" s="125" t="n">
        <v>303.3</v>
      </c>
      <c r="E83" s="125" t="n">
        <v>203.3</v>
      </c>
      <c r="F83" s="125" t="n">
        <v>13</v>
      </c>
      <c r="G83" s="125" t="n">
        <v>8.5</v>
      </c>
      <c r="H83" s="125" t="n">
        <v>15.2</v>
      </c>
      <c r="I83" s="125" t="n">
        <v>246.9</v>
      </c>
      <c r="J83" s="125" t="n">
        <v>75.59999999999999</v>
      </c>
      <c r="K83" s="125" t="n">
        <v>7.82</v>
      </c>
      <c r="L83" s="125" t="n">
        <v>33</v>
      </c>
      <c r="M83" s="125" t="n">
        <v>1.38</v>
      </c>
      <c r="N83" s="125" t="n">
        <v>12840</v>
      </c>
      <c r="O83" s="125" t="n">
        <v>1823</v>
      </c>
      <c r="P83" s="125" t="n">
        <v>13</v>
      </c>
      <c r="Q83" s="125" t="n">
        <v>4.91</v>
      </c>
      <c r="R83" s="125" t="n">
        <v>847</v>
      </c>
      <c r="S83" s="125" t="n">
        <v>179</v>
      </c>
      <c r="T83" s="125">
        <f>(((E83*D83*D83)/4)-(((E83-G83)*(D83-F83-F83)*(D83-F83-F83))/4)+(4*(H83*H83*(D83/2-F83-(H83/2))-((PI()*H83*H83)/4*((D83/2)-F83-(H83-((4*H83)/(3*PI()))))))))/1000</f>
        <v/>
      </c>
      <c r="U83" s="125">
        <f>(((D83*E83*E83)/4)-(2*((D83-F83-F83)*(E83/2-(G83/2))*(((E83/2-(G83/2))/2)+(G83/2))))+(4*(((H83*H83)-(((PI()*H83*H83)/4)))*((H83-((4*H83)/(3*PI())))+(G83/2)))))/1000</f>
        <v/>
      </c>
      <c r="V83" s="125" t="n">
        <v>938</v>
      </c>
      <c r="W83" s="125" t="n">
        <v>274</v>
      </c>
      <c r="Y83">
        <f>SQRT((((VLOOKUP($X$4,$A$4:$D$1021,4,FALSE))-D83)^2)+(((VLOOKUP($X$4,$A$4:$E$1021,5,FALSE))-E83)^2))</f>
        <v/>
      </c>
    </row>
    <row r="84">
      <c r="A84" s="125" t="inlineStr">
        <is>
          <t>W12X45</t>
        </is>
      </c>
      <c r="B84" s="129" t="inlineStr">
        <is>
          <t>AISC</t>
        </is>
      </c>
      <c r="C84" s="125" t="n">
        <v>67</v>
      </c>
      <c r="D84" s="125" t="n">
        <v>306.3</v>
      </c>
      <c r="E84" s="125" t="n">
        <v>204.3</v>
      </c>
      <c r="F84" s="125" t="n">
        <v>14.6</v>
      </c>
      <c r="G84" s="125" t="n">
        <v>8.5</v>
      </c>
      <c r="H84" s="125" t="n">
        <v>15.2</v>
      </c>
      <c r="I84" s="125" t="n">
        <v>246.7</v>
      </c>
      <c r="J84" s="125" t="n">
        <v>85.2</v>
      </c>
      <c r="K84" s="125" t="n">
        <v>7</v>
      </c>
      <c r="L84" s="125" t="n">
        <v>29</v>
      </c>
      <c r="M84" s="125" t="n">
        <v>1.39</v>
      </c>
      <c r="N84" s="125" t="n">
        <v>14570</v>
      </c>
      <c r="O84" s="125" t="n">
        <v>2078</v>
      </c>
      <c r="P84" s="125" t="n">
        <v>13.1</v>
      </c>
      <c r="Q84" s="125" t="n">
        <v>4.94</v>
      </c>
      <c r="R84" s="125" t="n">
        <v>952</v>
      </c>
      <c r="S84" s="125" t="n">
        <v>203</v>
      </c>
      <c r="T84" s="125">
        <f>(((E84*D84*D84)/4)-(((E84-G84)*(D84-F84-F84)*(D84-F84-F84))/4)+(4*(H84*H84*(D84/2-F84-(H84/2))-((PI()*H84*H84)/4*((D84/2)-F84-(H84-((4*H84)/(3*PI()))))))))/1000</f>
        <v/>
      </c>
      <c r="U84" s="125">
        <f>(((D84*E84*E84)/4)-(2*((D84-F84-F84)*(E84/2-(G84/2))*(((E84/2-(G84/2))/2)+(G84/2))))+(4*(((H84*H84)-(((PI()*H84*H84)/4)))*((H84-((4*H84)/(3*PI())))+(G84/2)))))/1000</f>
        <v/>
      </c>
      <c r="V84" s="125" t="n">
        <v>1060</v>
      </c>
      <c r="W84" s="125" t="n">
        <v>311</v>
      </c>
      <c r="Y84">
        <f>SQRT((((VLOOKUP($X$4,$A$4:$D$1021,4,FALSE))-D84)^2)+(((VLOOKUP($X$4,$A$4:$E$1021,5,FALSE))-E84)^2))</f>
        <v/>
      </c>
    </row>
    <row r="85">
      <c r="A85" s="125" t="inlineStr">
        <is>
          <t>W12X50</t>
        </is>
      </c>
      <c r="B85" s="129" t="inlineStr">
        <is>
          <t>AISC</t>
        </is>
      </c>
      <c r="C85" s="125" t="n">
        <v>74.40000000000001</v>
      </c>
      <c r="D85" s="125" t="n">
        <v>309.6</v>
      </c>
      <c r="E85" s="125" t="n">
        <v>205.2</v>
      </c>
      <c r="F85" s="125" t="n">
        <v>16.2</v>
      </c>
      <c r="G85" s="125" t="n">
        <v>9.4</v>
      </c>
      <c r="H85" s="125" t="n">
        <v>15.2</v>
      </c>
      <c r="I85" s="125" t="n">
        <v>246.8</v>
      </c>
      <c r="J85" s="125" t="n">
        <v>94.5</v>
      </c>
      <c r="K85" s="125" t="n">
        <v>6.33</v>
      </c>
      <c r="L85" s="125" t="n">
        <v>26.3</v>
      </c>
      <c r="M85" s="125" t="n">
        <v>1.4</v>
      </c>
      <c r="N85" s="125" t="n">
        <v>16350</v>
      </c>
      <c r="O85" s="125" t="n">
        <v>2337</v>
      </c>
      <c r="P85" s="125" t="n">
        <v>13.2</v>
      </c>
      <c r="Q85" s="125" t="n">
        <v>4.97</v>
      </c>
      <c r="R85" s="125" t="n">
        <v>1056</v>
      </c>
      <c r="S85" s="125" t="n">
        <v>228</v>
      </c>
      <c r="T85" s="125">
        <f>(((E85*D85*D85)/4)-(((E85-G85)*(D85-F85-F85)*(D85-F85-F85))/4)+(4*(H85*H85*(D85/2-F85-(H85/2))-((PI()*H85*H85)/4*((D85/2)-F85-(H85-((4*H85)/(3*PI()))))))))/1000</f>
        <v/>
      </c>
      <c r="U85" s="125">
        <f>(((D85*E85*E85)/4)-(2*((D85-F85-F85)*(E85/2-(G85/2))*(((E85/2-(G85/2))/2)+(G85/2))))+(4*(((H85*H85)-(((PI()*H85*H85)/4)))*((H85-((4*H85)/(3*PI())))+(G85/2)))))/1000</f>
        <v/>
      </c>
      <c r="V85" s="125" t="n">
        <v>1183</v>
      </c>
      <c r="W85" s="125" t="n">
        <v>349</v>
      </c>
      <c r="Y85">
        <f>SQRT((((VLOOKUP($X$4,$A$4:$D$1021,4,FALSE))-D85)^2)+(((VLOOKUP($X$4,$A$4:$E$1021,5,FALSE))-E85)^2))</f>
        <v/>
      </c>
    </row>
    <row r="86">
      <c r="A86" s="125" t="inlineStr">
        <is>
          <t>W12X53</t>
        </is>
      </c>
      <c r="B86" s="129" t="inlineStr">
        <is>
          <t>AISC</t>
        </is>
      </c>
      <c r="C86" s="125" t="n">
        <v>78.90000000000001</v>
      </c>
      <c r="D86" s="125" t="n">
        <v>306.3</v>
      </c>
      <c r="E86" s="125" t="n">
        <v>253.9</v>
      </c>
      <c r="F86" s="125" t="n">
        <v>14.6</v>
      </c>
      <c r="G86" s="125" t="n">
        <v>8.800000000000001</v>
      </c>
      <c r="H86" s="125" t="n">
        <v>15.2</v>
      </c>
      <c r="I86" s="125" t="n">
        <v>246.7</v>
      </c>
      <c r="J86" s="125" t="n">
        <v>100</v>
      </c>
      <c r="K86" s="125" t="n">
        <v>8.699999999999999</v>
      </c>
      <c r="L86" s="125" t="n">
        <v>28.2</v>
      </c>
      <c r="M86" s="125" t="n">
        <v>1.58</v>
      </c>
      <c r="N86" s="125" t="n">
        <v>17700</v>
      </c>
      <c r="O86" s="125" t="n">
        <v>3986</v>
      </c>
      <c r="P86" s="125" t="n">
        <v>13.3</v>
      </c>
      <c r="Q86" s="125" t="n">
        <v>6.3</v>
      </c>
      <c r="R86" s="125" t="n">
        <v>1156</v>
      </c>
      <c r="S86" s="125" t="n">
        <v>314</v>
      </c>
      <c r="T86" s="125">
        <f>(((E86*D86*D86)/4)-(((E86-G86)*(D86-F86-F86)*(D86-F86-F86))/4)+(4*(H86*H86*(D86/2-F86-(H86/2))-((PI()*H86*H86)/4*((D86/2)-F86-(H86-((4*H86)/(3*PI()))))))))/1000</f>
        <v/>
      </c>
      <c r="U86" s="125">
        <f>(((D86*E86*E86)/4)-(2*((D86-F86-F86)*(E86/2-(G86/2))*(((E86/2-(G86/2))/2)+(G86/2))))+(4*(((H86*H86)-(((PI()*H86*H86)/4)))*((H86-((4*H86)/(3*PI())))+(G86/2)))))/1000</f>
        <v/>
      </c>
      <c r="V86" s="125" t="n">
        <v>1276</v>
      </c>
      <c r="W86" s="125" t="n">
        <v>477</v>
      </c>
      <c r="Y86">
        <f>SQRT((((VLOOKUP($X$4,$A$4:$D$1021,4,FALSE))-D86)^2)+(((VLOOKUP($X$4,$A$4:$E$1021,5,FALSE))-E86)^2))</f>
        <v/>
      </c>
    </row>
    <row r="87">
      <c r="A87" s="125" t="inlineStr">
        <is>
          <t>W12X58</t>
        </is>
      </c>
      <c r="B87" s="129" t="inlineStr">
        <is>
          <t>AISC</t>
        </is>
      </c>
      <c r="C87" s="125" t="n">
        <v>86.3</v>
      </c>
      <c r="D87" s="125" t="n">
        <v>309.6</v>
      </c>
      <c r="E87" s="125" t="n">
        <v>254.3</v>
      </c>
      <c r="F87" s="125" t="n">
        <v>16.2</v>
      </c>
      <c r="G87" s="125" t="n">
        <v>9.1</v>
      </c>
      <c r="H87" s="125" t="n">
        <v>15.2</v>
      </c>
      <c r="I87" s="125" t="n">
        <v>246.8</v>
      </c>
      <c r="J87" s="125" t="n">
        <v>110</v>
      </c>
      <c r="K87" s="125" t="n">
        <v>7.85</v>
      </c>
      <c r="L87" s="125" t="n">
        <v>27</v>
      </c>
      <c r="M87" s="125" t="n">
        <v>1.59</v>
      </c>
      <c r="N87" s="125" t="n">
        <v>19740</v>
      </c>
      <c r="O87" s="125" t="n">
        <v>4444</v>
      </c>
      <c r="P87" s="125" t="n">
        <v>13.4</v>
      </c>
      <c r="Q87" s="125" t="n">
        <v>6.36</v>
      </c>
      <c r="R87" s="125" t="n">
        <v>1275</v>
      </c>
      <c r="S87" s="125" t="n">
        <v>349</v>
      </c>
      <c r="T87" s="125">
        <f>(((E87*D87*D87)/4)-(((E87-G87)*(D87-F87-F87)*(D87-F87-F87))/4)+(4*(H87*H87*(D87/2-F87-(H87/2))-((PI()*H87*H87)/4*((D87/2)-F87-(H87-((4*H87)/(3*PI()))))))))/1000</f>
        <v/>
      </c>
      <c r="U87" s="125">
        <f>(((D87*E87*E87)/4)-(2*((D87-F87-F87)*(E87/2-(G87/2))*(((E87/2-(G87/2))/2)+(G87/2))))+(4*(((H87*H87)-(((PI()*H87*H87)/4)))*((H87-((4*H87)/(3*PI())))+(G87/2)))))/1000</f>
        <v/>
      </c>
      <c r="V87" s="125" t="n">
        <v>1411</v>
      </c>
      <c r="W87" s="125" t="n">
        <v>531</v>
      </c>
      <c r="Y87">
        <f>SQRT((((VLOOKUP($X$4,$A$4:$D$1021,4,FALSE))-D87)^2)+(((VLOOKUP($X$4,$A$4:$E$1021,5,FALSE))-E87)^2))</f>
        <v/>
      </c>
    </row>
    <row r="88">
      <c r="A88" s="125" t="inlineStr">
        <is>
          <t>W12X65</t>
        </is>
      </c>
      <c r="B88" s="129" t="inlineStr">
        <is>
          <t>AISC</t>
        </is>
      </c>
      <c r="C88" s="125" t="n">
        <v>96.90000000000001</v>
      </c>
      <c r="D88" s="125" t="n">
        <v>307.9</v>
      </c>
      <c r="E88" s="125" t="n">
        <v>305.3</v>
      </c>
      <c r="F88" s="125" t="n">
        <v>15.4</v>
      </c>
      <c r="G88" s="125" t="n">
        <v>9.9</v>
      </c>
      <c r="H88" s="125" t="n">
        <v>15.2</v>
      </c>
      <c r="I88" s="125" t="n">
        <v>246.7</v>
      </c>
      <c r="J88" s="125" t="n">
        <v>123</v>
      </c>
      <c r="K88" s="125" t="n">
        <v>9.91</v>
      </c>
      <c r="L88" s="125" t="n">
        <v>24.9</v>
      </c>
      <c r="M88" s="125" t="n">
        <v>1.79</v>
      </c>
      <c r="N88" s="125" t="n">
        <v>22250</v>
      </c>
      <c r="O88" s="125" t="n">
        <v>7308</v>
      </c>
      <c r="P88" s="125" t="n">
        <v>13.4</v>
      </c>
      <c r="Q88" s="125" t="n">
        <v>7.69</v>
      </c>
      <c r="R88" s="125" t="n">
        <v>1445</v>
      </c>
      <c r="S88" s="125" t="n">
        <v>479</v>
      </c>
      <c r="T88" s="125">
        <f>(((E88*D88*D88)/4)-(((E88-G88)*(D88-F88-F88)*(D88-F88-F88))/4)+(4*(H88*H88*(D88/2-F88-(H88/2))-((PI()*H88*H88)/4*((D88/2)-F88-(H88-((4*H88)/(3*PI()))))))))/1000</f>
        <v/>
      </c>
      <c r="U88" s="125">
        <f>(((D88*E88*E88)/4)-(2*((D88-F88-F88)*(E88/2-(G88/2))*(((E88/2-(G88/2))/2)+(G88/2))))+(4*(((H88*H88)-(((PI()*H88*H88)/4)))*((H88-((4*H88)/(3*PI())))+(G88/2)))))/1000</f>
        <v/>
      </c>
      <c r="V88" s="125" t="n">
        <v>1592</v>
      </c>
      <c r="W88" s="125" t="n">
        <v>726</v>
      </c>
      <c r="Y88">
        <f>SQRT((((VLOOKUP($X$4,$A$4:$D$1021,4,FALSE))-D88)^2)+(((VLOOKUP($X$4,$A$4:$E$1021,5,FALSE))-E88)^2))</f>
        <v/>
      </c>
    </row>
    <row r="89">
      <c r="A89" s="125" t="inlineStr">
        <is>
          <t>W12X72</t>
        </is>
      </c>
      <c r="B89" s="129" t="inlineStr">
        <is>
          <t>AISC</t>
        </is>
      </c>
      <c r="C89" s="125" t="n">
        <v>107.1</v>
      </c>
      <c r="D89" s="125" t="n">
        <v>311.1</v>
      </c>
      <c r="E89" s="125" t="n">
        <v>305.8</v>
      </c>
      <c r="F89" s="125" t="n">
        <v>17</v>
      </c>
      <c r="G89" s="125" t="n">
        <v>10.9</v>
      </c>
      <c r="H89" s="125" t="n">
        <v>15.2</v>
      </c>
      <c r="I89" s="125" t="n">
        <v>246.7</v>
      </c>
      <c r="J89" s="125" t="n">
        <v>136</v>
      </c>
      <c r="K89" s="125" t="n">
        <v>8.98</v>
      </c>
      <c r="L89" s="125" t="n">
        <v>22.6</v>
      </c>
      <c r="M89" s="125" t="n">
        <v>1.8</v>
      </c>
      <c r="N89" s="125" t="n">
        <v>24830</v>
      </c>
      <c r="O89" s="125" t="n">
        <v>8117</v>
      </c>
      <c r="P89" s="125" t="n">
        <v>13.5</v>
      </c>
      <c r="Q89" s="125" t="n">
        <v>7.72</v>
      </c>
      <c r="R89" s="125" t="n">
        <v>1596</v>
      </c>
      <c r="S89" s="125" t="n">
        <v>531</v>
      </c>
      <c r="T89" s="125">
        <f>(((E89*D89*D89)/4)-(((E89-G89)*(D89-F89-F89)*(D89-F89-F89))/4)+(4*(H89*H89*(D89/2-F89-(H89/2))-((PI()*H89*H89)/4*((D89/2)-F89-(H89-((4*H89)/(3*PI()))))))))/1000</f>
        <v/>
      </c>
      <c r="U89" s="125">
        <f>(((D89*E89*E89)/4)-(2*((D89-F89-F89)*(E89/2-(G89/2))*(((E89/2-(G89/2))/2)+(G89/2))))+(4*(((H89*H89)-(((PI()*H89*H89)/4)))*((H89-((4*H89)/(3*PI())))+(G89/2)))))/1000</f>
        <v/>
      </c>
      <c r="V89" s="125" t="n">
        <v>1767</v>
      </c>
      <c r="W89" s="125" t="n">
        <v>806</v>
      </c>
      <c r="Y89">
        <f>SQRT((((VLOOKUP($X$4,$A$4:$D$1021,4,FALSE))-D89)^2)+(((VLOOKUP($X$4,$A$4:$E$1021,5,FALSE))-E89)^2))</f>
        <v/>
      </c>
    </row>
    <row r="90">
      <c r="A90" s="125" t="inlineStr">
        <is>
          <t>W12X79</t>
        </is>
      </c>
      <c r="B90" s="129" t="inlineStr">
        <is>
          <t>AISC</t>
        </is>
      </c>
      <c r="C90" s="125" t="n">
        <v>117.9</v>
      </c>
      <c r="D90" s="125" t="n">
        <v>314.5</v>
      </c>
      <c r="E90" s="125" t="n">
        <v>307.4</v>
      </c>
      <c r="F90" s="125" t="n">
        <v>18.7</v>
      </c>
      <c r="G90" s="125" t="n">
        <v>12</v>
      </c>
      <c r="H90" s="125" t="n">
        <v>15.2</v>
      </c>
      <c r="I90" s="125" t="n">
        <v>246.7</v>
      </c>
      <c r="J90" s="125" t="n">
        <v>150</v>
      </c>
      <c r="K90" s="125" t="n">
        <v>8.220000000000001</v>
      </c>
      <c r="L90" s="125" t="n">
        <v>20.6</v>
      </c>
      <c r="M90" s="125" t="n">
        <v>1.81</v>
      </c>
      <c r="N90" s="125" t="n">
        <v>27670</v>
      </c>
      <c r="O90" s="125" t="n">
        <v>9060</v>
      </c>
      <c r="P90" s="125" t="n">
        <v>13.6</v>
      </c>
      <c r="Q90" s="125" t="n">
        <v>7.77</v>
      </c>
      <c r="R90" s="125" t="n">
        <v>1760</v>
      </c>
      <c r="S90" s="125" t="n">
        <v>589</v>
      </c>
      <c r="T90" s="125">
        <f>(((E90*D90*D90)/4)-(((E90-G90)*(D90-F90-F90)*(D90-F90-F90))/4)+(4*(H90*H90*(D90/2-F90-(H90/2))-((PI()*H90*H90)/4*((D90/2)-F90-(H90-((4*H90)/(3*PI()))))))))/1000</f>
        <v/>
      </c>
      <c r="U90" s="125">
        <f>(((D90*E90*E90)/4)-(2*((D90-F90-F90)*(E90/2-(G90/2))*(((E90/2-(G90/2))/2)+(G90/2))))+(4*(((H90*H90)-(((PI()*H90*H90)/4)))*((H90-((4*H90)/(3*PI())))+(G90/2)))))/1000</f>
        <v/>
      </c>
      <c r="V90" s="125" t="n">
        <v>1958</v>
      </c>
      <c r="W90" s="125" t="n">
        <v>895</v>
      </c>
      <c r="Y90">
        <f>SQRT((((VLOOKUP($X$4,$A$4:$D$1021,4,FALSE))-D90)^2)+(((VLOOKUP($X$4,$A$4:$E$1021,5,FALSE))-E90)^2))</f>
        <v/>
      </c>
    </row>
    <row r="91">
      <c r="A91" s="125" t="inlineStr">
        <is>
          <t>W12X87</t>
        </is>
      </c>
      <c r="B91" s="129" t="inlineStr">
        <is>
          <t>AISC</t>
        </is>
      </c>
      <c r="C91" s="125" t="n">
        <v>129.5</v>
      </c>
      <c r="D91" s="125" t="n">
        <v>318.3</v>
      </c>
      <c r="E91" s="125" t="n">
        <v>308</v>
      </c>
      <c r="F91" s="125" t="n">
        <v>20.6</v>
      </c>
      <c r="G91" s="125" t="n">
        <v>13.1</v>
      </c>
      <c r="H91" s="125" t="n">
        <v>15.2</v>
      </c>
      <c r="I91" s="125" t="n">
        <v>246.8</v>
      </c>
      <c r="J91" s="125" t="n">
        <v>165</v>
      </c>
      <c r="K91" s="125" t="n">
        <v>7.49</v>
      </c>
      <c r="L91" s="125" t="n">
        <v>18.9</v>
      </c>
      <c r="M91" s="125" t="n">
        <v>1.82</v>
      </c>
      <c r="N91" s="125" t="n">
        <v>30810</v>
      </c>
      <c r="O91" s="125" t="n">
        <v>10030</v>
      </c>
      <c r="P91" s="125" t="n">
        <v>13.7</v>
      </c>
      <c r="Q91" s="125" t="n">
        <v>7.8</v>
      </c>
      <c r="R91" s="125" t="n">
        <v>1936</v>
      </c>
      <c r="S91" s="125" t="n">
        <v>651</v>
      </c>
      <c r="T91" s="125">
        <f>(((E91*D91*D91)/4)-(((E91-G91)*(D91-F91-F91)*(D91-F91-F91))/4)+(4*(H91*H91*(D91/2-F91-(H91/2))-((PI()*H91*H91)/4*((D91/2)-F91-(H91-((4*H91)/(3*PI()))))))))/1000</f>
        <v/>
      </c>
      <c r="U91" s="125">
        <f>(((D91*E91*E91)/4)-(2*((D91-F91-F91)*(E91/2-(G91/2))*(((E91/2-(G91/2))/2)+(G91/2))))+(4*(((H91*H91)-(((PI()*H91*H91)/4)))*((H91-((4*H91)/(3*PI())))+(G91/2)))))/1000</f>
        <v/>
      </c>
      <c r="V91" s="125" t="n">
        <v>2164</v>
      </c>
      <c r="W91" s="125" t="n">
        <v>990</v>
      </c>
      <c r="Y91">
        <f>SQRT((((VLOOKUP($X$4,$A$4:$D$1021,4,FALSE))-D91)^2)+(((VLOOKUP($X$4,$A$4:$E$1021,5,FALSE))-E91)^2))</f>
        <v/>
      </c>
    </row>
    <row r="92">
      <c r="A92" s="125" t="inlineStr">
        <is>
          <t>W12X92</t>
        </is>
      </c>
      <c r="B92" s="129" t="inlineStr">
        <is>
          <t>AISC</t>
        </is>
      </c>
      <c r="C92" s="125" t="n">
        <v>136.9</v>
      </c>
      <c r="D92" s="125" t="n">
        <v>320.5</v>
      </c>
      <c r="E92" s="125" t="n">
        <v>309.2</v>
      </c>
      <c r="F92" s="125" t="n">
        <v>21.7</v>
      </c>
      <c r="G92" s="125" t="n">
        <v>13.8</v>
      </c>
      <c r="H92" s="125" t="n">
        <v>15.2</v>
      </c>
      <c r="I92" s="125" t="n">
        <v>246.7</v>
      </c>
      <c r="J92" s="125" t="n">
        <v>174</v>
      </c>
      <c r="K92" s="125" t="n">
        <v>7.12</v>
      </c>
      <c r="L92" s="125" t="n">
        <v>17.9</v>
      </c>
      <c r="M92" s="125" t="n">
        <v>1.82</v>
      </c>
      <c r="N92" s="125" t="n">
        <v>32820</v>
      </c>
      <c r="O92" s="125" t="n">
        <v>10700</v>
      </c>
      <c r="P92" s="125" t="n">
        <v>13.7</v>
      </c>
      <c r="Q92" s="125" t="n">
        <v>7.83</v>
      </c>
      <c r="R92" s="125" t="n">
        <v>2048</v>
      </c>
      <c r="S92" s="125" t="n">
        <v>692</v>
      </c>
      <c r="T92" s="125">
        <f>(((E92*D92*D92)/4)-(((E92-G92)*(D92-F92-F92)*(D92-F92-F92))/4)+(4*(H92*H92*(D92/2-F92-(H92/2))-((PI()*H92*H92)/4*((D92/2)-F92-(H92-((4*H92)/(3*PI()))))))))/1000</f>
        <v/>
      </c>
      <c r="U92" s="125">
        <f>(((D92*E92*E92)/4)-(2*((D92-F92-F92)*(E92/2-(G92/2))*(((E92/2-(G92/2))/2)+(G92/2))))+(4*(((H92*H92)-(((PI()*H92*H92)/4)))*((H92-((4*H92)/(3*PI())))+(G92/2)))))/1000</f>
        <v/>
      </c>
      <c r="V92" s="125" t="n">
        <v>2297</v>
      </c>
      <c r="W92" s="125" t="n">
        <v>1053</v>
      </c>
      <c r="Y92">
        <f>SQRT((((VLOOKUP($X$4,$A$4:$D$1021,4,FALSE))-D92)^2)+(((VLOOKUP($X$4,$A$4:$E$1021,5,FALSE))-E92)^2))</f>
        <v/>
      </c>
    </row>
    <row r="93">
      <c r="A93" s="125" t="inlineStr">
        <is>
          <t>W12X96</t>
        </is>
      </c>
      <c r="B93" s="129" t="inlineStr">
        <is>
          <t>AISC</t>
        </is>
      </c>
      <c r="C93" s="125" t="n">
        <v>142.8</v>
      </c>
      <c r="D93" s="125" t="n">
        <v>322.8</v>
      </c>
      <c r="E93" s="125" t="n">
        <v>308.9</v>
      </c>
      <c r="F93" s="125" t="n">
        <v>22.9</v>
      </c>
      <c r="G93" s="125" t="n">
        <v>14</v>
      </c>
      <c r="H93" s="125" t="n">
        <v>15.2</v>
      </c>
      <c r="I93" s="125" t="n">
        <v>246.7</v>
      </c>
      <c r="J93" s="125" t="n">
        <v>182</v>
      </c>
      <c r="K93" s="125" t="n">
        <v>6.76</v>
      </c>
      <c r="L93" s="125" t="n">
        <v>17.7</v>
      </c>
      <c r="M93" s="125" t="n">
        <v>1.83</v>
      </c>
      <c r="N93" s="125" t="n">
        <v>34670</v>
      </c>
      <c r="O93" s="125" t="n">
        <v>11240</v>
      </c>
      <c r="P93" s="125" t="n">
        <v>13.8</v>
      </c>
      <c r="Q93" s="125" t="n">
        <v>7.86</v>
      </c>
      <c r="R93" s="125" t="n">
        <v>2148</v>
      </c>
      <c r="S93" s="125" t="n">
        <v>728</v>
      </c>
      <c r="T93" s="125">
        <f>(((E93*D93*D93)/4)-(((E93-G93)*(D93-F93-F93)*(D93-F93-F93))/4)+(4*(H93*H93*(D93/2-F93-(H93/2))-((PI()*H93*H93)/4*((D93/2)-F93-(H93-((4*H93)/(3*PI()))))))))/1000</f>
        <v/>
      </c>
      <c r="U93" s="125">
        <f>(((D93*E93*E93)/4)-(2*((D93-F93-F93)*(E93/2-(G93/2))*(((E93/2-(G93/2))/2)+(G93/2))))+(4*(((H93*H93)-(((PI()*H93*H93)/4)))*((H93-((4*H93)/(3*PI())))+(G93/2)))))/1000</f>
        <v/>
      </c>
      <c r="V93" s="125" t="n">
        <v>2413</v>
      </c>
      <c r="W93" s="125" t="n">
        <v>1106</v>
      </c>
      <c r="Y93">
        <f>SQRT((((VLOOKUP($X$4,$A$4:$D$1021,4,FALSE))-D93)^2)+(((VLOOKUP($X$4,$A$4:$E$1021,5,FALSE))-E93)^2))</f>
        <v/>
      </c>
    </row>
    <row r="94">
      <c r="A94" s="125" t="inlineStr">
        <is>
          <t>W12X106</t>
        </is>
      </c>
      <c r="B94" s="129" t="inlineStr">
        <is>
          <t>AISC</t>
        </is>
      </c>
      <c r="C94" s="125" t="n">
        <v>158.1</v>
      </c>
      <c r="D94" s="125" t="n">
        <v>327.1</v>
      </c>
      <c r="E94" s="125" t="n">
        <v>311.2</v>
      </c>
      <c r="F94" s="125" t="n">
        <v>25</v>
      </c>
      <c r="G94" s="125" t="n">
        <v>15.8</v>
      </c>
      <c r="H94" s="125" t="n">
        <v>15.2</v>
      </c>
      <c r="I94" s="125" t="n">
        <v>246.7</v>
      </c>
      <c r="J94" s="125" t="n">
        <v>201</v>
      </c>
      <c r="K94" s="125" t="n">
        <v>6.22</v>
      </c>
      <c r="L94" s="125" t="n">
        <v>15.6</v>
      </c>
      <c r="M94" s="125" t="n">
        <v>1.84</v>
      </c>
      <c r="N94" s="125" t="n">
        <v>38750</v>
      </c>
      <c r="O94" s="125" t="n">
        <v>12570</v>
      </c>
      <c r="P94" s="125" t="n">
        <v>13.9</v>
      </c>
      <c r="Q94" s="125" t="n">
        <v>7.9</v>
      </c>
      <c r="R94" s="125" t="n">
        <v>2369</v>
      </c>
      <c r="S94" s="125" t="n">
        <v>808</v>
      </c>
      <c r="T94" s="125">
        <f>(((E94*D94*D94)/4)-(((E94-G94)*(D94-F94-F94)*(D94-F94-F94))/4)+(4*(H94*H94*(D94/2-F94-(H94/2))-((PI()*H94*H94)/4*((D94/2)-F94-(H94-((4*H94)/(3*PI()))))))))/1000</f>
        <v/>
      </c>
      <c r="U94" s="125">
        <f>(((D94*E94*E94)/4)-(2*((D94-F94-F94)*(E94/2-(G94/2))*(((E94/2-(G94/2))/2)+(G94/2))))+(4*(((H94*H94)-(((PI()*H94*H94)/4)))*((H94-((4*H94)/(3*PI())))+(G94/2)))))/1000</f>
        <v/>
      </c>
      <c r="V94" s="125" t="n">
        <v>2680</v>
      </c>
      <c r="W94" s="125" t="n">
        <v>1230</v>
      </c>
      <c r="Y94">
        <f>SQRT((((VLOOKUP($X$4,$A$4:$D$1021,4,FALSE))-D94)^2)+(((VLOOKUP($X$4,$A$4:$E$1021,5,FALSE))-E94)^2))</f>
        <v/>
      </c>
    </row>
    <row r="95">
      <c r="A95" s="125" t="inlineStr">
        <is>
          <t>W12X120</t>
        </is>
      </c>
      <c r="B95" s="129" t="inlineStr">
        <is>
          <t>AISC</t>
        </is>
      </c>
      <c r="C95" s="125" t="n">
        <v>178.6</v>
      </c>
      <c r="D95" s="125" t="n">
        <v>333.2</v>
      </c>
      <c r="E95" s="125" t="n">
        <v>312.9</v>
      </c>
      <c r="F95" s="125" t="n">
        <v>28.1</v>
      </c>
      <c r="G95" s="125" t="n">
        <v>18</v>
      </c>
      <c r="H95" s="125" t="n">
        <v>15.2</v>
      </c>
      <c r="I95" s="125" t="n">
        <v>246.7</v>
      </c>
      <c r="J95" s="125" t="n">
        <v>228</v>
      </c>
      <c r="K95" s="125" t="n">
        <v>5.57</v>
      </c>
      <c r="L95" s="125" t="n">
        <v>13.7</v>
      </c>
      <c r="M95" s="125" t="n">
        <v>1.86</v>
      </c>
      <c r="N95" s="125" t="n">
        <v>44560</v>
      </c>
      <c r="O95" s="125" t="n">
        <v>14350</v>
      </c>
      <c r="P95" s="125" t="n">
        <v>14</v>
      </c>
      <c r="Q95" s="125" t="n">
        <v>7.94</v>
      </c>
      <c r="R95" s="125" t="n">
        <v>2675</v>
      </c>
      <c r="S95" s="125" t="n">
        <v>917</v>
      </c>
      <c r="T95" s="125">
        <f>(((E95*D95*D95)/4)-(((E95-G95)*(D95-F95-F95)*(D95-F95-F95))/4)+(4*(H95*H95*(D95/2-F95-(H95/2))-((PI()*H95*H95)/4*((D95/2)-F95-(H95-((4*H95)/(3*PI()))))))))/1000</f>
        <v/>
      </c>
      <c r="U95" s="125">
        <f>(((D95*E95*E95)/4)-(2*((D95-F95-F95)*(E95/2-(G95/2))*(((E95/2-(G95/2))/2)+(G95/2))))+(4*(((H95*H95)-(((PI()*H95*H95)/4)))*((H95-((4*H95)/(3*PI())))+(G95/2)))))/1000</f>
        <v/>
      </c>
      <c r="V95" s="125" t="n">
        <v>3053</v>
      </c>
      <c r="W95" s="125" t="n">
        <v>1399</v>
      </c>
      <c r="Y95">
        <f>SQRT((((VLOOKUP($X$4,$A$4:$D$1021,4,FALSE))-D95)^2)+(((VLOOKUP($X$4,$A$4:$E$1021,5,FALSE))-E95)^2))</f>
        <v/>
      </c>
    </row>
    <row r="96">
      <c r="A96" s="125" t="inlineStr">
        <is>
          <t>W12X133</t>
        </is>
      </c>
      <c r="B96" s="129" t="inlineStr">
        <is>
          <t>AISC</t>
        </is>
      </c>
      <c r="C96" s="125" t="n">
        <v>198.1</v>
      </c>
      <c r="D96" s="125" t="n">
        <v>339.9</v>
      </c>
      <c r="E96" s="125" t="n">
        <v>314.5</v>
      </c>
      <c r="F96" s="125" t="n">
        <v>31.4</v>
      </c>
      <c r="G96" s="125" t="n">
        <v>19.1</v>
      </c>
      <c r="H96" s="125" t="n">
        <v>15.2</v>
      </c>
      <c r="I96" s="125" t="n">
        <v>246.7</v>
      </c>
      <c r="J96" s="125" t="n">
        <v>252</v>
      </c>
      <c r="K96" s="125" t="n">
        <v>5.01</v>
      </c>
      <c r="L96" s="125" t="n">
        <v>12.9</v>
      </c>
      <c r="M96" s="125" t="n">
        <v>1.87</v>
      </c>
      <c r="N96" s="125" t="n">
        <v>50900</v>
      </c>
      <c r="O96" s="125" t="n">
        <v>16300</v>
      </c>
      <c r="P96" s="125" t="n">
        <v>14.2</v>
      </c>
      <c r="Q96" s="125" t="n">
        <v>8.039999999999999</v>
      </c>
      <c r="R96" s="125" t="n">
        <v>2995</v>
      </c>
      <c r="S96" s="125" t="n">
        <v>1037</v>
      </c>
      <c r="T96" s="125">
        <f>(((E96*D96*D96)/4)-(((E96-G96)*(D96-F96-F96)*(D96-F96-F96))/4)+(4*(H96*H96*(D96/2-F96-(H96/2))-((PI()*H96*H96)/4*((D96/2)-F96-(H96-((4*H96)/(3*PI()))))))))/1000</f>
        <v/>
      </c>
      <c r="U96" s="125">
        <f>(((D96*E96*E96)/4)-(2*((D96-F96-F96)*(E96/2-(G96/2))*(((E96/2-(G96/2))/2)+(G96/2))))+(4*(((H96*H96)-(((PI()*H96*H96)/4)))*((H96-((4*H96)/(3*PI())))+(G96/2)))))/1000</f>
        <v/>
      </c>
      <c r="V96" s="125" t="n">
        <v>3440</v>
      </c>
      <c r="W96" s="125" t="n">
        <v>1581</v>
      </c>
      <c r="X96" s="4" t="n"/>
      <c r="Y96">
        <f>SQRT((((VLOOKUP($X$4,$A$4:$D$1021,4,FALSE))-D96)^2)+(((VLOOKUP($X$4,$A$4:$E$1021,5,FALSE))-E96)^2))</f>
        <v/>
      </c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</row>
    <row r="97">
      <c r="A97" s="125" t="inlineStr">
        <is>
          <t>W12X136</t>
        </is>
      </c>
      <c r="B97" s="129" t="inlineStr">
        <is>
          <t>AISC</t>
        </is>
      </c>
      <c r="C97" s="125" t="n">
        <v>202.4</v>
      </c>
      <c r="D97" s="125" t="n">
        <v>340.6</v>
      </c>
      <c r="E97" s="125" t="n">
        <v>315</v>
      </c>
      <c r="F97" s="125" t="n">
        <v>31.8</v>
      </c>
      <c r="G97" s="125" t="n">
        <v>20.1</v>
      </c>
      <c r="H97" s="125" t="n">
        <v>15.2</v>
      </c>
      <c r="I97" s="125" t="n">
        <v>246.7</v>
      </c>
      <c r="J97" s="125" t="n">
        <v>258</v>
      </c>
      <c r="K97" s="125" t="n">
        <v>4.96</v>
      </c>
      <c r="L97" s="125" t="n">
        <v>12.3</v>
      </c>
      <c r="M97" s="125" t="n">
        <v>1.87</v>
      </c>
      <c r="N97" s="125" t="n">
        <v>51790</v>
      </c>
      <c r="O97" s="125" t="n">
        <v>16560</v>
      </c>
      <c r="P97" s="125" t="n">
        <v>14.2</v>
      </c>
      <c r="Q97" s="125" t="n">
        <v>8.02</v>
      </c>
      <c r="R97" s="125" t="n">
        <v>3041</v>
      </c>
      <c r="S97" s="125" t="n">
        <v>1052</v>
      </c>
      <c r="T97" s="125">
        <f>(((E97*D97*D97)/4)-(((E97-G97)*(D97-F97-F97)*(D97-F97-F97))/4)+(4*(H97*H97*(D97/2-F97-(H97/2))-((PI()*H97*H97)/4*((D97/2)-F97-(H97-((4*H97)/(3*PI()))))))))/1000</f>
        <v/>
      </c>
      <c r="U97" s="125">
        <f>(((D97*E97*E97)/4)-(2*((D97-F97-F97)*(E97/2-(G97/2))*(((E97/2-(G97/2))/2)+(G97/2))))+(4*(((H97*H97)-(((PI()*H97*H97)/4)))*((H97-((4*H97)/(3*PI())))+(G97/2)))))/1000</f>
        <v/>
      </c>
      <c r="V97" s="125" t="n">
        <v>3501</v>
      </c>
      <c r="W97" s="125" t="n">
        <v>1606</v>
      </c>
      <c r="X97" s="4" t="n"/>
      <c r="Y97">
        <f>SQRT((((VLOOKUP($X$4,$A$4:$D$1021,4,FALSE))-D97)^2)+(((VLOOKUP($X$4,$A$4:$E$1021,5,FALSE))-E97)^2))</f>
        <v/>
      </c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</row>
    <row r="98">
      <c r="A98" s="125" t="inlineStr">
        <is>
          <t>W12X152</t>
        </is>
      </c>
      <c r="B98" s="129" t="inlineStr">
        <is>
          <t>AISC</t>
        </is>
      </c>
      <c r="C98" s="125" t="n">
        <v>226.2</v>
      </c>
      <c r="D98" s="125" t="n">
        <v>348.2</v>
      </c>
      <c r="E98" s="125" t="n">
        <v>317</v>
      </c>
      <c r="F98" s="125" t="n">
        <v>35.6</v>
      </c>
      <c r="G98" s="125" t="n">
        <v>22.1</v>
      </c>
      <c r="H98" s="125" t="n">
        <v>15.2</v>
      </c>
      <c r="I98" s="125" t="n">
        <v>246.7</v>
      </c>
      <c r="J98" s="125" t="n">
        <v>289</v>
      </c>
      <c r="K98" s="125" t="n">
        <v>4.46</v>
      </c>
      <c r="L98" s="125" t="n">
        <v>11.2</v>
      </c>
      <c r="M98" s="125" t="n">
        <v>1.89</v>
      </c>
      <c r="N98" s="125" t="n">
        <v>59610</v>
      </c>
      <c r="O98" s="125" t="n">
        <v>18910</v>
      </c>
      <c r="P98" s="125" t="n">
        <v>14.4</v>
      </c>
      <c r="Q98" s="125" t="n">
        <v>8.09</v>
      </c>
      <c r="R98" s="125" t="n">
        <v>3424</v>
      </c>
      <c r="S98" s="125" t="n">
        <v>1193</v>
      </c>
      <c r="T98" s="125">
        <f>(((E98*D98*D98)/4)-(((E98-G98)*(D98-F98-F98)*(D98-F98-F98))/4)+(4*(H98*H98*(D98/2-F98-(H98/2))-((PI()*H98*H98)/4*((D98/2)-F98-(H98-((4*H98)/(3*PI()))))))))/1000</f>
        <v/>
      </c>
      <c r="U98" s="125">
        <f>(((D98*E98*E98)/4)-(2*((D98-F98-F98)*(E98/2-(G98/2))*(((E98/2-(G98/2))/2)+(G98/2))))+(4*(((H98*H98)-(((PI()*H98*H98)/4)))*((H98-((4*H98)/(3*PI())))+(G98/2)))))/1000</f>
        <v/>
      </c>
      <c r="V98" s="125" t="n">
        <v>3975</v>
      </c>
      <c r="W98" s="125" t="n">
        <v>1823</v>
      </c>
      <c r="X98" s="4" t="n"/>
      <c r="Y98">
        <f>SQRT((((VLOOKUP($X$4,$A$4:$D$1021,4,FALSE))-D98)^2)+(((VLOOKUP($X$4,$A$4:$E$1021,5,FALSE))-E98)^2))</f>
        <v/>
      </c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</row>
    <row r="99">
      <c r="A99" s="125" t="inlineStr">
        <is>
          <t>W12X161</t>
        </is>
      </c>
      <c r="B99" s="129" t="inlineStr">
        <is>
          <t>AISC</t>
        </is>
      </c>
      <c r="C99" s="125" t="n">
        <v>240</v>
      </c>
      <c r="D99" s="125" t="n">
        <v>352.5</v>
      </c>
      <c r="E99" s="125" t="n">
        <v>318.4</v>
      </c>
      <c r="F99" s="125" t="n">
        <v>37.7</v>
      </c>
      <c r="G99" s="125" t="n">
        <v>23</v>
      </c>
      <c r="H99" s="125" t="n">
        <v>15.2</v>
      </c>
      <c r="I99" s="125" t="n">
        <v>246.7</v>
      </c>
      <c r="J99" s="125" t="n">
        <v>306</v>
      </c>
      <c r="K99" s="125" t="n">
        <v>4.22</v>
      </c>
      <c r="L99" s="125" t="n">
        <v>10.7</v>
      </c>
      <c r="M99" s="125" t="n">
        <v>1.91</v>
      </c>
      <c r="N99" s="125" t="n">
        <v>64200</v>
      </c>
      <c r="O99" s="125" t="n">
        <v>20320</v>
      </c>
      <c r="P99" s="125" t="n">
        <v>14.5</v>
      </c>
      <c r="Q99" s="125" t="n">
        <v>8.15</v>
      </c>
      <c r="R99" s="125" t="n">
        <v>3643</v>
      </c>
      <c r="S99" s="125" t="n">
        <v>1276</v>
      </c>
      <c r="T99" s="125">
        <f>(((E99*D99*D99)/4)-(((E99-G99)*(D99-F99-F99)*(D99-F99-F99))/4)+(4*(H99*H99*(D99/2-F99-(H99/2))-((PI()*H99*H99)/4*((D99/2)-F99-(H99-((4*H99)/(3*PI()))))))))/1000</f>
        <v/>
      </c>
      <c r="U99" s="125">
        <f>(((D99*E99*E99)/4)-(2*((D99-F99-F99)*(E99/2-(G99/2))*(((E99/2-(G99/2))/2)+(G99/2))))+(4*(((H99*H99)-(((PI()*H99*H99)/4)))*((H99-((4*H99)/(3*PI())))+(G99/2)))))/1000</f>
        <v/>
      </c>
      <c r="V99" s="125" t="n">
        <v>4247</v>
      </c>
      <c r="W99" s="125" t="n">
        <v>1951</v>
      </c>
      <c r="X99" s="4" t="n"/>
      <c r="Y99">
        <f>SQRT((((VLOOKUP($X$4,$A$4:$D$1021,4,FALSE))-D99)^2)+(((VLOOKUP($X$4,$A$4:$E$1021,5,FALSE))-E99)^2))</f>
        <v/>
      </c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</row>
    <row r="100">
      <c r="A100" s="125" t="inlineStr">
        <is>
          <t>W12X170</t>
        </is>
      </c>
      <c r="B100" s="129" t="inlineStr">
        <is>
          <t>AISC</t>
        </is>
      </c>
      <c r="C100" s="125" t="n">
        <v>253</v>
      </c>
      <c r="D100" s="125" t="n">
        <v>356.4</v>
      </c>
      <c r="E100" s="125" t="n">
        <v>319.3</v>
      </c>
      <c r="F100" s="125" t="n">
        <v>39.6</v>
      </c>
      <c r="G100" s="125" t="n">
        <v>24.4</v>
      </c>
      <c r="H100" s="125" t="n">
        <v>15.2</v>
      </c>
      <c r="I100" s="125" t="n">
        <v>246.8</v>
      </c>
      <c r="J100" s="125" t="n">
        <v>323</v>
      </c>
      <c r="K100" s="125" t="n">
        <v>4.03</v>
      </c>
      <c r="L100" s="125" t="n">
        <v>10.1</v>
      </c>
      <c r="M100" s="125" t="n">
        <v>1.92</v>
      </c>
      <c r="N100" s="125" t="n">
        <v>68490</v>
      </c>
      <c r="O100" s="125" t="n">
        <v>21540</v>
      </c>
      <c r="P100" s="125" t="n">
        <v>14.6</v>
      </c>
      <c r="Q100" s="125" t="n">
        <v>8.17</v>
      </c>
      <c r="R100" s="125" t="n">
        <v>3844</v>
      </c>
      <c r="S100" s="125" t="n">
        <v>1349</v>
      </c>
      <c r="T100" s="125">
        <f>(((E100*D100*D100)/4)-(((E100-G100)*(D100-F100-F100)*(D100-F100-F100))/4)+(4*(H100*H100*(D100/2-F100-(H100/2))-((PI()*H100*H100)/4*((D100/2)-F100-(H100-((4*H100)/(3*PI()))))))))/1000</f>
        <v/>
      </c>
      <c r="U100" s="125">
        <f>(((D100*E100*E100)/4)-(2*((D100-F100-F100)*(E100/2-(G100/2))*(((E100/2-(G100/2))/2)+(G100/2))))+(4*(((H100*H100)-(((PI()*H100*H100)/4)))*((H100-((4*H100)/(3*PI())))+(G100/2)))))/1000</f>
        <v/>
      </c>
      <c r="V100" s="125" t="n">
        <v>4502</v>
      </c>
      <c r="W100" s="125" t="n">
        <v>2064</v>
      </c>
      <c r="X100" s="4" t="n"/>
      <c r="Y100">
        <f>SQRT((((VLOOKUP($X$4,$A$4:$D$1021,4,FALSE))-D100)^2)+(((VLOOKUP($X$4,$A$4:$E$1021,5,FALSE))-E100)^2))</f>
        <v/>
      </c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</row>
    <row r="101">
      <c r="A101" s="125" t="inlineStr">
        <is>
          <t>W12X190</t>
        </is>
      </c>
      <c r="B101" s="129" t="inlineStr">
        <is>
          <t>AISC</t>
        </is>
      </c>
      <c r="C101" s="125" t="n">
        <v>282.9</v>
      </c>
      <c r="D101" s="125" t="n">
        <v>365.3</v>
      </c>
      <c r="E101" s="125" t="n">
        <v>322.2</v>
      </c>
      <c r="F101" s="125" t="n">
        <v>44.1</v>
      </c>
      <c r="G101" s="125" t="n">
        <v>26.8</v>
      </c>
      <c r="H101" s="125" t="n">
        <v>15.2</v>
      </c>
      <c r="I101" s="125" t="n">
        <v>246.7</v>
      </c>
      <c r="J101" s="125" t="n">
        <v>360</v>
      </c>
      <c r="K101" s="125" t="n">
        <v>3.65</v>
      </c>
      <c r="L101" s="125" t="n">
        <v>9.210000000000001</v>
      </c>
      <c r="M101" s="125" t="n">
        <v>1.94</v>
      </c>
      <c r="N101" s="125" t="n">
        <v>78870</v>
      </c>
      <c r="O101" s="125" t="n">
        <v>24640</v>
      </c>
      <c r="P101" s="125" t="n">
        <v>14.8</v>
      </c>
      <c r="Q101" s="125" t="n">
        <v>8.27</v>
      </c>
      <c r="R101" s="125" t="n">
        <v>4318</v>
      </c>
      <c r="S101" s="125" t="n">
        <v>1529</v>
      </c>
      <c r="T101" s="125">
        <f>(((E101*D101*D101)/4)-(((E101-G101)*(D101-F101-F101)*(D101-F101-F101))/4)+(4*(H101*H101*(D101/2-F101-(H101/2))-((PI()*H101*H101)/4*((D101/2)-F101-(H101-((4*H101)/(3*PI()))))))))/1000</f>
        <v/>
      </c>
      <c r="U101" s="125">
        <f>(((D101*E101*E101)/4)-(2*((D101-F101-F101)*(E101/2-(G101/2))*(((E101/2-(G101/2))/2)+(G101/2))))+(4*(((H101*H101)-(((PI()*H101*H101)/4)))*((H101-((4*H101)/(3*PI())))+(G101/2)))))/1000</f>
        <v/>
      </c>
      <c r="V101" s="125" t="n">
        <v>5105</v>
      </c>
      <c r="W101" s="125" t="n">
        <v>2342</v>
      </c>
      <c r="X101" s="4" t="n"/>
      <c r="Y101">
        <f>SQRT((((VLOOKUP($X$4,$A$4:$D$1021,4,FALSE))-D101)^2)+(((VLOOKUP($X$4,$A$4:$E$1021,5,FALSE))-E101)^2))</f>
        <v/>
      </c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</row>
    <row r="102">
      <c r="A102" s="125" t="inlineStr">
        <is>
          <t>W12X210</t>
        </is>
      </c>
      <c r="B102" s="129" t="inlineStr">
        <is>
          <t>AISC</t>
        </is>
      </c>
      <c r="C102" s="125" t="n">
        <v>312.5</v>
      </c>
      <c r="D102" s="125" t="n">
        <v>373.6</v>
      </c>
      <c r="E102" s="125" t="n">
        <v>324.9</v>
      </c>
      <c r="F102" s="125" t="n">
        <v>48.3</v>
      </c>
      <c r="G102" s="125" t="n">
        <v>30</v>
      </c>
      <c r="H102" s="125" t="n">
        <v>15.2</v>
      </c>
      <c r="I102" s="125" t="n">
        <v>246.7</v>
      </c>
      <c r="J102" s="125" t="n">
        <v>399</v>
      </c>
      <c r="K102" s="125" t="n">
        <v>3.37</v>
      </c>
      <c r="L102" s="125" t="n">
        <v>8.23</v>
      </c>
      <c r="M102" s="125" t="n">
        <v>1.96</v>
      </c>
      <c r="N102" s="125" t="n">
        <v>89270</v>
      </c>
      <c r="O102" s="125" t="n">
        <v>27660</v>
      </c>
      <c r="P102" s="125" t="n">
        <v>15</v>
      </c>
      <c r="Q102" s="125" t="n">
        <v>8.33</v>
      </c>
      <c r="R102" s="125" t="n">
        <v>4779</v>
      </c>
      <c r="S102" s="125" t="n">
        <v>1702</v>
      </c>
      <c r="T102" s="125">
        <f>(((E102*D102*D102)/4)-(((E102-G102)*(D102-F102-F102)*(D102-F102-F102))/4)+(4*(H102*H102*(D102/2-F102-(H102/2))-((PI()*H102*H102)/4*((D102/2)-F102-(H102-((4*H102)/(3*PI()))))))))/1000</f>
        <v/>
      </c>
      <c r="U102" s="125">
        <f>(((D102*E102*E102)/4)-(2*((D102-F102-F102)*(E102/2-(G102/2))*(((E102/2-(G102/2))/2)+(G102/2))))+(4*(((H102*H102)-(((PI()*H102*H102)/4)))*((H102-((4*H102)/(3*PI())))+(G102/2)))))/1000</f>
        <v/>
      </c>
      <c r="V102" s="125" t="n">
        <v>5703</v>
      </c>
      <c r="W102" s="125" t="n">
        <v>2613</v>
      </c>
      <c r="X102" s="4" t="n"/>
      <c r="Y102">
        <f>SQRT((((VLOOKUP($X$4,$A$4:$D$1021,4,FALSE))-D102)^2)+(((VLOOKUP($X$4,$A$4:$E$1021,5,FALSE))-E102)^2))</f>
        <v/>
      </c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</row>
    <row r="103">
      <c r="A103" s="125" t="inlineStr">
        <is>
          <t>W12X230</t>
        </is>
      </c>
      <c r="B103" s="129" t="inlineStr">
        <is>
          <t>AISC</t>
        </is>
      </c>
      <c r="C103" s="125" t="n">
        <v>342</v>
      </c>
      <c r="D103" s="125" t="n">
        <v>382.3</v>
      </c>
      <c r="E103" s="125" t="n">
        <v>327.5</v>
      </c>
      <c r="F103" s="125" t="n">
        <v>52.6</v>
      </c>
      <c r="G103" s="125" t="n">
        <v>32.6</v>
      </c>
      <c r="H103" s="125" t="n">
        <v>15.2</v>
      </c>
      <c r="I103" s="125" t="n">
        <v>246.7</v>
      </c>
      <c r="J103" s="125" t="n">
        <v>437</v>
      </c>
      <c r="K103" s="125" t="n">
        <v>3.11</v>
      </c>
      <c r="L103" s="125" t="n">
        <v>7.57</v>
      </c>
      <c r="M103" s="125" t="n">
        <v>1.98</v>
      </c>
      <c r="N103" s="125" t="n">
        <v>100600</v>
      </c>
      <c r="O103" s="125" t="n">
        <v>30880</v>
      </c>
      <c r="P103" s="125" t="n">
        <v>15.2</v>
      </c>
      <c r="Q103" s="125" t="n">
        <v>8.41</v>
      </c>
      <c r="R103" s="125" t="n">
        <v>5261</v>
      </c>
      <c r="S103" s="125" t="n">
        <v>1886</v>
      </c>
      <c r="T103" s="125">
        <f>(((E103*D103*D103)/4)-(((E103-G103)*(D103-F103-F103)*(D103-F103-F103))/4)+(4*(H103*H103*(D103/2-F103-(H103/2))-((PI()*H103*H103)/4*((D103/2)-F103-(H103-((4*H103)/(3*PI()))))))))/1000</f>
        <v/>
      </c>
      <c r="U103" s="125">
        <f>(((D103*E103*E103)/4)-(2*((D103-F103-F103)*(E103/2-(G103/2))*(((E103/2-(G103/2))/2)+(G103/2))))+(4*(((H103*H103)-(((PI()*H103*H103)/4)))*((H103-((4*H103)/(3*PI())))+(G103/2)))))/1000</f>
        <v/>
      </c>
      <c r="V103" s="125" t="n">
        <v>6332</v>
      </c>
      <c r="W103" s="125" t="n">
        <v>2898</v>
      </c>
      <c r="X103" s="4" t="n"/>
      <c r="Y103">
        <f>SQRT((((VLOOKUP($X$4,$A$4:$D$1021,4,FALSE))-D103)^2)+(((VLOOKUP($X$4,$A$4:$E$1021,5,FALSE))-E103)^2))</f>
        <v/>
      </c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</row>
    <row r="104">
      <c r="A104" s="125" t="inlineStr">
        <is>
          <t>W12X252</t>
        </is>
      </c>
      <c r="B104" s="129" t="inlineStr">
        <is>
          <t>AISC</t>
        </is>
      </c>
      <c r="C104" s="125" t="n">
        <v>375</v>
      </c>
      <c r="D104" s="125" t="n">
        <v>391.4</v>
      </c>
      <c r="E104" s="125" t="n">
        <v>330.3</v>
      </c>
      <c r="F104" s="125" t="n">
        <v>57.2</v>
      </c>
      <c r="G104" s="125" t="n">
        <v>35.4</v>
      </c>
      <c r="H104" s="125" t="n">
        <v>15.2</v>
      </c>
      <c r="I104" s="125" t="n">
        <v>246.6</v>
      </c>
      <c r="J104" s="125" t="n">
        <v>478</v>
      </c>
      <c r="K104" s="125" t="n">
        <v>2.89</v>
      </c>
      <c r="L104" s="125" t="n">
        <v>6.97</v>
      </c>
      <c r="M104" s="125" t="n">
        <v>2.01</v>
      </c>
      <c r="N104" s="125" t="n">
        <v>113200</v>
      </c>
      <c r="O104" s="125" t="n">
        <v>34470</v>
      </c>
      <c r="P104" s="125" t="n">
        <v>15.4</v>
      </c>
      <c r="Q104" s="125" t="n">
        <v>8.49</v>
      </c>
      <c r="R104" s="125" t="n">
        <v>5783</v>
      </c>
      <c r="S104" s="125" t="n">
        <v>2087</v>
      </c>
      <c r="T104" s="125">
        <f>(((E104*D104*D104)/4)-(((E104-G104)*(D104-F104-F104)*(D104-F104-F104))/4)+(4*(H104*H104*(D104/2-F104-(H104/2))-((PI()*H104*H104)/4*((D104/2)-F104-(H104-((4*H104)/(3*PI()))))))))/1000</f>
        <v/>
      </c>
      <c r="U104" s="125">
        <f>(((D104*E104*E104)/4)-(2*((D104-F104-F104)*(E104/2-(G104/2))*(((E104/2-(G104/2))/2)+(G104/2))))+(4*(((H104*H104)-(((PI()*H104*H104)/4)))*((H104-((4*H104)/(3*PI())))+(G104/2)))))/1000</f>
        <v/>
      </c>
      <c r="V104" s="125" t="n">
        <v>7020</v>
      </c>
      <c r="W104" s="125" t="n">
        <v>3211</v>
      </c>
      <c r="X104" s="4" t="n"/>
      <c r="Y104">
        <f>SQRT((((VLOOKUP($X$4,$A$4:$D$1021,4,FALSE))-D104)^2)+(((VLOOKUP($X$4,$A$4:$E$1021,5,FALSE))-E104)^2))</f>
        <v/>
      </c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</row>
    <row r="105">
      <c r="A105" s="125" t="inlineStr">
        <is>
          <t>W12X278</t>
        </is>
      </c>
      <c r="B105" s="129" t="inlineStr">
        <is>
          <t>AISC</t>
        </is>
      </c>
      <c r="C105" s="125" t="n">
        <v>413.7</v>
      </c>
      <c r="D105" s="125" t="n">
        <v>402.6</v>
      </c>
      <c r="E105" s="125" t="n">
        <v>333.8</v>
      </c>
      <c r="F105" s="125" t="n">
        <v>62.7</v>
      </c>
      <c r="G105" s="125" t="n">
        <v>38.9</v>
      </c>
      <c r="H105" s="125" t="n">
        <v>15.2</v>
      </c>
      <c r="I105" s="125" t="n">
        <v>246.7</v>
      </c>
      <c r="J105" s="125" t="n">
        <v>529</v>
      </c>
      <c r="K105" s="125" t="n">
        <v>2.66</v>
      </c>
      <c r="L105" s="125" t="n">
        <v>6.35</v>
      </c>
      <c r="M105" s="125" t="n">
        <v>2.04</v>
      </c>
      <c r="N105" s="125" t="n">
        <v>129600</v>
      </c>
      <c r="O105" s="125" t="n">
        <v>39040</v>
      </c>
      <c r="P105" s="125" t="n">
        <v>15.7</v>
      </c>
      <c r="Q105" s="125" t="n">
        <v>8.59</v>
      </c>
      <c r="R105" s="125" t="n">
        <v>6437</v>
      </c>
      <c r="S105" s="125" t="n">
        <v>2339</v>
      </c>
      <c r="T105" s="125">
        <f>(((E105*D105*D105)/4)-(((E105-G105)*(D105-F105-F105)*(D105-F105-F105))/4)+(4*(H105*H105*(D105/2-F105-(H105/2))-((PI()*H105*H105)/4*((D105/2)-F105-(H105-((4*H105)/(3*PI()))))))))/1000</f>
        <v/>
      </c>
      <c r="U105" s="125">
        <f>(((D105*E105*E105)/4)-(2*((D105-F105-F105)*(E105/2-(G105/2))*(((E105/2-(G105/2))/2)+(G105/2))))+(4*(((H105*H105)-(((PI()*H105*H105)/4)))*((H105-((4*H105)/(3*PI())))+(G105/2)))))/1000</f>
        <v/>
      </c>
      <c r="V105" s="125" t="n">
        <v>7890</v>
      </c>
      <c r="W105" s="125" t="n">
        <v>3604</v>
      </c>
      <c r="X105" s="4" t="n"/>
      <c r="Y105">
        <f>SQRT((((VLOOKUP($X$4,$A$4:$D$1021,4,FALSE))-D105)^2)+(((VLOOKUP($X$4,$A$4:$E$1021,5,FALSE))-E105)^2))</f>
        <v/>
      </c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</row>
    <row r="106">
      <c r="A106" s="125" t="inlineStr">
        <is>
          <t>W12X279</t>
        </is>
      </c>
      <c r="B106" s="129" t="inlineStr">
        <is>
          <t>AISC</t>
        </is>
      </c>
      <c r="C106" s="125" t="n">
        <v>415</v>
      </c>
      <c r="D106" s="125" t="n">
        <v>402.6</v>
      </c>
      <c r="E106" s="125" t="n">
        <v>333.8</v>
      </c>
      <c r="F106" s="125" t="n">
        <v>62.7</v>
      </c>
      <c r="G106" s="125" t="n">
        <v>38.9</v>
      </c>
      <c r="H106" s="125" t="n">
        <v>15.2</v>
      </c>
      <c r="I106" s="125" t="n">
        <v>246.8</v>
      </c>
      <c r="J106" s="125" t="n">
        <v>528</v>
      </c>
      <c r="K106" s="125" t="n">
        <v>2.66</v>
      </c>
      <c r="L106" s="125" t="n">
        <v>6.34</v>
      </c>
      <c r="M106" s="125" t="n">
        <v>2.04</v>
      </c>
      <c r="N106" s="125" t="n">
        <v>129500</v>
      </c>
      <c r="O106" s="125" t="n">
        <v>39010</v>
      </c>
      <c r="P106" s="125" t="n">
        <v>15.7</v>
      </c>
      <c r="Q106" s="125" t="n">
        <v>8.59</v>
      </c>
      <c r="R106" s="125" t="n">
        <v>6435</v>
      </c>
      <c r="S106" s="125" t="n">
        <v>2338</v>
      </c>
      <c r="T106" s="125">
        <f>(((E106*D106*D106)/4)-(((E106-G106)*(D106-F106-F106)*(D106-F106-F106))/4)+(4*(H106*H106*(D106/2-F106-(H106/2))-((PI()*H106*H106)/4*((D106/2)-F106-(H106-((4*H106)/(3*PI()))))))))/1000</f>
        <v/>
      </c>
      <c r="U106" s="125">
        <f>(((D106*E106*E106)/4)-(2*((D106-F106-F106)*(E106/2-(G106/2))*(((E106/2-(G106/2))/2)+(G106/2))))+(4*(((H106*H106)-(((PI()*H106*H106)/4)))*((H106-((4*H106)/(3*PI())))+(G106/2)))))/1000</f>
        <v/>
      </c>
      <c r="V106" s="125" t="n">
        <v>7888</v>
      </c>
      <c r="W106" s="125" t="n">
        <v>3602</v>
      </c>
      <c r="Y106">
        <f>SQRT((((VLOOKUP($X$4,$A$4:$D$1021,4,FALSE))-D106)^2)+(((VLOOKUP($X$4,$A$4:$E$1021,5,FALSE))-E106)^2))</f>
        <v/>
      </c>
    </row>
    <row r="107">
      <c r="A107" s="125" t="inlineStr">
        <is>
          <t>W12X305</t>
        </is>
      </c>
      <c r="B107" s="129" t="inlineStr">
        <is>
          <t>AISC</t>
        </is>
      </c>
      <c r="C107" s="125" t="n">
        <v>454</v>
      </c>
      <c r="D107" s="125" t="n">
        <v>414.5</v>
      </c>
      <c r="E107" s="125" t="n">
        <v>336.2</v>
      </c>
      <c r="F107" s="125" t="n">
        <v>68.7</v>
      </c>
      <c r="G107" s="125" t="n">
        <v>41.3</v>
      </c>
      <c r="H107" s="125" t="n">
        <v>15.2</v>
      </c>
      <c r="I107" s="125" t="n">
        <v>246.7</v>
      </c>
      <c r="J107" s="125" t="n">
        <v>578</v>
      </c>
      <c r="K107" s="125" t="n">
        <v>2.45</v>
      </c>
      <c r="L107" s="125" t="n">
        <v>5.97</v>
      </c>
      <c r="M107" s="125" t="n">
        <v>2.07</v>
      </c>
      <c r="N107" s="125" t="n">
        <v>147600</v>
      </c>
      <c r="O107" s="125" t="n">
        <v>43690</v>
      </c>
      <c r="P107" s="125" t="n">
        <v>16</v>
      </c>
      <c r="Q107" s="125" t="n">
        <v>8.69</v>
      </c>
      <c r="R107" s="125" t="n">
        <v>7122</v>
      </c>
      <c r="S107" s="125" t="n">
        <v>2599</v>
      </c>
      <c r="T107" s="125">
        <f>(((E107*D107*D107)/4)-(((E107-G107)*(D107-F107-F107)*(D107-F107-F107))/4)+(4*(H107*H107*(D107/2-F107-(H107/2))-((PI()*H107*H107)/4*((D107/2)-F107-(H107-((4*H107)/(3*PI()))))))))/1000</f>
        <v/>
      </c>
      <c r="U107" s="125">
        <f>(((D107*E107*E107)/4)-(2*((D107-F107-F107)*(E107/2-(G107/2))*(((E107/2-(G107/2))/2)+(G107/2))))+(4*(((H107*H107)-(((PI()*H107*H107)/4)))*((H107-((4*H107)/(3*PI())))+(G107/2)))))/1000</f>
        <v/>
      </c>
      <c r="V107" s="125" t="n">
        <v>8807</v>
      </c>
      <c r="W107" s="125" t="n">
        <v>4006</v>
      </c>
      <c r="Y107">
        <f>SQRT((((VLOOKUP($X$4,$A$4:$D$1021,4,FALSE))-D107)^2)+(((VLOOKUP($X$4,$A$4:$E$1021,5,FALSE))-E107)^2))</f>
        <v/>
      </c>
    </row>
    <row r="108">
      <c r="A108" s="125" t="inlineStr">
        <is>
          <t>W12X336</t>
        </is>
      </c>
      <c r="B108" s="129" t="inlineStr">
        <is>
          <t>AISC</t>
        </is>
      </c>
      <c r="C108" s="125" t="n">
        <v>500</v>
      </c>
      <c r="D108" s="125" t="n">
        <v>427.2</v>
      </c>
      <c r="E108" s="125" t="n">
        <v>340</v>
      </c>
      <c r="F108" s="125" t="n">
        <v>75.09999999999999</v>
      </c>
      <c r="G108" s="125" t="n">
        <v>45.1</v>
      </c>
      <c r="H108" s="125" t="n">
        <v>15.2</v>
      </c>
      <c r="I108" s="125" t="n">
        <v>246.6</v>
      </c>
      <c r="J108" s="125" t="n">
        <v>638</v>
      </c>
      <c r="K108" s="125" t="n">
        <v>2.26</v>
      </c>
      <c r="L108" s="125" t="n">
        <v>5.47</v>
      </c>
      <c r="M108" s="125" t="n">
        <v>2.1</v>
      </c>
      <c r="N108" s="125" t="n">
        <v>169000</v>
      </c>
      <c r="O108" s="125" t="n">
        <v>49420</v>
      </c>
      <c r="P108" s="125" t="n">
        <v>16.3</v>
      </c>
      <c r="Q108" s="125" t="n">
        <v>8.800000000000001</v>
      </c>
      <c r="R108" s="125" t="n">
        <v>7913</v>
      </c>
      <c r="S108" s="125" t="n">
        <v>2907</v>
      </c>
      <c r="T108" s="125">
        <f>(((E108*D108*D108)/4)-(((E108-G108)*(D108-F108-F108)*(D108-F108-F108))/4)+(4*(H108*H108*(D108/2-F108-(H108/2))-((PI()*H108*H108)/4*((D108/2)-F108-(H108-((4*H108)/(3*PI()))))))))/1000</f>
        <v/>
      </c>
      <c r="U108" s="125">
        <f>(((D108*E108*E108)/4)-(2*((D108-F108-F108)*(E108/2-(G108/2))*(((E108/2-(G108/2))/2)+(G108/2))))+(4*(((H108*H108)-(((PI()*H108*H108)/4)))*((H108-((4*H108)/(3*PI())))+(G108/2)))))/1000</f>
        <v/>
      </c>
      <c r="V108" s="125" t="n">
        <v>9882</v>
      </c>
      <c r="W108" s="125" t="n">
        <v>4487</v>
      </c>
      <c r="Y108">
        <f>SQRT((((VLOOKUP($X$4,$A$4:$D$1021,4,FALSE))-D108)^2)+(((VLOOKUP($X$4,$A$4:$E$1021,5,FALSE))-E108)^2))</f>
        <v/>
      </c>
    </row>
    <row r="109">
      <c r="A109" s="125" t="inlineStr">
        <is>
          <t>W14X22</t>
        </is>
      </c>
      <c r="B109" s="129" t="inlineStr">
        <is>
          <t>AISC</t>
        </is>
      </c>
      <c r="C109" s="125" t="n">
        <v>33.1</v>
      </c>
      <c r="D109" s="125" t="n">
        <v>349</v>
      </c>
      <c r="E109" s="125" t="n">
        <v>125.4</v>
      </c>
      <c r="F109" s="125" t="n">
        <v>8.5</v>
      </c>
      <c r="G109" s="125" t="n">
        <v>6</v>
      </c>
      <c r="H109" s="125" t="n">
        <v>10.2</v>
      </c>
      <c r="I109" s="125" t="n">
        <v>311.6</v>
      </c>
      <c r="J109" s="125" t="n">
        <v>42.1</v>
      </c>
      <c r="K109" s="125" t="n">
        <v>7.38</v>
      </c>
      <c r="L109" s="125" t="n">
        <v>51.9</v>
      </c>
      <c r="M109" s="125" t="n">
        <v>1.17</v>
      </c>
      <c r="N109" s="125" t="n">
        <v>8250</v>
      </c>
      <c r="O109" s="125" t="n">
        <v>280</v>
      </c>
      <c r="P109" s="125" t="n">
        <v>14</v>
      </c>
      <c r="Q109" s="125" t="n">
        <v>2.58</v>
      </c>
      <c r="R109" s="125" t="n">
        <v>473</v>
      </c>
      <c r="S109" s="125" t="n">
        <v>44.7</v>
      </c>
      <c r="T109" s="125">
        <f>(((E109*D109*D109)/4)-(((E109-G109)*(D109-F109-F109)*(D109-F109-F109))/4)+(4*(H109*H109*(D109/2-F109-(H109/2))-((PI()*H109*H109)/4*((D109/2)-F109-(H109-((4*H109)/(3*PI()))))))))/1000</f>
        <v/>
      </c>
      <c r="U109" s="125">
        <f>(((D109*E109*E109)/4)-(2*((D109-F109-F109)*(E109/2-(G109/2))*(((E109/2-(G109/2))/2)+(G109/2))))+(4*(((H109*H109)-(((PI()*H109*H109)/4)))*((H109-((4*H109)/(3*PI())))+(G109/2)))))/1000</f>
        <v/>
      </c>
      <c r="V109" s="125" t="n">
        <v>543</v>
      </c>
      <c r="W109" s="125" t="n">
        <v>70.3</v>
      </c>
      <c r="Y109">
        <f>SQRT((((VLOOKUP($X$4,$A$4:$D$1021,4,FALSE))-D109)^2)+(((VLOOKUP($X$4,$A$4:$E$1021,5,FALSE))-E109)^2))</f>
        <v/>
      </c>
    </row>
    <row r="110">
      <c r="A110" s="125" t="inlineStr">
        <is>
          <t>W14X26</t>
        </is>
      </c>
      <c r="B110" s="129" t="inlineStr">
        <is>
          <t>AISC</t>
        </is>
      </c>
      <c r="C110" s="125" t="n">
        <v>39.1</v>
      </c>
      <c r="D110" s="125" t="n">
        <v>353.4</v>
      </c>
      <c r="E110" s="125" t="n">
        <v>126</v>
      </c>
      <c r="F110" s="125" t="n">
        <v>10.7</v>
      </c>
      <c r="G110" s="125" t="n">
        <v>6.6</v>
      </c>
      <c r="H110" s="125" t="n">
        <v>10.2</v>
      </c>
      <c r="I110" s="125" t="n">
        <v>311.6</v>
      </c>
      <c r="J110" s="125" t="n">
        <v>49.8</v>
      </c>
      <c r="K110" s="125" t="n">
        <v>5.89</v>
      </c>
      <c r="L110" s="125" t="n">
        <v>47.2</v>
      </c>
      <c r="M110" s="125" t="n">
        <v>1.18</v>
      </c>
      <c r="N110" s="125" t="n">
        <v>10170</v>
      </c>
      <c r="O110" s="125" t="n">
        <v>358</v>
      </c>
      <c r="P110" s="125" t="n">
        <v>14.3</v>
      </c>
      <c r="Q110" s="125" t="n">
        <v>2.68</v>
      </c>
      <c r="R110" s="125" t="n">
        <v>576</v>
      </c>
      <c r="S110" s="125" t="n">
        <v>56.8</v>
      </c>
      <c r="T110" s="125">
        <f>(((E110*D110*D110)/4)-(((E110-G110)*(D110-F110-F110)*(D110-F110-F110))/4)+(4*(H110*H110*(D110/2-F110-(H110/2))-((PI()*H110*H110)/4*((D110/2)-F110-(H110-((4*H110)/(3*PI()))))))))/1000</f>
        <v/>
      </c>
      <c r="U110" s="125">
        <f>(((D110*E110*E110)/4)-(2*((D110-F110-F110)*(E110/2-(G110/2))*(((E110/2-(G110/2))/2)+(G110/2))))+(4*(((H110*H110)-(((PI()*H110*H110)/4)))*((H110-((4*H110)/(3*PI())))+(G110/2)))))/1000</f>
        <v/>
      </c>
      <c r="V110" s="125" t="n">
        <v>659</v>
      </c>
      <c r="W110" s="125" t="n">
        <v>89.09999999999999</v>
      </c>
      <c r="Y110">
        <f>SQRT((((VLOOKUP($X$4,$A$4:$D$1021,4,FALSE))-D110)^2)+(((VLOOKUP($X$4,$A$4:$E$1021,5,FALSE))-E110)^2))</f>
        <v/>
      </c>
    </row>
    <row r="111">
      <c r="A111" s="125" t="inlineStr">
        <is>
          <t>W14X30</t>
        </is>
      </c>
      <c r="B111" s="129" t="inlineStr">
        <is>
          <t>AISC</t>
        </is>
      </c>
      <c r="C111" s="125" t="n">
        <v>45</v>
      </c>
      <c r="D111" s="125" t="n">
        <v>351.4</v>
      </c>
      <c r="E111" s="125" t="n">
        <v>171.1</v>
      </c>
      <c r="F111" s="125" t="n">
        <v>9.699999999999999</v>
      </c>
      <c r="G111" s="125" t="n">
        <v>7</v>
      </c>
      <c r="H111" s="125" t="n">
        <v>10.2</v>
      </c>
      <c r="I111" s="125" t="n">
        <v>311.6</v>
      </c>
      <c r="J111" s="125" t="n">
        <v>57.3</v>
      </c>
      <c r="K111" s="125" t="n">
        <v>8.82</v>
      </c>
      <c r="L111" s="125" t="n">
        <v>44.5</v>
      </c>
      <c r="M111" s="125" t="n">
        <v>1.36</v>
      </c>
      <c r="N111" s="125" t="n">
        <v>12070</v>
      </c>
      <c r="O111" s="125" t="n">
        <v>811</v>
      </c>
      <c r="P111" s="125" t="n">
        <v>14.5</v>
      </c>
      <c r="Q111" s="125" t="n">
        <v>3.76</v>
      </c>
      <c r="R111" s="125" t="n">
        <v>687</v>
      </c>
      <c r="S111" s="125" t="n">
        <v>94.8</v>
      </c>
      <c r="T111" s="125">
        <f>(((E111*D111*D111)/4)-(((E111-G111)*(D111-F111-F111)*(D111-F111-F111))/4)+(4*(H111*H111*(D111/2-F111-(H111/2))-((PI()*H111*H111)/4*((D111/2)-F111-(H111-((4*H111)/(3*PI()))))))))/1000</f>
        <v/>
      </c>
      <c r="U111" s="125">
        <f>(((D111*E111*E111)/4)-(2*((D111-F111-F111)*(E111/2-(G111/2))*(((E111/2-(G111/2))/2)+(G111/2))))+(4*(((H111*H111)-(((PI()*H111*H111)/4)))*((H111-((4*H111)/(3*PI())))+(G111/2)))))/1000</f>
        <v/>
      </c>
      <c r="V111" s="125" t="n">
        <v>775</v>
      </c>
      <c r="W111" s="125" t="n">
        <v>147</v>
      </c>
      <c r="Y111">
        <f>SQRT((((VLOOKUP($X$4,$A$4:$D$1021,4,FALSE))-D111)^2)+(((VLOOKUP($X$4,$A$4:$E$1021,5,FALSE))-E111)^2))</f>
        <v/>
      </c>
    </row>
    <row r="112">
      <c r="A112" s="125" t="inlineStr">
        <is>
          <t>W14X34</t>
        </is>
      </c>
      <c r="B112" s="129" t="inlineStr">
        <is>
          <t>AISC</t>
        </is>
      </c>
      <c r="C112" s="125" t="n">
        <v>51</v>
      </c>
      <c r="D112" s="125" t="n">
        <v>355</v>
      </c>
      <c r="E112" s="125" t="n">
        <v>171.5</v>
      </c>
      <c r="F112" s="125" t="n">
        <v>11.5</v>
      </c>
      <c r="G112" s="125" t="n">
        <v>7.4</v>
      </c>
      <c r="H112" s="125" t="n">
        <v>10.2</v>
      </c>
      <c r="I112" s="125" t="n">
        <v>311.6</v>
      </c>
      <c r="J112" s="125" t="n">
        <v>64.90000000000001</v>
      </c>
      <c r="K112" s="125" t="n">
        <v>7.46</v>
      </c>
      <c r="L112" s="125" t="n">
        <v>42.1</v>
      </c>
      <c r="M112" s="125" t="n">
        <v>1.36</v>
      </c>
      <c r="N112" s="125" t="n">
        <v>14140</v>
      </c>
      <c r="O112" s="125" t="n">
        <v>968</v>
      </c>
      <c r="P112" s="125" t="n">
        <v>14.8</v>
      </c>
      <c r="Q112" s="125" t="n">
        <v>3.86</v>
      </c>
      <c r="R112" s="125" t="n">
        <v>796</v>
      </c>
      <c r="S112" s="125" t="n">
        <v>113</v>
      </c>
      <c r="T112" s="125">
        <f>(((E112*D112*D112)/4)-(((E112-G112)*(D112-F112-F112)*(D112-F112-F112))/4)+(4*(H112*H112*(D112/2-F112-(H112/2))-((PI()*H112*H112)/4*((D112/2)-F112-(H112-((4*H112)/(3*PI()))))))))/1000</f>
        <v/>
      </c>
      <c r="U112" s="125">
        <f>(((D112*E112*E112)/4)-(2*((D112-F112-F112)*(E112/2-(G112/2))*(((E112/2-(G112/2))/2)+(G112/2))))+(4*(((H112*H112)-(((PI()*H112*H112)/4)))*((H112-((4*H112)/(3*PI())))+(G112/2)))))/1000</f>
        <v/>
      </c>
      <c r="V112" s="125" t="n">
        <v>896</v>
      </c>
      <c r="W112" s="125" t="n">
        <v>174</v>
      </c>
      <c r="Y112">
        <f>SQRT((((VLOOKUP($X$4,$A$4:$D$1021,4,FALSE))-D112)^2)+(((VLOOKUP($X$4,$A$4:$E$1021,5,FALSE))-E112)^2))</f>
        <v/>
      </c>
    </row>
    <row r="113">
      <c r="A113" s="125" t="inlineStr">
        <is>
          <t>W14X38</t>
        </is>
      </c>
      <c r="B113" s="129" t="inlineStr">
        <is>
          <t>AISC</t>
        </is>
      </c>
      <c r="C113" s="125" t="n">
        <v>57</v>
      </c>
      <c r="D113" s="125" t="n">
        <v>358</v>
      </c>
      <c r="E113" s="125" t="n">
        <v>172.2</v>
      </c>
      <c r="F113" s="125" t="n">
        <v>13</v>
      </c>
      <c r="G113" s="125" t="n">
        <v>8.1</v>
      </c>
      <c r="H113" s="125" t="n">
        <v>10.2</v>
      </c>
      <c r="I113" s="125" t="n">
        <v>311.6</v>
      </c>
      <c r="J113" s="125" t="n">
        <v>72.59999999999999</v>
      </c>
      <c r="K113" s="125" t="n">
        <v>6.62</v>
      </c>
      <c r="L113" s="125" t="n">
        <v>38.5</v>
      </c>
      <c r="M113" s="125" t="n">
        <v>1.37</v>
      </c>
      <c r="N113" s="125" t="n">
        <v>16040</v>
      </c>
      <c r="O113" s="125" t="n">
        <v>1108</v>
      </c>
      <c r="P113" s="125" t="n">
        <v>14.9</v>
      </c>
      <c r="Q113" s="125" t="n">
        <v>3.91</v>
      </c>
      <c r="R113" s="125" t="n">
        <v>896</v>
      </c>
      <c r="S113" s="125" t="n">
        <v>129</v>
      </c>
      <c r="T113" s="125">
        <f>(((E113*D113*D113)/4)-(((E113-G113)*(D113-F113-F113)*(D113-F113-F113))/4)+(4*(H113*H113*(D113/2-F113-(H113/2))-((PI()*H113*H113)/4*((D113/2)-F113-(H113-((4*H113)/(3*PI()))))))))/1000</f>
        <v/>
      </c>
      <c r="U113" s="125">
        <f>(((D113*E113*E113)/4)-(2*((D113-F113-F113)*(E113/2-(G113/2))*(((E113/2-(G113/2))/2)+(G113/2))))+(4*(((H113*H113)-(((PI()*H113*H113)/4)))*((H113-((4*H113)/(3*PI())))+(G113/2)))))/1000</f>
        <v/>
      </c>
      <c r="V113" s="125" t="n">
        <v>1010</v>
      </c>
      <c r="W113" s="125" t="n">
        <v>199</v>
      </c>
      <c r="Y113">
        <f>SQRT((((VLOOKUP($X$4,$A$4:$D$1021,4,FALSE))-D113)^2)+(((VLOOKUP($X$4,$A$4:$E$1021,5,FALSE))-E113)^2))</f>
        <v/>
      </c>
    </row>
    <row r="114">
      <c r="A114" s="125" t="inlineStr">
        <is>
          <t>W14X45</t>
        </is>
      </c>
      <c r="B114" s="129" t="inlineStr">
        <is>
          <t>AISC</t>
        </is>
      </c>
      <c r="C114" s="125" t="n">
        <v>67.09999999999999</v>
      </c>
      <c r="D114" s="125" t="n">
        <v>363.4</v>
      </c>
      <c r="E114" s="125" t="n">
        <v>173.2</v>
      </c>
      <c r="F114" s="125" t="n">
        <v>15.7</v>
      </c>
      <c r="G114" s="125" t="n">
        <v>9.1</v>
      </c>
      <c r="H114" s="125" t="n">
        <v>10.2</v>
      </c>
      <c r="I114" s="125" t="n">
        <v>311.6</v>
      </c>
      <c r="J114" s="125" t="n">
        <v>85.5</v>
      </c>
      <c r="K114" s="125" t="n">
        <v>5.52</v>
      </c>
      <c r="L114" s="125" t="n">
        <v>34.2</v>
      </c>
      <c r="M114" s="125" t="n">
        <v>1.38</v>
      </c>
      <c r="N114" s="125" t="n">
        <v>19460</v>
      </c>
      <c r="O114" s="125" t="n">
        <v>1362</v>
      </c>
      <c r="P114" s="125" t="n">
        <v>15.1</v>
      </c>
      <c r="Q114" s="125" t="n">
        <v>3.99</v>
      </c>
      <c r="R114" s="125" t="n">
        <v>1071</v>
      </c>
      <c r="S114" s="125" t="n">
        <v>157</v>
      </c>
      <c r="T114" s="125">
        <f>(((E114*D114*D114)/4)-(((E114-G114)*(D114-F114-F114)*(D114-F114-F114))/4)+(4*(H114*H114*(D114/2-F114-(H114/2))-((PI()*H114*H114)/4*((D114/2)-F114-(H114-((4*H114)/(3*PI()))))))))/1000</f>
        <v/>
      </c>
      <c r="U114" s="125">
        <f>(((D114*E114*E114)/4)-(2*((D114-F114-F114)*(E114/2-(G114/2))*(((E114/2-(G114/2))/2)+(G114/2))))+(4*(((H114*H114)-(((PI()*H114*H114)/4)))*((H114-((4*H114)/(3*PI())))+(G114/2)))))/1000</f>
        <v/>
      </c>
      <c r="V114" s="125" t="n">
        <v>1211</v>
      </c>
      <c r="W114" s="125" t="n">
        <v>243</v>
      </c>
      <c r="Y114">
        <f>SQRT((((VLOOKUP($X$4,$A$4:$D$1021,4,FALSE))-D114)^2)+(((VLOOKUP($X$4,$A$4:$E$1021,5,FALSE))-E114)^2))</f>
        <v/>
      </c>
    </row>
    <row r="115">
      <c r="A115" s="125" t="inlineStr">
        <is>
          <t>W14X43</t>
        </is>
      </c>
      <c r="B115" s="129" t="inlineStr">
        <is>
          <t>AISC</t>
        </is>
      </c>
      <c r="C115" s="125" t="n">
        <v>64</v>
      </c>
      <c r="D115" s="125" t="n">
        <v>347</v>
      </c>
      <c r="E115" s="125" t="n">
        <v>203.1</v>
      </c>
      <c r="F115" s="125" t="n">
        <v>13.4</v>
      </c>
      <c r="G115" s="125" t="n">
        <v>7.8</v>
      </c>
      <c r="H115" s="125" t="n">
        <v>15.2</v>
      </c>
      <c r="I115" s="125" t="n">
        <v>289.8</v>
      </c>
      <c r="J115" s="125" t="n">
        <v>81.2</v>
      </c>
      <c r="K115" s="125" t="n">
        <v>7.58</v>
      </c>
      <c r="L115" s="125" t="n">
        <v>37.4</v>
      </c>
      <c r="M115" s="125" t="n">
        <v>1.46</v>
      </c>
      <c r="N115" s="125" t="n">
        <v>17760</v>
      </c>
      <c r="O115" s="125" t="n">
        <v>1874</v>
      </c>
      <c r="P115" s="125" t="n">
        <v>14.8</v>
      </c>
      <c r="Q115" s="125" t="n">
        <v>4.8</v>
      </c>
      <c r="R115" s="125" t="n">
        <v>1024</v>
      </c>
      <c r="S115" s="125" t="n">
        <v>185</v>
      </c>
      <c r="T115" s="125">
        <f>(((E115*D115*D115)/4)-(((E115-G115)*(D115-F115-F115)*(D115-F115-F115))/4)+(4*(H115*H115*(D115/2-F115-(H115/2))-((PI()*H115*H115)/4*((D115/2)-F115-(H115-((4*H115)/(3*PI()))))))))/1000</f>
        <v/>
      </c>
      <c r="U115" s="125">
        <f>(((D115*E115*E115)/4)-(2*((D115-F115-F115)*(E115/2-(G115/2))*(((E115/2-(G115/2))/2)+(G115/2))))+(4*(((H115*H115)-(((PI()*H115*H115)/4)))*((H115-((4*H115)/(3*PI())))+(G115/2)))))/1000</f>
        <v/>
      </c>
      <c r="V115" s="125" t="n">
        <v>1138</v>
      </c>
      <c r="W115" s="125" t="n">
        <v>283</v>
      </c>
      <c r="Y115">
        <f>SQRT((((VLOOKUP($X$4,$A$4:$D$1021,4,FALSE))-D115)^2)+(((VLOOKUP($X$4,$A$4:$E$1021,5,FALSE))-E115)^2))</f>
        <v/>
      </c>
    </row>
    <row r="116">
      <c r="A116" s="125" t="inlineStr">
        <is>
          <t>W14X48</t>
        </is>
      </c>
      <c r="B116" s="129" t="inlineStr">
        <is>
          <t>AISC</t>
        </is>
      </c>
      <c r="C116" s="125" t="n">
        <v>71.40000000000001</v>
      </c>
      <c r="D116" s="125" t="n">
        <v>350.3</v>
      </c>
      <c r="E116" s="125" t="n">
        <v>204</v>
      </c>
      <c r="F116" s="125" t="n">
        <v>15.1</v>
      </c>
      <c r="G116" s="125" t="n">
        <v>8.6</v>
      </c>
      <c r="H116" s="125" t="n">
        <v>15.2</v>
      </c>
      <c r="I116" s="125" t="n">
        <v>289.7</v>
      </c>
      <c r="J116" s="125" t="n">
        <v>91.2</v>
      </c>
      <c r="K116" s="125" t="n">
        <v>6.75</v>
      </c>
      <c r="L116" s="125" t="n">
        <v>33.5</v>
      </c>
      <c r="M116" s="125" t="n">
        <v>1.47</v>
      </c>
      <c r="N116" s="125" t="n">
        <v>20170</v>
      </c>
      <c r="O116" s="125" t="n">
        <v>2140</v>
      </c>
      <c r="P116" s="125" t="n">
        <v>14.9</v>
      </c>
      <c r="Q116" s="125" t="n">
        <v>4.84</v>
      </c>
      <c r="R116" s="125" t="n">
        <v>1151</v>
      </c>
      <c r="S116" s="125" t="n">
        <v>210</v>
      </c>
      <c r="T116" s="125">
        <f>(((E116*D116*D116)/4)-(((E116-G116)*(D116-F116-F116)*(D116-F116-F116))/4)+(4*(H116*H116*(D116/2-F116-(H116/2))-((PI()*H116*H116)/4*((D116/2)-F116-(H116-((4*H116)/(3*PI()))))))))/1000</f>
        <v/>
      </c>
      <c r="U116" s="125">
        <f>(((D116*E116*E116)/4)-(2*((D116-F116-F116)*(E116/2-(G116/2))*(((E116/2-(G116/2))/2)+(G116/2))))+(4*(((H116*H116)-(((PI()*H116*H116)/4)))*((H116-((4*H116)/(3*PI())))+(G116/2)))))/1000</f>
        <v/>
      </c>
      <c r="V116" s="125" t="n">
        <v>1285</v>
      </c>
      <c r="W116" s="125" t="n">
        <v>322</v>
      </c>
      <c r="Y116">
        <f>SQRT((((VLOOKUP($X$4,$A$4:$D$1021,4,FALSE))-D116)^2)+(((VLOOKUP($X$4,$A$4:$E$1021,5,FALSE))-E116)^2))</f>
        <v/>
      </c>
    </row>
    <row r="117">
      <c r="A117" s="125" t="inlineStr">
        <is>
          <t>W14X53</t>
        </is>
      </c>
      <c r="B117" s="129" t="inlineStr">
        <is>
          <t>AISC</t>
        </is>
      </c>
      <c r="C117" s="125" t="n">
        <v>78.90000000000001</v>
      </c>
      <c r="D117" s="125" t="n">
        <v>353.6</v>
      </c>
      <c r="E117" s="125" t="n">
        <v>204.7</v>
      </c>
      <c r="F117" s="125" t="n">
        <v>16.7</v>
      </c>
      <c r="G117" s="125" t="n">
        <v>9.4</v>
      </c>
      <c r="H117" s="125" t="n">
        <v>15.2</v>
      </c>
      <c r="I117" s="125" t="n">
        <v>289.8</v>
      </c>
      <c r="J117" s="125" t="n">
        <v>100</v>
      </c>
      <c r="K117" s="125" t="n">
        <v>6.13</v>
      </c>
      <c r="L117" s="125" t="n">
        <v>30.8</v>
      </c>
      <c r="M117" s="125" t="n">
        <v>1.48</v>
      </c>
      <c r="N117" s="125" t="n">
        <v>22480</v>
      </c>
      <c r="O117" s="125" t="n">
        <v>2391</v>
      </c>
      <c r="P117" s="125" t="n">
        <v>15</v>
      </c>
      <c r="Q117" s="125" t="n">
        <v>4.88</v>
      </c>
      <c r="R117" s="125" t="n">
        <v>1271</v>
      </c>
      <c r="S117" s="125" t="n">
        <v>234</v>
      </c>
      <c r="T117" s="125">
        <f>(((E117*D117*D117)/4)-(((E117-G117)*(D117-F117-F117)*(D117-F117-F117))/4)+(4*(H117*H117*(D117/2-F117-(H117/2))-((PI()*H117*H117)/4*((D117/2)-F117-(H117-((4*H117)/(3*PI()))))))))/1000</f>
        <v/>
      </c>
      <c r="U117" s="125">
        <f>(((D117*E117*E117)/4)-(2*((D117-F117-F117)*(E117/2-(G117/2))*(((E117/2-(G117/2))/2)+(G117/2))))+(4*(((H117*H117)-(((PI()*H117*H117)/4)))*((H117-((4*H117)/(3*PI())))+(G117/2)))))/1000</f>
        <v/>
      </c>
      <c r="V117" s="125" t="n">
        <v>1424</v>
      </c>
      <c r="W117" s="125" t="n">
        <v>359</v>
      </c>
      <c r="Y117">
        <f>SQRT((((VLOOKUP($X$4,$A$4:$D$1021,4,FALSE))-D117)^2)+(((VLOOKUP($X$4,$A$4:$E$1021,5,FALSE))-E117)^2))</f>
        <v/>
      </c>
    </row>
    <row r="118">
      <c r="A118" s="125" t="inlineStr">
        <is>
          <t>W14X61</t>
        </is>
      </c>
      <c r="B118" s="129" t="inlineStr">
        <is>
          <t>AISC</t>
        </is>
      </c>
      <c r="C118" s="125" t="n">
        <v>90.8</v>
      </c>
      <c r="D118" s="125" t="n">
        <v>352.8</v>
      </c>
      <c r="E118" s="125" t="n">
        <v>253.9</v>
      </c>
      <c r="F118" s="125" t="n">
        <v>16.3</v>
      </c>
      <c r="G118" s="125" t="n">
        <v>9.5</v>
      </c>
      <c r="H118" s="125" t="n">
        <v>15.2</v>
      </c>
      <c r="I118" s="125" t="n">
        <v>289.8</v>
      </c>
      <c r="J118" s="125" t="n">
        <v>115</v>
      </c>
      <c r="K118" s="125" t="n">
        <v>7.79</v>
      </c>
      <c r="L118" s="125" t="n">
        <v>30.4</v>
      </c>
      <c r="M118" s="125" t="n">
        <v>1.68</v>
      </c>
      <c r="N118" s="125" t="n">
        <v>26540</v>
      </c>
      <c r="O118" s="125" t="n">
        <v>4451</v>
      </c>
      <c r="P118" s="125" t="n">
        <v>15.2</v>
      </c>
      <c r="Q118" s="125" t="n">
        <v>6.21</v>
      </c>
      <c r="R118" s="125" t="n">
        <v>1505</v>
      </c>
      <c r="S118" s="125" t="n">
        <v>351</v>
      </c>
      <c r="T118" s="125">
        <f>(((E118*D118*D118)/4)-(((E118-G118)*(D118-F118-F118)*(D118-F118-F118))/4)+(4*(H118*H118*(D118/2-F118-(H118/2))-((PI()*H118*H118)/4*((D118/2)-F118-(H118-((4*H118)/(3*PI()))))))))/1000</f>
        <v/>
      </c>
      <c r="U118" s="125">
        <f>(((D118*E118*E118)/4)-(2*((D118-F118-F118)*(E118/2-(G118/2))*(((E118/2-(G118/2))/2)+(G118/2))))+(4*(((H118*H118)-(((PI()*H118*H118)/4)))*((H118-((4*H118)/(3*PI())))+(G118/2)))))/1000</f>
        <v/>
      </c>
      <c r="V118" s="125" t="n">
        <v>1668</v>
      </c>
      <c r="W118" s="125" t="n">
        <v>534</v>
      </c>
      <c r="Y118">
        <f>SQRT((((VLOOKUP($X$4,$A$4:$D$1021,4,FALSE))-D118)^2)+(((VLOOKUP($X$4,$A$4:$E$1021,5,FALSE))-E118)^2))</f>
        <v/>
      </c>
    </row>
    <row r="119">
      <c r="A119" s="125" t="inlineStr">
        <is>
          <t>W14X68</t>
        </is>
      </c>
      <c r="B119" s="129" t="inlineStr">
        <is>
          <t>AISC</t>
        </is>
      </c>
      <c r="C119" s="125" t="n">
        <v>101.2</v>
      </c>
      <c r="D119" s="125" t="n">
        <v>356.6</v>
      </c>
      <c r="E119" s="125" t="n">
        <v>254.8</v>
      </c>
      <c r="F119" s="125" t="n">
        <v>18.3</v>
      </c>
      <c r="G119" s="125" t="n">
        <v>10.5</v>
      </c>
      <c r="H119" s="125" t="n">
        <v>15.2</v>
      </c>
      <c r="I119" s="125" t="n">
        <v>289.6</v>
      </c>
      <c r="J119" s="125" t="n">
        <v>129</v>
      </c>
      <c r="K119" s="125" t="n">
        <v>6.97</v>
      </c>
      <c r="L119" s="125" t="n">
        <v>27.5</v>
      </c>
      <c r="M119" s="125" t="n">
        <v>1.69</v>
      </c>
      <c r="N119" s="125" t="n">
        <v>30060</v>
      </c>
      <c r="O119" s="125" t="n">
        <v>5048</v>
      </c>
      <c r="P119" s="125" t="n">
        <v>15.3</v>
      </c>
      <c r="Q119" s="125" t="n">
        <v>6.26</v>
      </c>
      <c r="R119" s="125" t="n">
        <v>1686</v>
      </c>
      <c r="S119" s="125" t="n">
        <v>396</v>
      </c>
      <c r="T119" s="125">
        <f>(((E119*D119*D119)/4)-(((E119-G119)*(D119-F119-F119)*(D119-F119-F119))/4)+(4*(H119*H119*(D119/2-F119-(H119/2))-((PI()*H119*H119)/4*((D119/2)-F119-(H119-((4*H119)/(3*PI()))))))))/1000</f>
        <v/>
      </c>
      <c r="U119" s="125">
        <f>(((D119*E119*E119)/4)-(2*((D119-F119-F119)*(E119/2-(G119/2))*(((E119/2-(G119/2))/2)+(G119/2))))+(4*(((H119*H119)-(((PI()*H119*H119)/4)))*((H119-((4*H119)/(3*PI())))+(G119/2)))))/1000</f>
        <v/>
      </c>
      <c r="V119" s="125" t="n">
        <v>1878</v>
      </c>
      <c r="W119" s="125" t="n">
        <v>604</v>
      </c>
      <c r="Y119">
        <f>SQRT((((VLOOKUP($X$4,$A$4:$D$1021,4,FALSE))-D119)^2)+(((VLOOKUP($X$4,$A$4:$E$1021,5,FALSE))-E119)^2))</f>
        <v/>
      </c>
    </row>
    <row r="120">
      <c r="A120" s="125" t="inlineStr">
        <is>
          <t>W14X74</t>
        </is>
      </c>
      <c r="B120" s="129" t="inlineStr">
        <is>
          <t>AISC</t>
        </is>
      </c>
      <c r="C120" s="125" t="n">
        <v>110.1</v>
      </c>
      <c r="D120" s="125" t="n">
        <v>359.9</v>
      </c>
      <c r="E120" s="125" t="n">
        <v>255.8</v>
      </c>
      <c r="F120" s="125" t="n">
        <v>19.9</v>
      </c>
      <c r="G120" s="125" t="n">
        <v>11.4</v>
      </c>
      <c r="H120" s="125" t="n">
        <v>15.2</v>
      </c>
      <c r="I120" s="125" t="n">
        <v>289.6</v>
      </c>
      <c r="J120" s="125" t="n">
        <v>141</v>
      </c>
      <c r="K120" s="125" t="n">
        <v>6.41</v>
      </c>
      <c r="L120" s="125" t="n">
        <v>25.3</v>
      </c>
      <c r="M120" s="125" t="n">
        <v>1.69</v>
      </c>
      <c r="N120" s="125" t="n">
        <v>33120</v>
      </c>
      <c r="O120" s="125" t="n">
        <v>5569</v>
      </c>
      <c r="P120" s="125" t="n">
        <v>15.3</v>
      </c>
      <c r="Q120" s="125" t="n">
        <v>6.29</v>
      </c>
      <c r="R120" s="125" t="n">
        <v>1840</v>
      </c>
      <c r="S120" s="125" t="n">
        <v>435</v>
      </c>
      <c r="T120" s="125">
        <f>(((E120*D120*D120)/4)-(((E120-G120)*(D120-F120-F120)*(D120-F120-F120))/4)+(4*(H120*H120*(D120/2-F120-(H120/2))-((PI()*H120*H120)/4*((D120/2)-F120-(H120-((4*H120)/(3*PI()))))))))/1000</f>
        <v/>
      </c>
      <c r="U120" s="125">
        <f>(((D120*E120*E120)/4)-(2*((D120-F120-F120)*(E120/2-(G120/2))*(((E120/2-(G120/2))/2)+(G120/2))))+(4*(((H120*H120)-(((PI()*H120*H120)/4)))*((H120-((4*H120)/(3*PI())))+(G120/2)))))/1000</f>
        <v/>
      </c>
      <c r="V120" s="125" t="n">
        <v>2058</v>
      </c>
      <c r="W120" s="125" t="n">
        <v>665</v>
      </c>
      <c r="Y120">
        <f>SQRT((((VLOOKUP($X$4,$A$4:$D$1021,4,FALSE))-D120)^2)+(((VLOOKUP($X$4,$A$4:$E$1021,5,FALSE))-E120)^2))</f>
        <v/>
      </c>
    </row>
    <row r="121">
      <c r="A121" s="125" t="inlineStr">
        <is>
          <t>W14X82</t>
        </is>
      </c>
      <c r="B121" s="129" t="inlineStr">
        <is>
          <t>AISC</t>
        </is>
      </c>
      <c r="C121" s="125" t="n">
        <v>122</v>
      </c>
      <c r="D121" s="125" t="n">
        <v>363.5</v>
      </c>
      <c r="E121" s="125" t="n">
        <v>257.3</v>
      </c>
      <c r="F121" s="125" t="n">
        <v>21.7</v>
      </c>
      <c r="G121" s="125" t="n">
        <v>12.9</v>
      </c>
      <c r="H121" s="125" t="n">
        <v>15.2</v>
      </c>
      <c r="I121" s="125" t="n">
        <v>289.7</v>
      </c>
      <c r="J121" s="125" t="n">
        <v>155</v>
      </c>
      <c r="K121" s="125" t="n">
        <v>5.92</v>
      </c>
      <c r="L121" s="125" t="n">
        <v>22.5</v>
      </c>
      <c r="M121" s="125" t="n">
        <v>1.7</v>
      </c>
      <c r="N121" s="125" t="n">
        <v>36680</v>
      </c>
      <c r="O121" s="125" t="n">
        <v>6175</v>
      </c>
      <c r="P121" s="125" t="n">
        <v>15.4</v>
      </c>
      <c r="Q121" s="125" t="n">
        <v>6.31</v>
      </c>
      <c r="R121" s="125" t="n">
        <v>2018</v>
      </c>
      <c r="S121" s="125" t="n">
        <v>480</v>
      </c>
      <c r="T121" s="125">
        <f>(((E121*D121*D121)/4)-(((E121-G121)*(D121-F121-F121)*(D121-F121-F121))/4)+(4*(H121*H121*(D121/2-F121-(H121/2))-((PI()*H121*H121)/4*((D121/2)-F121-(H121-((4*H121)/(3*PI()))))))))/1000</f>
        <v/>
      </c>
      <c r="U121" s="125">
        <f>(((D121*E121*E121)/4)-(2*((D121-F121-F121)*(E121/2-(G121/2))*(((E121/2-(G121/2))/2)+(G121/2))))+(4*(((H121*H121)-(((PI()*H121*H121)/4)))*((H121-((4*H121)/(3*PI())))+(G121/2)))))/1000</f>
        <v/>
      </c>
      <c r="V121" s="125" t="n">
        <v>2270</v>
      </c>
      <c r="W121" s="125" t="n">
        <v>734</v>
      </c>
      <c r="Y121">
        <f>SQRT((((VLOOKUP($X$4,$A$4:$D$1021,4,FALSE))-D121)^2)+(((VLOOKUP($X$4,$A$4:$E$1021,5,FALSE))-E121)^2))</f>
        <v/>
      </c>
    </row>
    <row r="122">
      <c r="A122" s="125" t="inlineStr">
        <is>
          <t>W14X87</t>
        </is>
      </c>
      <c r="B122" s="129" t="inlineStr">
        <is>
          <t>AISC</t>
        </is>
      </c>
      <c r="C122" s="125" t="n">
        <v>129</v>
      </c>
      <c r="D122" s="125" t="n">
        <v>355.6</v>
      </c>
      <c r="E122" s="125" t="n">
        <v>368.6</v>
      </c>
      <c r="F122" s="125" t="n">
        <v>17.5</v>
      </c>
      <c r="G122" s="125" t="n">
        <v>10.4</v>
      </c>
      <c r="H122" s="125" t="n">
        <v>15.2</v>
      </c>
      <c r="I122" s="125" t="n">
        <v>290.2</v>
      </c>
      <c r="J122" s="125" t="n">
        <v>164</v>
      </c>
      <c r="K122" s="125" t="n">
        <v>10.5</v>
      </c>
      <c r="L122" s="125" t="n">
        <v>27.9</v>
      </c>
      <c r="M122" s="125" t="n">
        <v>2.14</v>
      </c>
      <c r="N122" s="125" t="n">
        <v>40250</v>
      </c>
      <c r="O122" s="125" t="n">
        <v>14610</v>
      </c>
      <c r="P122" s="125" t="n">
        <v>15.6</v>
      </c>
      <c r="Q122" s="125" t="n">
        <v>9.43</v>
      </c>
      <c r="R122" s="125" t="n">
        <v>2264</v>
      </c>
      <c r="S122" s="125" t="n">
        <v>793</v>
      </c>
      <c r="T122" s="125">
        <f>(((E122*D122*D122)/4)-(((E122-G122)*(D122-F122-F122)*(D122-F122-F122))/4)+(4*(H122*H122*(D122/2-F122-(H122/2))-((PI()*H122*H122)/4*((D122/2)-F122-(H122-((4*H122)/(3*PI()))))))))/1000</f>
        <v/>
      </c>
      <c r="U122" s="125">
        <f>(((D122*E122*E122)/4)-(2*((D122-F122-F122)*(E122/2-(G122/2))*(((E122/2-(G122/2))/2)+(G122/2))))+(4*(((H122*H122)-(((PI()*H122*H122)/4)))*((H122-((4*H122)/(3*PI())))+(G122/2)))))/1000</f>
        <v/>
      </c>
      <c r="V122" s="125" t="n">
        <v>2479</v>
      </c>
      <c r="W122" s="125" t="n">
        <v>1199</v>
      </c>
      <c r="Y122">
        <f>SQRT((((VLOOKUP($X$4,$A$4:$D$1021,4,FALSE))-D122)^2)+(((VLOOKUP($X$4,$A$4:$E$1021,5,FALSE))-E122)^2))</f>
        <v/>
      </c>
    </row>
    <row r="123">
      <c r="A123" s="125" t="inlineStr">
        <is>
          <t>W14X90</t>
        </is>
      </c>
      <c r="B123" s="129" t="inlineStr">
        <is>
          <t>AISC</t>
        </is>
      </c>
      <c r="C123" s="125" t="n">
        <v>133.9</v>
      </c>
      <c r="D123" s="125" t="n">
        <v>356.1</v>
      </c>
      <c r="E123" s="125" t="n">
        <v>368.8</v>
      </c>
      <c r="F123" s="125" t="n">
        <v>18</v>
      </c>
      <c r="G123" s="125" t="n">
        <v>11.2</v>
      </c>
      <c r="H123" s="125" t="n">
        <v>15.2</v>
      </c>
      <c r="I123" s="125" t="n">
        <v>289.6</v>
      </c>
      <c r="J123" s="125" t="n">
        <v>171</v>
      </c>
      <c r="K123" s="125" t="n">
        <v>10.2</v>
      </c>
      <c r="L123" s="125" t="n">
        <v>25.9</v>
      </c>
      <c r="M123" s="125" t="n">
        <v>2.14</v>
      </c>
      <c r="N123" s="125" t="n">
        <v>41580</v>
      </c>
      <c r="O123" s="125" t="n">
        <v>15080</v>
      </c>
      <c r="P123" s="125" t="n">
        <v>15.6</v>
      </c>
      <c r="Q123" s="125" t="n">
        <v>9.4</v>
      </c>
      <c r="R123" s="125" t="n">
        <v>2335</v>
      </c>
      <c r="S123" s="125" t="n">
        <v>818</v>
      </c>
      <c r="T123" s="125">
        <f>(((E123*D123*D123)/4)-(((E123-G123)*(D123-F123-F123)*(D123-F123-F123))/4)+(4*(H123*H123*(D123/2-F123-(H123/2))-((PI()*H123*H123)/4*((D123/2)-F123-(H123-((4*H123)/(3*PI()))))))))/1000</f>
        <v/>
      </c>
      <c r="U123" s="125">
        <f>(((D123*E123*E123)/4)-(2*((D123-F123-F123)*(E123/2-(G123/2))*(((E123/2-(G123/2))/2)+(G123/2))))+(4*(((H123*H123)-(((PI()*H123*H123)/4)))*((H123-((4*H123)/(3*PI())))+(G123/2)))))/1000</f>
        <v/>
      </c>
      <c r="V123" s="125" t="n">
        <v>2565</v>
      </c>
      <c r="W123" s="125" t="n">
        <v>1238</v>
      </c>
      <c r="Y123">
        <f>SQRT((((VLOOKUP($X$4,$A$4:$D$1021,4,FALSE))-D123)^2)+(((VLOOKUP($X$4,$A$4:$E$1021,5,FALSE))-E123)^2))</f>
        <v/>
      </c>
    </row>
    <row r="124">
      <c r="A124" s="125" t="inlineStr">
        <is>
          <t>W14X99</t>
        </is>
      </c>
      <c r="B124" s="129" t="inlineStr">
        <is>
          <t>AISC</t>
        </is>
      </c>
      <c r="C124" s="125" t="n">
        <v>147.3</v>
      </c>
      <c r="D124" s="125" t="n">
        <v>359.7</v>
      </c>
      <c r="E124" s="125" t="n">
        <v>370</v>
      </c>
      <c r="F124" s="125" t="n">
        <v>19.8</v>
      </c>
      <c r="G124" s="125" t="n">
        <v>12.3</v>
      </c>
      <c r="H124" s="125" t="n">
        <v>15.2</v>
      </c>
      <c r="I124" s="125" t="n">
        <v>289.7</v>
      </c>
      <c r="J124" s="125" t="n">
        <v>188</v>
      </c>
      <c r="K124" s="125" t="n">
        <v>9.34</v>
      </c>
      <c r="L124" s="125" t="n">
        <v>23.5</v>
      </c>
      <c r="M124" s="125" t="n">
        <v>2.15</v>
      </c>
      <c r="N124" s="125" t="n">
        <v>46240</v>
      </c>
      <c r="O124" s="125" t="n">
        <v>16730</v>
      </c>
      <c r="P124" s="125" t="n">
        <v>15.7</v>
      </c>
      <c r="Q124" s="125" t="n">
        <v>9.43</v>
      </c>
      <c r="R124" s="125" t="n">
        <v>2571</v>
      </c>
      <c r="S124" s="125" t="n">
        <v>904</v>
      </c>
      <c r="T124" s="125">
        <f>(((E124*D124*D124)/4)-(((E124-G124)*(D124-F124-F124)*(D124-F124-F124))/4)+(4*(H124*H124*(D124/2-F124-(H124/2))-((PI()*H124*H124)/4*((D124/2)-F124-(H124-((4*H124)/(3*PI()))))))))/1000</f>
        <v/>
      </c>
      <c r="U124" s="125">
        <f>(((D124*E124*E124)/4)-(2*((D124-F124-F124)*(E124/2-(G124/2))*(((E124/2-(G124/2))/2)+(G124/2))))+(4*(((H124*H124)-(((PI()*H124*H124)/4)))*((H124-((4*H124)/(3*PI())))+(G124/2)))))/1000</f>
        <v/>
      </c>
      <c r="V124" s="125" t="n">
        <v>2838</v>
      </c>
      <c r="W124" s="125" t="n">
        <v>1370</v>
      </c>
      <c r="Y124">
        <f>SQRT((((VLOOKUP($X$4,$A$4:$D$1021,4,FALSE))-D124)^2)+(((VLOOKUP($X$4,$A$4:$E$1021,5,FALSE))-E124)^2))</f>
        <v/>
      </c>
    </row>
    <row r="125">
      <c r="A125" s="125" t="inlineStr">
        <is>
          <t>W14X103</t>
        </is>
      </c>
      <c r="B125" s="129" t="inlineStr">
        <is>
          <t>AISC</t>
        </is>
      </c>
      <c r="C125" s="125" t="n">
        <v>152.9</v>
      </c>
      <c r="D125" s="125" t="n">
        <v>362</v>
      </c>
      <c r="E125" s="125" t="n">
        <v>370.5</v>
      </c>
      <c r="F125" s="125" t="n">
        <v>20.7</v>
      </c>
      <c r="G125" s="125" t="n">
        <v>12.3</v>
      </c>
      <c r="H125" s="125" t="n">
        <v>15.2</v>
      </c>
      <c r="I125" s="125" t="n">
        <v>290.2</v>
      </c>
      <c r="J125" s="125" t="n">
        <v>195</v>
      </c>
      <c r="K125" s="125" t="n">
        <v>8.949999999999999</v>
      </c>
      <c r="L125" s="125" t="n">
        <v>23.6</v>
      </c>
      <c r="M125" s="125" t="n">
        <v>2.16</v>
      </c>
      <c r="N125" s="125" t="n">
        <v>48590</v>
      </c>
      <c r="O125" s="125" t="n">
        <v>17550</v>
      </c>
      <c r="P125" s="125" t="n">
        <v>15.8</v>
      </c>
      <c r="Q125" s="125" t="n">
        <v>9.49</v>
      </c>
      <c r="R125" s="125" t="n">
        <v>2685</v>
      </c>
      <c r="S125" s="125" t="n">
        <v>948</v>
      </c>
      <c r="T125" s="125">
        <f>(((E125*D125*D125)/4)-(((E125-G125)*(D125-F125-F125)*(D125-F125-F125))/4)+(4*(H125*H125*(D125/2-F125-(H125/2))-((PI()*H125*H125)/4*((D125/2)-F125-(H125-((4*H125)/(3*PI()))))))))/1000</f>
        <v/>
      </c>
      <c r="U125" s="125">
        <f>(((D125*E125*E125)/4)-(2*((D125-F125-F125)*(E125/2-(G125/2))*(((E125/2-(G125/2))/2)+(G125/2))))+(4*(((H125*H125)-(((PI()*H125*H125)/4)))*((H125-((4*H125)/(3*PI())))+(G125/2)))))/1000</f>
        <v/>
      </c>
      <c r="V125" s="125" t="n">
        <v>2965</v>
      </c>
      <c r="W125" s="125" t="n">
        <v>1435</v>
      </c>
      <c r="Y125">
        <f>SQRT((((VLOOKUP($X$4,$A$4:$D$1021,4,FALSE))-D125)^2)+(((VLOOKUP($X$4,$A$4:$E$1021,5,FALSE))-E125)^2))</f>
        <v/>
      </c>
    </row>
    <row r="126">
      <c r="A126" s="125" t="inlineStr">
        <is>
          <t>W14X109</t>
        </is>
      </c>
      <c r="B126" s="129" t="inlineStr">
        <is>
          <t>AISC</t>
        </is>
      </c>
      <c r="C126" s="125" t="n">
        <v>162.2</v>
      </c>
      <c r="D126" s="125" t="n">
        <v>363.7</v>
      </c>
      <c r="E126" s="125" t="n">
        <v>371</v>
      </c>
      <c r="F126" s="125" t="n">
        <v>21.8</v>
      </c>
      <c r="G126" s="125" t="n">
        <v>13.3</v>
      </c>
      <c r="H126" s="125" t="n">
        <v>15.2</v>
      </c>
      <c r="I126" s="125" t="n">
        <v>289.6</v>
      </c>
      <c r="J126" s="125" t="n">
        <v>207</v>
      </c>
      <c r="K126" s="125" t="n">
        <v>8.49</v>
      </c>
      <c r="L126" s="125" t="n">
        <v>21.7</v>
      </c>
      <c r="M126" s="125" t="n">
        <v>2.16</v>
      </c>
      <c r="N126" s="125" t="n">
        <v>51540</v>
      </c>
      <c r="O126" s="125" t="n">
        <v>18600</v>
      </c>
      <c r="P126" s="125" t="n">
        <v>15.8</v>
      </c>
      <c r="Q126" s="125" t="n">
        <v>9.49</v>
      </c>
      <c r="R126" s="125" t="n">
        <v>2834</v>
      </c>
      <c r="S126" s="125" t="n">
        <v>1003</v>
      </c>
      <c r="T126" s="125">
        <f>(((E126*D126*D126)/4)-(((E126-G126)*(D126-F126-F126)*(D126-F126-F126))/4)+(4*(H126*H126*(D126/2-F126-(H126/2))-((PI()*H126*H126)/4*((D126/2)-F126-(H126-((4*H126)/(3*PI()))))))))/1000</f>
        <v/>
      </c>
      <c r="U126" s="125">
        <f>(((D126*E126*E126)/4)-(2*((D126-F126-F126)*(E126/2-(G126/2))*(((E126/2-(G126/2))/2)+(G126/2))))+(4*(((H126*H126)-(((PI()*H126*H126)/4)))*((H126-((4*H126)/(3*PI())))+(G126/2)))))/1000</f>
        <v/>
      </c>
      <c r="V126" s="125" t="n">
        <v>3142</v>
      </c>
      <c r="W126" s="125" t="n">
        <v>1519</v>
      </c>
      <c r="Y126">
        <f>SQRT((((VLOOKUP($X$4,$A$4:$D$1021,4,FALSE))-D126)^2)+(((VLOOKUP($X$4,$A$4:$E$1021,5,FALSE))-E126)^2))</f>
        <v/>
      </c>
    </row>
    <row r="127">
      <c r="A127" s="125" t="inlineStr">
        <is>
          <t>W14X119</t>
        </is>
      </c>
      <c r="B127" s="129" t="inlineStr">
        <is>
          <t>AISC</t>
        </is>
      </c>
      <c r="C127" s="125" t="n">
        <v>177</v>
      </c>
      <c r="D127" s="125" t="n">
        <v>368.2</v>
      </c>
      <c r="E127" s="125" t="n">
        <v>372.6</v>
      </c>
      <c r="F127" s="125" t="n">
        <v>23.8</v>
      </c>
      <c r="G127" s="125" t="n">
        <v>14.4</v>
      </c>
      <c r="H127" s="125" t="n">
        <v>15.2</v>
      </c>
      <c r="I127" s="125" t="n">
        <v>290.2</v>
      </c>
      <c r="J127" s="125" t="n">
        <v>226</v>
      </c>
      <c r="K127" s="125" t="n">
        <v>7.83</v>
      </c>
      <c r="L127" s="125" t="n">
        <v>20.2</v>
      </c>
      <c r="M127" s="125" t="n">
        <v>2.17</v>
      </c>
      <c r="N127" s="125" t="n">
        <v>57120</v>
      </c>
      <c r="O127" s="125" t="n">
        <v>20530</v>
      </c>
      <c r="P127" s="125" t="n">
        <v>15.9</v>
      </c>
      <c r="Q127" s="125" t="n">
        <v>9.539999999999999</v>
      </c>
      <c r="R127" s="125" t="n">
        <v>3103</v>
      </c>
      <c r="S127" s="125" t="n">
        <v>1102</v>
      </c>
      <c r="T127" s="125">
        <f>(((E127*D127*D127)/4)-(((E127-G127)*(D127-F127-F127)*(D127-F127-F127))/4)+(4*(H127*H127*(D127/2-F127-(H127/2))-((PI()*H127*H127)/4*((D127/2)-F127-(H127-((4*H127)/(3*PI()))))))))/1000</f>
        <v/>
      </c>
      <c r="U127" s="125">
        <f>(((D127*E127*E127)/4)-(2*((D127-F127-F127)*(E127/2-(G127/2))*(((E127/2-(G127/2))/2)+(G127/2))))+(4*(((H127*H127)-(((PI()*H127*H127)/4)))*((H127-((4*H127)/(3*PI())))+(G127/2)))))/1000</f>
        <v/>
      </c>
      <c r="V127" s="125" t="n">
        <v>3455</v>
      </c>
      <c r="W127" s="125" t="n">
        <v>1671</v>
      </c>
      <c r="Y127">
        <f>SQRT((((VLOOKUP($X$4,$A$4:$D$1021,4,FALSE))-D127)^2)+(((VLOOKUP($X$4,$A$4:$E$1021,5,FALSE))-E127)^2))</f>
        <v/>
      </c>
    </row>
    <row r="128">
      <c r="A128" s="125" t="inlineStr">
        <is>
          <t>W14X120</t>
        </is>
      </c>
      <c r="B128" s="129" t="inlineStr">
        <is>
          <t>AISC</t>
        </is>
      </c>
      <c r="C128" s="125" t="n">
        <v>178.6</v>
      </c>
      <c r="D128" s="125" t="n">
        <v>367.8</v>
      </c>
      <c r="E128" s="125" t="n">
        <v>372.6</v>
      </c>
      <c r="F128" s="125" t="n">
        <v>23.9</v>
      </c>
      <c r="G128" s="125" t="n">
        <v>15</v>
      </c>
      <c r="H128" s="125" t="n">
        <v>15.2</v>
      </c>
      <c r="I128" s="125" t="n">
        <v>289.6</v>
      </c>
      <c r="J128" s="125" t="n">
        <v>228</v>
      </c>
      <c r="K128" s="125" t="n">
        <v>7.8</v>
      </c>
      <c r="L128" s="125" t="n">
        <v>19.3</v>
      </c>
      <c r="M128" s="125" t="n">
        <v>2.17</v>
      </c>
      <c r="N128" s="125" t="n">
        <v>57290</v>
      </c>
      <c r="O128" s="125" t="n">
        <v>20600</v>
      </c>
      <c r="P128" s="125" t="n">
        <v>15.9</v>
      </c>
      <c r="Q128" s="125" t="n">
        <v>9.51</v>
      </c>
      <c r="R128" s="125" t="n">
        <v>3115</v>
      </c>
      <c r="S128" s="125" t="n">
        <v>1106</v>
      </c>
      <c r="T128" s="125">
        <f>(((E128*D128*D128)/4)-(((E128-G128)*(D128-F128-F128)*(D128-F128-F128))/4)+(4*(H128*H128*(D128/2-F128-(H128/2))-((PI()*H128*H128)/4*((D128/2)-F128-(H128-((4*H128)/(3*PI()))))))))/1000</f>
        <v/>
      </c>
      <c r="U128" s="125">
        <f>(((D128*E128*E128)/4)-(2*((D128-F128-F128)*(E128/2-(G128/2))*(((E128/2-(G128/2))/2)+(G128/2))))+(4*(((H128*H128)-(((PI()*H128*H128)/4)))*((H128-((4*H128)/(3*PI())))+(G128/2)))))/1000</f>
        <v/>
      </c>
      <c r="V128" s="125" t="n">
        <v>3475</v>
      </c>
      <c r="W128" s="125" t="n">
        <v>1678</v>
      </c>
      <c r="Y128">
        <f>SQRT((((VLOOKUP($X$4,$A$4:$D$1021,4,FALSE))-D128)^2)+(((VLOOKUP($X$4,$A$4:$E$1021,5,FALSE))-E128)^2))</f>
        <v/>
      </c>
    </row>
    <row r="129">
      <c r="A129" s="125" t="inlineStr">
        <is>
          <t>W14X132</t>
        </is>
      </c>
      <c r="B129" s="129" t="inlineStr">
        <is>
          <t>AISC</t>
        </is>
      </c>
      <c r="C129" s="125" t="n">
        <v>196.4</v>
      </c>
      <c r="D129" s="125" t="n">
        <v>372.4</v>
      </c>
      <c r="E129" s="125" t="n">
        <v>374</v>
      </c>
      <c r="F129" s="125" t="n">
        <v>26.2</v>
      </c>
      <c r="G129" s="125" t="n">
        <v>16.4</v>
      </c>
      <c r="H129" s="125" t="n">
        <v>15.2</v>
      </c>
      <c r="I129" s="125" t="n">
        <v>289.7</v>
      </c>
      <c r="J129" s="125" t="n">
        <v>250</v>
      </c>
      <c r="K129" s="125" t="n">
        <v>7.15</v>
      </c>
      <c r="L129" s="125" t="n">
        <v>17.7</v>
      </c>
      <c r="M129" s="125" t="n">
        <v>2.18</v>
      </c>
      <c r="N129" s="125" t="n">
        <v>63720</v>
      </c>
      <c r="O129" s="125" t="n">
        <v>22820</v>
      </c>
      <c r="P129" s="125" t="n">
        <v>16</v>
      </c>
      <c r="Q129" s="125" t="n">
        <v>9.550000000000001</v>
      </c>
      <c r="R129" s="125" t="n">
        <v>3422</v>
      </c>
      <c r="S129" s="125" t="n">
        <v>1221</v>
      </c>
      <c r="T129" s="125">
        <f>(((E129*D129*D129)/4)-(((E129-G129)*(D129-F129-F129)*(D129-F129-F129))/4)+(4*(H129*H129*(D129/2-F129-(H129/2))-((PI()*H129*H129)/4*((D129/2)-F129-(H129-((4*H129)/(3*PI()))))))))/1000</f>
        <v/>
      </c>
      <c r="U129" s="125">
        <f>(((D129*E129*E129)/4)-(2*((D129-F129-F129)*(E129/2-(G129/2))*(((E129/2-(G129/2))/2)+(G129/2))))+(4*(((H129*H129)-(((PI()*H129*H129)/4)))*((H129-((4*H129)/(3*PI())))+(G129/2)))))/1000</f>
        <v/>
      </c>
      <c r="V129" s="125" t="n">
        <v>3838</v>
      </c>
      <c r="W129" s="125" t="n">
        <v>1853</v>
      </c>
      <c r="Y129">
        <f>SQRT((((VLOOKUP($X$4,$A$4:$D$1021,4,FALSE))-D129)^2)+(((VLOOKUP($X$4,$A$4:$E$1021,5,FALSE))-E129)^2))</f>
        <v/>
      </c>
    </row>
    <row r="130">
      <c r="A130" s="125" t="inlineStr">
        <is>
          <t>W14X136</t>
        </is>
      </c>
      <c r="B130" s="129" t="inlineStr">
        <is>
          <t>AISC</t>
        </is>
      </c>
      <c r="C130" s="125" t="n">
        <v>201.9</v>
      </c>
      <c r="D130" s="125" t="n">
        <v>374.6</v>
      </c>
      <c r="E130" s="125" t="n">
        <v>374.7</v>
      </c>
      <c r="F130" s="125" t="n">
        <v>27</v>
      </c>
      <c r="G130" s="125" t="n">
        <v>16.5</v>
      </c>
      <c r="H130" s="125" t="n">
        <v>15.2</v>
      </c>
      <c r="I130" s="125" t="n">
        <v>290.2</v>
      </c>
      <c r="J130" s="125" t="n">
        <v>257</v>
      </c>
      <c r="K130" s="125" t="n">
        <v>6.94</v>
      </c>
      <c r="L130" s="125" t="n">
        <v>17.6</v>
      </c>
      <c r="M130" s="125" t="n">
        <v>2.19</v>
      </c>
      <c r="N130" s="125" t="n">
        <v>66260</v>
      </c>
      <c r="O130" s="125" t="n">
        <v>23690</v>
      </c>
      <c r="P130" s="125" t="n">
        <v>16.1</v>
      </c>
      <c r="Q130" s="125" t="n">
        <v>9.6</v>
      </c>
      <c r="R130" s="125" t="n">
        <v>3538</v>
      </c>
      <c r="S130" s="125" t="n">
        <v>1264</v>
      </c>
      <c r="T130" s="125">
        <f>(((E130*D130*D130)/4)-(((E130-G130)*(D130-F130-F130)*(D130-F130-F130))/4)+(4*(H130*H130*(D130/2-F130-(H130/2))-((PI()*H130*H130)/4*((D130/2)-F130-(H130-((4*H130)/(3*PI()))))))))/1000</f>
        <v/>
      </c>
      <c r="U130" s="125">
        <f>(((D130*E130*E130)/4)-(2*((D130-F130-F130)*(E130/2-(G130/2))*(((E130/2-(G130/2))/2)+(G130/2))))+(4*(((H130*H130)-(((PI()*H130*H130)/4)))*((H130-((4*H130)/(3*PI())))+(G130/2)))))/1000</f>
        <v/>
      </c>
      <c r="V130" s="125" t="n">
        <v>3972</v>
      </c>
      <c r="W130" s="125" t="n">
        <v>1920</v>
      </c>
      <c r="Y130">
        <f>SQRT((((VLOOKUP($X$4,$A$4:$D$1021,4,FALSE))-D130)^2)+(((VLOOKUP($X$4,$A$4:$E$1021,5,FALSE))-E130)^2))</f>
        <v/>
      </c>
    </row>
    <row r="131">
      <c r="A131" s="125" t="inlineStr">
        <is>
          <t>W14X118</t>
        </is>
      </c>
      <c r="B131" s="129" t="inlineStr">
        <is>
          <t>AISC</t>
        </is>
      </c>
      <c r="C131" s="125" t="n">
        <v>175.6</v>
      </c>
      <c r="D131" s="125" t="n">
        <v>360</v>
      </c>
      <c r="E131" s="125" t="n">
        <v>396</v>
      </c>
      <c r="F131" s="125" t="n">
        <v>20</v>
      </c>
      <c r="G131" s="125" t="n">
        <v>20</v>
      </c>
      <c r="H131" s="125" t="n">
        <v>15</v>
      </c>
      <c r="I131" s="125" t="n">
        <v>290</v>
      </c>
      <c r="J131" s="125" t="n">
        <v>224</v>
      </c>
      <c r="K131" s="125" t="n">
        <v>9.9</v>
      </c>
      <c r="L131" s="125" t="n">
        <v>14.5</v>
      </c>
      <c r="M131" s="125" t="n">
        <v>2.24</v>
      </c>
      <c r="N131" s="125" t="n">
        <v>51770</v>
      </c>
      <c r="O131" s="125" t="n">
        <v>20730</v>
      </c>
      <c r="P131" s="125" t="n">
        <v>15.2</v>
      </c>
      <c r="Q131" s="125" t="n">
        <v>9.609999999999999</v>
      </c>
      <c r="R131" s="125" t="n">
        <v>2876</v>
      </c>
      <c r="S131" s="125" t="n">
        <v>1047</v>
      </c>
      <c r="T131" s="125">
        <f>(((E131*D131*D131)/4)-(((E131-G131)*(D131-F131-F131)*(D131-F131-F131))/4)+(4*(H131*H131*(D131/2-F131-(H131/2))-((PI()*H131*H131)/4*((D131/2)-F131-(H131-((4*H131)/(3*PI()))))))))/1000</f>
        <v/>
      </c>
      <c r="U131" s="125">
        <f>(((D131*E131*E131)/4)-(2*((D131-F131-F131)*(E131/2-(G131/2))*(((E131/2-(G131/2))/2)+(G131/2))))+(4*(((H131*H131)-(((PI()*H131*H131)/4)))*((H131-((4*H131)/(3*PI())))+(G131/2)))))/1000</f>
        <v/>
      </c>
      <c r="V131" s="125" t="n">
        <v>3235</v>
      </c>
      <c r="W131" s="125" t="n">
        <v>1603</v>
      </c>
      <c r="Y131">
        <f>SQRT((((VLOOKUP($X$4,$A$4:$D$1021,4,FALSE))-D131)^2)+(((VLOOKUP($X$4,$A$4:$E$1021,5,FALSE))-E131)^2))</f>
        <v/>
      </c>
    </row>
    <row r="132">
      <c r="A132" s="125" t="inlineStr">
        <is>
          <t>W14X145</t>
        </is>
      </c>
      <c r="B132" s="129" t="inlineStr">
        <is>
          <t>AISC</t>
        </is>
      </c>
      <c r="C132" s="125" t="n">
        <v>215.8</v>
      </c>
      <c r="D132" s="125" t="n">
        <v>375.4</v>
      </c>
      <c r="E132" s="125" t="n">
        <v>393.7</v>
      </c>
      <c r="F132" s="125" t="n">
        <v>27.7</v>
      </c>
      <c r="G132" s="125" t="n">
        <v>17.3</v>
      </c>
      <c r="H132" s="125" t="n">
        <v>15.2</v>
      </c>
      <c r="I132" s="125" t="n">
        <v>289.6</v>
      </c>
      <c r="J132" s="125" t="n">
        <v>275</v>
      </c>
      <c r="K132" s="125" t="n">
        <v>7.11</v>
      </c>
      <c r="L132" s="125" t="n">
        <v>16.8</v>
      </c>
      <c r="M132" s="125" t="n">
        <v>2.26</v>
      </c>
      <c r="N132" s="125" t="n">
        <v>71240</v>
      </c>
      <c r="O132" s="125" t="n">
        <v>28180</v>
      </c>
      <c r="P132" s="125" t="n">
        <v>16.1</v>
      </c>
      <c r="Q132" s="125" t="n">
        <v>10.1</v>
      </c>
      <c r="R132" s="125" t="n">
        <v>3796</v>
      </c>
      <c r="S132" s="125" t="n">
        <v>1432</v>
      </c>
      <c r="T132" s="125">
        <f>(((E132*D132*D132)/4)-(((E132-G132)*(D132-F132-F132)*(D132-F132-F132))/4)+(4*(H132*H132*(D132/2-F132-(H132/2))-((PI()*H132*H132)/4*((D132/2)-F132-(H132-((4*H132)/(3*PI()))))))))/1000</f>
        <v/>
      </c>
      <c r="U132" s="125">
        <f>(((D132*E132*E132)/4)-(2*((D132-F132-F132)*(E132/2-(G132/2))*(((E132/2-(G132/2))/2)+(G132/2))))+(4*(((H132*H132)-(((PI()*H132*H132)/4)))*((H132-((4*H132)/(3*PI())))+(G132/2)))))/1000</f>
        <v/>
      </c>
      <c r="V132" s="125" t="n">
        <v>4264</v>
      </c>
      <c r="W132" s="125" t="n">
        <v>2172</v>
      </c>
      <c r="Y132">
        <f>SQRT((((VLOOKUP($X$4,$A$4:$D$1021,4,FALSE))-D132)^2)+(((VLOOKUP($X$4,$A$4:$E$1021,5,FALSE))-E132)^2))</f>
        <v/>
      </c>
    </row>
    <row r="133">
      <c r="A133" s="125" t="inlineStr">
        <is>
          <t>W14X158</t>
        </is>
      </c>
      <c r="B133" s="129" t="inlineStr">
        <is>
          <t>AISC</t>
        </is>
      </c>
      <c r="C133" s="125" t="n">
        <v>235.1</v>
      </c>
      <c r="D133" s="125" t="n">
        <v>381</v>
      </c>
      <c r="E133" s="125" t="n">
        <v>394.8</v>
      </c>
      <c r="F133" s="125" t="n">
        <v>30.2</v>
      </c>
      <c r="G133" s="125" t="n">
        <v>18.4</v>
      </c>
      <c r="H133" s="125" t="n">
        <v>15.2</v>
      </c>
      <c r="I133" s="125" t="n">
        <v>290.2</v>
      </c>
      <c r="J133" s="125" t="n">
        <v>299</v>
      </c>
      <c r="K133" s="125" t="n">
        <v>6.54</v>
      </c>
      <c r="L133" s="125" t="n">
        <v>15.8</v>
      </c>
      <c r="M133" s="125" t="n">
        <v>2.28</v>
      </c>
      <c r="N133" s="125" t="n">
        <v>79090</v>
      </c>
      <c r="O133" s="125" t="n">
        <v>30990</v>
      </c>
      <c r="P133" s="125" t="n">
        <v>16.3</v>
      </c>
      <c r="Q133" s="125" t="n">
        <v>10.2</v>
      </c>
      <c r="R133" s="125" t="n">
        <v>4151</v>
      </c>
      <c r="S133" s="125" t="n">
        <v>1570</v>
      </c>
      <c r="T133" s="125">
        <f>(((E133*D133*D133)/4)-(((E133-G133)*(D133-F133-F133)*(D133-F133-F133))/4)+(4*(H133*H133*(D133/2-F133-(H133/2))-((PI()*H133*H133)/4*((D133/2)-F133-(H133-((4*H133)/(3*PI()))))))))/1000</f>
        <v/>
      </c>
      <c r="U133" s="125">
        <f>(((D133*E133*E133)/4)-(2*((D133-F133-F133)*(E133/2-(G133/2))*(((E133/2-(G133/2))/2)+(G133/2))))+(4*(((H133*H133)-(((PI()*H133*H133)/4)))*((H133-((4*H133)/(3*PI())))+(G133/2)))))/1000</f>
        <v/>
      </c>
      <c r="V133" s="125" t="n">
        <v>4687</v>
      </c>
      <c r="W133" s="125" t="n">
        <v>2383</v>
      </c>
      <c r="Y133">
        <f>SQRT((((VLOOKUP($X$4,$A$4:$D$1021,4,FALSE))-D133)^2)+(((VLOOKUP($X$4,$A$4:$E$1021,5,FALSE))-E133)^2))</f>
        <v/>
      </c>
    </row>
    <row r="134">
      <c r="A134" s="125" t="inlineStr">
        <is>
          <t>W14X159</t>
        </is>
      </c>
      <c r="B134" s="129" t="inlineStr">
        <is>
          <t>AISC</t>
        </is>
      </c>
      <c r="C134" s="125" t="n">
        <v>236.6</v>
      </c>
      <c r="D134" s="125" t="n">
        <v>380.5</v>
      </c>
      <c r="E134" s="125" t="n">
        <v>395.4</v>
      </c>
      <c r="F134" s="125" t="n">
        <v>30.2</v>
      </c>
      <c r="G134" s="125" t="n">
        <v>18.9</v>
      </c>
      <c r="H134" s="125" t="n">
        <v>15.2</v>
      </c>
      <c r="I134" s="125" t="n">
        <v>289.6</v>
      </c>
      <c r="J134" s="125" t="n">
        <v>302</v>
      </c>
      <c r="K134" s="125" t="n">
        <v>6.54</v>
      </c>
      <c r="L134" s="125" t="n">
        <v>15.3</v>
      </c>
      <c r="M134" s="125" t="n">
        <v>2.28</v>
      </c>
      <c r="N134" s="125" t="n">
        <v>79160</v>
      </c>
      <c r="O134" s="125" t="n">
        <v>31170</v>
      </c>
      <c r="P134" s="125" t="n">
        <v>16.2</v>
      </c>
      <c r="Q134" s="125" t="n">
        <v>10.2</v>
      </c>
      <c r="R134" s="125" t="n">
        <v>4161</v>
      </c>
      <c r="S134" s="125" t="n">
        <v>1577</v>
      </c>
      <c r="T134" s="125">
        <f>(((E134*D134*D134)/4)-(((E134-G134)*(D134-F134-F134)*(D134-F134-F134))/4)+(4*(H134*H134*(D134/2-F134-(H134/2))-((PI()*H134*H134)/4*((D134/2)-F134-(H134-((4*H134)/(3*PI()))))))))/1000</f>
        <v/>
      </c>
      <c r="U134" s="125">
        <f>(((D134*E134*E134)/4)-(2*((D134-F134-F134)*(E134/2-(G134/2))*(((E134/2-(G134/2))/2)+(G134/2))))+(4*(((H134*H134)-(((PI()*H134*H134)/4)))*((H134-((4*H134)/(3*PI())))+(G134/2)))))/1000</f>
        <v/>
      </c>
      <c r="V134" s="125" t="n">
        <v>4702</v>
      </c>
      <c r="W134" s="125" t="n">
        <v>2394</v>
      </c>
      <c r="Y134">
        <f>SQRT((((VLOOKUP($X$4,$A$4:$D$1021,4,FALSE))-D134)^2)+(((VLOOKUP($X$4,$A$4:$E$1021,5,FALSE))-E134)^2))</f>
        <v/>
      </c>
    </row>
    <row r="135">
      <c r="A135" s="125" t="inlineStr">
        <is>
          <t>W14X176</t>
        </is>
      </c>
      <c r="B135" s="129" t="inlineStr">
        <is>
          <t>AISC</t>
        </is>
      </c>
      <c r="C135" s="125" t="n">
        <v>261.9</v>
      </c>
      <c r="D135" s="125" t="n">
        <v>386.6</v>
      </c>
      <c r="E135" s="125" t="n">
        <v>397.5</v>
      </c>
      <c r="F135" s="125" t="n">
        <v>33.3</v>
      </c>
      <c r="G135" s="125" t="n">
        <v>21.1</v>
      </c>
      <c r="H135" s="125" t="n">
        <v>15.2</v>
      </c>
      <c r="I135" s="125" t="n">
        <v>289.7</v>
      </c>
      <c r="J135" s="125" t="n">
        <v>334</v>
      </c>
      <c r="K135" s="125" t="n">
        <v>5.97</v>
      </c>
      <c r="L135" s="125" t="n">
        <v>13.7</v>
      </c>
      <c r="M135" s="125" t="n">
        <v>2.29</v>
      </c>
      <c r="N135" s="125" t="n">
        <v>89040</v>
      </c>
      <c r="O135" s="125" t="n">
        <v>34860</v>
      </c>
      <c r="P135" s="125" t="n">
        <v>16.3</v>
      </c>
      <c r="Q135" s="125" t="n">
        <v>10.2</v>
      </c>
      <c r="R135" s="125" t="n">
        <v>4606</v>
      </c>
      <c r="S135" s="125" t="n">
        <v>1754</v>
      </c>
      <c r="T135" s="125">
        <f>(((E135*D135*D135)/4)-(((E135-G135)*(D135-F135-F135)*(D135-F135-F135))/4)+(4*(H135*H135*(D135/2-F135-(H135/2))-((PI()*H135*H135)/4*((D135/2)-F135-(H135-((4*H135)/(3*PI()))))))))/1000</f>
        <v/>
      </c>
      <c r="U135" s="125">
        <f>(((D135*E135*E135)/4)-(2*((D135-F135-F135)*(E135/2-(G135/2))*(((E135/2-(G135/2))/2)+(G135/2))))+(4*(((H135*H135)-(((PI()*H135*H135)/4)))*((H135-((4*H135)/(3*PI())))+(G135/2)))))/1000</f>
        <v/>
      </c>
      <c r="V135" s="125" t="n">
        <v>5244</v>
      </c>
      <c r="W135" s="125" t="n">
        <v>2667</v>
      </c>
      <c r="Y135">
        <f>SQRT((((VLOOKUP($X$4,$A$4:$D$1021,4,FALSE))-D135)^2)+(((VLOOKUP($X$4,$A$4:$E$1021,5,FALSE))-E135)^2))</f>
        <v/>
      </c>
    </row>
    <row r="136">
      <c r="A136" s="125" t="inlineStr">
        <is>
          <t>W14X193</t>
        </is>
      </c>
      <c r="B136" s="129" t="inlineStr">
        <is>
          <t>AISC</t>
        </is>
      </c>
      <c r="C136" s="125" t="n">
        <v>287.1</v>
      </c>
      <c r="D136" s="125" t="n">
        <v>393.6</v>
      </c>
      <c r="E136" s="125" t="n">
        <v>399</v>
      </c>
      <c r="F136" s="125" t="n">
        <v>36.5</v>
      </c>
      <c r="G136" s="125" t="n">
        <v>22.6</v>
      </c>
      <c r="H136" s="125" t="n">
        <v>15.2</v>
      </c>
      <c r="I136" s="125" t="n">
        <v>290.2</v>
      </c>
      <c r="J136" s="125" t="n">
        <v>366</v>
      </c>
      <c r="K136" s="125" t="n">
        <v>5.47</v>
      </c>
      <c r="L136" s="125" t="n">
        <v>12.8</v>
      </c>
      <c r="M136" s="125" t="n">
        <v>2.31</v>
      </c>
      <c r="N136" s="125" t="n">
        <v>99880</v>
      </c>
      <c r="O136" s="125" t="n">
        <v>38680</v>
      </c>
      <c r="P136" s="125" t="n">
        <v>16.5</v>
      </c>
      <c r="Q136" s="125" t="n">
        <v>10.3</v>
      </c>
      <c r="R136" s="125" t="n">
        <v>5075</v>
      </c>
      <c r="S136" s="125" t="n">
        <v>1939</v>
      </c>
      <c r="T136" s="125">
        <f>(((E136*D136*D136)/4)-(((E136-G136)*(D136-F136-F136)*(D136-F136-F136))/4)+(4*(H136*H136*(D136/2-F136-(H136/2))-((PI()*H136*H136)/4*((D136/2)-F136-(H136-((4*H136)/(3*PI()))))))))/1000</f>
        <v/>
      </c>
      <c r="U136" s="125">
        <f>(((D136*E136*E136)/4)-(2*((D136-F136-F136)*(E136/2-(G136/2))*(((E136/2-(G136/2))/2)+(G136/2))))+(4*(((H136*H136)-(((PI()*H136*H136)/4)))*((H136-((4*H136)/(3*PI())))+(G136/2)))))/1000</f>
        <v/>
      </c>
      <c r="V136" s="125" t="n">
        <v>5812</v>
      </c>
      <c r="W136" s="125" t="n">
        <v>2949</v>
      </c>
      <c r="Y136">
        <f>SQRT((((VLOOKUP($X$4,$A$4:$D$1021,4,FALSE))-D136)^2)+(((VLOOKUP($X$4,$A$4:$E$1021,5,FALSE))-E136)^2))</f>
        <v/>
      </c>
    </row>
    <row r="137">
      <c r="A137" s="125" t="inlineStr">
        <is>
          <t>W14X211</t>
        </is>
      </c>
      <c r="B137" s="129" t="inlineStr">
        <is>
          <t>AISC</t>
        </is>
      </c>
      <c r="C137" s="125" t="n">
        <v>314</v>
      </c>
      <c r="D137" s="125" t="n">
        <v>399.3</v>
      </c>
      <c r="E137" s="125" t="n">
        <v>401.3</v>
      </c>
      <c r="F137" s="125" t="n">
        <v>39.6</v>
      </c>
      <c r="G137" s="125" t="n">
        <v>24.9</v>
      </c>
      <c r="H137" s="125" t="n">
        <v>15.2</v>
      </c>
      <c r="I137" s="125" t="n">
        <v>289.7</v>
      </c>
      <c r="J137" s="125" t="n">
        <v>400</v>
      </c>
      <c r="K137" s="125" t="n">
        <v>5.06</v>
      </c>
      <c r="L137" s="125" t="n">
        <v>11.6</v>
      </c>
      <c r="M137" s="125" t="n">
        <v>2.33</v>
      </c>
      <c r="N137" s="125" t="n">
        <v>110500</v>
      </c>
      <c r="O137" s="125" t="n">
        <v>42720</v>
      </c>
      <c r="P137" s="125" t="n">
        <v>16.6</v>
      </c>
      <c r="Q137" s="125" t="n">
        <v>10.3</v>
      </c>
      <c r="R137" s="125" t="n">
        <v>5537</v>
      </c>
      <c r="S137" s="125" t="n">
        <v>2129</v>
      </c>
      <c r="T137" s="125">
        <f>(((E137*D137*D137)/4)-(((E137-G137)*(D137-F137-F137)*(D137-F137-F137))/4)+(4*(H137*H137*(D137/2-F137-(H137/2))-((PI()*H137*H137)/4*((D137/2)-F137-(H137-((4*H137)/(3*PI()))))))))/1000</f>
        <v/>
      </c>
      <c r="U137" s="125">
        <f>(((D137*E137*E137)/4)-(2*((D137-F137-F137)*(E137/2-(G137/2))*(((E137/2-(G137/2))/2)+(G137/2))))+(4*(((H137*H137)-(((PI()*H137*H137)/4)))*((H137-((4*H137)/(3*PI())))+(G137/2)))))/1000</f>
        <v/>
      </c>
      <c r="V137" s="125" t="n">
        <v>6387</v>
      </c>
      <c r="W137" s="125" t="n">
        <v>3243</v>
      </c>
      <c r="Y137">
        <f>SQRT((((VLOOKUP($X$4,$A$4:$D$1021,4,FALSE))-D137)^2)+(((VLOOKUP($X$4,$A$4:$E$1021,5,FALSE))-E137)^2))</f>
        <v/>
      </c>
    </row>
    <row r="138">
      <c r="A138" s="125" t="inlineStr">
        <is>
          <t>W14X219</t>
        </is>
      </c>
      <c r="B138" s="129" t="inlineStr">
        <is>
          <t>AISC</t>
        </is>
      </c>
      <c r="C138" s="125" t="n">
        <v>326</v>
      </c>
      <c r="D138" s="125" t="n">
        <v>403.1</v>
      </c>
      <c r="E138" s="125" t="n">
        <v>402</v>
      </c>
      <c r="F138" s="125" t="n">
        <v>41.2</v>
      </c>
      <c r="G138" s="125" t="n">
        <v>25.5</v>
      </c>
      <c r="H138" s="125" t="n">
        <v>15.2</v>
      </c>
      <c r="I138" s="125" t="n">
        <v>290.3</v>
      </c>
      <c r="J138" s="125" t="n">
        <v>415</v>
      </c>
      <c r="K138" s="125" t="n">
        <v>4.88</v>
      </c>
      <c r="L138" s="125" t="n">
        <v>11.4</v>
      </c>
      <c r="M138" s="125" t="n">
        <v>2.34</v>
      </c>
      <c r="N138" s="125" t="n">
        <v>116400</v>
      </c>
      <c r="O138" s="125" t="n">
        <v>44660</v>
      </c>
      <c r="P138" s="125" t="n">
        <v>16.7</v>
      </c>
      <c r="Q138" s="125" t="n">
        <v>10.4</v>
      </c>
      <c r="R138" s="125" t="n">
        <v>5777</v>
      </c>
      <c r="S138" s="125" t="n">
        <v>2222</v>
      </c>
      <c r="T138" s="125">
        <f>(((E138*D138*D138)/4)-(((E138-G138)*(D138-F138-F138)*(D138-F138-F138))/4)+(4*(H138*H138*(D138/2-F138-(H138/2))-((PI()*H138*H138)/4*((D138/2)-F138-(H138-((4*H138)/(3*PI()))))))))/1000</f>
        <v/>
      </c>
      <c r="U138" s="125">
        <f>(((D138*E138*E138)/4)-(2*((D138-F138-F138)*(E138/2-(G138/2))*(((E138/2-(G138/2))/2)+(G138/2))))+(4*(((H138*H138)-(((PI()*H138*H138)/4)))*((H138-((4*H138)/(3*PI())))+(G138/2)))))/1000</f>
        <v/>
      </c>
      <c r="V138" s="125" t="n">
        <v>6681</v>
      </c>
      <c r="W138" s="125" t="n">
        <v>3384</v>
      </c>
      <c r="Y138">
        <f>SQRT((((VLOOKUP($X$4,$A$4:$D$1021,4,FALSE))-D138)^2)+(((VLOOKUP($X$4,$A$4:$E$1021,5,FALSE))-E138)^2))</f>
        <v/>
      </c>
    </row>
    <row r="139">
      <c r="A139" s="125" t="inlineStr">
        <is>
          <t>W14X228</t>
        </is>
      </c>
      <c r="B139" s="129" t="inlineStr">
        <is>
          <t>AISC</t>
        </is>
      </c>
      <c r="C139" s="125" t="n">
        <v>339.9</v>
      </c>
      <c r="D139" s="125" t="n">
        <v>406.4</v>
      </c>
      <c r="E139" s="125" t="n">
        <v>403</v>
      </c>
      <c r="F139" s="125" t="n">
        <v>42.9</v>
      </c>
      <c r="G139" s="125" t="n">
        <v>26.6</v>
      </c>
      <c r="H139" s="125" t="n">
        <v>15.2</v>
      </c>
      <c r="I139" s="125" t="n">
        <v>290.2</v>
      </c>
      <c r="J139" s="125" t="n">
        <v>433</v>
      </c>
      <c r="K139" s="125" t="n">
        <v>4.7</v>
      </c>
      <c r="L139" s="125" t="n">
        <v>10.9</v>
      </c>
      <c r="M139" s="125" t="n">
        <v>2.35</v>
      </c>
      <c r="N139" s="125" t="n">
        <v>122500</v>
      </c>
      <c r="O139" s="125" t="n">
        <v>46850</v>
      </c>
      <c r="P139" s="125" t="n">
        <v>16.8</v>
      </c>
      <c r="Q139" s="125" t="n">
        <v>10.4</v>
      </c>
      <c r="R139" s="125" t="n">
        <v>6031</v>
      </c>
      <c r="S139" s="125" t="n">
        <v>2325</v>
      </c>
      <c r="T139" s="125">
        <f>(((E139*D139*D139)/4)-(((E139-G139)*(D139-F139-F139)*(D139-F139-F139))/4)+(4*(H139*H139*(D139/2-F139-(H139/2))-((PI()*H139*H139)/4*((D139/2)-F139-(H139-((4*H139)/(3*PI()))))))))/1000</f>
        <v/>
      </c>
      <c r="U139" s="125">
        <f>(((D139*E139*E139)/4)-(2*((D139-F139-F139)*(E139/2-(G139/2))*(((E139/2-(G139/2))/2)+(G139/2))))+(4*(((H139*H139)-(((PI()*H139*H139)/4)))*((H139-((4*H139)/(3*PI())))+(G139/2)))))/1000</f>
        <v/>
      </c>
      <c r="V139" s="125" t="n">
        <v>6999</v>
      </c>
      <c r="W139" s="125" t="n">
        <v>3544</v>
      </c>
      <c r="Y139">
        <f>SQRT((((VLOOKUP($X$4,$A$4:$D$1021,4,FALSE))-D139)^2)+(((VLOOKUP($X$4,$A$4:$E$1021,5,FALSE))-E139)^2))</f>
        <v/>
      </c>
    </row>
    <row r="140">
      <c r="A140" s="125" t="inlineStr">
        <is>
          <t>W14X233</t>
        </is>
      </c>
      <c r="B140" s="129" t="inlineStr">
        <is>
          <t>AISC</t>
        </is>
      </c>
      <c r="C140" s="125" t="n">
        <v>346.7</v>
      </c>
      <c r="D140" s="125" t="n">
        <v>407.4</v>
      </c>
      <c r="E140" s="125" t="n">
        <v>403.6</v>
      </c>
      <c r="F140" s="125" t="n">
        <v>43.7</v>
      </c>
      <c r="G140" s="125" t="n">
        <v>27.2</v>
      </c>
      <c r="H140" s="125" t="n">
        <v>15.2</v>
      </c>
      <c r="I140" s="125" t="n">
        <v>289.6</v>
      </c>
      <c r="J140" s="125" t="n">
        <v>442</v>
      </c>
      <c r="K140" s="125" t="n">
        <v>4.62</v>
      </c>
      <c r="L140" s="125" t="n">
        <v>10.7</v>
      </c>
      <c r="M140" s="125" t="n">
        <v>2.35</v>
      </c>
      <c r="N140" s="125" t="n">
        <v>125100</v>
      </c>
      <c r="O140" s="125" t="n">
        <v>47930</v>
      </c>
      <c r="P140" s="125" t="n">
        <v>16.8</v>
      </c>
      <c r="Q140" s="125" t="n">
        <v>10.4</v>
      </c>
      <c r="R140" s="125" t="n">
        <v>6141</v>
      </c>
      <c r="S140" s="125" t="n">
        <v>2375</v>
      </c>
      <c r="T140" s="125">
        <f>(((E140*D140*D140)/4)-(((E140-G140)*(D140-F140-F140)*(D140-F140-F140))/4)+(4*(H140*H140*(D140/2-F140-(H140/2))-((PI()*H140*H140)/4*((D140/2)-F140-(H140-((4*H140)/(3*PI()))))))))/1000</f>
        <v/>
      </c>
      <c r="U140" s="125">
        <f>(((D140*E140*E140)/4)-(2*((D140-F140-F140)*(E140/2-(G140/2))*(((E140/2-(G140/2))/2)+(G140/2))))+(4*(((H140*H140)-(((PI()*H140*H140)/4)))*((H140-((4*H140)/(3*PI())))+(G140/2)))))/1000</f>
        <v/>
      </c>
      <c r="V140" s="125" t="n">
        <v>7140</v>
      </c>
      <c r="W140" s="125" t="n">
        <v>3621</v>
      </c>
      <c r="Y140">
        <f>SQRT((((VLOOKUP($X$4,$A$4:$D$1021,4,FALSE))-D140)^2)+(((VLOOKUP($X$4,$A$4:$E$1021,5,FALSE))-E140)^2))</f>
        <v/>
      </c>
    </row>
    <row r="141">
      <c r="A141" s="125" t="inlineStr">
        <is>
          <t>W14X257</t>
        </is>
      </c>
      <c r="B141" s="129" t="inlineStr">
        <is>
          <t>AISC</t>
        </is>
      </c>
      <c r="C141" s="125" t="n">
        <v>382.5</v>
      </c>
      <c r="D141" s="125" t="n">
        <v>416.1</v>
      </c>
      <c r="E141" s="125" t="n">
        <v>406.3</v>
      </c>
      <c r="F141" s="125" t="n">
        <v>48</v>
      </c>
      <c r="G141" s="125" t="n">
        <v>29.8</v>
      </c>
      <c r="H141" s="125" t="n">
        <v>15.2</v>
      </c>
      <c r="I141" s="125" t="n">
        <v>289.7</v>
      </c>
      <c r="J141" s="125" t="n">
        <v>488</v>
      </c>
      <c r="K141" s="125" t="n">
        <v>4.23</v>
      </c>
      <c r="L141" s="125" t="n">
        <v>9.710000000000001</v>
      </c>
      <c r="M141" s="125" t="n">
        <v>2.37</v>
      </c>
      <c r="N141" s="125" t="n">
        <v>141500</v>
      </c>
      <c r="O141" s="125" t="n">
        <v>53750</v>
      </c>
      <c r="P141" s="125" t="n">
        <v>17</v>
      </c>
      <c r="Q141" s="125" t="n">
        <v>10.5</v>
      </c>
      <c r="R141" s="125" t="n">
        <v>6803</v>
      </c>
      <c r="S141" s="125" t="n">
        <v>2646</v>
      </c>
      <c r="T141" s="125">
        <f>(((E141*D141*D141)/4)-(((E141-G141)*(D141-F141-F141)*(D141-F141-F141))/4)+(4*(H141*H141*(D141/2-F141-(H141/2))-((PI()*H141*H141)/4*((D141/2)-F141-(H141-((4*H141)/(3*PI()))))))))/1000</f>
        <v/>
      </c>
      <c r="U141" s="125">
        <f>(((D141*E141*E141)/4)-(2*((D141-F141-F141)*(E141/2-(G141/2))*(((E141/2-(G141/2))/2)+(G141/2))))+(4*(((H141*H141)-(((PI()*H141*H141)/4)))*((H141-((4*H141)/(3*PI())))+(G141/2)))))/1000</f>
        <v/>
      </c>
      <c r="V141" s="125" t="n">
        <v>7975</v>
      </c>
      <c r="W141" s="125" t="n">
        <v>4038</v>
      </c>
      <c r="Y141">
        <f>SQRT((((VLOOKUP($X$4,$A$4:$D$1021,4,FALSE))-D141)^2)+(((VLOOKUP($X$4,$A$4:$E$1021,5,FALSE))-E141)^2))</f>
        <v/>
      </c>
    </row>
    <row r="142">
      <c r="A142" s="125" t="inlineStr">
        <is>
          <t>W14X264</t>
        </is>
      </c>
      <c r="B142" s="129" t="inlineStr">
        <is>
          <t>AISC</t>
        </is>
      </c>
      <c r="C142" s="125" t="n">
        <v>393</v>
      </c>
      <c r="D142" s="125" t="n">
        <v>419</v>
      </c>
      <c r="E142" s="125" t="n">
        <v>407</v>
      </c>
      <c r="F142" s="125" t="n">
        <v>49.2</v>
      </c>
      <c r="G142" s="125" t="n">
        <v>30.6</v>
      </c>
      <c r="H142" s="125" t="n">
        <v>15.2</v>
      </c>
      <c r="I142" s="125" t="n">
        <v>290.2</v>
      </c>
      <c r="J142" s="125" t="n">
        <v>501</v>
      </c>
      <c r="K142" s="125" t="n">
        <v>4.14</v>
      </c>
      <c r="L142" s="125" t="n">
        <v>9.48</v>
      </c>
      <c r="M142" s="125" t="n">
        <v>2.38</v>
      </c>
      <c r="N142" s="125" t="n">
        <v>146600</v>
      </c>
      <c r="O142" s="125" t="n">
        <v>55370</v>
      </c>
      <c r="P142" s="125" t="n">
        <v>17.1</v>
      </c>
      <c r="Q142" s="125" t="n">
        <v>10.5</v>
      </c>
      <c r="R142" s="125" t="n">
        <v>6998</v>
      </c>
      <c r="S142" s="125" t="n">
        <v>2721</v>
      </c>
      <c r="T142" s="125">
        <f>(((E142*D142*D142)/4)-(((E142-G142)*(D142-F142-F142)*(D142-F142-F142))/4)+(4*(H142*H142*(D142/2-F142-(H142/2))-((PI()*H142*H142)/4*((D142/2)-F142-(H142-((4*H142)/(3*PI()))))))))/1000</f>
        <v/>
      </c>
      <c r="U142" s="125">
        <f>(((D142*E142*E142)/4)-(2*((D142-F142-F142)*(E142/2-(G142/2))*(((E142/2-(G142/2))/2)+(G142/2))))+(4*(((H142*H142)-(((PI()*H142*H142)/4)))*((H142-((4*H142)/(3*PI())))+(G142/2)))))/1000</f>
        <v/>
      </c>
      <c r="V142" s="125" t="n">
        <v>8222</v>
      </c>
      <c r="W142" s="125" t="n">
        <v>4154</v>
      </c>
      <c r="Y142">
        <f>SQRT((((VLOOKUP($X$4,$A$4:$D$1021,4,FALSE))-D142)^2)+(((VLOOKUP($X$4,$A$4:$E$1021,5,FALSE))-E142)^2))</f>
        <v/>
      </c>
    </row>
    <row r="143">
      <c r="A143" s="125" t="inlineStr">
        <is>
          <t>W14X283</t>
        </is>
      </c>
      <c r="B143" s="129" t="inlineStr">
        <is>
          <t>AISC</t>
        </is>
      </c>
      <c r="C143" s="125" t="n">
        <v>421.1</v>
      </c>
      <c r="D143" s="125" t="n">
        <v>425.2</v>
      </c>
      <c r="E143" s="125" t="n">
        <v>409.2</v>
      </c>
      <c r="F143" s="125" t="n">
        <v>52.6</v>
      </c>
      <c r="G143" s="125" t="n">
        <v>32.8</v>
      </c>
      <c r="H143" s="125" t="n">
        <v>15.2</v>
      </c>
      <c r="I143" s="125" t="n">
        <v>289.6</v>
      </c>
      <c r="J143" s="125" t="n">
        <v>537</v>
      </c>
      <c r="K143" s="125" t="n">
        <v>3.89</v>
      </c>
      <c r="L143" s="125" t="n">
        <v>8.84</v>
      </c>
      <c r="M143" s="125" t="n">
        <v>2.4</v>
      </c>
      <c r="N143" s="125" t="n">
        <v>159800</v>
      </c>
      <c r="O143" s="125" t="n">
        <v>60150</v>
      </c>
      <c r="P143" s="125" t="n">
        <v>17.2</v>
      </c>
      <c r="Q143" s="125" t="n">
        <v>10.6</v>
      </c>
      <c r="R143" s="125" t="n">
        <v>7516</v>
      </c>
      <c r="S143" s="125" t="n">
        <v>2940</v>
      </c>
      <c r="T143" s="125">
        <f>(((E143*D143*D143)/4)-(((E143-G143)*(D143-F143-F143)*(D143-F143-F143))/4)+(4*(H143*H143*(D143/2-F143-(H143/2))-((PI()*H143*H143)/4*((D143/2)-F143-(H143-((4*H143)/(3*PI()))))))))/1000</f>
        <v/>
      </c>
      <c r="U143" s="125">
        <f>(((D143*E143*E143)/4)-(2*((D143-F143-F143)*(E143/2-(G143/2))*(((E143/2-(G143/2))/2)+(G143/2))))+(4*(((H143*H143)-(((PI()*H143*H143)/4)))*((H143-((4*H143)/(3*PI())))+(G143/2)))))/1000</f>
        <v/>
      </c>
      <c r="V143" s="125" t="n">
        <v>8887</v>
      </c>
      <c r="W143" s="125" t="n">
        <v>4492</v>
      </c>
      <c r="Y143">
        <f>SQRT((((VLOOKUP($X$4,$A$4:$D$1021,4,FALSE))-D143)^2)+(((VLOOKUP($X$4,$A$4:$E$1021,5,FALSE))-E143)^2))</f>
        <v/>
      </c>
    </row>
    <row r="144">
      <c r="A144" s="125" t="inlineStr">
        <is>
          <t>W14X311</t>
        </is>
      </c>
      <c r="B144" s="129" t="inlineStr">
        <is>
          <t>AISC</t>
        </is>
      </c>
      <c r="C144" s="125" t="n">
        <v>462.8</v>
      </c>
      <c r="D144" s="125" t="n">
        <v>434.8</v>
      </c>
      <c r="E144" s="125" t="n">
        <v>412.2</v>
      </c>
      <c r="F144" s="125" t="n">
        <v>57.4</v>
      </c>
      <c r="G144" s="125" t="n">
        <v>35.8</v>
      </c>
      <c r="H144" s="125" t="n">
        <v>15.2</v>
      </c>
      <c r="I144" s="125" t="n">
        <v>289.6</v>
      </c>
      <c r="J144" s="125" t="n">
        <v>590</v>
      </c>
      <c r="K144" s="125" t="n">
        <v>3.59</v>
      </c>
      <c r="L144" s="125" t="n">
        <v>8.09</v>
      </c>
      <c r="M144" s="125" t="n">
        <v>2.42</v>
      </c>
      <c r="N144" s="125" t="n">
        <v>180100</v>
      </c>
      <c r="O144" s="125" t="n">
        <v>67130</v>
      </c>
      <c r="P144" s="125" t="n">
        <v>17.5</v>
      </c>
      <c r="Q144" s="125" t="n">
        <v>10.7</v>
      </c>
      <c r="R144" s="125" t="n">
        <v>8283</v>
      </c>
      <c r="S144" s="125" t="n">
        <v>3257</v>
      </c>
      <c r="T144" s="125">
        <f>(((E144*D144*D144)/4)-(((E144-G144)*(D144-F144-F144)*(D144-F144-F144))/4)+(4*(H144*H144*(D144/2-F144-(H144/2))-((PI()*H144*H144)/4*((D144/2)-F144-(H144-((4*H144)/(3*PI()))))))))/1000</f>
        <v/>
      </c>
      <c r="U144" s="125">
        <f>(((D144*E144*E144)/4)-(2*((D144-F144-F144)*(E144/2-(G144/2))*(((E144/2-(G144/2))/2)+(G144/2))))+(4*(((H144*H144)-(((PI()*H144*H144)/4)))*((H144-((4*H144)/(3*PI())))+(G144/2)))))/1000</f>
        <v/>
      </c>
      <c r="V144" s="125" t="n">
        <v>9877</v>
      </c>
      <c r="W144" s="125" t="n">
        <v>4983</v>
      </c>
      <c r="Y144">
        <f>SQRT((((VLOOKUP($X$4,$A$4:$D$1021,4,FALSE))-D144)^2)+(((VLOOKUP($X$4,$A$4:$E$1021,5,FALSE))-E144)^2))</f>
        <v/>
      </c>
    </row>
    <row r="145">
      <c r="A145" s="125" t="inlineStr">
        <is>
          <t>W14X314</t>
        </is>
      </c>
      <c r="B145" s="129" t="inlineStr">
        <is>
          <t>AISC</t>
        </is>
      </c>
      <c r="C145" s="125" t="n">
        <v>467</v>
      </c>
      <c r="D145" s="125" t="n">
        <v>436.6</v>
      </c>
      <c r="E145" s="125" t="n">
        <v>412.2</v>
      </c>
      <c r="F145" s="125" t="n">
        <v>58</v>
      </c>
      <c r="G145" s="125" t="n">
        <v>35.8</v>
      </c>
      <c r="H145" s="125" t="n">
        <v>15.2</v>
      </c>
      <c r="I145" s="125" t="n">
        <v>290.2</v>
      </c>
      <c r="J145" s="125" t="n">
        <v>595</v>
      </c>
      <c r="K145" s="125" t="n">
        <v>3.55</v>
      </c>
      <c r="L145" s="125" t="n">
        <v>8.109999999999999</v>
      </c>
      <c r="M145" s="125" t="n">
        <v>2.42</v>
      </c>
      <c r="N145" s="125" t="n">
        <v>183000</v>
      </c>
      <c r="O145" s="125" t="n">
        <v>67830</v>
      </c>
      <c r="P145" s="125" t="n">
        <v>17.5</v>
      </c>
      <c r="Q145" s="125" t="n">
        <v>10.7</v>
      </c>
      <c r="R145" s="125" t="n">
        <v>8383</v>
      </c>
      <c r="S145" s="125" t="n">
        <v>3291</v>
      </c>
      <c r="T145" s="125">
        <f>(((E145*D145*D145)/4)-(((E145-G145)*(D145-F145-F145)*(D145-F145-F145))/4)+(4*(H145*H145*(D145/2-F145-(H145/2))-((PI()*H145*H145)/4*((D145/2)-F145-(H145-((4*H145)/(3*PI()))))))))/1000</f>
        <v/>
      </c>
      <c r="U145" s="125">
        <f>(((D145*E145*E145)/4)-(2*((D145-F145-F145)*(E145/2-(G145/2))*(((E145/2-(G145/2))/2)+(G145/2))))+(4*(((H145*H145)-(((PI()*H145*H145)/4)))*((H145-((4*H145)/(3*PI())))+(G145/2)))))/1000</f>
        <v/>
      </c>
      <c r="V145" s="125" t="n">
        <v>10000</v>
      </c>
      <c r="W145" s="125" t="n">
        <v>5034</v>
      </c>
      <c r="Y145">
        <f>SQRT((((VLOOKUP($X$4,$A$4:$D$1021,4,FALSE))-D145)^2)+(((VLOOKUP($X$4,$A$4:$E$1021,5,FALSE))-E145)^2))</f>
        <v/>
      </c>
    </row>
    <row r="146">
      <c r="A146" s="125" t="inlineStr">
        <is>
          <t>W14X342</t>
        </is>
      </c>
      <c r="B146" s="129" t="inlineStr">
        <is>
          <t>AISC</t>
        </is>
      </c>
      <c r="C146" s="125" t="n">
        <v>509</v>
      </c>
      <c r="D146" s="125" t="n">
        <v>445.5</v>
      </c>
      <c r="E146" s="125" t="n">
        <v>415.5</v>
      </c>
      <c r="F146" s="125" t="n">
        <v>62.7</v>
      </c>
      <c r="G146" s="125" t="n">
        <v>39.1</v>
      </c>
      <c r="H146" s="125" t="n">
        <v>15.2</v>
      </c>
      <c r="I146" s="125" t="n">
        <v>289.6</v>
      </c>
      <c r="J146" s="125" t="n">
        <v>649</v>
      </c>
      <c r="K146" s="125" t="n">
        <v>3.31</v>
      </c>
      <c r="L146" s="125" t="n">
        <v>7.4</v>
      </c>
      <c r="M146" s="125" t="n">
        <v>2.45</v>
      </c>
      <c r="N146" s="125" t="n">
        <v>203800</v>
      </c>
      <c r="O146" s="125" t="n">
        <v>75180</v>
      </c>
      <c r="P146" s="125" t="n">
        <v>17.7</v>
      </c>
      <c r="Q146" s="125" t="n">
        <v>10.8</v>
      </c>
      <c r="R146" s="125" t="n">
        <v>9151</v>
      </c>
      <c r="S146" s="125" t="n">
        <v>3619</v>
      </c>
      <c r="T146" s="125">
        <f>(((E146*D146*D146)/4)-(((E146-G146)*(D146-F146-F146)*(D146-F146-F146))/4)+(4*(H146*H146*(D146/2-F146-(H146/2))-((PI()*H146*H146)/4*((D146/2)-F146-(H146-((4*H146)/(3*PI()))))))))/1000</f>
        <v/>
      </c>
      <c r="U146" s="125">
        <f>(((D146*E146*E146)/4)-(2*((D146-F146-F146)*(E146/2-(G146/2))*(((E146/2-(G146/2))/2)+(G146/2))))+(4*(((H146*H146)-(((PI()*H146*H146)/4)))*((H146-((4*H146)/(3*PI())))+(G146/2)))))/1000</f>
        <v/>
      </c>
      <c r="V146" s="125" t="n">
        <v>11010</v>
      </c>
      <c r="W146" s="125" t="n">
        <v>5543</v>
      </c>
      <c r="Y146">
        <f>SQRT((((VLOOKUP($X$4,$A$4:$D$1021,4,FALSE))-D146)^2)+(((VLOOKUP($X$4,$A$4:$E$1021,5,FALSE))-E146)^2))</f>
        <v/>
      </c>
    </row>
    <row r="147">
      <c r="A147" s="125" t="inlineStr">
        <is>
          <t>W14X370</t>
        </is>
      </c>
      <c r="B147" s="129" t="inlineStr">
        <is>
          <t>AISC</t>
        </is>
      </c>
      <c r="C147" s="125" t="n">
        <v>551</v>
      </c>
      <c r="D147" s="125" t="n">
        <v>455.6</v>
      </c>
      <c r="E147" s="125" t="n">
        <v>418.5</v>
      </c>
      <c r="F147" s="125" t="n">
        <v>67.5</v>
      </c>
      <c r="G147" s="125" t="n">
        <v>42.1</v>
      </c>
      <c r="H147" s="125" t="n">
        <v>15.2</v>
      </c>
      <c r="I147" s="125" t="n">
        <v>290.2</v>
      </c>
      <c r="J147" s="125" t="n">
        <v>702</v>
      </c>
      <c r="K147" s="125" t="n">
        <v>3.1</v>
      </c>
      <c r="L147" s="125" t="n">
        <v>6.89</v>
      </c>
      <c r="M147" s="125" t="n">
        <v>2.47</v>
      </c>
      <c r="N147" s="125" t="n">
        <v>226900</v>
      </c>
      <c r="O147" s="125" t="n">
        <v>82670</v>
      </c>
      <c r="P147" s="125" t="n">
        <v>18</v>
      </c>
      <c r="Q147" s="125" t="n">
        <v>10.9</v>
      </c>
      <c r="R147" s="125" t="n">
        <v>9962</v>
      </c>
      <c r="S147" s="125" t="n">
        <v>3951</v>
      </c>
      <c r="T147" s="125">
        <f>(((E147*D147*D147)/4)-(((E147-G147)*(D147-F147-F147)*(D147-F147-F147))/4)+(4*(H147*H147*(D147/2-F147-(H147/2))-((PI()*H147*H147)/4*((D147/2)-F147-(H147-((4*H147)/(3*PI()))))))))/1000</f>
        <v/>
      </c>
      <c r="U147" s="125">
        <f>(((D147*E147*E147)/4)-(2*((D147-F147-F147)*(E147/2-(G147/2))*(((E147/2-(G147/2))/2)+(G147/2))))+(4*(((H147*H147)-(((PI()*H147*H147)/4)))*((H147-((4*H147)/(3*PI())))+(G147/2)))))/1000</f>
        <v/>
      </c>
      <c r="V147" s="125" t="n">
        <v>12080</v>
      </c>
      <c r="W147" s="125" t="n">
        <v>6058</v>
      </c>
      <c r="Y147">
        <f>SQRT((((VLOOKUP($X$4,$A$4:$D$1021,4,FALSE))-D147)^2)+(((VLOOKUP($X$4,$A$4:$E$1021,5,FALSE))-E147)^2))</f>
        <v/>
      </c>
    </row>
    <row r="148">
      <c r="A148" s="125" t="inlineStr">
        <is>
          <t>W14X398</t>
        </is>
      </c>
      <c r="B148" s="129" t="inlineStr">
        <is>
          <t>AISC</t>
        </is>
      </c>
      <c r="C148" s="125" t="n">
        <v>592.3</v>
      </c>
      <c r="D148" s="125" t="n">
        <v>464.6</v>
      </c>
      <c r="E148" s="125" t="n">
        <v>421.4</v>
      </c>
      <c r="F148" s="125" t="n">
        <v>72.3</v>
      </c>
      <c r="G148" s="125" t="n">
        <v>45</v>
      </c>
      <c r="H148" s="125" t="n">
        <v>15.2</v>
      </c>
      <c r="I148" s="125" t="n">
        <v>289.7</v>
      </c>
      <c r="J148" s="125" t="n">
        <v>755</v>
      </c>
      <c r="K148" s="125" t="n">
        <v>2.92</v>
      </c>
      <c r="L148" s="125" t="n">
        <v>6.44</v>
      </c>
      <c r="M148" s="125" t="n">
        <v>2.5</v>
      </c>
      <c r="N148" s="125" t="n">
        <v>249800</v>
      </c>
      <c r="O148" s="125" t="n">
        <v>90380</v>
      </c>
      <c r="P148" s="125" t="n">
        <v>18.2</v>
      </c>
      <c r="Q148" s="125" t="n">
        <v>10.9</v>
      </c>
      <c r="R148" s="125" t="n">
        <v>10750</v>
      </c>
      <c r="S148" s="125" t="n">
        <v>4289</v>
      </c>
      <c r="T148" s="125">
        <f>(((E148*D148*D148)/4)-(((E148-G148)*(D148-F148-F148)*(D148-F148-F148))/4)+(4*(H148*H148*(D148/2-F148-(H148/2))-((PI()*H148*H148)/4*((D148/2)-F148-(H148-((4*H148)/(3*PI()))))))))/1000</f>
        <v/>
      </c>
      <c r="U148" s="125">
        <f>(((D148*E148*E148)/4)-(2*((D148-F148-F148)*(E148/2-(G148/2))*(((E148/2-(G148/2))/2)+(G148/2))))+(4*(((H148*H148)-(((PI()*H148*H148)/4)))*((H148-((4*H148)/(3*PI())))+(G148/2)))))/1000</f>
        <v/>
      </c>
      <c r="V148" s="125" t="n">
        <v>13130</v>
      </c>
      <c r="W148" s="125" t="n">
        <v>6583</v>
      </c>
      <c r="Y148">
        <f>SQRT((((VLOOKUP($X$4,$A$4:$D$1021,4,FALSE))-D148)^2)+(((VLOOKUP($X$4,$A$4:$E$1021,5,FALSE))-E148)^2))</f>
        <v/>
      </c>
    </row>
    <row r="149">
      <c r="A149" s="125" t="inlineStr">
        <is>
          <t>W14X426</t>
        </is>
      </c>
      <c r="B149" s="129" t="inlineStr">
        <is>
          <t>AISC</t>
        </is>
      </c>
      <c r="C149" s="125" t="n">
        <v>633.9</v>
      </c>
      <c r="D149" s="125" t="n">
        <v>474.6</v>
      </c>
      <c r="E149" s="125" t="n">
        <v>424</v>
      </c>
      <c r="F149" s="125" t="n">
        <v>77</v>
      </c>
      <c r="G149" s="125" t="n">
        <v>47.6</v>
      </c>
      <c r="H149" s="125" t="n">
        <v>15.2</v>
      </c>
      <c r="I149" s="125" t="n">
        <v>290.2</v>
      </c>
      <c r="J149" s="125" t="n">
        <v>808</v>
      </c>
      <c r="K149" s="125" t="n">
        <v>2.75</v>
      </c>
      <c r="L149" s="125" t="n">
        <v>6.1</v>
      </c>
      <c r="M149" s="125" t="n">
        <v>2.52</v>
      </c>
      <c r="N149" s="125" t="n">
        <v>274800</v>
      </c>
      <c r="O149" s="125" t="n">
        <v>98130</v>
      </c>
      <c r="P149" s="125" t="n">
        <v>18.4</v>
      </c>
      <c r="Q149" s="125" t="n">
        <v>11</v>
      </c>
      <c r="R149" s="125" t="n">
        <v>11580</v>
      </c>
      <c r="S149" s="125" t="n">
        <v>4629</v>
      </c>
      <c r="T149" s="125">
        <f>(((E149*D149*D149)/4)-(((E149-G149)*(D149-F149-F149)*(D149-F149-F149))/4)+(4*(H149*H149*(D149/2-F149-(H149/2))-((PI()*H149*H149)/4*((D149/2)-F149-(H149-((4*H149)/(3*PI()))))))))/1000</f>
        <v/>
      </c>
      <c r="U149" s="125">
        <f>(((D149*E149*E149)/4)-(2*((D149-F149-F149)*(E149/2-(G149/2))*(((E149/2-(G149/2))/2)+(G149/2))))+(4*(((H149*H149)-(((PI()*H149*H149)/4)))*((H149-((4*H149)/(3*PI())))+(G149/2)))))/1000</f>
        <v/>
      </c>
      <c r="V149" s="125" t="n">
        <v>14240</v>
      </c>
      <c r="W149" s="125" t="n">
        <v>7108</v>
      </c>
      <c r="Y149">
        <f>SQRT((((VLOOKUP($X$4,$A$4:$D$1021,4,FALSE))-D149)^2)+(((VLOOKUP($X$4,$A$4:$E$1021,5,FALSE))-E149)^2))</f>
        <v/>
      </c>
    </row>
    <row r="150">
      <c r="A150" s="125" t="inlineStr">
        <is>
          <t>W14X455</t>
        </is>
      </c>
      <c r="B150" s="129" t="inlineStr">
        <is>
          <t>AISC</t>
        </is>
      </c>
      <c r="C150" s="125" t="n">
        <v>677.1</v>
      </c>
      <c r="D150" s="125" t="n">
        <v>483.1</v>
      </c>
      <c r="E150" s="125" t="n">
        <v>427.6</v>
      </c>
      <c r="F150" s="125" t="n">
        <v>81.5</v>
      </c>
      <c r="G150" s="125" t="n">
        <v>51.2</v>
      </c>
      <c r="H150" s="125" t="n">
        <v>15.2</v>
      </c>
      <c r="I150" s="125" t="n">
        <v>289.6</v>
      </c>
      <c r="J150" s="125" t="n">
        <v>863</v>
      </c>
      <c r="K150" s="125" t="n">
        <v>2.62</v>
      </c>
      <c r="L150" s="125" t="n">
        <v>5.66</v>
      </c>
      <c r="M150" s="125" t="n">
        <v>2.55</v>
      </c>
      <c r="N150" s="125" t="n">
        <v>299400</v>
      </c>
      <c r="O150" s="125" t="n">
        <v>106600</v>
      </c>
      <c r="P150" s="125" t="n">
        <v>18.6</v>
      </c>
      <c r="Q150" s="125" t="n">
        <v>11.1</v>
      </c>
      <c r="R150" s="125" t="n">
        <v>12400</v>
      </c>
      <c r="S150" s="125" t="n">
        <v>4987</v>
      </c>
      <c r="T150" s="125">
        <f>(((E150*D150*D150)/4)-(((E150-G150)*(D150-F150-F150)*(D150-F150-F150))/4)+(4*(H150*H150*(D150/2-F150-(H150/2))-((PI()*H150*H150)/4*((D150/2)-F150-(H150-((4*H150)/(3*PI()))))))))/1000</f>
        <v/>
      </c>
      <c r="U150" s="125">
        <f>(((D150*E150*E150)/4)-(2*((D150-F150-F150)*(E150/2-(G150/2))*(((E150/2-(G150/2))/2)+(G150/2))))+(4*(((H150*H150)-(((PI()*H150*H150)/4)))*((H150-((4*H150)/(3*PI())))+(G150/2)))))/1000</f>
        <v/>
      </c>
      <c r="V150" s="125" t="n">
        <v>15340</v>
      </c>
      <c r="W150" s="125" t="n">
        <v>7669</v>
      </c>
      <c r="Y150">
        <f>SQRT((((VLOOKUP($X$4,$A$4:$D$1021,4,FALSE))-D150)^2)+(((VLOOKUP($X$4,$A$4:$E$1021,5,FALSE))-E150)^2))</f>
        <v/>
      </c>
    </row>
    <row r="151">
      <c r="A151" s="125" t="inlineStr">
        <is>
          <t>W14X500</t>
        </is>
      </c>
      <c r="B151" s="129" t="inlineStr">
        <is>
          <t>AISC</t>
        </is>
      </c>
      <c r="C151" s="125" t="n">
        <v>744.1</v>
      </c>
      <c r="D151" s="125" t="n">
        <v>497.8</v>
      </c>
      <c r="E151" s="125" t="n">
        <v>432.1</v>
      </c>
      <c r="F151" s="125" t="n">
        <v>88.90000000000001</v>
      </c>
      <c r="G151" s="125" t="n">
        <v>55.6</v>
      </c>
      <c r="H151" s="125" t="n">
        <v>15.2</v>
      </c>
      <c r="I151" s="125" t="n">
        <v>289.6</v>
      </c>
      <c r="J151" s="125" t="n">
        <v>948</v>
      </c>
      <c r="K151" s="125" t="n">
        <v>2.43</v>
      </c>
      <c r="L151" s="125" t="n">
        <v>5.21</v>
      </c>
      <c r="M151" s="125" t="n">
        <v>2.59</v>
      </c>
      <c r="N151" s="125" t="n">
        <v>341900</v>
      </c>
      <c r="O151" s="125" t="n">
        <v>120000</v>
      </c>
      <c r="P151" s="125" t="n">
        <v>19</v>
      </c>
      <c r="Q151" s="125" t="n">
        <v>11.3</v>
      </c>
      <c r="R151" s="125" t="n">
        <v>13740</v>
      </c>
      <c r="S151" s="125" t="n">
        <v>5555</v>
      </c>
      <c r="T151" s="125">
        <f>(((E151*D151*D151)/4)-(((E151-G151)*(D151-F151-F151)*(D151-F151-F151))/4)+(4*(H151*H151*(D151/2-F151-(H151/2))-((PI()*H151*H151)/4*((D151/2)-F151-(H151-((4*H151)/(3*PI()))))))))/1000</f>
        <v/>
      </c>
      <c r="U151" s="125">
        <f>(((D151*E151*E151)/4)-(2*((D151-F151-F151)*(E151/2-(G151/2))*(((E151/2-(G151/2))/2)+(G151/2))))+(4*(((H151*H151)-(((PI()*H151*H151)/4)))*((H151-((4*H151)/(3*PI())))+(G151/2)))))/1000</f>
        <v/>
      </c>
      <c r="V151" s="125" t="n">
        <v>17160</v>
      </c>
      <c r="W151" s="125" t="n">
        <v>8553</v>
      </c>
      <c r="Y151">
        <f>SQRT((((VLOOKUP($X$4,$A$4:$D$1021,4,FALSE))-D151)^2)+(((VLOOKUP($X$4,$A$4:$E$1021,5,FALSE))-E151)^2))</f>
        <v/>
      </c>
    </row>
    <row r="152">
      <c r="A152" s="125" t="inlineStr">
        <is>
          <t>W14X550</t>
        </is>
      </c>
      <c r="B152" s="129" t="inlineStr">
        <is>
          <t>AISC</t>
        </is>
      </c>
      <c r="C152" s="125" t="n">
        <v>818.5</v>
      </c>
      <c r="D152" s="125" t="n">
        <v>514.1</v>
      </c>
      <c r="E152" s="125" t="n">
        <v>436.9</v>
      </c>
      <c r="F152" s="125" t="n">
        <v>97</v>
      </c>
      <c r="G152" s="125" t="n">
        <v>60.5</v>
      </c>
      <c r="H152" s="125" t="n">
        <v>15.2</v>
      </c>
      <c r="I152" s="125" t="n">
        <v>289.6</v>
      </c>
      <c r="J152" s="125" t="n">
        <v>1043</v>
      </c>
      <c r="K152" s="125" t="n">
        <v>2.25</v>
      </c>
      <c r="L152" s="125" t="n">
        <v>4.79</v>
      </c>
      <c r="M152" s="125" t="n">
        <v>2.63</v>
      </c>
      <c r="N152" s="125" t="n">
        <v>392400</v>
      </c>
      <c r="O152" s="125" t="n">
        <v>135500</v>
      </c>
      <c r="P152" s="125" t="n">
        <v>19.4</v>
      </c>
      <c r="Q152" s="125" t="n">
        <v>11.4</v>
      </c>
      <c r="R152" s="125" t="n">
        <v>15260</v>
      </c>
      <c r="S152" s="125" t="n">
        <v>6202</v>
      </c>
      <c r="T152" s="125">
        <f>(((E152*D152*D152)/4)-(((E152-G152)*(D152-F152-F152)*(D152-F152-F152))/4)+(4*(H152*H152*(D152/2-F152-(H152/2))-((PI()*H152*H152)/4*((D152/2)-F152-(H152-((4*H152)/(3*PI()))))))))/1000</f>
        <v/>
      </c>
      <c r="U152" s="125">
        <f>(((D152*E152*E152)/4)-(2*((D152-F152-F152)*(E152/2-(G152/2))*(((E152/2-(G152/2))/2)+(G152/2))))+(4*(((H152*H152)-(((PI()*H152*H152)/4)))*((H152-((4*H152)/(3*PI())))+(G152/2)))))/1000</f>
        <v/>
      </c>
      <c r="V152" s="125" t="n">
        <v>19260</v>
      </c>
      <c r="W152" s="125" t="n">
        <v>9560</v>
      </c>
      <c r="Y152">
        <f>SQRT((((VLOOKUP($X$4,$A$4:$D$1021,4,FALSE))-D152)^2)+(((VLOOKUP($X$4,$A$4:$E$1021,5,FALSE))-E152)^2))</f>
        <v/>
      </c>
    </row>
    <row r="153">
      <c r="A153" s="125" t="inlineStr">
        <is>
          <t>W14X605</t>
        </is>
      </c>
      <c r="B153" s="129" t="inlineStr">
        <is>
          <t>AISC</t>
        </is>
      </c>
      <c r="C153" s="125" t="n">
        <v>900.3</v>
      </c>
      <c r="D153" s="125" t="n">
        <v>531.4</v>
      </c>
      <c r="E153" s="125" t="n">
        <v>442.3</v>
      </c>
      <c r="F153" s="125" t="n">
        <v>105.6</v>
      </c>
      <c r="G153" s="125" t="n">
        <v>65.90000000000001</v>
      </c>
      <c r="H153" s="125" t="n">
        <v>15.2</v>
      </c>
      <c r="I153" s="125" t="n">
        <v>289.8</v>
      </c>
      <c r="J153" s="125" t="n">
        <v>1147</v>
      </c>
      <c r="K153" s="125" t="n">
        <v>2.09</v>
      </c>
      <c r="L153" s="125" t="n">
        <v>4.4</v>
      </c>
      <c r="M153" s="125" t="n">
        <v>2.67</v>
      </c>
      <c r="N153" s="125" t="n">
        <v>450600</v>
      </c>
      <c r="O153" s="125" t="n">
        <v>153100</v>
      </c>
      <c r="P153" s="125" t="n">
        <v>19.8</v>
      </c>
      <c r="Q153" s="125" t="n">
        <v>11.6</v>
      </c>
      <c r="R153" s="125" t="n">
        <v>16960</v>
      </c>
      <c r="S153" s="125" t="n">
        <v>6922</v>
      </c>
      <c r="T153" s="125">
        <f>(((E153*D153*D153)/4)-(((E153-G153)*(D153-F153-F153)*(D153-F153-F153))/4)+(4*(H153*H153*(D153/2-F153-(H153/2))-((PI()*H153*H153)/4*((D153/2)-F153-(H153-((4*H153)/(3*PI()))))))))/1000</f>
        <v/>
      </c>
      <c r="U153" s="125">
        <f>(((D153*E153*E153)/4)-(2*((D153-F153-F153)*(E153/2-(G153/2))*(((E153/2-(G153/2))/2)+(G153/2))))+(4*(((H153*H153)-(((PI()*H153*H153)/4)))*((H153-((4*H153)/(3*PI())))+(G153/2)))))/1000</f>
        <v/>
      </c>
      <c r="V153" s="125" t="n">
        <v>21610</v>
      </c>
      <c r="W153" s="125" t="n">
        <v>10680</v>
      </c>
      <c r="Y153">
        <f>SQRT((((VLOOKUP($X$4,$A$4:$D$1021,4,FALSE))-D153)^2)+(((VLOOKUP($X$4,$A$4:$E$1021,5,FALSE))-E153)^2))</f>
        <v/>
      </c>
    </row>
    <row r="154">
      <c r="A154" s="125" t="inlineStr">
        <is>
          <t>W14X665</t>
        </is>
      </c>
      <c r="B154" s="129" t="inlineStr">
        <is>
          <t>AISC</t>
        </is>
      </c>
      <c r="C154" s="125" t="n">
        <v>989.6</v>
      </c>
      <c r="D154" s="125" t="n">
        <v>549.7</v>
      </c>
      <c r="E154" s="125" t="n">
        <v>448.3</v>
      </c>
      <c r="F154" s="125" t="n">
        <v>114.8</v>
      </c>
      <c r="G154" s="125" t="n">
        <v>71.90000000000001</v>
      </c>
      <c r="H154" s="125" t="n">
        <v>15.2</v>
      </c>
      <c r="I154" s="125" t="n">
        <v>289.7</v>
      </c>
      <c r="J154" s="125" t="n">
        <v>1261</v>
      </c>
      <c r="K154" s="125" t="n">
        <v>1.95</v>
      </c>
      <c r="L154" s="125" t="n">
        <v>4.03</v>
      </c>
      <c r="M154" s="125" t="n">
        <v>2.72</v>
      </c>
      <c r="N154" s="125" t="n">
        <v>518100</v>
      </c>
      <c r="O154" s="125" t="n">
        <v>173400</v>
      </c>
      <c r="P154" s="125" t="n">
        <v>20.3</v>
      </c>
      <c r="Q154" s="125" t="n">
        <v>11.7</v>
      </c>
      <c r="R154" s="125" t="n">
        <v>18850</v>
      </c>
      <c r="S154" s="125" t="n">
        <v>7736</v>
      </c>
      <c r="T154" s="125">
        <f>(((E154*D154*D154)/4)-(((E154-G154)*(D154-F154-F154)*(D154-F154-F154))/4)+(4*(H154*H154*(D154/2-F154-(H154/2))-((PI()*H154*H154)/4*((D154/2)-F154-(H154-((4*H154)/(3*PI()))))))))/1000</f>
        <v/>
      </c>
      <c r="U154" s="125">
        <f>(((D154*E154*E154)/4)-(2*((D154-F154-F154)*(E154/2-(G154/2))*(((E154/2-(G154/2))/2)+(G154/2))))+(4*(((H154*H154)-(((PI()*H154*H154)/4)))*((H154-((4*H154)/(3*PI())))+(G154/2)))))/1000</f>
        <v/>
      </c>
      <c r="V154" s="125" t="n">
        <v>24250</v>
      </c>
      <c r="W154" s="125" t="n">
        <v>11960</v>
      </c>
      <c r="Y154">
        <f>SQRT((((VLOOKUP($X$4,$A$4:$D$1021,4,FALSE))-D154)^2)+(((VLOOKUP($X$4,$A$4:$E$1021,5,FALSE))-E154)^2))</f>
        <v/>
      </c>
    </row>
    <row r="155">
      <c r="A155" s="125" t="inlineStr">
        <is>
          <t>W14X730</t>
        </is>
      </c>
      <c r="B155" s="129" t="inlineStr">
        <is>
          <t>AISC</t>
        </is>
      </c>
      <c r="C155" s="125" t="n">
        <v>1086</v>
      </c>
      <c r="D155" s="125" t="n">
        <v>569.5</v>
      </c>
      <c r="E155" s="125" t="n">
        <v>454.4</v>
      </c>
      <c r="F155" s="125" t="n">
        <v>124.7</v>
      </c>
      <c r="G155" s="125" t="n">
        <v>78</v>
      </c>
      <c r="H155" s="125" t="n">
        <v>15.2</v>
      </c>
      <c r="I155" s="125" t="n">
        <v>289.7</v>
      </c>
      <c r="J155" s="125" t="n">
        <v>1385</v>
      </c>
      <c r="K155" s="125" t="n">
        <v>1.82</v>
      </c>
      <c r="L155" s="125" t="n">
        <v>3.72</v>
      </c>
      <c r="M155" s="125" t="n">
        <v>2.77</v>
      </c>
      <c r="N155" s="125" t="n">
        <v>597000</v>
      </c>
      <c r="O155" s="125" t="n">
        <v>196300</v>
      </c>
      <c r="P155" s="125" t="n">
        <v>20.8</v>
      </c>
      <c r="Q155" s="125" t="n">
        <v>11.9</v>
      </c>
      <c r="R155" s="125" t="n">
        <v>20970</v>
      </c>
      <c r="S155" s="125" t="n">
        <v>8640</v>
      </c>
      <c r="T155" s="125">
        <f>(((E155*D155*D155)/4)-(((E155-G155)*(D155-F155-F155)*(D155-F155-F155))/4)+(4*(H155*H155*(D155/2-F155-(H155/2))-((PI()*H155*H155)/4*((D155/2)-F155-(H155-((4*H155)/(3*PI()))))))))/1000</f>
        <v/>
      </c>
      <c r="U155" s="125">
        <f>(((D155*E155*E155)/4)-(2*((D155-F155-F155)*(E155/2-(G155/2))*(((E155/2-(G155/2))/2)+(G155/2))))+(4*(((H155*H155)-(((PI()*H155*H155)/4)))*((H155-((4*H155)/(3*PI())))+(G155/2)))))/1000</f>
        <v/>
      </c>
      <c r="V155" s="125" t="n">
        <v>27230</v>
      </c>
      <c r="W155" s="125" t="n">
        <v>13370</v>
      </c>
      <c r="Y155">
        <f>SQRT((((VLOOKUP($X$4,$A$4:$D$1021,4,FALSE))-D155)^2)+(((VLOOKUP($X$4,$A$4:$E$1021,5,FALSE))-E155)^2))</f>
        <v/>
      </c>
    </row>
    <row r="156">
      <c r="A156" s="125" t="inlineStr">
        <is>
          <t>W16X26</t>
        </is>
      </c>
      <c r="B156" s="129" t="inlineStr">
        <is>
          <t>AISC</t>
        </is>
      </c>
      <c r="C156" s="125" t="n">
        <v>39</v>
      </c>
      <c r="D156" s="125" t="n">
        <v>398</v>
      </c>
      <c r="E156" s="125" t="n">
        <v>141.8</v>
      </c>
      <c r="F156" s="125" t="n">
        <v>8.6</v>
      </c>
      <c r="G156" s="125" t="n">
        <v>6.4</v>
      </c>
      <c r="H156" s="125" t="n">
        <v>10.2</v>
      </c>
      <c r="I156" s="125" t="n">
        <v>360.4</v>
      </c>
      <c r="J156" s="125" t="n">
        <v>49.7</v>
      </c>
      <c r="K156" s="125" t="n">
        <v>8.24</v>
      </c>
      <c r="L156" s="125" t="n">
        <v>56.3</v>
      </c>
      <c r="M156" s="125" t="n">
        <v>1.33</v>
      </c>
      <c r="N156" s="125" t="n">
        <v>12510</v>
      </c>
      <c r="O156" s="125" t="n">
        <v>410</v>
      </c>
      <c r="P156" s="125" t="n">
        <v>15.9</v>
      </c>
      <c r="Q156" s="125" t="n">
        <v>2.87</v>
      </c>
      <c r="R156" s="125" t="n">
        <v>629</v>
      </c>
      <c r="S156" s="125" t="n">
        <v>57.8</v>
      </c>
      <c r="T156" s="125">
        <f>(((E156*D156*D156)/4)-(((E156-G156)*(D156-F156-F156)*(D156-F156-F156))/4)+(4*(H156*H156*(D156/2-F156-(H156/2))-((PI()*H156*H156)/4*((D156/2)-F156-(H156-((4*H156)/(3*PI()))))))))/1000</f>
        <v/>
      </c>
      <c r="U156" s="125">
        <f>(((D156*E156*E156)/4)-(2*((D156-F156-F156)*(E156/2-(G156/2))*(((E156/2-(G156/2))/2)+(G156/2))))+(4*(((H156*H156)-(((PI()*H156*H156)/4)))*((H156-((4*H156)/(3*PI())))+(G156/2)))))/1000</f>
        <v/>
      </c>
      <c r="V156" s="125" t="n">
        <v>724</v>
      </c>
      <c r="W156" s="125" t="n">
        <v>90.8</v>
      </c>
      <c r="Y156">
        <f>SQRT((((VLOOKUP($X$4,$A$4:$D$1021,4,FALSE))-D156)^2)+(((VLOOKUP($X$4,$A$4:$E$1021,5,FALSE))-E156)^2))</f>
        <v/>
      </c>
    </row>
    <row r="157">
      <c r="A157" s="125" t="inlineStr">
        <is>
          <t>W16X31</t>
        </is>
      </c>
      <c r="B157" s="129" t="inlineStr">
        <is>
          <t>AISC</t>
        </is>
      </c>
      <c r="C157" s="125" t="n">
        <v>46</v>
      </c>
      <c r="D157" s="125" t="n">
        <v>403.2</v>
      </c>
      <c r="E157" s="125" t="n">
        <v>142.2</v>
      </c>
      <c r="F157" s="125" t="n">
        <v>11.2</v>
      </c>
      <c r="G157" s="125" t="n">
        <v>6.8</v>
      </c>
      <c r="H157" s="125" t="n">
        <v>10.2</v>
      </c>
      <c r="I157" s="125" t="n">
        <v>360.4</v>
      </c>
      <c r="J157" s="125" t="n">
        <v>58.6</v>
      </c>
      <c r="K157" s="125" t="n">
        <v>6.35</v>
      </c>
      <c r="L157" s="125" t="n">
        <v>53</v>
      </c>
      <c r="M157" s="125" t="n">
        <v>1.34</v>
      </c>
      <c r="N157" s="125" t="n">
        <v>15690</v>
      </c>
      <c r="O157" s="125" t="n">
        <v>538</v>
      </c>
      <c r="P157" s="125" t="n">
        <v>16.4</v>
      </c>
      <c r="Q157" s="125" t="n">
        <v>3.03</v>
      </c>
      <c r="R157" s="125" t="n">
        <v>778</v>
      </c>
      <c r="S157" s="125" t="n">
        <v>75.7</v>
      </c>
      <c r="T157" s="125">
        <f>(((E157*D157*D157)/4)-(((E157-G157)*(D157-F157-F157)*(D157-F157-F157))/4)+(4*(H157*H157*(D157/2-F157-(H157/2))-((PI()*H157*H157)/4*((D157/2)-F157-(H157-((4*H157)/(3*PI()))))))))/1000</f>
        <v/>
      </c>
      <c r="U157" s="125">
        <f>(((D157*E157*E157)/4)-(2*((D157-F157-F157)*(E157/2-(G157/2))*(((E157/2-(G157/2))/2)+(G157/2))))+(4*(((H157*H157)-(((PI()*H157*H157)/4)))*((H157-((4*H157)/(3*PI())))+(G157/2)))))/1000</f>
        <v/>
      </c>
      <c r="V157" s="125" t="n">
        <v>888</v>
      </c>
      <c r="W157" s="125" t="n">
        <v>118</v>
      </c>
      <c r="Y157">
        <f>SQRT((((VLOOKUP($X$4,$A$4:$D$1021,4,FALSE))-D157)^2)+(((VLOOKUP($X$4,$A$4:$E$1021,5,FALSE))-E157)^2))</f>
        <v/>
      </c>
    </row>
    <row r="158">
      <c r="A158" s="125" t="inlineStr">
        <is>
          <t>W16X36</t>
        </is>
      </c>
      <c r="B158" s="129" t="inlineStr">
        <is>
          <t>AISC</t>
        </is>
      </c>
      <c r="C158" s="125" t="n">
        <v>54.1</v>
      </c>
      <c r="D158" s="125" t="n">
        <v>402.6</v>
      </c>
      <c r="E158" s="125" t="n">
        <v>177.7</v>
      </c>
      <c r="F158" s="125" t="n">
        <v>10.9</v>
      </c>
      <c r="G158" s="125" t="n">
        <v>7.7</v>
      </c>
      <c r="H158" s="125" t="n">
        <v>10.2</v>
      </c>
      <c r="I158" s="125" t="n">
        <v>360.4</v>
      </c>
      <c r="J158" s="125" t="n">
        <v>69</v>
      </c>
      <c r="K158" s="125" t="n">
        <v>8.15</v>
      </c>
      <c r="L158" s="125" t="n">
        <v>46.8</v>
      </c>
      <c r="M158" s="125" t="n">
        <v>1.48</v>
      </c>
      <c r="N158" s="125" t="n">
        <v>18720</v>
      </c>
      <c r="O158" s="125" t="n">
        <v>1021</v>
      </c>
      <c r="P158" s="125" t="n">
        <v>16.5</v>
      </c>
      <c r="Q158" s="125" t="n">
        <v>3.85</v>
      </c>
      <c r="R158" s="125" t="n">
        <v>930</v>
      </c>
      <c r="S158" s="125" t="n">
        <v>115</v>
      </c>
      <c r="T158" s="125">
        <f>(((E158*D158*D158)/4)-(((E158-G158)*(D158-F158-F158)*(D158-F158-F158))/4)+(4*(H158*H158*(D158/2-F158-(H158/2))-((PI()*H158*H158)/4*((D158/2)-F158-(H158-((4*H158)/(3*PI()))))))))/1000</f>
        <v/>
      </c>
      <c r="U158" s="125">
        <f>(((D158*E158*E158)/4)-(2*((D158-F158-F158)*(E158/2-(G158/2))*(((E158/2-(G158/2))/2)+(G158/2))))+(4*(((H158*H158)-(((PI()*H158*H158)/4)))*((H158-((4*H158)/(3*PI())))+(G158/2)))))/1000</f>
        <v/>
      </c>
      <c r="V158" s="125" t="n">
        <v>1055</v>
      </c>
      <c r="W158" s="125" t="n">
        <v>178</v>
      </c>
      <c r="Y158">
        <f>SQRT((((VLOOKUP($X$4,$A$4:$D$1021,4,FALSE))-D158)^2)+(((VLOOKUP($X$4,$A$4:$E$1021,5,FALSE))-E158)^2))</f>
        <v/>
      </c>
    </row>
    <row r="159">
      <c r="A159" s="125" t="inlineStr">
        <is>
          <t>W16X40</t>
        </is>
      </c>
      <c r="B159" s="129" t="inlineStr">
        <is>
          <t>AISC</t>
        </is>
      </c>
      <c r="C159" s="125" t="n">
        <v>60.1</v>
      </c>
      <c r="D159" s="125" t="n">
        <v>406.4</v>
      </c>
      <c r="E159" s="125" t="n">
        <v>177.9</v>
      </c>
      <c r="F159" s="125" t="n">
        <v>12.8</v>
      </c>
      <c r="G159" s="125" t="n">
        <v>7.9</v>
      </c>
      <c r="H159" s="125" t="n">
        <v>10.2</v>
      </c>
      <c r="I159" s="125" t="n">
        <v>360.4</v>
      </c>
      <c r="J159" s="125" t="n">
        <v>76.5</v>
      </c>
      <c r="K159" s="125" t="n">
        <v>6.95</v>
      </c>
      <c r="L159" s="125" t="n">
        <v>45.6</v>
      </c>
      <c r="M159" s="125" t="n">
        <v>1.49</v>
      </c>
      <c r="N159" s="125" t="n">
        <v>21600</v>
      </c>
      <c r="O159" s="125" t="n">
        <v>1203</v>
      </c>
      <c r="P159" s="125" t="n">
        <v>16.8</v>
      </c>
      <c r="Q159" s="125" t="n">
        <v>3.97</v>
      </c>
      <c r="R159" s="125" t="n">
        <v>1063</v>
      </c>
      <c r="S159" s="125" t="n">
        <v>135</v>
      </c>
      <c r="T159" s="125">
        <f>(((E159*D159*D159)/4)-(((E159-G159)*(D159-F159-F159)*(D159-F159-F159))/4)+(4*(H159*H159*(D159/2-F159-(H159/2))-((PI()*H159*H159)/4*((D159/2)-F159-(H159-((4*H159)/(3*PI()))))))))/1000</f>
        <v/>
      </c>
      <c r="U159" s="125">
        <f>(((D159*E159*E159)/4)-(2*((D159-F159-F159)*(E159/2-(G159/2))*(((E159/2-(G159/2))/2)+(G159/2))))+(4*(((H159*H159)-(((PI()*H159*H159)/4)))*((H159-((4*H159)/(3*PI())))+(G159/2)))))/1000</f>
        <v/>
      </c>
      <c r="V159" s="125" t="n">
        <v>1199</v>
      </c>
      <c r="W159" s="125" t="n">
        <v>209</v>
      </c>
      <c r="Y159">
        <f>SQRT((((VLOOKUP($X$4,$A$4:$D$1021,4,FALSE))-D159)^2)+(((VLOOKUP($X$4,$A$4:$E$1021,5,FALSE))-E159)^2))</f>
        <v/>
      </c>
    </row>
    <row r="160">
      <c r="A160" s="125" t="inlineStr">
        <is>
          <t>W16X45</t>
        </is>
      </c>
      <c r="B160" s="129" t="inlineStr">
        <is>
          <t>AISC</t>
        </is>
      </c>
      <c r="C160" s="125" t="n">
        <v>67.09999999999999</v>
      </c>
      <c r="D160" s="125" t="n">
        <v>409.4</v>
      </c>
      <c r="E160" s="125" t="n">
        <v>178.8</v>
      </c>
      <c r="F160" s="125" t="n">
        <v>14.3</v>
      </c>
      <c r="G160" s="125" t="n">
        <v>8.800000000000001</v>
      </c>
      <c r="H160" s="125" t="n">
        <v>10.2</v>
      </c>
      <c r="I160" s="125" t="n">
        <v>360.4</v>
      </c>
      <c r="J160" s="125" t="n">
        <v>85.5</v>
      </c>
      <c r="K160" s="125" t="n">
        <v>6.25</v>
      </c>
      <c r="L160" s="125" t="n">
        <v>41</v>
      </c>
      <c r="M160" s="125" t="n">
        <v>1.5</v>
      </c>
      <c r="N160" s="125" t="n">
        <v>24330</v>
      </c>
      <c r="O160" s="125" t="n">
        <v>1365</v>
      </c>
      <c r="P160" s="125" t="n">
        <v>16.9</v>
      </c>
      <c r="Q160" s="125" t="n">
        <v>3.99</v>
      </c>
      <c r="R160" s="125" t="n">
        <v>1189</v>
      </c>
      <c r="S160" s="125" t="n">
        <v>153</v>
      </c>
      <c r="T160" s="125">
        <f>(((E160*D160*D160)/4)-(((E160-G160)*(D160-F160-F160)*(D160-F160-F160))/4)+(4*(H160*H160*(D160/2-F160-(H160/2))-((PI()*H160*H160)/4*((D160/2)-F160-(H160-((4*H160)/(3*PI()))))))))/1000</f>
        <v/>
      </c>
      <c r="U160" s="125">
        <f>(((D160*E160*E160)/4)-(2*((D160-F160-F160)*(E160/2-(G160/2))*(((E160/2-(G160/2))/2)+(G160/2))))+(4*(((H160*H160)-(((PI()*H160*H160)/4)))*((H160-((4*H160)/(3*PI())))+(G160/2)))))/1000</f>
        <v/>
      </c>
      <c r="V160" s="125" t="n">
        <v>1346</v>
      </c>
      <c r="W160" s="125" t="n">
        <v>237</v>
      </c>
      <c r="Y160">
        <f>SQRT((((VLOOKUP($X$4,$A$4:$D$1021,4,FALSE))-D160)^2)+(((VLOOKUP($X$4,$A$4:$E$1021,5,FALSE))-E160)^2))</f>
        <v/>
      </c>
    </row>
    <row r="161">
      <c r="A161" s="125" t="inlineStr">
        <is>
          <t>W16X50</t>
        </is>
      </c>
      <c r="B161" s="129" t="inlineStr">
        <is>
          <t>AISC</t>
        </is>
      </c>
      <c r="C161" s="125" t="n">
        <v>74.2</v>
      </c>
      <c r="D161" s="125" t="n">
        <v>412.8</v>
      </c>
      <c r="E161" s="125" t="n">
        <v>179.5</v>
      </c>
      <c r="F161" s="125" t="n">
        <v>16</v>
      </c>
      <c r="G161" s="125" t="n">
        <v>9.5</v>
      </c>
      <c r="H161" s="125" t="n">
        <v>10.2</v>
      </c>
      <c r="I161" s="125" t="n">
        <v>360.4</v>
      </c>
      <c r="J161" s="125" t="n">
        <v>94.5</v>
      </c>
      <c r="K161" s="125" t="n">
        <v>5.61</v>
      </c>
      <c r="L161" s="125" t="n">
        <v>37.9</v>
      </c>
      <c r="M161" s="125" t="n">
        <v>1.51</v>
      </c>
      <c r="N161" s="125" t="n">
        <v>27310</v>
      </c>
      <c r="O161" s="125" t="n">
        <v>1546</v>
      </c>
      <c r="P161" s="125" t="n">
        <v>17</v>
      </c>
      <c r="Q161" s="125" t="n">
        <v>4.04</v>
      </c>
      <c r="R161" s="125" t="n">
        <v>1323</v>
      </c>
      <c r="S161" s="125" t="n">
        <v>172</v>
      </c>
      <c r="T161" s="125">
        <f>(((E161*D161*D161)/4)-(((E161-G161)*(D161-F161-F161)*(D161-F161-F161))/4)+(4*(H161*H161*(D161/2-F161-(H161/2))-((PI()*H161*H161)/4*((D161/2)-F161-(H161-((4*H161)/(3*PI()))))))))/1000</f>
        <v/>
      </c>
      <c r="U161" s="125">
        <f>(((D161*E161*E161)/4)-(2*((D161-F161-F161)*(E161/2-(G161/2))*(((E161/2-(G161/2))/2)+(G161/2))))+(4*(((H161*H161)-(((PI()*H161*H161)/4)))*((H161-((4*H161)/(3*PI())))+(G161/2)))))/1000</f>
        <v/>
      </c>
      <c r="V161" s="125" t="n">
        <v>1501</v>
      </c>
      <c r="W161" s="125" t="n">
        <v>267</v>
      </c>
      <c r="Y161">
        <f>SQRT((((VLOOKUP($X$4,$A$4:$D$1021,4,FALSE))-D161)^2)+(((VLOOKUP($X$4,$A$4:$E$1021,5,FALSE))-E161)^2))</f>
        <v/>
      </c>
    </row>
    <row r="162">
      <c r="A162" s="125" t="inlineStr">
        <is>
          <t>W16X57</t>
        </is>
      </c>
      <c r="B162" s="129" t="inlineStr">
        <is>
          <t>AISC</t>
        </is>
      </c>
      <c r="C162" s="125" t="n">
        <v>84.8</v>
      </c>
      <c r="D162" s="125" t="n">
        <v>417.3</v>
      </c>
      <c r="E162" s="125" t="n">
        <v>180.8</v>
      </c>
      <c r="F162" s="125" t="n">
        <v>18.2</v>
      </c>
      <c r="G162" s="125" t="n">
        <v>10.9</v>
      </c>
      <c r="H162" s="125" t="n">
        <v>10.2</v>
      </c>
      <c r="I162" s="125" t="n">
        <v>360.6</v>
      </c>
      <c r="J162" s="125" t="n">
        <v>108</v>
      </c>
      <c r="K162" s="125" t="n">
        <v>4.98</v>
      </c>
      <c r="L162" s="125" t="n">
        <v>33</v>
      </c>
      <c r="M162" s="125" t="n">
        <v>1.52</v>
      </c>
      <c r="N162" s="125" t="n">
        <v>31520</v>
      </c>
      <c r="O162" s="125" t="n">
        <v>1794</v>
      </c>
      <c r="P162" s="125" t="n">
        <v>17.1</v>
      </c>
      <c r="Q162" s="125" t="n">
        <v>4.07</v>
      </c>
      <c r="R162" s="125" t="n">
        <v>1511</v>
      </c>
      <c r="S162" s="125" t="n">
        <v>198</v>
      </c>
      <c r="T162" s="125">
        <f>(((E162*D162*D162)/4)-(((E162-G162)*(D162-F162-F162)*(D162-F162-F162))/4)+(4*(H162*H162*(D162/2-F162-(H162/2))-((PI()*H162*H162)/4*((D162/2)-F162-(H162-((4*H162)/(3*PI()))))))))/1000</f>
        <v/>
      </c>
      <c r="U162" s="125">
        <f>(((D162*E162*E162)/4)-(2*((D162-F162-F162)*(E162/2-(G162/2))*(((E162/2-(G162/2))/2)+(G162/2))))+(4*(((H162*H162)-(((PI()*H162*H162)/4)))*((H162-((4*H162)/(3*PI())))+(G162/2)))))/1000</f>
        <v/>
      </c>
      <c r="V162" s="125" t="n">
        <v>1724</v>
      </c>
      <c r="W162" s="125" t="n">
        <v>309</v>
      </c>
      <c r="Y162">
        <f>SQRT((((VLOOKUP($X$4,$A$4:$D$1021,4,FALSE))-D162)^2)+(((VLOOKUP($X$4,$A$4:$E$1021,5,FALSE))-E162)^2))</f>
        <v/>
      </c>
    </row>
    <row r="163">
      <c r="A163" s="125" t="inlineStr">
        <is>
          <t>W16X67</t>
        </is>
      </c>
      <c r="B163" s="129" t="inlineStr">
        <is>
          <t>AISC</t>
        </is>
      </c>
      <c r="C163" s="125" t="n">
        <v>99.7</v>
      </c>
      <c r="D163" s="125" t="n">
        <v>414.8</v>
      </c>
      <c r="E163" s="125" t="n">
        <v>260</v>
      </c>
      <c r="F163" s="125" t="n">
        <v>16.9</v>
      </c>
      <c r="G163" s="125" t="n">
        <v>10</v>
      </c>
      <c r="H163" s="125" t="n">
        <v>10.2</v>
      </c>
      <c r="I163" s="125" t="n">
        <v>360.6</v>
      </c>
      <c r="J163" s="125" t="n">
        <v>127</v>
      </c>
      <c r="K163" s="125" t="n">
        <v>7.7</v>
      </c>
      <c r="L163" s="125" t="n">
        <v>36</v>
      </c>
      <c r="M163" s="125" t="n">
        <v>1.83</v>
      </c>
      <c r="N163" s="125" t="n">
        <v>39730</v>
      </c>
      <c r="O163" s="125" t="n">
        <v>4951</v>
      </c>
      <c r="P163" s="125" t="n">
        <v>17.7</v>
      </c>
      <c r="Q163" s="125" t="n">
        <v>6.25</v>
      </c>
      <c r="R163" s="125" t="n">
        <v>1915</v>
      </c>
      <c r="S163" s="125" t="n">
        <v>381</v>
      </c>
      <c r="T163" s="125">
        <f>(((E163*D163*D163)/4)-(((E163-G163)*(D163-F163-F163)*(D163-F163-F163))/4)+(4*(H163*H163*(D163/2-F163-(H163/2))-((PI()*H163*H163)/4*((D163/2)-F163-(H163-((4*H163)/(3*PI()))))))))/1000</f>
        <v/>
      </c>
      <c r="U163" s="125">
        <f>(((D163*E163*E163)/4)-(2*((D163-F163-F163)*(E163/2-(G163/2))*(((E163/2-(G163/2))/2)+(G163/2))))+(4*(((H163*H163)-(((PI()*H163*H163)/4)))*((H163-((4*H163)/(3*PI())))+(G163/2)))))/1000</f>
        <v/>
      </c>
      <c r="V163" s="125" t="n">
        <v>2128</v>
      </c>
      <c r="W163" s="125" t="n">
        <v>581</v>
      </c>
      <c r="Y163">
        <f>SQRT((((VLOOKUP($X$4,$A$4:$D$1021,4,FALSE))-D163)^2)+(((VLOOKUP($X$4,$A$4:$E$1021,5,FALSE))-E163)^2))</f>
        <v/>
      </c>
    </row>
    <row r="164">
      <c r="A164" s="125" t="inlineStr">
        <is>
          <t>W16X77</t>
        </is>
      </c>
      <c r="B164" s="129" t="inlineStr">
        <is>
          <t>AISC</t>
        </is>
      </c>
      <c r="C164" s="125" t="n">
        <v>114.6</v>
      </c>
      <c r="D164" s="125" t="n">
        <v>419.6</v>
      </c>
      <c r="E164" s="125" t="n">
        <v>261.5</v>
      </c>
      <c r="F164" s="125" t="n">
        <v>19.3</v>
      </c>
      <c r="G164" s="125" t="n">
        <v>11.6</v>
      </c>
      <c r="H164" s="125" t="n">
        <v>10.2</v>
      </c>
      <c r="I164" s="125" t="n">
        <v>360.6</v>
      </c>
      <c r="J164" s="125" t="n">
        <v>146</v>
      </c>
      <c r="K164" s="125" t="n">
        <v>6.77</v>
      </c>
      <c r="L164" s="125" t="n">
        <v>31.2</v>
      </c>
      <c r="M164" s="125" t="n">
        <v>1.84</v>
      </c>
      <c r="N164" s="125" t="n">
        <v>46110</v>
      </c>
      <c r="O164" s="125" t="n">
        <v>5758</v>
      </c>
      <c r="P164" s="125" t="n">
        <v>17.8</v>
      </c>
      <c r="Q164" s="125" t="n">
        <v>6.28</v>
      </c>
      <c r="R164" s="125" t="n">
        <v>2198</v>
      </c>
      <c r="S164" s="125" t="n">
        <v>440</v>
      </c>
      <c r="T164" s="125">
        <f>(((E164*D164*D164)/4)-(((E164-G164)*(D164-F164-F164)*(D164-F164-F164))/4)+(4*(H164*H164*(D164/2-F164-(H164/2))-((PI()*H164*H164)/4*((D164/2)-F164-(H164-((4*H164)/(3*PI()))))))))/1000</f>
        <v/>
      </c>
      <c r="U164" s="125">
        <f>(((D164*E164*E164)/4)-(2*((D164-F164-F164)*(E164/2-(G164/2))*(((E164/2-(G164/2))/2)+(G164/2))))+(4*(((H164*H164)-(((PI()*H164*H164)/4)))*((H164-((4*H164)/(3*PI())))+(G164/2)))))/1000</f>
        <v/>
      </c>
      <c r="V164" s="125" t="n">
        <v>2457</v>
      </c>
      <c r="W164" s="125" t="n">
        <v>673</v>
      </c>
      <c r="Y164">
        <f>SQRT((((VLOOKUP($X$4,$A$4:$D$1021,4,FALSE))-D164)^2)+(((VLOOKUP($X$4,$A$4:$E$1021,5,FALSE))-E164)^2))</f>
        <v/>
      </c>
    </row>
    <row r="165">
      <c r="A165" s="125" t="inlineStr">
        <is>
          <t>W16X89</t>
        </is>
      </c>
      <c r="B165" s="129" t="inlineStr">
        <is>
          <t>AISC</t>
        </is>
      </c>
      <c r="C165" s="125" t="n">
        <v>132.4</v>
      </c>
      <c r="D165" s="125" t="n">
        <v>425.4</v>
      </c>
      <c r="E165" s="125" t="n">
        <v>263.3</v>
      </c>
      <c r="F165" s="125" t="n">
        <v>22.2</v>
      </c>
      <c r="G165" s="125" t="n">
        <v>13.3</v>
      </c>
      <c r="H165" s="125" t="n">
        <v>10.2</v>
      </c>
      <c r="I165" s="125" t="n">
        <v>360.6</v>
      </c>
      <c r="J165" s="125" t="n">
        <v>169</v>
      </c>
      <c r="K165" s="125" t="n">
        <v>5.92</v>
      </c>
      <c r="L165" s="125" t="n">
        <v>27</v>
      </c>
      <c r="M165" s="125" t="n">
        <v>1.86</v>
      </c>
      <c r="N165" s="125" t="n">
        <v>54060</v>
      </c>
      <c r="O165" s="125" t="n">
        <v>6768</v>
      </c>
      <c r="P165" s="125" t="n">
        <v>17.9</v>
      </c>
      <c r="Q165" s="125" t="n">
        <v>6.33</v>
      </c>
      <c r="R165" s="125" t="n">
        <v>2541</v>
      </c>
      <c r="S165" s="125" t="n">
        <v>514</v>
      </c>
      <c r="T165" s="125">
        <f>(((E165*D165*D165)/4)-(((E165-G165)*(D165-F165-F165)*(D165-F165-F165))/4)+(4*(H165*H165*(D165/2-F165-(H165/2))-((PI()*H165*H165)/4*((D165/2)-F165-(H165-((4*H165)/(3*PI()))))))))/1000</f>
        <v/>
      </c>
      <c r="U165" s="125">
        <f>(((D165*E165*E165)/4)-(2*((D165-F165-F165)*(E165/2-(G165/2))*(((E165/2-(G165/2))/2)+(G165/2))))+(4*(((H165*H165)-(((PI()*H165*H165)/4)))*((H165-((4*H165)/(3*PI())))+(G165/2)))))/1000</f>
        <v/>
      </c>
      <c r="V165" s="125" t="n">
        <v>2859</v>
      </c>
      <c r="W165" s="125" t="n">
        <v>788</v>
      </c>
      <c r="Y165">
        <f>SQRT((((VLOOKUP($X$4,$A$4:$D$1021,4,FALSE))-D165)^2)+(((VLOOKUP($X$4,$A$4:$E$1021,5,FALSE))-E165)^2))</f>
        <v/>
      </c>
    </row>
    <row r="166">
      <c r="A166" s="125" t="inlineStr">
        <is>
          <t>W16X100</t>
        </is>
      </c>
      <c r="B166" s="129" t="inlineStr">
        <is>
          <t>AISC</t>
        </is>
      </c>
      <c r="C166" s="125" t="n">
        <v>148.8</v>
      </c>
      <c r="D166" s="125" t="n">
        <v>431</v>
      </c>
      <c r="E166" s="125" t="n">
        <v>264.8</v>
      </c>
      <c r="F166" s="125" t="n">
        <v>25</v>
      </c>
      <c r="G166" s="125" t="n">
        <v>14.9</v>
      </c>
      <c r="H166" s="125" t="n">
        <v>10.2</v>
      </c>
      <c r="I166" s="125" t="n">
        <v>360.6</v>
      </c>
      <c r="J166" s="125" t="n">
        <v>190</v>
      </c>
      <c r="K166" s="125" t="n">
        <v>5.29</v>
      </c>
      <c r="L166" s="125" t="n">
        <v>24.3</v>
      </c>
      <c r="M166" s="125" t="n">
        <v>1.87</v>
      </c>
      <c r="N166" s="125" t="n">
        <v>61830</v>
      </c>
      <c r="O166" s="125" t="n">
        <v>7754</v>
      </c>
      <c r="P166" s="125" t="n">
        <v>18</v>
      </c>
      <c r="Q166" s="125" t="n">
        <v>6.39</v>
      </c>
      <c r="R166" s="125" t="n">
        <v>2869</v>
      </c>
      <c r="S166" s="125" t="n">
        <v>586</v>
      </c>
      <c r="T166" s="125">
        <f>(((E166*D166*D166)/4)-(((E166-G166)*(D166-F166-F166)*(D166-F166-F166))/4)+(4*(H166*H166*(D166/2-F166-(H166/2))-((PI()*H166*H166)/4*((D166/2)-F166-(H166-((4*H166)/(3*PI()))))))))/1000</f>
        <v/>
      </c>
      <c r="U166" s="125">
        <f>(((D166*E166*E166)/4)-(2*((D166-F166-F166)*(E166/2-(G166/2))*(((E166/2-(G166/2))/2)+(G166/2))))+(4*(((H166*H166)-(((PI()*H166*H166)/4)))*((H166-((4*H166)/(3*PI())))+(G166/2)))))/1000</f>
        <v/>
      </c>
      <c r="V166" s="125" t="n">
        <v>3246</v>
      </c>
      <c r="W166" s="125" t="n">
        <v>899</v>
      </c>
      <c r="Y166">
        <f>SQRT((((VLOOKUP($X$4,$A$4:$D$1021,4,FALSE))-D166)^2)+(((VLOOKUP($X$4,$A$4:$E$1021,5,FALSE))-E166)^2))</f>
        <v/>
      </c>
    </row>
    <row r="167">
      <c r="A167" s="125" t="inlineStr">
        <is>
          <t>W18X35</t>
        </is>
      </c>
      <c r="B167" s="129" t="inlineStr">
        <is>
          <t>AISC</t>
        </is>
      </c>
      <c r="C167" s="125" t="n">
        <v>52.3</v>
      </c>
      <c r="D167" s="125" t="n">
        <v>449.8</v>
      </c>
      <c r="E167" s="125" t="n">
        <v>152.4</v>
      </c>
      <c r="F167" s="125" t="n">
        <v>10.9</v>
      </c>
      <c r="G167" s="125" t="n">
        <v>7.6</v>
      </c>
      <c r="H167" s="125" t="n">
        <v>10.2</v>
      </c>
      <c r="I167" s="125" t="n">
        <v>407.6</v>
      </c>
      <c r="J167" s="125" t="n">
        <v>66.59999999999999</v>
      </c>
      <c r="K167" s="125" t="n">
        <v>6.99</v>
      </c>
      <c r="L167" s="125" t="n">
        <v>53.6</v>
      </c>
      <c r="M167" s="125" t="n">
        <v>1.48</v>
      </c>
      <c r="N167" s="125" t="n">
        <v>21370</v>
      </c>
      <c r="O167" s="125" t="n">
        <v>645</v>
      </c>
      <c r="P167" s="125" t="n">
        <v>17.9</v>
      </c>
      <c r="Q167" s="125" t="n">
        <v>3.11</v>
      </c>
      <c r="R167" s="125" t="n">
        <v>950</v>
      </c>
      <c r="S167" s="125" t="n">
        <v>84.7</v>
      </c>
      <c r="T167" s="125">
        <f>(((E167*D167*D167)/4)-(((E167-G167)*(D167-F167-F167)*(D167-F167-F167))/4)+(4*(H167*H167*(D167/2-F167-(H167/2))-((PI()*H167*H167)/4*((D167/2)-F167-(H167-((4*H167)/(3*PI()))))))))/1000</f>
        <v/>
      </c>
      <c r="U167" s="125">
        <f>(((D167*E167*E167)/4)-(2*((D167-F167-F167)*(E167/2-(G167/2))*(((E167/2-(G167/2))/2)+(G167/2))))+(4*(((H167*H167)-(((PI()*H167*H167)/4)))*((H167-((4*H167)/(3*PI())))+(G167/2)))))/1000</f>
        <v/>
      </c>
      <c r="V167" s="125" t="n">
        <v>1096</v>
      </c>
      <c r="W167" s="125" t="n">
        <v>133</v>
      </c>
      <c r="Y167">
        <f>SQRT((((VLOOKUP($X$4,$A$4:$D$1021,4,FALSE))-D167)^2)+(((VLOOKUP($X$4,$A$4:$E$1021,5,FALSE))-E167)^2))</f>
        <v/>
      </c>
    </row>
    <row r="168">
      <c r="A168" s="125" t="inlineStr">
        <is>
          <t>W18X40</t>
        </is>
      </c>
      <c r="B168" s="129" t="inlineStr">
        <is>
          <t>AISC</t>
        </is>
      </c>
      <c r="C168" s="125" t="n">
        <v>59.8</v>
      </c>
      <c r="D168" s="125" t="n">
        <v>454.6</v>
      </c>
      <c r="E168" s="125" t="n">
        <v>152.9</v>
      </c>
      <c r="F168" s="125" t="n">
        <v>13.3</v>
      </c>
      <c r="G168" s="125" t="n">
        <v>8.1</v>
      </c>
      <c r="H168" s="125" t="n">
        <v>10.2</v>
      </c>
      <c r="I168" s="125" t="n">
        <v>407.6</v>
      </c>
      <c r="J168" s="125" t="n">
        <v>76.2</v>
      </c>
      <c r="K168" s="125" t="n">
        <v>5.75</v>
      </c>
      <c r="L168" s="125" t="n">
        <v>50.3</v>
      </c>
      <c r="M168" s="125" t="n">
        <v>1.49</v>
      </c>
      <c r="N168" s="125" t="n">
        <v>25500</v>
      </c>
      <c r="O168" s="125" t="n">
        <v>795</v>
      </c>
      <c r="P168" s="125" t="n">
        <v>18.3</v>
      </c>
      <c r="Q168" s="125" t="n">
        <v>3.23</v>
      </c>
      <c r="R168" s="125" t="n">
        <v>1122</v>
      </c>
      <c r="S168" s="125" t="n">
        <v>104</v>
      </c>
      <c r="T168" s="125">
        <f>(((E168*D168*D168)/4)-(((E168-G168)*(D168-F168-F168)*(D168-F168-F168))/4)+(4*(H168*H168*(D168/2-F168-(H168/2))-((PI()*H168*H168)/4*((D168/2)-F168-(H168-((4*H168)/(3*PI()))))))))/1000</f>
        <v/>
      </c>
      <c r="U168" s="125">
        <f>(((D168*E168*E168)/4)-(2*((D168-F168-F168)*(E168/2-(G168/2))*(((E168/2-(G168/2))/2)+(G168/2))))+(4*(((H168*H168)-(((PI()*H168*H168)/4)))*((H168-((4*H168)/(3*PI())))+(G168/2)))))/1000</f>
        <v/>
      </c>
      <c r="V168" s="125" t="n">
        <v>1287</v>
      </c>
      <c r="W168" s="125" t="n">
        <v>163</v>
      </c>
      <c r="Y168">
        <f>SQRT((((VLOOKUP($X$4,$A$4:$D$1021,4,FALSE))-D168)^2)+(((VLOOKUP($X$4,$A$4:$E$1021,5,FALSE))-E168)^2))</f>
        <v/>
      </c>
    </row>
    <row r="169">
      <c r="A169" s="125" t="inlineStr">
        <is>
          <t>W18X45</t>
        </is>
      </c>
      <c r="B169" s="129" t="inlineStr">
        <is>
          <t>AISC</t>
        </is>
      </c>
      <c r="C169" s="125" t="n">
        <v>67.2</v>
      </c>
      <c r="D169" s="125" t="n">
        <v>458</v>
      </c>
      <c r="E169" s="125" t="n">
        <v>153.8</v>
      </c>
      <c r="F169" s="125" t="n">
        <v>15</v>
      </c>
      <c r="G169" s="125" t="n">
        <v>9</v>
      </c>
      <c r="H169" s="125" t="n">
        <v>10.2</v>
      </c>
      <c r="I169" s="125" t="n">
        <v>407.6</v>
      </c>
      <c r="J169" s="125" t="n">
        <v>85.59999999999999</v>
      </c>
      <c r="K169" s="125" t="n">
        <v>5.13</v>
      </c>
      <c r="L169" s="125" t="n">
        <v>45.3</v>
      </c>
      <c r="M169" s="125" t="n">
        <v>1.5</v>
      </c>
      <c r="N169" s="125" t="n">
        <v>28930</v>
      </c>
      <c r="O169" s="125" t="n">
        <v>913</v>
      </c>
      <c r="P169" s="125" t="n">
        <v>18.4</v>
      </c>
      <c r="Q169" s="125" t="n">
        <v>3.27</v>
      </c>
      <c r="R169" s="125" t="n">
        <v>1263</v>
      </c>
      <c r="S169" s="125" t="n">
        <v>119</v>
      </c>
      <c r="T169" s="125">
        <f>(((E169*D169*D169)/4)-(((E169-G169)*(D169-F169-F169)*(D169-F169-F169))/4)+(4*(H169*H169*(D169/2-F169-(H169/2))-((PI()*H169*H169)/4*((D169/2)-F169-(H169-((4*H169)/(3*PI()))))))))/1000</f>
        <v/>
      </c>
      <c r="U169" s="125">
        <f>(((D169*E169*E169)/4)-(2*((D169-F169-F169)*(E169/2-(G169/2))*(((E169/2-(G169/2))/2)+(G169/2))))+(4*(((H169*H169)-(((PI()*H169*H169)/4)))*((H169-((4*H169)/(3*PI())))+(G169/2)))))/1000</f>
        <v/>
      </c>
      <c r="V169" s="125" t="n">
        <v>1453</v>
      </c>
      <c r="W169" s="125" t="n">
        <v>187</v>
      </c>
      <c r="Y169">
        <f>SQRT((((VLOOKUP($X$4,$A$4:$D$1021,4,FALSE))-D169)^2)+(((VLOOKUP($X$4,$A$4:$E$1021,5,FALSE))-E169)^2))</f>
        <v/>
      </c>
    </row>
    <row r="170">
      <c r="A170" s="125" t="inlineStr">
        <is>
          <t>W18X46</t>
        </is>
      </c>
      <c r="B170" s="129" t="inlineStr">
        <is>
          <t>AISC</t>
        </is>
      </c>
      <c r="C170" s="125" t="n">
        <v>68.5</v>
      </c>
      <c r="D170" s="125" t="n">
        <v>458.7</v>
      </c>
      <c r="E170" s="125" t="n">
        <v>153.9</v>
      </c>
      <c r="F170" s="125" t="n">
        <v>15.3</v>
      </c>
      <c r="G170" s="125" t="n">
        <v>9.1</v>
      </c>
      <c r="H170" s="125" t="n">
        <v>10.2</v>
      </c>
      <c r="I170" s="125" t="n">
        <v>407.7</v>
      </c>
      <c r="J170" s="125" t="n">
        <v>87.09999999999999</v>
      </c>
      <c r="K170" s="125" t="n">
        <v>5.03</v>
      </c>
      <c r="L170" s="125" t="n">
        <v>44.6</v>
      </c>
      <c r="M170" s="125" t="n">
        <v>1.5</v>
      </c>
      <c r="N170" s="125" t="n">
        <v>29530</v>
      </c>
      <c r="O170" s="125" t="n">
        <v>933</v>
      </c>
      <c r="P170" s="125" t="n">
        <v>18.4</v>
      </c>
      <c r="Q170" s="125" t="n">
        <v>3.27</v>
      </c>
      <c r="R170" s="125" t="n">
        <v>1288</v>
      </c>
      <c r="S170" s="125" t="n">
        <v>121</v>
      </c>
      <c r="T170" s="125">
        <f>(((E170*D170*D170)/4)-(((E170-G170)*(D170-F170-F170)*(D170-F170-F170))/4)+(4*(H170*H170*(D170/2-F170-(H170/2))-((PI()*H170*H170)/4*((D170/2)-F170-(H170-((4*H170)/(3*PI()))))))))/1000</f>
        <v/>
      </c>
      <c r="U170" s="125">
        <f>(((D170*E170*E170)/4)-(2*((D170-F170-F170)*(E170/2-(G170/2))*(((E170/2-(G170/2))/2)+(G170/2))))+(4*(((H170*H170)-(((PI()*H170*H170)/4)))*((H170-((4*H170)/(3*PI())))+(G170/2)))))/1000</f>
        <v/>
      </c>
      <c r="V170" s="125" t="n">
        <v>1482</v>
      </c>
      <c r="W170" s="125" t="n">
        <v>191</v>
      </c>
      <c r="Y170">
        <f>SQRT((((VLOOKUP($X$4,$A$4:$D$1021,4,FALSE))-D170)^2)+(((VLOOKUP($X$4,$A$4:$E$1021,5,FALSE))-E170)^2))</f>
        <v/>
      </c>
    </row>
    <row r="171">
      <c r="A171" s="125" t="inlineStr">
        <is>
          <t>W18X50</t>
        </is>
      </c>
      <c r="B171" s="129" t="inlineStr">
        <is>
          <t>AISC</t>
        </is>
      </c>
      <c r="C171" s="125" t="n">
        <v>74.2</v>
      </c>
      <c r="D171" s="125" t="n">
        <v>462</v>
      </c>
      <c r="E171" s="125" t="n">
        <v>154.4</v>
      </c>
      <c r="F171" s="125" t="n">
        <v>17</v>
      </c>
      <c r="G171" s="125" t="n">
        <v>9.6</v>
      </c>
      <c r="H171" s="125" t="n">
        <v>10.2</v>
      </c>
      <c r="I171" s="125" t="n">
        <v>407.6</v>
      </c>
      <c r="J171" s="125" t="n">
        <v>94.5</v>
      </c>
      <c r="K171" s="125" t="n">
        <v>4.54</v>
      </c>
      <c r="L171" s="125" t="n">
        <v>42.5</v>
      </c>
      <c r="M171" s="125" t="n">
        <v>1.5</v>
      </c>
      <c r="N171" s="125" t="n">
        <v>32670</v>
      </c>
      <c r="O171" s="125" t="n">
        <v>1047</v>
      </c>
      <c r="P171" s="125" t="n">
        <v>18.6</v>
      </c>
      <c r="Q171" s="125" t="n">
        <v>3.33</v>
      </c>
      <c r="R171" s="125" t="n">
        <v>1414</v>
      </c>
      <c r="S171" s="125" t="n">
        <v>136</v>
      </c>
      <c r="T171" s="125">
        <f>(((E171*D171*D171)/4)-(((E171-G171)*(D171-F171-F171)*(D171-F171-F171))/4)+(4*(H171*H171*(D171/2-F171-(H171/2))-((PI()*H171*H171)/4*((D171/2)-F171-(H171-((4*H171)/(3*PI()))))))))/1000</f>
        <v/>
      </c>
      <c r="U171" s="125">
        <f>(((D171*E171*E171)/4)-(2*((D171-F171-F171)*(E171/2-(G171/2))*(((E171/2-(G171/2))/2)+(G171/2))))+(4*(((H171*H171)-(((PI()*H171*H171)/4)))*((H171-((4*H171)/(3*PI())))+(G171/2)))))/1000</f>
        <v/>
      </c>
      <c r="V171" s="125" t="n">
        <v>1627</v>
      </c>
      <c r="W171" s="125" t="n">
        <v>213</v>
      </c>
      <c r="Y171">
        <f>SQRT((((VLOOKUP($X$4,$A$4:$D$1021,4,FALSE))-D171)^2)+(((VLOOKUP($X$4,$A$4:$E$1021,5,FALSE))-E171)^2))</f>
        <v/>
      </c>
    </row>
    <row r="172">
      <c r="A172" s="125" t="inlineStr">
        <is>
          <t>W18X55</t>
        </is>
      </c>
      <c r="B172" s="129" t="inlineStr">
        <is>
          <t>AISC</t>
        </is>
      </c>
      <c r="C172" s="125" t="n">
        <v>82.09999999999999</v>
      </c>
      <c r="D172" s="125" t="n">
        <v>465.8</v>
      </c>
      <c r="E172" s="125" t="n">
        <v>155.3</v>
      </c>
      <c r="F172" s="125" t="n">
        <v>18.9</v>
      </c>
      <c r="G172" s="125" t="n">
        <v>10.5</v>
      </c>
      <c r="H172" s="125" t="n">
        <v>10.2</v>
      </c>
      <c r="I172" s="125" t="n">
        <v>407.6</v>
      </c>
      <c r="J172" s="125" t="n">
        <v>105</v>
      </c>
      <c r="K172" s="125" t="n">
        <v>4.11</v>
      </c>
      <c r="L172" s="125" t="n">
        <v>38.8</v>
      </c>
      <c r="M172" s="125" t="n">
        <v>1.51</v>
      </c>
      <c r="N172" s="125" t="n">
        <v>36590</v>
      </c>
      <c r="O172" s="125" t="n">
        <v>1185</v>
      </c>
      <c r="P172" s="125" t="n">
        <v>18.7</v>
      </c>
      <c r="Q172" s="125" t="n">
        <v>3.37</v>
      </c>
      <c r="R172" s="125" t="n">
        <v>1571</v>
      </c>
      <c r="S172" s="125" t="n">
        <v>153</v>
      </c>
      <c r="T172" s="125">
        <f>(((E172*D172*D172)/4)-(((E172-G172)*(D172-F172-F172)*(D172-F172-F172))/4)+(4*(H172*H172*(D172/2-F172-(H172/2))-((PI()*H172*H172)/4*((D172/2)-F172-(H172-((4*H172)/(3*PI()))))))))/1000</f>
        <v/>
      </c>
      <c r="U172" s="125">
        <f>(((D172*E172*E172)/4)-(2*((D172-F172-F172)*(E172/2-(G172/2))*(((E172/2-(G172/2))/2)+(G172/2))))+(4*(((H172*H172)-(((PI()*H172*H172)/4)))*((H172-((4*H172)/(3*PI())))+(G172/2)))))/1000</f>
        <v/>
      </c>
      <c r="V172" s="125" t="n">
        <v>1811</v>
      </c>
      <c r="W172" s="125" t="n">
        <v>240</v>
      </c>
      <c r="Y172">
        <f>SQRT((((VLOOKUP($X$4,$A$4:$D$1021,4,FALSE))-D172)^2)+(((VLOOKUP($X$4,$A$4:$E$1021,5,FALSE))-E172)^2))</f>
        <v/>
      </c>
    </row>
    <row r="173">
      <c r="A173" s="125" t="inlineStr">
        <is>
          <t>W18X41</t>
        </is>
      </c>
      <c r="B173" s="129" t="inlineStr">
        <is>
          <t>AISC</t>
        </is>
      </c>
      <c r="C173" s="125" t="n">
        <v>61</v>
      </c>
      <c r="D173" s="125" t="n">
        <v>450</v>
      </c>
      <c r="E173" s="125" t="n">
        <v>189</v>
      </c>
      <c r="F173" s="125" t="n">
        <v>10.8</v>
      </c>
      <c r="G173" s="125" t="n">
        <v>8.1</v>
      </c>
      <c r="H173" s="125" t="n">
        <v>10.2</v>
      </c>
      <c r="I173" s="125" t="n">
        <v>408.4</v>
      </c>
      <c r="J173" s="125" t="n">
        <v>76</v>
      </c>
      <c r="K173" s="125" t="n">
        <v>8.75</v>
      </c>
      <c r="L173" s="125" t="n">
        <v>50.4</v>
      </c>
      <c r="M173" s="125" t="n">
        <v>1.62</v>
      </c>
      <c r="N173" s="125" t="n">
        <v>25380</v>
      </c>
      <c r="O173" s="125" t="n">
        <v>1218</v>
      </c>
      <c r="P173" s="125" t="n">
        <v>18.2</v>
      </c>
      <c r="Q173" s="125" t="n">
        <v>3.99</v>
      </c>
      <c r="R173" s="125" t="n">
        <v>1128</v>
      </c>
      <c r="S173" s="125" t="n">
        <v>129</v>
      </c>
      <c r="T173" s="125">
        <f>(((E173*D173*D173)/4)-(((E173-G173)*(D173-F173-F173)*(D173-F173-F173))/4)+(4*(H173*H173*(D173/2-F173-(H173/2))-((PI()*H173*H173)/4*((D173/2)-F173-(H173-((4*H173)/(3*PI()))))))))/1000</f>
        <v/>
      </c>
      <c r="U173" s="125">
        <f>(((D173*E173*E173)/4)-(2*((D173-F173-F173)*(E173/2-(G173/2))*(((E173/2-(G173/2))/2)+(G173/2))))+(4*(((H173*H173)-(((PI()*H173*H173)/4)))*((H173-((4*H173)/(3*PI())))+(G173/2)))))/1000</f>
        <v/>
      </c>
      <c r="V173" s="125" t="n">
        <v>1286</v>
      </c>
      <c r="W173" s="125" t="n">
        <v>201</v>
      </c>
      <c r="Y173">
        <f>SQRT((((VLOOKUP($X$4,$A$4:$D$1021,4,FALSE))-D173)^2)+(((VLOOKUP($X$4,$A$4:$E$1021,5,FALSE))-E173)^2))</f>
        <v/>
      </c>
    </row>
    <row r="174">
      <c r="A174" s="125" t="inlineStr">
        <is>
          <t>W18X45*</t>
        </is>
      </c>
      <c r="B174" s="129" t="inlineStr">
        <is>
          <t>AISC</t>
        </is>
      </c>
      <c r="C174" s="125" t="n">
        <v>67.09999999999999</v>
      </c>
      <c r="D174" s="125" t="n">
        <v>453.4</v>
      </c>
      <c r="E174" s="125" t="n">
        <v>189.9</v>
      </c>
      <c r="F174" s="125" t="n">
        <v>12.7</v>
      </c>
      <c r="G174" s="125" t="n">
        <v>8.5</v>
      </c>
      <c r="H174" s="125" t="n">
        <v>10.2</v>
      </c>
      <c r="I174" s="125" t="n">
        <v>407.6</v>
      </c>
      <c r="J174" s="125" t="n">
        <v>85.5</v>
      </c>
      <c r="K174" s="125" t="n">
        <v>7.48</v>
      </c>
      <c r="L174" s="125" t="n">
        <v>48</v>
      </c>
      <c r="M174" s="125" t="n">
        <v>1.63</v>
      </c>
      <c r="N174" s="125" t="n">
        <v>29380</v>
      </c>
      <c r="O174" s="125" t="n">
        <v>1452</v>
      </c>
      <c r="P174" s="125" t="n">
        <v>18.5</v>
      </c>
      <c r="Q174" s="125" t="n">
        <v>4.12</v>
      </c>
      <c r="R174" s="125" t="n">
        <v>1296</v>
      </c>
      <c r="S174" s="125" t="n">
        <v>153</v>
      </c>
      <c r="T174" s="125">
        <f>(((E174*D174*D174)/4)-(((E174-G174)*(D174-F174-F174)*(D174-F174-F174))/4)+(4*(H174*H174*(D174/2-F174-(H174/2))-((PI()*H174*H174)/4*((D174/2)-F174-(H174-((4*H174)/(3*PI()))))))))/1000</f>
        <v/>
      </c>
      <c r="U174" s="125">
        <f>(((D174*E174*E174)/4)-(2*((D174-F174-F174)*(E174/2-(G174/2))*(((E174/2-(G174/2))/2)+(G174/2))))+(4*(((H174*H174)-(((PI()*H174*H174)/4)))*((H174-((4*H174)/(3*PI())))+(G174/2)))))/1000</f>
        <v/>
      </c>
      <c r="V174" s="125" t="n">
        <v>1471</v>
      </c>
      <c r="W174" s="125" t="n">
        <v>237</v>
      </c>
      <c r="Y174">
        <f>SQRT((((VLOOKUP($X$4,$A$4:$D$1021,4,FALSE))-D174)^2)+(((VLOOKUP($X$4,$A$4:$E$1021,5,FALSE))-E174)^2))</f>
        <v/>
      </c>
    </row>
    <row r="175">
      <c r="A175" s="125" t="inlineStr">
        <is>
          <t>W18X50*</t>
        </is>
      </c>
      <c r="B175" s="129" t="inlineStr">
        <is>
          <t>AISC</t>
        </is>
      </c>
      <c r="C175" s="125" t="n">
        <v>74.3</v>
      </c>
      <c r="D175" s="125" t="n">
        <v>457</v>
      </c>
      <c r="E175" s="125" t="n">
        <v>190.4</v>
      </c>
      <c r="F175" s="125" t="n">
        <v>14.5</v>
      </c>
      <c r="G175" s="125" t="n">
        <v>9</v>
      </c>
      <c r="H175" s="125" t="n">
        <v>10.2</v>
      </c>
      <c r="I175" s="125" t="n">
        <v>407.6</v>
      </c>
      <c r="J175" s="125" t="n">
        <v>94.59999999999999</v>
      </c>
      <c r="K175" s="125" t="n">
        <v>6.57</v>
      </c>
      <c r="L175" s="125" t="n">
        <v>45.3</v>
      </c>
      <c r="M175" s="125" t="n">
        <v>1.64</v>
      </c>
      <c r="N175" s="125" t="n">
        <v>33320</v>
      </c>
      <c r="O175" s="125" t="n">
        <v>1671</v>
      </c>
      <c r="P175" s="125" t="n">
        <v>18.8</v>
      </c>
      <c r="Q175" s="125" t="n">
        <v>4.2</v>
      </c>
      <c r="R175" s="125" t="n">
        <v>1458</v>
      </c>
      <c r="S175" s="125" t="n">
        <v>176</v>
      </c>
      <c r="T175" s="125">
        <f>(((E175*D175*D175)/4)-(((E175-G175)*(D175-F175-F175)*(D175-F175-F175))/4)+(4*(H175*H175*(D175/2-F175-(H175/2))-((PI()*H175*H175)/4*((D175/2)-F175-(H175-((4*H175)/(3*PI()))))))))/1000</f>
        <v/>
      </c>
      <c r="U175" s="125">
        <f>(((D175*E175*E175)/4)-(2*((D175-F175-F175)*(E175/2-(G175/2))*(((E175/2-(G175/2))/2)+(G175/2))))+(4*(((H175*H175)-(((PI()*H175*H175)/4)))*((H175-((4*H175)/(3*PI())))+(G175/2)))))/1000</f>
        <v/>
      </c>
      <c r="V175" s="125" t="n">
        <v>1653</v>
      </c>
      <c r="W175" s="125" t="n">
        <v>272</v>
      </c>
      <c r="Y175">
        <f>SQRT((((VLOOKUP($X$4,$A$4:$D$1021,4,FALSE))-D175)^2)+(((VLOOKUP($X$4,$A$4:$E$1021,5,FALSE))-E175)^2))</f>
        <v/>
      </c>
    </row>
    <row r="176">
      <c r="A176" s="125" t="inlineStr">
        <is>
          <t>W18X55*</t>
        </is>
      </c>
      <c r="B176" s="129" t="inlineStr">
        <is>
          <t>AISC</t>
        </is>
      </c>
      <c r="C176" s="125" t="n">
        <v>82</v>
      </c>
      <c r="D176" s="125" t="n">
        <v>460</v>
      </c>
      <c r="E176" s="125" t="n">
        <v>191.3</v>
      </c>
      <c r="F176" s="125" t="n">
        <v>16</v>
      </c>
      <c r="G176" s="125" t="n">
        <v>9.9</v>
      </c>
      <c r="H176" s="125" t="n">
        <v>10.2</v>
      </c>
      <c r="I176" s="125" t="n">
        <v>407.6</v>
      </c>
      <c r="J176" s="125" t="n">
        <v>104</v>
      </c>
      <c r="K176" s="125" t="n">
        <v>5.98</v>
      </c>
      <c r="L176" s="125" t="n">
        <v>41.2</v>
      </c>
      <c r="M176" s="125" t="n">
        <v>1.65</v>
      </c>
      <c r="N176" s="125" t="n">
        <v>37050</v>
      </c>
      <c r="O176" s="125" t="n">
        <v>1871</v>
      </c>
      <c r="P176" s="125" t="n">
        <v>18.8</v>
      </c>
      <c r="Q176" s="125" t="n">
        <v>4.23</v>
      </c>
      <c r="R176" s="125" t="n">
        <v>1611</v>
      </c>
      <c r="S176" s="125" t="n">
        <v>196</v>
      </c>
      <c r="T176" s="125">
        <f>(((E176*D176*D176)/4)-(((E176-G176)*(D176-F176-F176)*(D176-F176-F176))/4)+(4*(H176*H176*(D176/2-F176-(H176/2))-((PI()*H176*H176)/4*((D176/2)-F176-(H176-((4*H176)/(3*PI()))))))))/1000</f>
        <v/>
      </c>
      <c r="U176" s="125">
        <f>(((D176*E176*E176)/4)-(2*((D176-F176-F176)*(E176/2-(G176/2))*(((E176/2-(G176/2))/2)+(G176/2))))+(4*(((H176*H176)-(((PI()*H176*H176)/4)))*((H176-((4*H176)/(3*PI())))+(G176/2)))))/1000</f>
        <v/>
      </c>
      <c r="V176" s="125" t="n">
        <v>1831</v>
      </c>
      <c r="W176" s="125" t="n">
        <v>304</v>
      </c>
      <c r="Y176">
        <f>SQRT((((VLOOKUP($X$4,$A$4:$D$1021,4,FALSE))-D176)^2)+(((VLOOKUP($X$4,$A$4:$E$1021,5,FALSE))-E176)^2))</f>
        <v/>
      </c>
    </row>
    <row r="177">
      <c r="A177" s="125" t="inlineStr">
        <is>
          <t>W18X60</t>
        </is>
      </c>
      <c r="B177" s="129" t="inlineStr">
        <is>
          <t>AISC</t>
        </is>
      </c>
      <c r="C177" s="125" t="n">
        <v>89.3</v>
      </c>
      <c r="D177" s="125" t="n">
        <v>463.4</v>
      </c>
      <c r="E177" s="125" t="n">
        <v>191.9</v>
      </c>
      <c r="F177" s="125" t="n">
        <v>17.7</v>
      </c>
      <c r="G177" s="125" t="n">
        <v>10.5</v>
      </c>
      <c r="H177" s="125" t="n">
        <v>10.2</v>
      </c>
      <c r="I177" s="125" t="n">
        <v>407.6</v>
      </c>
      <c r="J177" s="125" t="n">
        <v>114</v>
      </c>
      <c r="K177" s="125" t="n">
        <v>5.42</v>
      </c>
      <c r="L177" s="125" t="n">
        <v>38.8</v>
      </c>
      <c r="M177" s="125" t="n">
        <v>1.66</v>
      </c>
      <c r="N177" s="125" t="n">
        <v>41020</v>
      </c>
      <c r="O177" s="125" t="n">
        <v>2089</v>
      </c>
      <c r="P177" s="125" t="n">
        <v>19</v>
      </c>
      <c r="Q177" s="125" t="n">
        <v>4.29</v>
      </c>
      <c r="R177" s="125" t="n">
        <v>1770</v>
      </c>
      <c r="S177" s="125" t="n">
        <v>218</v>
      </c>
      <c r="T177" s="125">
        <f>(((E177*D177*D177)/4)-(((E177-G177)*(D177-F177-F177)*(D177-F177-F177))/4)+(4*(H177*H177*(D177/2-F177-(H177/2))-((PI()*H177*H177)/4*((D177/2)-F177-(H177-((4*H177)/(3*PI()))))))))/1000</f>
        <v/>
      </c>
      <c r="U177" s="125">
        <f>(((D177*E177*E177)/4)-(2*((D177-F177-F177)*(E177/2-(G177/2))*(((E177/2-(G177/2))/2)+(G177/2))))+(4*(((H177*H177)-(((PI()*H177*H177)/4)))*((H177-((4*H177)/(3*PI())))+(G177/2)))))/1000</f>
        <v/>
      </c>
      <c r="V177" s="125" t="n">
        <v>2014</v>
      </c>
      <c r="W177" s="125" t="n">
        <v>338</v>
      </c>
      <c r="Y177">
        <f>SQRT((((VLOOKUP($X$4,$A$4:$D$1021,4,FALSE))-D177)^2)+(((VLOOKUP($X$4,$A$4:$E$1021,5,FALSE))-E177)^2))</f>
        <v/>
      </c>
    </row>
    <row r="178">
      <c r="A178" s="125" t="inlineStr">
        <is>
          <t>W18X65</t>
        </is>
      </c>
      <c r="B178" s="129" t="inlineStr">
        <is>
          <t>AISC</t>
        </is>
      </c>
      <c r="C178" s="125" t="n">
        <v>96.7</v>
      </c>
      <c r="D178" s="125" t="n">
        <v>466.1</v>
      </c>
      <c r="E178" s="125" t="n">
        <v>192.8</v>
      </c>
      <c r="F178" s="125" t="n">
        <v>19.1</v>
      </c>
      <c r="G178" s="125" t="n">
        <v>11.4</v>
      </c>
      <c r="H178" s="125" t="n">
        <v>10.2</v>
      </c>
      <c r="I178" s="125" t="n">
        <v>407.6</v>
      </c>
      <c r="J178" s="125" t="n">
        <v>123</v>
      </c>
      <c r="K178" s="125" t="n">
        <v>5.06</v>
      </c>
      <c r="L178" s="125" t="n">
        <v>35.7</v>
      </c>
      <c r="M178" s="125" t="n">
        <v>1.66</v>
      </c>
      <c r="N178" s="125" t="n">
        <v>44590</v>
      </c>
      <c r="O178" s="125" t="n">
        <v>2281</v>
      </c>
      <c r="P178" s="125" t="n">
        <v>19</v>
      </c>
      <c r="Q178" s="125" t="n">
        <v>4.3</v>
      </c>
      <c r="R178" s="125" t="n">
        <v>1913</v>
      </c>
      <c r="S178" s="125" t="n">
        <v>237</v>
      </c>
      <c r="T178" s="125">
        <f>(((E178*D178*D178)/4)-(((E178-G178)*(D178-F178-F178)*(D178-F178-F178))/4)+(4*(H178*H178*(D178/2-F178-(H178/2))-((PI()*H178*H178)/4*((D178/2)-F178-(H178-((4*H178)/(3*PI()))))))))/1000</f>
        <v/>
      </c>
      <c r="U178" s="125">
        <f>(((D178*E178*E178)/4)-(2*((D178-F178-F178)*(E178/2-(G178/2))*(((E178/2-(G178/2))/2)+(G178/2))))+(4*(((H178*H178)-(((PI()*H178*H178)/4)))*((H178-((4*H178)/(3*PI())))+(G178/2)))))/1000</f>
        <v/>
      </c>
      <c r="V178" s="125" t="n">
        <v>2184</v>
      </c>
      <c r="W178" s="125" t="n">
        <v>369</v>
      </c>
      <c r="Y178">
        <f>SQRT((((VLOOKUP($X$4,$A$4:$D$1021,4,FALSE))-D178)^2)+(((VLOOKUP($X$4,$A$4:$E$1021,5,FALSE))-E178)^2))</f>
        <v/>
      </c>
    </row>
    <row r="179">
      <c r="A179" s="125" t="inlineStr">
        <is>
          <t>W18X66</t>
        </is>
      </c>
      <c r="B179" s="129" t="inlineStr">
        <is>
          <t>AISC</t>
        </is>
      </c>
      <c r="C179" s="125" t="n">
        <v>98.3</v>
      </c>
      <c r="D179" s="125" t="n">
        <v>467.2</v>
      </c>
      <c r="E179" s="125" t="n">
        <v>192.8</v>
      </c>
      <c r="F179" s="125" t="n">
        <v>19.6</v>
      </c>
      <c r="G179" s="125" t="n">
        <v>11.4</v>
      </c>
      <c r="H179" s="125" t="n">
        <v>10.2</v>
      </c>
      <c r="I179" s="125" t="n">
        <v>407.6</v>
      </c>
      <c r="J179" s="125" t="n">
        <v>125</v>
      </c>
      <c r="K179" s="125" t="n">
        <v>4.92</v>
      </c>
      <c r="L179" s="125" t="n">
        <v>35.8</v>
      </c>
      <c r="M179" s="125" t="n">
        <v>1.67</v>
      </c>
      <c r="N179" s="125" t="n">
        <v>45730</v>
      </c>
      <c r="O179" s="125" t="n">
        <v>2347</v>
      </c>
      <c r="P179" s="125" t="n">
        <v>19.1</v>
      </c>
      <c r="Q179" s="125" t="n">
        <v>4.33</v>
      </c>
      <c r="R179" s="125" t="n">
        <v>1957</v>
      </c>
      <c r="S179" s="125" t="n">
        <v>243</v>
      </c>
      <c r="T179" s="125">
        <f>(((E179*D179*D179)/4)-(((E179-G179)*(D179-F179-F179)*(D179-F179-F179))/4)+(4*(H179*H179*(D179/2-F179-(H179/2))-((PI()*H179*H179)/4*((D179/2)-F179-(H179-((4*H179)/(3*PI()))))))))/1000</f>
        <v/>
      </c>
      <c r="U179" s="125">
        <f>(((D179*E179*E179)/4)-(2*((D179-F179-F179)*(E179/2-(G179/2))*(((E179/2-(G179/2))/2)+(G179/2))))+(4*(((H179*H179)-(((PI()*H179*H179)/4)))*((H179-((4*H179)/(3*PI())))+(G179/2)))))/1000</f>
        <v/>
      </c>
      <c r="V179" s="125" t="n">
        <v>2232</v>
      </c>
      <c r="W179" s="125" t="n">
        <v>379</v>
      </c>
      <c r="Y179">
        <f>SQRT((((VLOOKUP($X$4,$A$4:$D$1021,4,FALSE))-D179)^2)+(((VLOOKUP($X$4,$A$4:$E$1021,5,FALSE))-E179)^2))</f>
        <v/>
      </c>
    </row>
    <row r="180">
      <c r="A180" s="125" t="inlineStr">
        <is>
          <t>W18X71</t>
        </is>
      </c>
      <c r="B180" s="129" t="inlineStr">
        <is>
          <t>AISC</t>
        </is>
      </c>
      <c r="C180" s="125" t="n">
        <v>105.7</v>
      </c>
      <c r="D180" s="125" t="n">
        <v>469.1</v>
      </c>
      <c r="E180" s="125" t="n">
        <v>193.9</v>
      </c>
      <c r="F180" s="125" t="n">
        <v>20.6</v>
      </c>
      <c r="G180" s="125" t="n">
        <v>12.6</v>
      </c>
      <c r="H180" s="125" t="n">
        <v>10.2</v>
      </c>
      <c r="I180" s="125" t="n">
        <v>407.6</v>
      </c>
      <c r="J180" s="125" t="n">
        <v>134</v>
      </c>
      <c r="K180" s="125" t="n">
        <v>4.71</v>
      </c>
      <c r="L180" s="125" t="n">
        <v>32.4</v>
      </c>
      <c r="M180" s="125" t="n">
        <v>1.67</v>
      </c>
      <c r="N180" s="125" t="n">
        <v>48760</v>
      </c>
      <c r="O180" s="125" t="n">
        <v>2507</v>
      </c>
      <c r="P180" s="125" t="n">
        <v>19</v>
      </c>
      <c r="Q180" s="125" t="n">
        <v>4.32</v>
      </c>
      <c r="R180" s="125" t="n">
        <v>2079</v>
      </c>
      <c r="S180" s="125" t="n">
        <v>259</v>
      </c>
      <c r="T180" s="125">
        <f>(((E180*D180*D180)/4)-(((E180-G180)*(D180-F180-F180)*(D180-F180-F180))/4)+(4*(H180*H180*(D180/2-F180-(H180/2))-((PI()*H180*H180)/4*((D180/2)-F180-(H180-((4*H180)/(3*PI()))))))))/1000</f>
        <v/>
      </c>
      <c r="U180" s="125">
        <f>(((D180*E180*E180)/4)-(2*((D180-F180-F180)*(E180/2-(G180/2))*(((E180/2-(G180/2))/2)+(G180/2))))+(4*(((H180*H180)-(((PI()*H180*H180)/4)))*((H180-((4*H180)/(3*PI())))+(G180/2)))))/1000</f>
        <v/>
      </c>
      <c r="V180" s="125" t="n">
        <v>2383</v>
      </c>
      <c r="W180" s="125" t="n">
        <v>404</v>
      </c>
      <c r="Y180">
        <f>SQRT((((VLOOKUP($X$4,$A$4:$D$1021,4,FALSE))-D180)^2)+(((VLOOKUP($X$4,$A$4:$E$1021,5,FALSE))-E180)^2))</f>
        <v/>
      </c>
    </row>
    <row r="181">
      <c r="A181" s="125" t="inlineStr">
        <is>
          <t>W18X76</t>
        </is>
      </c>
      <c r="B181" s="129" t="inlineStr">
        <is>
          <t>AISC</t>
        </is>
      </c>
      <c r="C181" s="125" t="n">
        <v>113.1</v>
      </c>
      <c r="D181" s="125" t="n">
        <v>462.5</v>
      </c>
      <c r="E181" s="125" t="n">
        <v>280.3</v>
      </c>
      <c r="F181" s="125" t="n">
        <v>17.3</v>
      </c>
      <c r="G181" s="125" t="n">
        <v>10.8</v>
      </c>
      <c r="H181" s="125" t="n">
        <v>10.2</v>
      </c>
      <c r="I181" s="125" t="n">
        <v>407.6</v>
      </c>
      <c r="J181" s="125" t="n">
        <v>144</v>
      </c>
      <c r="K181" s="125" t="n">
        <v>8.119999999999999</v>
      </c>
      <c r="L181" s="125" t="n">
        <v>37.7</v>
      </c>
      <c r="M181" s="125" t="n">
        <v>2.01</v>
      </c>
      <c r="N181" s="125" t="n">
        <v>55460</v>
      </c>
      <c r="O181" s="125" t="n">
        <v>6344</v>
      </c>
      <c r="P181" s="125" t="n">
        <v>19.6</v>
      </c>
      <c r="Q181" s="125" t="n">
        <v>6.64</v>
      </c>
      <c r="R181" s="125" t="n">
        <v>2398</v>
      </c>
      <c r="S181" s="125" t="n">
        <v>453</v>
      </c>
      <c r="T181" s="125">
        <f>(((E181*D181*D181)/4)-(((E181-G181)*(D181-F181-F181)*(D181-F181-F181))/4)+(4*(H181*H181*(D181/2-F181-(H181/2))-((PI()*H181*H181)/4*((D181/2)-F181-(H181-((4*H181)/(3*PI()))))))))/1000</f>
        <v/>
      </c>
      <c r="U181" s="125">
        <f>(((D181*E181*E181)/4)-(2*((D181-F181-F181)*(E181/2-(G181/2))*(((E181/2-(G181/2))/2)+(G181/2))))+(4*(((H181*H181)-(((PI()*H181*H181)/4)))*((H181-((4*H181)/(3*PI())))+(G181/2)))))/1000</f>
        <v/>
      </c>
      <c r="V181" s="125" t="n">
        <v>2669</v>
      </c>
      <c r="W181" s="125" t="n">
        <v>692</v>
      </c>
      <c r="Y181">
        <f>SQRT((((VLOOKUP($X$4,$A$4:$D$1021,4,FALSE))-D181)^2)+(((VLOOKUP($X$4,$A$4:$E$1021,5,FALSE))-E181)^2))</f>
        <v/>
      </c>
    </row>
    <row r="182">
      <c r="A182" s="125" t="inlineStr">
        <is>
          <t>W18X86</t>
        </is>
      </c>
      <c r="B182" s="129" t="inlineStr">
        <is>
          <t>AISC</t>
        </is>
      </c>
      <c r="C182" s="125" t="n">
        <v>128</v>
      </c>
      <c r="D182" s="125" t="n">
        <v>467.1</v>
      </c>
      <c r="E182" s="125" t="n">
        <v>281.7</v>
      </c>
      <c r="F182" s="125" t="n">
        <v>19.6</v>
      </c>
      <c r="G182" s="125" t="n">
        <v>12.1</v>
      </c>
      <c r="H182" s="125" t="n">
        <v>10.2</v>
      </c>
      <c r="I182" s="125" t="n">
        <v>407.6</v>
      </c>
      <c r="J182" s="125" t="n">
        <v>163</v>
      </c>
      <c r="K182" s="125" t="n">
        <v>7.2</v>
      </c>
      <c r="L182" s="125" t="n">
        <v>33.7</v>
      </c>
      <c r="M182" s="125" t="n">
        <v>2.02</v>
      </c>
      <c r="N182" s="125" t="n">
        <v>63520</v>
      </c>
      <c r="O182" s="125" t="n">
        <v>7295</v>
      </c>
      <c r="P182" s="125" t="n">
        <v>19.7</v>
      </c>
      <c r="Q182" s="125" t="n">
        <v>6.69</v>
      </c>
      <c r="R182" s="125" t="n">
        <v>2720</v>
      </c>
      <c r="S182" s="125" t="n">
        <v>518</v>
      </c>
      <c r="T182" s="125">
        <f>(((E182*D182*D182)/4)-(((E182-G182)*(D182-F182-F182)*(D182-F182-F182))/4)+(4*(H182*H182*(D182/2-F182-(H182/2))-((PI()*H182*H182)/4*((D182/2)-F182-(H182-((4*H182)/(3*PI()))))))))/1000</f>
        <v/>
      </c>
      <c r="U182" s="125">
        <f>(((D182*E182*E182)/4)-(2*((D182-F182-F182)*(E182/2-(G182/2))*(((E182/2-(G182/2))/2)+(G182/2))))+(4*(((H182*H182)-(((PI()*H182*H182)/4)))*((H182-((4*H182)/(3*PI())))+(G182/2)))))/1000</f>
        <v/>
      </c>
      <c r="V182" s="125" t="n">
        <v>3039</v>
      </c>
      <c r="W182" s="125" t="n">
        <v>792</v>
      </c>
      <c r="Y182">
        <f>SQRT((((VLOOKUP($X$4,$A$4:$D$1021,4,FALSE))-D182)^2)+(((VLOOKUP($X$4,$A$4:$E$1021,5,FALSE))-E182)^2))</f>
        <v/>
      </c>
    </row>
    <row r="183">
      <c r="A183" s="125" t="inlineStr">
        <is>
          <t>W18X97</t>
        </is>
      </c>
      <c r="B183" s="129" t="inlineStr">
        <is>
          <t>AISC</t>
        </is>
      </c>
      <c r="C183" s="125" t="n">
        <v>144.4</v>
      </c>
      <c r="D183" s="125" t="n">
        <v>472.2</v>
      </c>
      <c r="E183" s="125" t="n">
        <v>283.1</v>
      </c>
      <c r="F183" s="125" t="n">
        <v>22.1</v>
      </c>
      <c r="G183" s="125" t="n">
        <v>13.6</v>
      </c>
      <c r="H183" s="125" t="n">
        <v>10.2</v>
      </c>
      <c r="I183" s="125" t="n">
        <v>407.6</v>
      </c>
      <c r="J183" s="125" t="n">
        <v>184</v>
      </c>
      <c r="K183" s="125" t="n">
        <v>6.4</v>
      </c>
      <c r="L183" s="125" t="n">
        <v>30</v>
      </c>
      <c r="M183" s="125" t="n">
        <v>2.03</v>
      </c>
      <c r="N183" s="125" t="n">
        <v>72710</v>
      </c>
      <c r="O183" s="125" t="n">
        <v>8367</v>
      </c>
      <c r="P183" s="125" t="n">
        <v>19.9</v>
      </c>
      <c r="Q183" s="125" t="n">
        <v>6.74</v>
      </c>
      <c r="R183" s="125" t="n">
        <v>3079</v>
      </c>
      <c r="S183" s="125" t="n">
        <v>591</v>
      </c>
      <c r="T183" s="125">
        <f>(((E183*D183*D183)/4)-(((E183-G183)*(D183-F183-F183)*(D183-F183-F183))/4)+(4*(H183*H183*(D183/2-F183-(H183/2))-((PI()*H183*H183)/4*((D183/2)-F183-(H183-((4*H183)/(3*PI()))))))))/1000</f>
        <v/>
      </c>
      <c r="U183" s="125">
        <f>(((D183*E183*E183)/4)-(2*((D183-F183-F183)*(E183/2-(G183/2))*(((E183/2-(G183/2))/2)+(G183/2))))+(4*(((H183*H183)-(((PI()*H183*H183)/4)))*((H183-((4*H183)/(3*PI())))+(G183/2)))))/1000</f>
        <v/>
      </c>
      <c r="V183" s="125" t="n">
        <v>3457</v>
      </c>
      <c r="W183" s="125" t="n">
        <v>906</v>
      </c>
      <c r="Y183">
        <f>SQRT((((VLOOKUP($X$4,$A$4:$D$1021,4,FALSE))-D183)^2)+(((VLOOKUP($X$4,$A$4:$E$1021,5,FALSE))-E183)^2))</f>
        <v/>
      </c>
    </row>
    <row r="184">
      <c r="A184" s="125" t="inlineStr">
        <is>
          <t>W18X106</t>
        </is>
      </c>
      <c r="B184" s="129" t="inlineStr">
        <is>
          <t>AISC</t>
        </is>
      </c>
      <c r="C184" s="125" t="n">
        <v>157.7</v>
      </c>
      <c r="D184" s="125" t="n">
        <v>475.7</v>
      </c>
      <c r="E184" s="125" t="n">
        <v>284.5</v>
      </c>
      <c r="F184" s="125" t="n">
        <v>23.9</v>
      </c>
      <c r="G184" s="125" t="n">
        <v>15</v>
      </c>
      <c r="H184" s="125" t="n">
        <v>10.2</v>
      </c>
      <c r="I184" s="125" t="n">
        <v>407.5</v>
      </c>
      <c r="J184" s="125" t="n">
        <v>201</v>
      </c>
      <c r="K184" s="125" t="n">
        <v>5.96</v>
      </c>
      <c r="L184" s="125" t="n">
        <v>27.2</v>
      </c>
      <c r="M184" s="125" t="n">
        <v>2.04</v>
      </c>
      <c r="N184" s="125" t="n">
        <v>79600</v>
      </c>
      <c r="O184" s="125" t="n">
        <v>9178</v>
      </c>
      <c r="P184" s="125" t="n">
        <v>19.9</v>
      </c>
      <c r="Q184" s="125" t="n">
        <v>6.76</v>
      </c>
      <c r="R184" s="125" t="n">
        <v>3347</v>
      </c>
      <c r="S184" s="125" t="n">
        <v>645</v>
      </c>
      <c r="T184" s="125">
        <f>(((E184*D184*D184)/4)-(((E184-G184)*(D184-F184-F184)*(D184-F184-F184))/4)+(4*(H184*H184*(D184/2-F184-(H184/2))-((PI()*H184*H184)/4*((D184/2)-F184-(H184-((4*H184)/(3*PI()))))))))/1000</f>
        <v/>
      </c>
      <c r="U184" s="125">
        <f>(((D184*E184*E184)/4)-(2*((D184-F184-F184)*(E184/2-(G184/2))*(((E184/2-(G184/2))/2)+(G184/2))))+(4*(((H184*H184)-(((PI()*H184*H184)/4)))*((H184-((4*H184)/(3*PI())))+(G184/2)))))/1000</f>
        <v/>
      </c>
      <c r="V184" s="125" t="n">
        <v>3775</v>
      </c>
      <c r="W184" s="125" t="n">
        <v>991</v>
      </c>
      <c r="Y184">
        <f>SQRT((((VLOOKUP($X$4,$A$4:$D$1021,4,FALSE))-D184)^2)+(((VLOOKUP($X$4,$A$4:$E$1021,5,FALSE))-E184)^2))</f>
        <v/>
      </c>
    </row>
    <row r="185">
      <c r="A185" s="125" t="inlineStr">
        <is>
          <t>W18X119</t>
        </is>
      </c>
      <c r="B185" s="129" t="inlineStr">
        <is>
          <t>AISC</t>
        </is>
      </c>
      <c r="C185" s="125" t="n">
        <v>177.1</v>
      </c>
      <c r="D185" s="125" t="n">
        <v>481.8</v>
      </c>
      <c r="E185" s="125" t="n">
        <v>286.1</v>
      </c>
      <c r="F185" s="125" t="n">
        <v>26.9</v>
      </c>
      <c r="G185" s="125" t="n">
        <v>16.6</v>
      </c>
      <c r="H185" s="125" t="n">
        <v>10.2</v>
      </c>
      <c r="I185" s="125" t="n">
        <v>407.6</v>
      </c>
      <c r="J185" s="125" t="n">
        <v>226</v>
      </c>
      <c r="K185" s="125" t="n">
        <v>5.31</v>
      </c>
      <c r="L185" s="125" t="n">
        <v>24.5</v>
      </c>
      <c r="M185" s="125" t="n">
        <v>2.06</v>
      </c>
      <c r="N185" s="125" t="n">
        <v>91040</v>
      </c>
      <c r="O185" s="125" t="n">
        <v>10530</v>
      </c>
      <c r="P185" s="125" t="n">
        <v>20.1</v>
      </c>
      <c r="Q185" s="125" t="n">
        <v>6.82</v>
      </c>
      <c r="R185" s="125" t="n">
        <v>3779</v>
      </c>
      <c r="S185" s="125" t="n">
        <v>736</v>
      </c>
      <c r="T185" s="125">
        <f>(((E185*D185*D185)/4)-(((E185-G185)*(D185-F185-F185)*(D185-F185-F185))/4)+(4*(H185*H185*(D185/2-F185-(H185/2))-((PI()*H185*H185)/4*((D185/2)-F185-(H185-((4*H185)/(3*PI()))))))))/1000</f>
        <v/>
      </c>
      <c r="U185" s="125">
        <f>(((D185*E185*E185)/4)-(2*((D185-F185-F185)*(E185/2-(G185/2))*(((E185/2-(G185/2))/2)+(G185/2))))+(4*(((H185*H185)-(((PI()*H185*H185)/4)))*((H185-((4*H185)/(3*PI())))+(G185/2)))))/1000</f>
        <v/>
      </c>
      <c r="V185" s="125" t="n">
        <v>4284</v>
      </c>
      <c r="W185" s="125" t="n">
        <v>1132</v>
      </c>
      <c r="Y185">
        <f>SQRT((((VLOOKUP($X$4,$A$4:$D$1021,4,FALSE))-D185)^2)+(((VLOOKUP($X$4,$A$4:$E$1021,5,FALSE))-E185)^2))</f>
        <v/>
      </c>
    </row>
    <row r="186">
      <c r="A186" s="125" t="inlineStr">
        <is>
          <t>W18X130</t>
        </is>
      </c>
      <c r="B186" s="129" t="inlineStr">
        <is>
          <t>AISC</t>
        </is>
      </c>
      <c r="C186" s="125" t="n">
        <v>193.5</v>
      </c>
      <c r="D186" s="125" t="n">
        <v>489</v>
      </c>
      <c r="E186" s="125" t="n">
        <v>283.5</v>
      </c>
      <c r="F186" s="125" t="n">
        <v>30.5</v>
      </c>
      <c r="G186" s="125" t="n">
        <v>17</v>
      </c>
      <c r="H186" s="125" t="n">
        <v>10.2</v>
      </c>
      <c r="I186" s="125" t="n">
        <v>407.6</v>
      </c>
      <c r="J186" s="125" t="n">
        <v>247</v>
      </c>
      <c r="K186" s="125" t="n">
        <v>4.65</v>
      </c>
      <c r="L186" s="125" t="n">
        <v>24</v>
      </c>
      <c r="M186" s="125" t="n">
        <v>2.06</v>
      </c>
      <c r="N186" s="125" t="n">
        <v>102500</v>
      </c>
      <c r="O186" s="125" t="n">
        <v>11590</v>
      </c>
      <c r="P186" s="125" t="n">
        <v>20.4</v>
      </c>
      <c r="Q186" s="125" t="n">
        <v>6.86</v>
      </c>
      <c r="R186" s="125" t="n">
        <v>4192</v>
      </c>
      <c r="S186" s="125" t="n">
        <v>818</v>
      </c>
      <c r="T186" s="125">
        <f>(((E186*D186*D186)/4)-(((E186-G186)*(D186-F186-F186)*(D186-F186-F186))/4)+(4*(H186*H186*(D186/2-F186-(H186/2))-((PI()*H186*H186)/4*((D186/2)-F186-(H186-((4*H186)/(3*PI()))))))))/1000</f>
        <v/>
      </c>
      <c r="U186" s="125">
        <f>(((D186*E186*E186)/4)-(2*((D186-F186-F186)*(E186/2-(G186/2))*(((E186/2-(G186/2))/2)+(G186/2))))+(4*(((H186*H186)-(((PI()*H186*H186)/4)))*((H186-((4*H186)/(3*PI())))+(G186/2)))))/1000</f>
        <v/>
      </c>
      <c r="V186" s="125" t="n">
        <v>4761</v>
      </c>
      <c r="W186" s="125" t="n">
        <v>1257</v>
      </c>
      <c r="Y186">
        <f>SQRT((((VLOOKUP($X$4,$A$4:$D$1021,4,FALSE))-D186)^2)+(((VLOOKUP($X$4,$A$4:$E$1021,5,FALSE))-E186)^2))</f>
        <v/>
      </c>
    </row>
    <row r="187">
      <c r="A187" s="125" t="inlineStr">
        <is>
          <t>W18X143</t>
        </is>
      </c>
      <c r="B187" s="129" t="inlineStr">
        <is>
          <t>AISC</t>
        </is>
      </c>
      <c r="C187" s="125" t="n">
        <v>212.8</v>
      </c>
      <c r="D187" s="125" t="n">
        <v>495</v>
      </c>
      <c r="E187" s="125" t="n">
        <v>285</v>
      </c>
      <c r="F187" s="125" t="n">
        <v>33.5</v>
      </c>
      <c r="G187" s="125" t="n">
        <v>18.5</v>
      </c>
      <c r="H187" s="125" t="n">
        <v>10.2</v>
      </c>
      <c r="I187" s="125" t="n">
        <v>407.5</v>
      </c>
      <c r="J187" s="125" t="n">
        <v>271</v>
      </c>
      <c r="K187" s="125" t="n">
        <v>4.25</v>
      </c>
      <c r="L187" s="125" t="n">
        <v>22</v>
      </c>
      <c r="M187" s="125" t="n">
        <v>2.08</v>
      </c>
      <c r="N187" s="125" t="n">
        <v>114400</v>
      </c>
      <c r="O187" s="125" t="n">
        <v>12960</v>
      </c>
      <c r="P187" s="125" t="n">
        <v>20.5</v>
      </c>
      <c r="Q187" s="125" t="n">
        <v>6.91</v>
      </c>
      <c r="R187" s="125" t="n">
        <v>4624</v>
      </c>
      <c r="S187" s="125" t="n">
        <v>910</v>
      </c>
      <c r="T187" s="125">
        <f>(((E187*D187*D187)/4)-(((E187-G187)*(D187-F187-F187)*(D187-F187-F187))/4)+(4*(H187*H187*(D187/2-F187-(H187/2))-((PI()*H187*H187)/4*((D187/2)-F187-(H187-((4*H187)/(3*PI()))))))))/1000</f>
        <v/>
      </c>
      <c r="U187" s="125">
        <f>(((D187*E187*E187)/4)-(2*((D187-F187-F187)*(E187/2-(G187/2))*(((E187/2-(G187/2))/2)+(G187/2))))+(4*(((H187*H187)-(((PI()*H187*H187)/4)))*((H187-((4*H187)/(3*PI())))+(G187/2)))))/1000</f>
        <v/>
      </c>
      <c r="V187" s="125" t="n">
        <v>5278</v>
      </c>
      <c r="W187" s="125" t="n">
        <v>1400</v>
      </c>
      <c r="Y187">
        <f>SQRT((((VLOOKUP($X$4,$A$4:$D$1021,4,FALSE))-D187)^2)+(((VLOOKUP($X$4,$A$4:$E$1021,5,FALSE))-E187)^2))</f>
        <v/>
      </c>
    </row>
    <row r="188">
      <c r="A188" s="125" t="inlineStr">
        <is>
          <t>W18X158</t>
        </is>
      </c>
      <c r="B188" s="129" t="inlineStr">
        <is>
          <t>AISC</t>
        </is>
      </c>
      <c r="C188" s="125" t="n">
        <v>235</v>
      </c>
      <c r="D188" s="125" t="n">
        <v>501</v>
      </c>
      <c r="E188" s="125" t="n">
        <v>287</v>
      </c>
      <c r="F188" s="125" t="n">
        <v>36.6</v>
      </c>
      <c r="G188" s="125" t="n">
        <v>20.6</v>
      </c>
      <c r="H188" s="125" t="n">
        <v>10.2</v>
      </c>
      <c r="I188" s="125" t="n">
        <v>407.8</v>
      </c>
      <c r="J188" s="125" t="n">
        <v>299</v>
      </c>
      <c r="K188" s="125" t="n">
        <v>3.92</v>
      </c>
      <c r="L188" s="125" t="n">
        <v>19.8</v>
      </c>
      <c r="M188" s="125" t="n">
        <v>2.09</v>
      </c>
      <c r="N188" s="125" t="n">
        <v>127300</v>
      </c>
      <c r="O188" s="125" t="n">
        <v>14450</v>
      </c>
      <c r="P188" s="125" t="n">
        <v>20.6</v>
      </c>
      <c r="Q188" s="125" t="n">
        <v>6.95</v>
      </c>
      <c r="R188" s="125" t="n">
        <v>5083</v>
      </c>
      <c r="S188" s="125" t="n">
        <v>1007</v>
      </c>
      <c r="T188" s="125">
        <f>(((E188*D188*D188)/4)-(((E188-G188)*(D188-F188-F188)*(D188-F188-F188))/4)+(4*(H188*H188*(D188/2-F188-(H188/2))-((PI()*H188*H188)/4*((D188/2)-F188-(H188-((4*H188)/(3*PI()))))))))/1000</f>
        <v/>
      </c>
      <c r="U188" s="125">
        <f>(((D188*E188*E188)/4)-(2*((D188-F188-F188)*(E188/2-(G188/2))*(((E188/2-(G188/2))/2)+(G188/2))))+(4*(((H188*H188)-(((PI()*H188*H188)/4)))*((H188-((4*H188)/(3*PI())))+(G188/2)))))/1000</f>
        <v/>
      </c>
      <c r="V188" s="125" t="n">
        <v>5839</v>
      </c>
      <c r="W188" s="125" t="n">
        <v>1554</v>
      </c>
      <c r="Y188">
        <f>SQRT((((VLOOKUP($X$4,$A$4:$D$1021,4,FALSE))-D188)^2)+(((VLOOKUP($X$4,$A$4:$E$1021,5,FALSE))-E188)^2))</f>
        <v/>
      </c>
    </row>
    <row r="189">
      <c r="A189" s="125" t="inlineStr">
        <is>
          <t>W18X175</t>
        </is>
      </c>
      <c r="B189" s="129" t="inlineStr">
        <is>
          <t>AISC</t>
        </is>
      </c>
      <c r="C189" s="125" t="n">
        <v>260</v>
      </c>
      <c r="D189" s="125" t="n">
        <v>509</v>
      </c>
      <c r="E189" s="125" t="n">
        <v>289</v>
      </c>
      <c r="F189" s="125" t="n">
        <v>40.4</v>
      </c>
      <c r="G189" s="125" t="n">
        <v>22.6</v>
      </c>
      <c r="H189" s="125" t="n">
        <v>10.2</v>
      </c>
      <c r="I189" s="125" t="n">
        <v>408.2</v>
      </c>
      <c r="J189" s="125" t="n">
        <v>331</v>
      </c>
      <c r="K189" s="125" t="n">
        <v>3.58</v>
      </c>
      <c r="L189" s="125" t="n">
        <v>18.1</v>
      </c>
      <c r="M189" s="125" t="n">
        <v>2.11</v>
      </c>
      <c r="N189" s="125" t="n">
        <v>143700</v>
      </c>
      <c r="O189" s="125" t="n">
        <v>16300</v>
      </c>
      <c r="P189" s="125" t="n">
        <v>20.8</v>
      </c>
      <c r="Q189" s="125" t="n">
        <v>7.01</v>
      </c>
      <c r="R189" s="125" t="n">
        <v>5646</v>
      </c>
      <c r="S189" s="125" t="n">
        <v>1128</v>
      </c>
      <c r="T189" s="125">
        <f>(((E189*D189*D189)/4)-(((E189-G189)*(D189-F189-F189)*(D189-F189-F189))/4)+(4*(H189*H189*(D189/2-F189-(H189/2))-((PI()*H189*H189)/4*((D189/2)-F189-(H189-((4*H189)/(3*PI()))))))))/1000</f>
        <v/>
      </c>
      <c r="U189" s="125">
        <f>(((D189*E189*E189)/4)-(2*((D189-F189-F189)*(E189/2-(G189/2))*(((E189/2-(G189/2))/2)+(G189/2))))+(4*(((H189*H189)-(((PI()*H189*H189)/4)))*((H189-((4*H189)/(3*PI())))+(G189/2)))))/1000</f>
        <v/>
      </c>
      <c r="V189" s="125" t="n">
        <v>6525</v>
      </c>
      <c r="W189" s="125" t="n">
        <v>1743</v>
      </c>
      <c r="Y189">
        <f>SQRT((((VLOOKUP($X$4,$A$4:$D$1021,4,FALSE))-D189)^2)+(((VLOOKUP($X$4,$A$4:$E$1021,5,FALSE))-E189)^2))</f>
        <v/>
      </c>
    </row>
    <row r="190">
      <c r="A190" s="125" t="inlineStr">
        <is>
          <t>W21X44</t>
        </is>
      </c>
      <c r="B190" s="129" t="inlineStr">
        <is>
          <t>AISC</t>
        </is>
      </c>
      <c r="C190" s="125" t="n">
        <v>65.5</v>
      </c>
      <c r="D190" s="125" t="n">
        <v>524.8</v>
      </c>
      <c r="E190" s="125" t="n">
        <v>165.1</v>
      </c>
      <c r="F190" s="125" t="n">
        <v>11.4</v>
      </c>
      <c r="G190" s="125" t="n">
        <v>8.9</v>
      </c>
      <c r="H190" s="125" t="n">
        <v>12.7</v>
      </c>
      <c r="I190" s="125" t="n">
        <v>476.6</v>
      </c>
      <c r="J190" s="125" t="n">
        <v>84</v>
      </c>
      <c r="K190" s="125" t="n">
        <v>7.24</v>
      </c>
      <c r="L190" s="125" t="n">
        <v>53.6</v>
      </c>
      <c r="M190" s="125" t="n">
        <v>1.67</v>
      </c>
      <c r="N190" s="125" t="n">
        <v>35030</v>
      </c>
      <c r="O190" s="125" t="n">
        <v>859</v>
      </c>
      <c r="P190" s="125" t="n">
        <v>20.5</v>
      </c>
      <c r="Q190" s="125" t="n">
        <v>3.2</v>
      </c>
      <c r="R190" s="125" t="n">
        <v>1335</v>
      </c>
      <c r="S190" s="125" t="n">
        <v>104</v>
      </c>
      <c r="T190" s="125">
        <f>(((E190*D190*D190)/4)-(((E190-G190)*(D190-F190-F190)*(D190-F190-F190))/4)+(4*(H190*H190*(D190/2-F190-(H190/2))-((PI()*H190*H190)/4*((D190/2)-F190-(H190-((4*H190)/(3*PI()))))))))/1000</f>
        <v/>
      </c>
      <c r="U190" s="125">
        <f>(((D190*E190*E190)/4)-(2*((D190-F190-F190)*(E190/2-(G190/2))*(((E190/2-(G190/2))/2)+(G190/2))))+(4*(((H190*H190)-(((PI()*H190*H190)/4)))*((H190-((4*H190)/(3*PI())))+(G190/2)))))/1000</f>
        <v/>
      </c>
      <c r="V190" s="125" t="n">
        <v>1561</v>
      </c>
      <c r="W190" s="125" t="n">
        <v>166</v>
      </c>
      <c r="Y190">
        <f>SQRT((((VLOOKUP($X$4,$A$4:$D$1021,4,FALSE))-D190)^2)+(((VLOOKUP($X$4,$A$4:$E$1021,5,FALSE))-E190)^2))</f>
        <v/>
      </c>
    </row>
    <row r="191">
      <c r="A191" s="125" t="inlineStr">
        <is>
          <t>W21X50</t>
        </is>
      </c>
      <c r="B191" s="129" t="inlineStr">
        <is>
          <t>AISC</t>
        </is>
      </c>
      <c r="C191" s="125" t="n">
        <v>74.40000000000001</v>
      </c>
      <c r="D191" s="125" t="n">
        <v>529.1</v>
      </c>
      <c r="E191" s="125" t="n">
        <v>165.9</v>
      </c>
      <c r="F191" s="125" t="n">
        <v>13.5</v>
      </c>
      <c r="G191" s="125" t="n">
        <v>9.699999999999999</v>
      </c>
      <c r="H191" s="125" t="n">
        <v>12.7</v>
      </c>
      <c r="I191" s="125" t="n">
        <v>476.7</v>
      </c>
      <c r="J191" s="125" t="n">
        <v>95</v>
      </c>
      <c r="K191" s="125" t="n">
        <v>6.14</v>
      </c>
      <c r="L191" s="125" t="n">
        <v>49.4</v>
      </c>
      <c r="M191" s="125" t="n">
        <v>1.68</v>
      </c>
      <c r="N191" s="125" t="n">
        <v>40810</v>
      </c>
      <c r="O191" s="125" t="n">
        <v>1032</v>
      </c>
      <c r="P191" s="125" t="n">
        <v>20.8</v>
      </c>
      <c r="Q191" s="125" t="n">
        <v>3.3</v>
      </c>
      <c r="R191" s="125" t="n">
        <v>1543</v>
      </c>
      <c r="S191" s="125" t="n">
        <v>124</v>
      </c>
      <c r="T191" s="125">
        <f>(((E191*D191*D191)/4)-(((E191-G191)*(D191-F191-F191)*(D191-F191-F191))/4)+(4*(H191*H191*(D191/2-F191-(H191/2))-((PI()*H191*H191)/4*((D191/2)-F191-(H191-((4*H191)/(3*PI()))))))))/1000</f>
        <v/>
      </c>
      <c r="U191" s="125">
        <f>(((D191*E191*E191)/4)-(2*((D191-F191-F191)*(E191/2-(G191/2))*(((E191/2-(G191/2))/2)+(G191/2))))+(4*(((H191*H191)-(((PI()*H191*H191)/4)))*((H191-((4*H191)/(3*PI())))+(G191/2)))))/1000</f>
        <v/>
      </c>
      <c r="V191" s="125" t="n">
        <v>1797</v>
      </c>
      <c r="W191" s="125" t="n">
        <v>199</v>
      </c>
      <c r="Y191">
        <f>SQRT((((VLOOKUP($X$4,$A$4:$D$1021,4,FALSE))-D191)^2)+(((VLOOKUP($X$4,$A$4:$E$1021,5,FALSE))-E191)^2))</f>
        <v/>
      </c>
    </row>
    <row r="192">
      <c r="A192" s="125" t="inlineStr">
        <is>
          <t>W21X57</t>
        </is>
      </c>
      <c r="B192" s="129" t="inlineStr">
        <is>
          <t>AISC</t>
        </is>
      </c>
      <c r="C192" s="125" t="n">
        <v>84.8</v>
      </c>
      <c r="D192" s="125" t="n">
        <v>534.9</v>
      </c>
      <c r="E192" s="125" t="n">
        <v>166.5</v>
      </c>
      <c r="F192" s="125" t="n">
        <v>16.5</v>
      </c>
      <c r="G192" s="125" t="n">
        <v>10.3</v>
      </c>
      <c r="H192" s="125" t="n">
        <v>12.7</v>
      </c>
      <c r="I192" s="125" t="n">
        <v>476.5</v>
      </c>
      <c r="J192" s="125" t="n">
        <v>108</v>
      </c>
      <c r="K192" s="125" t="n">
        <v>5.04</v>
      </c>
      <c r="L192" s="125" t="n">
        <v>46.3</v>
      </c>
      <c r="M192" s="125" t="n">
        <v>1.69</v>
      </c>
      <c r="N192" s="125" t="n">
        <v>48640</v>
      </c>
      <c r="O192" s="125" t="n">
        <v>1276</v>
      </c>
      <c r="P192" s="125" t="n">
        <v>21.2</v>
      </c>
      <c r="Q192" s="125" t="n">
        <v>3.44</v>
      </c>
      <c r="R192" s="125" t="n">
        <v>1819</v>
      </c>
      <c r="S192" s="125" t="n">
        <v>153</v>
      </c>
      <c r="T192" s="125">
        <f>(((E192*D192*D192)/4)-(((E192-G192)*(D192-F192-F192)*(D192-F192-F192))/4)+(4*(H192*H192*(D192/2-F192-(H192/2))-((PI()*H192*H192)/4*((D192/2)-F192-(H192-((4*H192)/(3*PI()))))))))/1000</f>
        <v/>
      </c>
      <c r="U192" s="125">
        <f>(((D192*E192*E192)/4)-(2*((D192-F192-F192)*(E192/2-(G192/2))*(((E192/2-(G192/2))/2)+(G192/2))))+(4*(((H192*H192)-(((PI()*H192*H192)/4)))*((H192-((4*H192)/(3*PI())))+(G192/2)))))/1000</f>
        <v/>
      </c>
      <c r="V192" s="125" t="n">
        <v>2107</v>
      </c>
      <c r="W192" s="125" t="n">
        <v>243</v>
      </c>
      <c r="Y192">
        <f>SQRT((((VLOOKUP($X$4,$A$4:$D$1021,4,FALSE))-D192)^2)+(((VLOOKUP($X$4,$A$4:$E$1021,5,FALSE))-E192)^2))</f>
        <v/>
      </c>
    </row>
    <row r="193">
      <c r="A193" s="125" t="inlineStr">
        <is>
          <t>W21X48</t>
        </is>
      </c>
      <c r="B193" s="129" t="inlineStr">
        <is>
          <t>AISC</t>
        </is>
      </c>
      <c r="C193" s="125" t="n">
        <v>71.40000000000001</v>
      </c>
      <c r="D193" s="125" t="n">
        <v>523.2</v>
      </c>
      <c r="E193" s="125" t="n">
        <v>206.8</v>
      </c>
      <c r="F193" s="125" t="n">
        <v>10.9</v>
      </c>
      <c r="G193" s="125" t="n">
        <v>8.9</v>
      </c>
      <c r="H193" s="125" t="n">
        <v>12.7</v>
      </c>
      <c r="I193" s="125" t="n">
        <v>476.5</v>
      </c>
      <c r="J193" s="125" t="n">
        <v>91</v>
      </c>
      <c r="K193" s="125" t="n">
        <v>11.62</v>
      </c>
      <c r="L193" s="125" t="n">
        <v>43.7</v>
      </c>
      <c r="M193" s="125" t="n">
        <v>1.85</v>
      </c>
      <c r="N193" s="125" t="n">
        <v>39917</v>
      </c>
      <c r="O193" s="125" t="n">
        <v>1611</v>
      </c>
      <c r="P193" s="125" t="n">
        <v>20.9</v>
      </c>
      <c r="Q193" s="125" t="n">
        <v>4.2</v>
      </c>
      <c r="R193" s="125" t="n">
        <v>1524</v>
      </c>
      <c r="S193" s="125" t="n">
        <v>156</v>
      </c>
      <c r="T193" s="125">
        <f>(((E193*D193*D193)/4)-(((E193-G193)*(D193-F193-F193)*(D193-F193-F193))/4)+(4*(H193*H193*(D193/2-F193-(H193/2))-((PI()*H193*H193)/4*((D193/2)-F193-(H193-((4*H193)/(3*PI()))))))))/1000</f>
        <v/>
      </c>
      <c r="U193" s="125">
        <f>(((D193*E193*E193)/4)-(2*((D193-F193-F193)*(E193/2-(G193/2))*(((E193/2-(G193/2))/2)+(G193/2))))+(4*(((H193*H193)-(((PI()*H193*H193)/4)))*((H193-((4*H193)/(3*PI())))+(G193/2)))))/1000</f>
        <v/>
      </c>
      <c r="V193" s="125" t="n">
        <v>1753</v>
      </c>
      <c r="W193" s="125" t="n">
        <v>244</v>
      </c>
      <c r="Y193">
        <f>SQRT((((VLOOKUP($X$4,$A$4:$D$1021,4,FALSE))-D193)^2)+(((VLOOKUP($X$4,$A$4:$E$1021,5,FALSE))-E193)^2))</f>
        <v/>
      </c>
    </row>
    <row r="194">
      <c r="A194" s="125" t="inlineStr">
        <is>
          <t>W21X55</t>
        </is>
      </c>
      <c r="B194" s="129" t="inlineStr">
        <is>
          <t>AISC</t>
        </is>
      </c>
      <c r="C194" s="125" t="n">
        <v>82.2</v>
      </c>
      <c r="D194" s="125" t="n">
        <v>528.3</v>
      </c>
      <c r="E194" s="125" t="n">
        <v>208.8</v>
      </c>
      <c r="F194" s="125" t="n">
        <v>13.2</v>
      </c>
      <c r="G194" s="125" t="n">
        <v>9.6</v>
      </c>
      <c r="H194" s="125" t="n">
        <v>12.7</v>
      </c>
      <c r="I194" s="125" t="n">
        <v>476.5</v>
      </c>
      <c r="J194" s="125" t="n">
        <v>105</v>
      </c>
      <c r="K194" s="125" t="n">
        <v>7.91</v>
      </c>
      <c r="L194" s="125" t="n">
        <v>49.6</v>
      </c>
      <c r="M194" s="125" t="n">
        <v>1.85</v>
      </c>
      <c r="N194" s="125" t="n">
        <v>47540</v>
      </c>
      <c r="O194" s="125" t="n">
        <v>2008</v>
      </c>
      <c r="P194" s="125" t="n">
        <v>21.3</v>
      </c>
      <c r="Q194" s="125" t="n">
        <v>4.38</v>
      </c>
      <c r="R194" s="125" t="n">
        <v>1800</v>
      </c>
      <c r="S194" s="125" t="n">
        <v>192</v>
      </c>
      <c r="T194" s="125">
        <f>(((E194*D194*D194)/4)-(((E194-G194)*(D194-F194-F194)*(D194-F194-F194))/4)+(4*(H194*H194*(D194/2-F194-(H194/2))-((PI()*H194*H194)/4*((D194/2)-F194-(H194-((4*H194)/(3*PI()))))))))/1000</f>
        <v/>
      </c>
      <c r="U194" s="125">
        <f>(((D194*E194*E194)/4)-(2*((D194-F194-F194)*(E194/2-(G194/2))*(((E194/2-(G194/2))/2)+(G194/2))))+(4*(((H194*H194)-(((PI()*H194*H194)/4)))*((H194-((4*H194)/(3*PI())))+(G194/2)))))/1000</f>
        <v/>
      </c>
      <c r="V194" s="125" t="n">
        <v>2059</v>
      </c>
      <c r="W194" s="125" t="n">
        <v>300</v>
      </c>
      <c r="Y194">
        <f>SQRT((((VLOOKUP($X$4,$A$4:$D$1021,4,FALSE))-D194)^2)+(((VLOOKUP($X$4,$A$4:$E$1021,5,FALSE))-E194)^2))</f>
        <v/>
      </c>
    </row>
    <row r="195">
      <c r="A195" s="125" t="inlineStr">
        <is>
          <t>W21X62</t>
        </is>
      </c>
      <c r="B195" s="129" t="inlineStr">
        <is>
          <t>AISC</t>
        </is>
      </c>
      <c r="C195" s="125" t="n">
        <v>92.09999999999999</v>
      </c>
      <c r="D195" s="125" t="n">
        <v>533.1</v>
      </c>
      <c r="E195" s="125" t="n">
        <v>209.3</v>
      </c>
      <c r="F195" s="125" t="n">
        <v>15.6</v>
      </c>
      <c r="G195" s="125" t="n">
        <v>10.1</v>
      </c>
      <c r="H195" s="125" t="n">
        <v>12.7</v>
      </c>
      <c r="I195" s="125" t="n">
        <v>476.5</v>
      </c>
      <c r="J195" s="125" t="n">
        <v>117</v>
      </c>
      <c r="K195" s="125" t="n">
        <v>6.71</v>
      </c>
      <c r="L195" s="125" t="n">
        <v>47.2</v>
      </c>
      <c r="M195" s="125" t="n">
        <v>1.86</v>
      </c>
      <c r="N195" s="125" t="n">
        <v>55230</v>
      </c>
      <c r="O195" s="125" t="n">
        <v>2389</v>
      </c>
      <c r="P195" s="125" t="n">
        <v>21.7</v>
      </c>
      <c r="Q195" s="125" t="n">
        <v>4.51</v>
      </c>
      <c r="R195" s="125" t="n">
        <v>2072</v>
      </c>
      <c r="S195" s="125" t="n">
        <v>228</v>
      </c>
      <c r="T195" s="125">
        <f>(((E195*D195*D195)/4)-(((E195-G195)*(D195-F195-F195)*(D195-F195-F195))/4)+(4*(H195*H195*(D195/2-F195-(H195/2))-((PI()*H195*H195)/4*((D195/2)-F195-(H195-((4*H195)/(3*PI()))))))))/1000</f>
        <v/>
      </c>
      <c r="U195" s="125">
        <f>(((D195*E195*E195)/4)-(2*((D195-F195-F195)*(E195/2-(G195/2))*(((E195/2-(G195/2))/2)+(G195/2))))+(4*(((H195*H195)-(((PI()*H195*H195)/4)))*((H195-((4*H195)/(3*PI())))+(G195/2)))))/1000</f>
        <v/>
      </c>
      <c r="V195" s="125" t="n">
        <v>2360</v>
      </c>
      <c r="W195" s="125" t="n">
        <v>356</v>
      </c>
      <c r="Y195">
        <f>SQRT((((VLOOKUP($X$4,$A$4:$D$1021,4,FALSE))-D195)^2)+(((VLOOKUP($X$4,$A$4:$E$1021,5,FALSE))-E195)^2))</f>
        <v/>
      </c>
    </row>
    <row r="196">
      <c r="A196" s="125" t="inlineStr">
        <is>
          <t>W21X68</t>
        </is>
      </c>
      <c r="B196" s="129" t="inlineStr">
        <is>
          <t>AISC</t>
        </is>
      </c>
      <c r="C196" s="125" t="n">
        <v>101</v>
      </c>
      <c r="D196" s="125" t="n">
        <v>536.7</v>
      </c>
      <c r="E196" s="125" t="n">
        <v>210</v>
      </c>
      <c r="F196" s="125" t="n">
        <v>17.4</v>
      </c>
      <c r="G196" s="125" t="n">
        <v>10.8</v>
      </c>
      <c r="H196" s="125" t="n">
        <v>12.7</v>
      </c>
      <c r="I196" s="125" t="n">
        <v>476.5</v>
      </c>
      <c r="J196" s="125" t="n">
        <v>129</v>
      </c>
      <c r="K196" s="125" t="n">
        <v>6.03</v>
      </c>
      <c r="L196" s="125" t="n">
        <v>44.1</v>
      </c>
      <c r="M196" s="125" t="n">
        <v>1.87</v>
      </c>
      <c r="N196" s="125" t="n">
        <v>61520</v>
      </c>
      <c r="O196" s="125" t="n">
        <v>2692</v>
      </c>
      <c r="P196" s="125" t="n">
        <v>21.9</v>
      </c>
      <c r="Q196" s="125" t="n">
        <v>4.57</v>
      </c>
      <c r="R196" s="125" t="n">
        <v>2292</v>
      </c>
      <c r="S196" s="125" t="n">
        <v>256</v>
      </c>
      <c r="T196" s="125">
        <f>(((E196*D196*D196)/4)-(((E196-G196)*(D196-F196-F196)*(D196-F196-F196))/4)+(4*(H196*H196*(D196/2-F196-(H196/2))-((PI()*H196*H196)/4*((D196/2)-F196-(H196-((4*H196)/(3*PI()))))))))/1000</f>
        <v/>
      </c>
      <c r="U196" s="125">
        <f>(((D196*E196*E196)/4)-(2*((D196-F196-F196)*(E196/2-(G196/2))*(((E196/2-(G196/2))/2)+(G196/2))))+(4*(((H196*H196)-(((PI()*H196*H196)/4)))*((H196-((4*H196)/(3*PI())))+(G196/2)))))/1000</f>
        <v/>
      </c>
      <c r="V196" s="125" t="n">
        <v>2612</v>
      </c>
      <c r="W196" s="125" t="n">
        <v>399</v>
      </c>
      <c r="Y196">
        <f>SQRT((((VLOOKUP($X$4,$A$4:$D$1021,4,FALSE))-D196)^2)+(((VLOOKUP($X$4,$A$4:$E$1021,5,FALSE))-E196)^2))</f>
        <v/>
      </c>
    </row>
    <row r="197">
      <c r="A197" s="125" t="inlineStr">
        <is>
          <t>W21X73</t>
        </is>
      </c>
      <c r="B197" s="129" t="inlineStr">
        <is>
          <t>AISC</t>
        </is>
      </c>
      <c r="C197" s="125" t="n">
        <v>109</v>
      </c>
      <c r="D197" s="125" t="n">
        <v>539.5</v>
      </c>
      <c r="E197" s="125" t="n">
        <v>210.8</v>
      </c>
      <c r="F197" s="125" t="n">
        <v>18.8</v>
      </c>
      <c r="G197" s="125" t="n">
        <v>11.6</v>
      </c>
      <c r="H197" s="125" t="n">
        <v>12.7</v>
      </c>
      <c r="I197" s="125" t="n">
        <v>476.5</v>
      </c>
      <c r="J197" s="125" t="n">
        <v>139</v>
      </c>
      <c r="K197" s="125" t="n">
        <v>5.61</v>
      </c>
      <c r="L197" s="125" t="n">
        <v>41.1</v>
      </c>
      <c r="M197" s="125" t="n">
        <v>1.88</v>
      </c>
      <c r="N197" s="125" t="n">
        <v>66820</v>
      </c>
      <c r="O197" s="125" t="n">
        <v>2943</v>
      </c>
      <c r="P197" s="125" t="n">
        <v>21.9</v>
      </c>
      <c r="Q197" s="125" t="n">
        <v>4.6</v>
      </c>
      <c r="R197" s="125" t="n">
        <v>2477</v>
      </c>
      <c r="S197" s="125" t="n">
        <v>279</v>
      </c>
      <c r="T197" s="125">
        <f>(((E197*D197*D197)/4)-(((E197-G197)*(D197-F197-F197)*(D197-F197-F197))/4)+(4*(H197*H197*(D197/2-F197-(H197/2))-((PI()*H197*H197)/4*((D197/2)-F197-(H197-((4*H197)/(3*PI()))))))))/1000</f>
        <v/>
      </c>
      <c r="U197" s="125">
        <f>(((D197*E197*E197)/4)-(2*((D197-F197-F197)*(E197/2-(G197/2))*(((E197/2-(G197/2))/2)+(G197/2))))+(4*(((H197*H197)-(((PI()*H197*H197)/4)))*((H197-((4*H197)/(3*PI())))+(G197/2)))))/1000</f>
        <v/>
      </c>
      <c r="V197" s="125" t="n">
        <v>2828</v>
      </c>
      <c r="W197" s="125" t="n">
        <v>436</v>
      </c>
      <c r="Y197">
        <f>SQRT((((VLOOKUP($X$4,$A$4:$D$1021,4,FALSE))-D197)^2)+(((VLOOKUP($X$4,$A$4:$E$1021,5,FALSE))-E197)^2))</f>
        <v/>
      </c>
    </row>
    <row r="198">
      <c r="A198" s="125" t="inlineStr">
        <is>
          <t>W21X82</t>
        </is>
      </c>
      <c r="B198" s="129" t="inlineStr">
        <is>
          <t>AISC</t>
        </is>
      </c>
      <c r="C198" s="125" t="n">
        <v>122</v>
      </c>
      <c r="D198" s="125" t="n">
        <v>544.5</v>
      </c>
      <c r="E198" s="125" t="n">
        <v>211.9</v>
      </c>
      <c r="F198" s="125" t="n">
        <v>21.3</v>
      </c>
      <c r="G198" s="125" t="n">
        <v>12.7</v>
      </c>
      <c r="H198" s="125" t="n">
        <v>12.7</v>
      </c>
      <c r="I198" s="125" t="n">
        <v>476.5</v>
      </c>
      <c r="J198" s="125" t="n">
        <v>155</v>
      </c>
      <c r="K198" s="125" t="n">
        <v>4.97</v>
      </c>
      <c r="L198" s="125" t="n">
        <v>37.5</v>
      </c>
      <c r="M198" s="125" t="n">
        <v>1.89</v>
      </c>
      <c r="N198" s="125" t="n">
        <v>76040</v>
      </c>
      <c r="O198" s="125" t="n">
        <v>3388</v>
      </c>
      <c r="P198" s="125" t="n">
        <v>22.1</v>
      </c>
      <c r="Q198" s="125" t="n">
        <v>4.67</v>
      </c>
      <c r="R198" s="125" t="n">
        <v>2793</v>
      </c>
      <c r="S198" s="125" t="n">
        <v>320</v>
      </c>
      <c r="T198" s="125">
        <f>(((E198*D198*D198)/4)-(((E198-G198)*(D198-F198-F198)*(D198-F198-F198))/4)+(4*(H198*H198*(D198/2-F198-(H198/2))-((PI()*H198*H198)/4*((D198/2)-F198-(H198-((4*H198)/(3*PI()))))))))/1000</f>
        <v/>
      </c>
      <c r="U198" s="125">
        <f>(((D198*E198*E198)/4)-(2*((D198-F198-F198)*(E198/2-(G198/2))*(((E198/2-(G198/2))/2)+(G198/2))))+(4*(((H198*H198)-(((PI()*H198*H198)/4)))*((H198-((4*H198)/(3*PI())))+(G198/2)))))/1000</f>
        <v/>
      </c>
      <c r="V198" s="125" t="n">
        <v>3196</v>
      </c>
      <c r="W198" s="125" t="n">
        <v>500</v>
      </c>
      <c r="Y198">
        <f>SQRT((((VLOOKUP($X$4,$A$4:$D$1021,4,FALSE))-D198)^2)+(((VLOOKUP($X$4,$A$4:$E$1021,5,FALSE))-E198)^2))</f>
        <v/>
      </c>
    </row>
    <row r="199">
      <c r="A199" s="125" t="inlineStr">
        <is>
          <t>W21X83</t>
        </is>
      </c>
      <c r="B199" s="129" t="inlineStr">
        <is>
          <t>AISC</t>
        </is>
      </c>
      <c r="C199" s="125" t="n">
        <v>123.5</v>
      </c>
      <c r="D199" s="125" t="n">
        <v>544.3</v>
      </c>
      <c r="E199" s="125" t="n">
        <v>212.2</v>
      </c>
      <c r="F199" s="125" t="n">
        <v>21.2</v>
      </c>
      <c r="G199" s="125" t="n">
        <v>13.1</v>
      </c>
      <c r="H199" s="125" t="n">
        <v>12.7</v>
      </c>
      <c r="I199" s="125" t="n">
        <v>476.5</v>
      </c>
      <c r="J199" s="125" t="n">
        <v>157</v>
      </c>
      <c r="K199" s="125" t="n">
        <v>5</v>
      </c>
      <c r="L199" s="125" t="n">
        <v>36.4</v>
      </c>
      <c r="M199" s="125" t="n">
        <v>1.89</v>
      </c>
      <c r="N199" s="125" t="n">
        <v>76240</v>
      </c>
      <c r="O199" s="125" t="n">
        <v>3389</v>
      </c>
      <c r="P199" s="125" t="n">
        <v>22</v>
      </c>
      <c r="Q199" s="125" t="n">
        <v>4.65</v>
      </c>
      <c r="R199" s="125" t="n">
        <v>2801</v>
      </c>
      <c r="S199" s="125" t="n">
        <v>319</v>
      </c>
      <c r="T199" s="125">
        <f>(((E199*D199*D199)/4)-(((E199-G199)*(D199-F199-F199)*(D199-F199-F199))/4)+(4*(H199*H199*(D199/2-F199-(H199/2))-((PI()*H199*H199)/4*((D199/2)-F199-(H199-((4*H199)/(3*PI()))))))))/1000</f>
        <v/>
      </c>
      <c r="U199" s="125">
        <f>(((D199*E199*E199)/4)-(2*((D199-F199-F199)*(E199/2-(G199/2))*(((E199/2-(G199/2))/2)+(G199/2))))+(4*(((H199*H199)-(((PI()*H199*H199)/4)))*((H199-((4*H199)/(3*PI())))+(G199/2)))))/1000</f>
        <v/>
      </c>
      <c r="V199" s="125" t="n">
        <v>3212</v>
      </c>
      <c r="W199" s="125" t="n">
        <v>500</v>
      </c>
      <c r="Y199">
        <f>SQRT((((VLOOKUP($X$4,$A$4:$D$1021,4,FALSE))-D199)^2)+(((VLOOKUP($X$4,$A$4:$E$1021,5,FALSE))-E199)^2))</f>
        <v/>
      </c>
    </row>
    <row r="200">
      <c r="A200" s="125" t="inlineStr">
        <is>
          <t>W21X93</t>
        </is>
      </c>
      <c r="B200" s="129" t="inlineStr">
        <is>
          <t>AISC</t>
        </is>
      </c>
      <c r="C200" s="125" t="n">
        <v>138.4</v>
      </c>
      <c r="D200" s="125" t="n">
        <v>549.1</v>
      </c>
      <c r="E200" s="125" t="n">
        <v>213.9</v>
      </c>
      <c r="F200" s="125" t="n">
        <v>23.6</v>
      </c>
      <c r="G200" s="125" t="n">
        <v>14.7</v>
      </c>
      <c r="H200" s="125" t="n">
        <v>12.7</v>
      </c>
      <c r="I200" s="125" t="n">
        <v>476.5</v>
      </c>
      <c r="J200" s="125" t="n">
        <v>176</v>
      </c>
      <c r="K200" s="125" t="n">
        <v>4.53</v>
      </c>
      <c r="L200" s="125" t="n">
        <v>32.3</v>
      </c>
      <c r="M200" s="125" t="n">
        <v>1.9</v>
      </c>
      <c r="N200" s="125" t="n">
        <v>86170</v>
      </c>
      <c r="O200" s="125" t="n">
        <v>3868</v>
      </c>
      <c r="P200" s="125" t="n">
        <v>22.1</v>
      </c>
      <c r="Q200" s="125" t="n">
        <v>4.68</v>
      </c>
      <c r="R200" s="125" t="n">
        <v>3139</v>
      </c>
      <c r="S200" s="125" t="n">
        <v>362</v>
      </c>
      <c r="T200" s="125">
        <f>(((E200*D200*D200)/4)-(((E200-G200)*(D200-F200-F200)*(D200-F200-F200))/4)+(4*(H200*H200*(D200/2-F200-(H200/2))-((PI()*H200*H200)/4*((D200/2)-F200-(H200-((4*H200)/(3*PI()))))))))/1000</f>
        <v/>
      </c>
      <c r="U200" s="125">
        <f>(((D200*E200*E200)/4)-(2*((D200-F200-F200)*(E200/2-(G200/2))*(((E200/2-(G200/2))/2)+(G200/2))))+(4*(((H200*H200)-(((PI()*H200*H200)/4)))*((H200-((4*H200)/(3*PI())))+(G200/2)))))/1000</f>
        <v/>
      </c>
      <c r="V200" s="125" t="n">
        <v>3617</v>
      </c>
      <c r="W200" s="125" t="n">
        <v>569</v>
      </c>
      <c r="Y200">
        <f>SQRT((((VLOOKUP($X$4,$A$4:$D$1021,4,FALSE))-D200)^2)+(((VLOOKUP($X$4,$A$4:$E$1021,5,FALSE))-E200)^2))</f>
        <v/>
      </c>
    </row>
    <row r="201">
      <c r="A201" s="125" t="inlineStr">
        <is>
          <t>W21X101</t>
        </is>
      </c>
      <c r="B201" s="129" t="inlineStr">
        <is>
          <t>AISC</t>
        </is>
      </c>
      <c r="C201" s="125" t="n">
        <v>150.3</v>
      </c>
      <c r="D201" s="125" t="n">
        <v>542.5</v>
      </c>
      <c r="E201" s="125" t="n">
        <v>312.2</v>
      </c>
      <c r="F201" s="125" t="n">
        <v>20.3</v>
      </c>
      <c r="G201" s="125" t="n">
        <v>12.7</v>
      </c>
      <c r="H201" s="125" t="n">
        <v>12.7</v>
      </c>
      <c r="I201" s="125" t="n">
        <v>476.5</v>
      </c>
      <c r="J201" s="125" t="n">
        <v>192</v>
      </c>
      <c r="K201" s="125" t="n">
        <v>7.68</v>
      </c>
      <c r="L201" s="125" t="n">
        <v>37.5</v>
      </c>
      <c r="M201" s="125" t="n">
        <v>2.29</v>
      </c>
      <c r="N201" s="125" t="n">
        <v>100800</v>
      </c>
      <c r="O201" s="125" t="n">
        <v>10320</v>
      </c>
      <c r="P201" s="125" t="n">
        <v>22.9</v>
      </c>
      <c r="Q201" s="125" t="n">
        <v>7.33</v>
      </c>
      <c r="R201" s="125" t="n">
        <v>3715</v>
      </c>
      <c r="S201" s="125" t="n">
        <v>661</v>
      </c>
      <c r="T201" s="125">
        <f>(((E201*D201*D201)/4)-(((E201-G201)*(D201-F201-F201)*(D201-F201-F201))/4)+(4*(H201*H201*(D201/2-F201-(H201/2))-((PI()*H201*H201)/4*((D201/2)-F201-(H201-((4*H201)/(3*PI()))))))))/1000</f>
        <v/>
      </c>
      <c r="U201" s="125">
        <f>(((D201*E201*E201)/4)-(2*((D201-F201-F201)*(E201/2-(G201/2))*(((E201/2-(G201/2))/2)+(G201/2))))+(4*(((H201*H201)-(((PI()*H201*H201)/4)))*((H201-((4*H201)/(3*PI())))+(G201/2)))))/1000</f>
        <v/>
      </c>
      <c r="V201" s="125" t="n">
        <v>4147</v>
      </c>
      <c r="W201" s="125" t="n">
        <v>1012</v>
      </c>
      <c r="Y201">
        <f>SQRT((((VLOOKUP($X$4,$A$4:$D$1021,4,FALSE))-D201)^2)+(((VLOOKUP($X$4,$A$4:$E$1021,5,FALSE))-E201)^2))</f>
        <v/>
      </c>
    </row>
    <row r="202">
      <c r="A202" s="125" t="inlineStr">
        <is>
          <t>W21X111</t>
        </is>
      </c>
      <c r="B202" s="129" t="inlineStr">
        <is>
          <t>AISC</t>
        </is>
      </c>
      <c r="C202" s="125" t="n">
        <v>165.2</v>
      </c>
      <c r="D202" s="125" t="n">
        <v>546.4</v>
      </c>
      <c r="E202" s="125" t="n">
        <v>313.4</v>
      </c>
      <c r="F202" s="125" t="n">
        <v>22.2</v>
      </c>
      <c r="G202" s="125" t="n">
        <v>14</v>
      </c>
      <c r="H202" s="125" t="n">
        <v>12.7</v>
      </c>
      <c r="I202" s="125" t="n">
        <v>476.6</v>
      </c>
      <c r="J202" s="125" t="n">
        <v>211</v>
      </c>
      <c r="K202" s="125" t="n">
        <v>7.05</v>
      </c>
      <c r="L202" s="125" t="n">
        <v>34.1</v>
      </c>
      <c r="M202" s="125" t="n">
        <v>2.3</v>
      </c>
      <c r="N202" s="125" t="n">
        <v>111300</v>
      </c>
      <c r="O202" s="125" t="n">
        <v>11410</v>
      </c>
      <c r="P202" s="125" t="n">
        <v>23</v>
      </c>
      <c r="Q202" s="125" t="n">
        <v>7.36</v>
      </c>
      <c r="R202" s="125" t="n">
        <v>4074</v>
      </c>
      <c r="S202" s="125" t="n">
        <v>728</v>
      </c>
      <c r="T202" s="125">
        <f>(((E202*D202*D202)/4)-(((E202-G202)*(D202-F202-F202)*(D202-F202-F202))/4)+(4*(H202*H202*(D202/2-F202-(H202/2))-((PI()*H202*H202)/4*((D202/2)-F202-(H202-((4*H202)/(3*PI()))))))))/1000</f>
        <v/>
      </c>
      <c r="U202" s="125">
        <f>(((D202*E202*E202)/4)-(2*((D202-F202-F202)*(E202/2-(G202/2))*(((E202/2-(G202/2))/2)+(G202/2))))+(4*(((H202*H202)-(((PI()*H202*H202)/4)))*((H202-((4*H202)/(3*PI())))+(G202/2)))))/1000</f>
        <v/>
      </c>
      <c r="V202" s="125" t="n">
        <v>4565</v>
      </c>
      <c r="W202" s="125" t="n">
        <v>1117</v>
      </c>
      <c r="Y202">
        <f>SQRT((((VLOOKUP($X$4,$A$4:$D$1021,4,FALSE))-D202)^2)+(((VLOOKUP($X$4,$A$4:$E$1021,5,FALSE))-E202)^2))</f>
        <v/>
      </c>
    </row>
    <row r="203">
      <c r="A203" s="125" t="inlineStr">
        <is>
          <t>W21X122</t>
        </is>
      </c>
      <c r="B203" s="129" t="inlineStr">
        <is>
          <t>AISC</t>
        </is>
      </c>
      <c r="C203" s="125" t="n">
        <v>181.6</v>
      </c>
      <c r="D203" s="125" t="n">
        <v>550.7</v>
      </c>
      <c r="E203" s="125" t="n">
        <v>314.7</v>
      </c>
      <c r="F203" s="125" t="n">
        <v>24.4</v>
      </c>
      <c r="G203" s="125" t="n">
        <v>15.2</v>
      </c>
      <c r="H203" s="125" t="n">
        <v>12.7</v>
      </c>
      <c r="I203" s="125" t="n">
        <v>476.5</v>
      </c>
      <c r="J203" s="125" t="n">
        <v>231</v>
      </c>
      <c r="K203" s="125" t="n">
        <v>6.45</v>
      </c>
      <c r="L203" s="125" t="n">
        <v>31.3</v>
      </c>
      <c r="M203" s="125" t="n">
        <v>2.31</v>
      </c>
      <c r="N203" s="125" t="n">
        <v>123300</v>
      </c>
      <c r="O203" s="125" t="n">
        <v>12680</v>
      </c>
      <c r="P203" s="125" t="n">
        <v>23.1</v>
      </c>
      <c r="Q203" s="125" t="n">
        <v>7.4</v>
      </c>
      <c r="R203" s="125" t="n">
        <v>4476</v>
      </c>
      <c r="S203" s="125" t="n">
        <v>806</v>
      </c>
      <c r="T203" s="125">
        <f>(((E203*D203*D203)/4)-(((E203-G203)*(D203-F203-F203)*(D203-F203-F203))/4)+(4*(H203*H203*(D203/2-F203-(H203/2))-((PI()*H203*H203)/4*((D203/2)-F203-(H203-((4*H203)/(3*PI()))))))))/1000</f>
        <v/>
      </c>
      <c r="U203" s="125">
        <f>(((D203*E203*E203)/4)-(2*((D203-F203-F203)*(E203/2-(G203/2))*(((E203/2-(G203/2))/2)+(G203/2))))+(4*(((H203*H203)-(((PI()*H203*H203)/4)))*((H203-((4*H203)/(3*PI())))+(G203/2)))))/1000</f>
        <v/>
      </c>
      <c r="V203" s="125" t="n">
        <v>5032</v>
      </c>
      <c r="W203" s="125" t="n">
        <v>1238</v>
      </c>
      <c r="Y203">
        <f>SQRT((((VLOOKUP($X$4,$A$4:$D$1021,4,FALSE))-D203)^2)+(((VLOOKUP($X$4,$A$4:$E$1021,5,FALSE))-E203)^2))</f>
        <v/>
      </c>
    </row>
    <row r="204">
      <c r="A204" s="125" t="inlineStr">
        <is>
          <t>W21X132</t>
        </is>
      </c>
      <c r="B204" s="129" t="inlineStr">
        <is>
          <t>AISC</t>
        </is>
      </c>
      <c r="C204" s="125" t="n">
        <v>196.4</v>
      </c>
      <c r="D204" s="125" t="n">
        <v>554.5</v>
      </c>
      <c r="E204" s="125" t="n">
        <v>316</v>
      </c>
      <c r="F204" s="125" t="n">
        <v>26.3</v>
      </c>
      <c r="G204" s="125" t="n">
        <v>16.5</v>
      </c>
      <c r="H204" s="125" t="n">
        <v>12.7</v>
      </c>
      <c r="I204" s="125" t="n">
        <v>476.5</v>
      </c>
      <c r="J204" s="125" t="n">
        <v>250</v>
      </c>
      <c r="K204" s="125" t="n">
        <v>6.01</v>
      </c>
      <c r="L204" s="125" t="n">
        <v>28.9</v>
      </c>
      <c r="M204" s="125" t="n">
        <v>2.32</v>
      </c>
      <c r="N204" s="125" t="n">
        <v>134200</v>
      </c>
      <c r="O204" s="125" t="n">
        <v>13850</v>
      </c>
      <c r="P204" s="125" t="n">
        <v>23.2</v>
      </c>
      <c r="Q204" s="125" t="n">
        <v>7.44</v>
      </c>
      <c r="R204" s="125" t="n">
        <v>4842</v>
      </c>
      <c r="S204" s="125" t="n">
        <v>876</v>
      </c>
      <c r="T204" s="125">
        <f>(((E204*D204*D204)/4)-(((E204-G204)*(D204-F204-F204)*(D204-F204-F204))/4)+(4*(H204*H204*(D204/2-F204-(H204/2))-((PI()*H204*H204)/4*((D204/2)-F204-(H204-((4*H204)/(3*PI()))))))))/1000</f>
        <v/>
      </c>
      <c r="U204" s="125">
        <f>(((D204*E204*E204)/4)-(2*((D204-F204-F204)*(E204/2-(G204/2))*(((E204/2-(G204/2))/2)+(G204/2))))+(4*(((H204*H204)-(((PI()*H204*H204)/4)))*((H204-((4*H204)/(3*PI())))+(G204/2)))))/1000</f>
        <v/>
      </c>
      <c r="V204" s="125" t="n">
        <v>5462</v>
      </c>
      <c r="W204" s="125" t="n">
        <v>1348</v>
      </c>
      <c r="Y204">
        <f>SQRT((((VLOOKUP($X$4,$A$4:$D$1021,4,FALSE))-D204)^2)+(((VLOOKUP($X$4,$A$4:$E$1021,5,FALSE))-E204)^2))</f>
        <v/>
      </c>
    </row>
    <row r="205">
      <c r="A205" s="125" t="inlineStr">
        <is>
          <t>W21X147</t>
        </is>
      </c>
      <c r="B205" s="129" t="inlineStr">
        <is>
          <t>AISC</t>
        </is>
      </c>
      <c r="C205" s="125" t="n">
        <v>218.8</v>
      </c>
      <c r="D205" s="125" t="n">
        <v>560.3</v>
      </c>
      <c r="E205" s="125" t="n">
        <v>317.8</v>
      </c>
      <c r="F205" s="125" t="n">
        <v>29.2</v>
      </c>
      <c r="G205" s="125" t="n">
        <v>18.3</v>
      </c>
      <c r="H205" s="125" t="n">
        <v>12.7</v>
      </c>
      <c r="I205" s="125" t="n">
        <v>476.5</v>
      </c>
      <c r="J205" s="125" t="n">
        <v>279</v>
      </c>
      <c r="K205" s="125" t="n">
        <v>5.44</v>
      </c>
      <c r="L205" s="125" t="n">
        <v>26.1</v>
      </c>
      <c r="M205" s="125" t="n">
        <v>2.33</v>
      </c>
      <c r="N205" s="125" t="n">
        <v>151200</v>
      </c>
      <c r="O205" s="125" t="n">
        <v>15650</v>
      </c>
      <c r="P205" s="125" t="n">
        <v>23.3</v>
      </c>
      <c r="Q205" s="125" t="n">
        <v>7.49</v>
      </c>
      <c r="R205" s="125" t="n">
        <v>5396</v>
      </c>
      <c r="S205" s="125" t="n">
        <v>985</v>
      </c>
      <c r="T205" s="125">
        <f>(((E205*D205*D205)/4)-(((E205-G205)*(D205-F205-F205)*(D205-F205-F205))/4)+(4*(H205*H205*(D205/2-F205-(H205/2))-((PI()*H205*H205)/4*((D205/2)-F205-(H205-((4*H205)/(3*PI()))))))))/1000</f>
        <v/>
      </c>
      <c r="U205" s="125">
        <f>(((D205*E205*E205)/4)-(2*((D205-F205-F205)*(E205/2-(G205/2))*(((E205/2-(G205/2))/2)+(G205/2))))+(4*(((H205*H205)-(((PI()*H205*H205)/4)))*((H205-((4*H205)/(3*PI())))+(G205/2)))))/1000</f>
        <v/>
      </c>
      <c r="V205" s="125" t="n">
        <v>6116</v>
      </c>
      <c r="W205" s="125" t="n">
        <v>1519</v>
      </c>
      <c r="Y205">
        <f>SQRT((((VLOOKUP($X$4,$A$4:$D$1021,4,FALSE))-D205)^2)+(((VLOOKUP($X$4,$A$4:$E$1021,5,FALSE))-E205)^2))</f>
        <v/>
      </c>
    </row>
    <row r="206">
      <c r="A206" s="125" t="inlineStr">
        <is>
          <t>W21X166</t>
        </is>
      </c>
      <c r="B206" s="129" t="inlineStr">
        <is>
          <t>AISC</t>
        </is>
      </c>
      <c r="C206" s="125" t="n">
        <v>247</v>
      </c>
      <c r="D206" s="125" t="n">
        <v>571</v>
      </c>
      <c r="E206" s="125" t="n">
        <v>315.5</v>
      </c>
      <c r="F206" s="125" t="n">
        <v>34.5</v>
      </c>
      <c r="G206" s="125" t="n">
        <v>19.1</v>
      </c>
      <c r="H206" s="125" t="n">
        <v>12.7</v>
      </c>
      <c r="I206" s="125" t="n">
        <v>476.5</v>
      </c>
      <c r="J206" s="125" t="n">
        <v>315</v>
      </c>
      <c r="K206" s="125" t="n">
        <v>4.57</v>
      </c>
      <c r="L206" s="125" t="n">
        <v>25</v>
      </c>
      <c r="M206" s="125" t="n">
        <v>2.34</v>
      </c>
      <c r="N206" s="125" t="n">
        <v>178000</v>
      </c>
      <c r="O206" s="125" t="n">
        <v>18110</v>
      </c>
      <c r="P206" s="125" t="n">
        <v>23.8</v>
      </c>
      <c r="Q206" s="125" t="n">
        <v>7.58</v>
      </c>
      <c r="R206" s="125" t="n">
        <v>6233</v>
      </c>
      <c r="S206" s="125" t="n">
        <v>1148</v>
      </c>
      <c r="T206" s="125">
        <f>(((E206*D206*D206)/4)-(((E206-G206)*(D206-F206-F206)*(D206-F206-F206))/4)+(4*(H206*H206*(D206/2-F206-(H206/2))-((PI()*H206*H206)/4*((D206/2)-F206-(H206-((4*H206)/(3*PI()))))))))/1000</f>
        <v/>
      </c>
      <c r="U206" s="125">
        <f>(((D206*E206*E206)/4)-(2*((D206-F206-F206)*(E206/2-(G206/2))*(((E206/2-(G206/2))/2)+(G206/2))))+(4*(((H206*H206)-(((PI()*H206*H206)/4)))*((H206-((4*H206)/(3*PI())))+(G206/2)))))/1000</f>
        <v/>
      </c>
      <c r="V206" s="125" t="n">
        <v>7080</v>
      </c>
      <c r="W206" s="125" t="n">
        <v>1766</v>
      </c>
      <c r="Y206">
        <f>SQRT((((VLOOKUP($X$4,$A$4:$D$1021,4,FALSE))-D206)^2)+(((VLOOKUP($X$4,$A$4:$E$1021,5,FALSE))-E206)^2))</f>
        <v/>
      </c>
    </row>
    <row r="207">
      <c r="A207" s="125" t="inlineStr">
        <is>
          <t>W21X182</t>
        </is>
      </c>
      <c r="B207" s="129" t="inlineStr">
        <is>
          <t>AISC</t>
        </is>
      </c>
      <c r="C207" s="125" t="n">
        <v>270.8</v>
      </c>
      <c r="D207" s="125" t="n">
        <v>577.1</v>
      </c>
      <c r="E207" s="125" t="n">
        <v>317.8</v>
      </c>
      <c r="F207" s="125" t="n">
        <v>37.6</v>
      </c>
      <c r="G207" s="125" t="n">
        <v>21.1</v>
      </c>
      <c r="H207" s="125" t="n">
        <v>12.7</v>
      </c>
      <c r="I207" s="125" t="n">
        <v>476.5</v>
      </c>
      <c r="J207" s="125" t="n">
        <v>346</v>
      </c>
      <c r="K207" s="125" t="n">
        <v>4.23</v>
      </c>
      <c r="L207" s="125" t="n">
        <v>22.6</v>
      </c>
      <c r="M207" s="125" t="n">
        <v>2.36</v>
      </c>
      <c r="N207" s="125" t="n">
        <v>197200</v>
      </c>
      <c r="O207" s="125" t="n">
        <v>20150</v>
      </c>
      <c r="P207" s="125" t="n">
        <v>23.9</v>
      </c>
      <c r="Q207" s="125" t="n">
        <v>7.63</v>
      </c>
      <c r="R207" s="125" t="n">
        <v>6834</v>
      </c>
      <c r="S207" s="125" t="n">
        <v>1268</v>
      </c>
      <c r="T207" s="125">
        <f>(((E207*D207*D207)/4)-(((E207-G207)*(D207-F207-F207)*(D207-F207-F207))/4)+(4*(H207*H207*(D207/2-F207-(H207/2))-((PI()*H207*H207)/4*((D207/2)-F207-(H207-((4*H207)/(3*PI()))))))))/1000</f>
        <v/>
      </c>
      <c r="U207" s="125">
        <f>(((D207*E207*E207)/4)-(2*((D207-F207-F207)*(E207/2-(G207/2))*(((E207/2-(G207/2))/2)+(G207/2))))+(4*(((H207*H207)-(((PI()*H207*H207)/4)))*((H207-((4*H207)/(3*PI())))+(G207/2)))))/1000</f>
        <v/>
      </c>
      <c r="V207" s="125" t="n">
        <v>7807</v>
      </c>
      <c r="W207" s="125" t="n">
        <v>1956</v>
      </c>
      <c r="Y207">
        <f>SQRT((((VLOOKUP($X$4,$A$4:$D$1021,4,FALSE))-D207)^2)+(((VLOOKUP($X$4,$A$4:$E$1021,5,FALSE))-E207)^2))</f>
        <v/>
      </c>
    </row>
    <row r="208">
      <c r="A208" s="125" t="inlineStr">
        <is>
          <t>W21X201</t>
        </is>
      </c>
      <c r="B208" s="129" t="inlineStr">
        <is>
          <t>AISC</t>
        </is>
      </c>
      <c r="C208" s="125" t="n">
        <v>300</v>
      </c>
      <c r="D208" s="125" t="n">
        <v>585</v>
      </c>
      <c r="E208" s="125" t="n">
        <v>319</v>
      </c>
      <c r="F208" s="125" t="n">
        <v>41.4</v>
      </c>
      <c r="G208" s="125" t="n">
        <v>23.1</v>
      </c>
      <c r="H208" s="125" t="n">
        <v>12.7</v>
      </c>
      <c r="I208" s="125" t="n">
        <v>476.8</v>
      </c>
      <c r="J208" s="125" t="n">
        <v>382</v>
      </c>
      <c r="K208" s="125" t="n">
        <v>3.85</v>
      </c>
      <c r="L208" s="125" t="n">
        <v>20.6</v>
      </c>
      <c r="M208" s="125" t="n">
        <v>2.38</v>
      </c>
      <c r="N208" s="125" t="n">
        <v>220700</v>
      </c>
      <c r="O208" s="125" t="n">
        <v>22450</v>
      </c>
      <c r="P208" s="125" t="n">
        <v>24.1</v>
      </c>
      <c r="Q208" s="125" t="n">
        <v>7.67</v>
      </c>
      <c r="R208" s="125" t="n">
        <v>7547</v>
      </c>
      <c r="S208" s="125" t="n">
        <v>1408</v>
      </c>
      <c r="T208" s="125">
        <f>(((E208*D208*D208)/4)-(((E208-G208)*(D208-F208-F208)*(D208-F208-F208))/4)+(4*(H208*H208*(D208/2-F208-(H208/2))-((PI()*H208*H208)/4*((D208/2)-F208-(H208-((4*H208)/(3*PI()))))))))/1000</f>
        <v/>
      </c>
      <c r="U208" s="125">
        <f>(((D208*E208*E208)/4)-(2*((D208-F208-F208)*(E208/2-(G208/2))*(((E208/2-(G208/2))/2)+(G208/2))))+(4*(((H208*H208)-(((PI()*H208*H208)/4)))*((H208-((4*H208)/(3*PI())))+(G208/2)))))/1000</f>
        <v/>
      </c>
      <c r="V208" s="125" t="n">
        <v>8670</v>
      </c>
      <c r="W208" s="125" t="n">
        <v>2175</v>
      </c>
      <c r="Y208">
        <f>SQRT((((VLOOKUP($X$4,$A$4:$D$1021,4,FALSE))-D208)^2)+(((VLOOKUP($X$4,$A$4:$E$1021,5,FALSE))-E208)^2))</f>
        <v/>
      </c>
    </row>
    <row r="209">
      <c r="A209" s="125" t="inlineStr">
        <is>
          <t>W21X223</t>
        </is>
      </c>
      <c r="B209" s="129" t="inlineStr">
        <is>
          <t>AISC</t>
        </is>
      </c>
      <c r="C209" s="125" t="n">
        <v>331</v>
      </c>
      <c r="D209" s="125" t="n">
        <v>593</v>
      </c>
      <c r="E209" s="125" t="n">
        <v>322</v>
      </c>
      <c r="F209" s="125" t="n">
        <v>45.5</v>
      </c>
      <c r="G209" s="125" t="n">
        <v>25.4</v>
      </c>
      <c r="H209" s="125" t="n">
        <v>12.7</v>
      </c>
      <c r="I209" s="125" t="n">
        <v>476.6</v>
      </c>
      <c r="J209" s="125" t="n">
        <v>422</v>
      </c>
      <c r="K209" s="125" t="n">
        <v>3.54</v>
      </c>
      <c r="L209" s="125" t="n">
        <v>18.8</v>
      </c>
      <c r="M209" s="125" t="n">
        <v>2.4</v>
      </c>
      <c r="N209" s="125" t="n">
        <v>247700</v>
      </c>
      <c r="O209" s="125" t="n">
        <v>25390</v>
      </c>
      <c r="P209" s="125" t="n">
        <v>24.2</v>
      </c>
      <c r="Q209" s="125" t="n">
        <v>7.76</v>
      </c>
      <c r="R209" s="125" t="n">
        <v>8355</v>
      </c>
      <c r="S209" s="125" t="n">
        <v>1577</v>
      </c>
      <c r="T209" s="125">
        <f>(((E209*D209*D209)/4)-(((E209-G209)*(D209-F209-F209)*(D209-F209-F209))/4)+(4*(H209*H209*(D209/2-F209-(H209/2))-((PI()*H209*H209)/4*((D209/2)-F209-(H209-((4*H209)/(3*PI()))))))))/1000</f>
        <v/>
      </c>
      <c r="U209" s="125">
        <f>(((D209*E209*E209)/4)-(2*((D209-F209-F209)*(E209/2-(G209/2))*(((E209/2-(G209/2))/2)+(G209/2))))+(4*(((H209*H209)-(((PI()*H209*H209)/4)))*((H209-((4*H209)/(3*PI())))+(G209/2)))))/1000</f>
        <v/>
      </c>
      <c r="V209" s="125" t="n">
        <v>9656</v>
      </c>
      <c r="W209" s="125" t="n">
        <v>2442</v>
      </c>
      <c r="Y209">
        <f>SQRT((((VLOOKUP($X$4,$A$4:$D$1021,4,FALSE))-D209)^2)+(((VLOOKUP($X$4,$A$4:$E$1021,5,FALSE))-E209)^2))</f>
        <v/>
      </c>
    </row>
    <row r="210">
      <c r="A210" s="125" t="inlineStr">
        <is>
          <t>W21X248</t>
        </is>
      </c>
      <c r="B210" s="129" t="inlineStr">
        <is>
          <t>AISC</t>
        </is>
      </c>
      <c r="C210" s="125" t="n">
        <v>370</v>
      </c>
      <c r="D210" s="125" t="n">
        <v>603</v>
      </c>
      <c r="E210" s="125" t="n">
        <v>324</v>
      </c>
      <c r="F210" s="125" t="n">
        <v>50.5</v>
      </c>
      <c r="G210" s="125" t="n">
        <v>26.2</v>
      </c>
      <c r="H210" s="125" t="n">
        <v>12.7</v>
      </c>
      <c r="I210" s="125" t="n">
        <v>476.6</v>
      </c>
      <c r="J210" s="125" t="n">
        <v>460</v>
      </c>
      <c r="K210" s="125" t="n">
        <v>3.21</v>
      </c>
      <c r="L210" s="125" t="n">
        <v>18.2</v>
      </c>
      <c r="M210" s="125" t="n">
        <v>2.43</v>
      </c>
      <c r="N210" s="125" t="n">
        <v>278900</v>
      </c>
      <c r="O210" s="125" t="n">
        <v>28710</v>
      </c>
      <c r="P210" s="125" t="n">
        <v>24.6</v>
      </c>
      <c r="Q210" s="125" t="n">
        <v>7.9</v>
      </c>
      <c r="R210" s="125" t="n">
        <v>9250</v>
      </c>
      <c r="S210" s="125" t="n">
        <v>1772</v>
      </c>
      <c r="T210" s="125">
        <f>(((E210*D210*D210)/4)-(((E210-G210)*(D210-F210-F210)*(D210-F210-F210))/4)+(4*(H210*H210*(D210/2-F210-(H210/2))-((PI()*H210*H210)/4*((D210/2)-F210-(H210-((4*H210)/(3*PI()))))))))/1000</f>
        <v/>
      </c>
      <c r="U210" s="125">
        <f>(((D210*E210*E210)/4)-(2*((D210-F210-F210)*(E210/2-(G210/2))*(((E210/2-(G210/2))/2)+(G210/2))))+(4*(((H210*H210)-(((PI()*H210*H210)/4)))*((H210-((4*H210)/(3*PI())))+(G210/2)))))/1000</f>
        <v/>
      </c>
      <c r="V210" s="125" t="n">
        <v>10730</v>
      </c>
      <c r="W210" s="125" t="n">
        <v>2739</v>
      </c>
      <c r="Y210">
        <f>SQRT((((VLOOKUP($X$4,$A$4:$D$1021,4,FALSE))-D210)^2)+(((VLOOKUP($X$4,$A$4:$E$1021,5,FALSE))-E210)^2))</f>
        <v/>
      </c>
    </row>
    <row r="211">
      <c r="A211" s="125" t="inlineStr">
        <is>
          <t>W21X275</t>
        </is>
      </c>
      <c r="B211" s="129" t="inlineStr">
        <is>
          <t>AISC</t>
        </is>
      </c>
      <c r="C211" s="125" t="n">
        <v>409</v>
      </c>
      <c r="D211" s="125" t="n">
        <v>613</v>
      </c>
      <c r="E211" s="125" t="n">
        <v>327</v>
      </c>
      <c r="F211" s="125" t="n">
        <v>55.6</v>
      </c>
      <c r="G211" s="125" t="n">
        <v>31</v>
      </c>
      <c r="H211" s="125" t="n">
        <v>12.7</v>
      </c>
      <c r="I211" s="125" t="n">
        <v>476.4</v>
      </c>
      <c r="J211" s="125" t="n">
        <v>521</v>
      </c>
      <c r="K211" s="125" t="n">
        <v>2.94</v>
      </c>
      <c r="L211" s="125" t="n">
        <v>15.4</v>
      </c>
      <c r="M211" s="125" t="n">
        <v>2.45</v>
      </c>
      <c r="N211" s="125" t="n">
        <v>316900</v>
      </c>
      <c r="O211" s="125" t="n">
        <v>32530</v>
      </c>
      <c r="P211" s="125" t="n">
        <v>24.7</v>
      </c>
      <c r="Q211" s="125" t="n">
        <v>7.91</v>
      </c>
      <c r="R211" s="125" t="n">
        <v>10340</v>
      </c>
      <c r="S211" s="125" t="n">
        <v>1990</v>
      </c>
      <c r="T211" s="125">
        <f>(((E211*D211*D211)/4)-(((E211-G211)*(D211-F211-F211)*(D211-F211-F211))/4)+(4*(H211*H211*(D211/2-F211-(H211/2))-((PI()*H211*H211)/4*((D211/2)-F211-(H211-((4*H211)/(3*PI()))))))))/1000</f>
        <v/>
      </c>
      <c r="U211" s="125">
        <f>(((D211*E211*E211)/4)-(2*((D211-F211-F211)*(E211/2-(G211/2))*(((E211/2-(G211/2))/2)+(G211/2))))+(4*(((H211*H211)-(((PI()*H211*H211)/4)))*((H211-((4*H211)/(3*PI())))+(G211/2)))))/1000</f>
        <v/>
      </c>
      <c r="V211" s="125" t="n">
        <v>12120</v>
      </c>
      <c r="W211" s="125" t="n">
        <v>3096</v>
      </c>
      <c r="Y211">
        <f>SQRT((((VLOOKUP($X$4,$A$4:$D$1021,4,FALSE))-D211)^2)+(((VLOOKUP($X$4,$A$4:$E$1021,5,FALSE))-E211)^2))</f>
        <v/>
      </c>
    </row>
    <row r="212">
      <c r="A212" s="125" t="inlineStr">
        <is>
          <t>W24X55</t>
        </is>
      </c>
      <c r="B212" s="129" t="inlineStr">
        <is>
          <t>AISC</t>
        </is>
      </c>
      <c r="C212" s="125" t="n">
        <v>81.90000000000001</v>
      </c>
      <c r="D212" s="125" t="n">
        <v>598.7</v>
      </c>
      <c r="E212" s="125" t="n">
        <v>177.9</v>
      </c>
      <c r="F212" s="125" t="n">
        <v>12.8</v>
      </c>
      <c r="G212" s="125" t="n">
        <v>10</v>
      </c>
      <c r="H212" s="125" t="n">
        <v>12.7</v>
      </c>
      <c r="I212" s="125" t="n">
        <v>547.6</v>
      </c>
      <c r="J212" s="125" t="n">
        <v>105</v>
      </c>
      <c r="K212" s="125" t="n">
        <v>6.93</v>
      </c>
      <c r="L212" s="125" t="n">
        <v>54.6</v>
      </c>
      <c r="M212" s="125" t="n">
        <v>1.87</v>
      </c>
      <c r="N212" s="125" t="n">
        <v>56020</v>
      </c>
      <c r="O212" s="125" t="n">
        <v>1210</v>
      </c>
      <c r="P212" s="125" t="n">
        <v>23.2</v>
      </c>
      <c r="Q212" s="125" t="n">
        <v>3.4</v>
      </c>
      <c r="R212" s="125" t="n">
        <v>1871</v>
      </c>
      <c r="S212" s="125" t="n">
        <v>136</v>
      </c>
      <c r="T212" s="125">
        <f>(((E212*D212*D212)/4)-(((E212-G212)*(D212-F212-F212)*(D212-F212-F212))/4)+(4*(H212*H212*(D212/2-F212-(H212/2))-((PI()*H212*H212)/4*((D212/2)-F212-(H212-((4*H212)/(3*PI()))))))))/1000</f>
        <v/>
      </c>
      <c r="U212" s="125">
        <f>(((D212*E212*E212)/4)-(2*((D212-F212-F212)*(E212/2-(G212/2))*(((E212/2-(G212/2))/2)+(G212/2))))+(4*(((H212*H212)-(((PI()*H212*H212)/4)))*((H212-((4*H212)/(3*PI())))+(G212/2)))))/1000</f>
        <v/>
      </c>
      <c r="V212" s="125" t="n">
        <v>2200</v>
      </c>
      <c r="W212" s="125" t="n">
        <v>219</v>
      </c>
      <c r="Y212">
        <f>SQRT((((VLOOKUP($X$4,$A$4:$D$1021,4,FALSE))-D212)^2)+(((VLOOKUP($X$4,$A$4:$E$1021,5,FALSE))-E212)^2))</f>
        <v/>
      </c>
    </row>
    <row r="213">
      <c r="A213" s="125" t="inlineStr">
        <is>
          <t>W24X61</t>
        </is>
      </c>
      <c r="B213" s="129" t="inlineStr">
        <is>
          <t>AISC</t>
        </is>
      </c>
      <c r="C213" s="125" t="n">
        <v>91</v>
      </c>
      <c r="D213" s="125" t="n">
        <v>602.5</v>
      </c>
      <c r="E213" s="125" t="n">
        <v>178.4</v>
      </c>
      <c r="F213" s="125" t="n">
        <v>15</v>
      </c>
      <c r="G213" s="125" t="n">
        <v>10.6</v>
      </c>
      <c r="H213" s="125" t="n">
        <v>12.7</v>
      </c>
      <c r="I213" s="125" t="n">
        <v>547.1</v>
      </c>
      <c r="J213" s="125" t="n">
        <v>116</v>
      </c>
      <c r="K213" s="125" t="n">
        <v>5.95</v>
      </c>
      <c r="L213" s="125" t="n">
        <v>51.6</v>
      </c>
      <c r="M213" s="125" t="n">
        <v>1.88</v>
      </c>
      <c r="N213" s="125" t="n">
        <v>63880</v>
      </c>
      <c r="O213" s="125" t="n">
        <v>1426</v>
      </c>
      <c r="P213" s="125" t="n">
        <v>23.5</v>
      </c>
      <c r="Q213" s="125" t="n">
        <v>3.51</v>
      </c>
      <c r="R213" s="125" t="n">
        <v>2120</v>
      </c>
      <c r="S213" s="125" t="n">
        <v>160</v>
      </c>
      <c r="T213" s="125">
        <f>(((E213*D213*D213)/4)-(((E213-G213)*(D213-F213-F213)*(D213-F213-F213))/4)+(4*(H213*H213*(D213/2-F213-(H213/2))-((PI()*H213*H213)/4*((D213/2)-F213-(H213-((4*H213)/(3*PI()))))))))/1000</f>
        <v/>
      </c>
      <c r="U213" s="125">
        <f>(((D213*E213*E213)/4)-(2*((D213-F213-F213)*(E213/2-(G213/2))*(((E213/2-(G213/2))/2)+(G213/2))))+(4*(((H213*H213)-(((PI()*H213*H213)/4)))*((H213-((4*H213)/(3*PI())))+(G213/2)))))/1000</f>
        <v/>
      </c>
      <c r="V213" s="125" t="n">
        <v>2480</v>
      </c>
      <c r="W213" s="125" t="n">
        <v>256</v>
      </c>
      <c r="Y213">
        <f>SQRT((((VLOOKUP($X$4,$A$4:$D$1021,4,FALSE))-D213)^2)+(((VLOOKUP($X$4,$A$4:$E$1021,5,FALSE))-E213)^2))</f>
        <v/>
      </c>
    </row>
    <row r="214">
      <c r="A214" s="125" t="inlineStr">
        <is>
          <t>W24X62</t>
        </is>
      </c>
      <c r="B214" s="129" t="inlineStr">
        <is>
          <t>AISC</t>
        </is>
      </c>
      <c r="C214" s="125" t="n">
        <v>92.3</v>
      </c>
      <c r="D214" s="125" t="n">
        <v>603</v>
      </c>
      <c r="E214" s="125" t="n">
        <v>178.8</v>
      </c>
      <c r="F214" s="125" t="n">
        <v>15</v>
      </c>
      <c r="G214" s="125" t="n">
        <v>10.9</v>
      </c>
      <c r="H214" s="125" t="n">
        <v>12.7</v>
      </c>
      <c r="I214" s="125" t="n">
        <v>547.6</v>
      </c>
      <c r="J214" s="125" t="n">
        <v>118</v>
      </c>
      <c r="K214" s="125" t="n">
        <v>5.96</v>
      </c>
      <c r="L214" s="125" t="n">
        <v>50.1</v>
      </c>
      <c r="M214" s="125" t="n">
        <v>1.88</v>
      </c>
      <c r="N214" s="125" t="n">
        <v>64580</v>
      </c>
      <c r="O214" s="125" t="n">
        <v>1436</v>
      </c>
      <c r="P214" s="125" t="n">
        <v>23.4</v>
      </c>
      <c r="Q214" s="125" t="n">
        <v>3.49</v>
      </c>
      <c r="R214" s="125" t="n">
        <v>2142</v>
      </c>
      <c r="S214" s="125" t="n">
        <v>161</v>
      </c>
      <c r="T214" s="125">
        <f>(((E214*D214*D214)/4)-(((E214-G214)*(D214-F214-F214)*(D214-F214-F214))/4)+(4*(H214*H214*(D214/2-F214-(H214/2))-((PI()*H214*H214)/4*((D214/2)-F214-(H214-((4*H214)/(3*PI()))))))))/1000</f>
        <v/>
      </c>
      <c r="U214" s="125">
        <f>(((D214*E214*E214)/4)-(2*((D214-F214-F214)*(E214/2-(G214/2))*(((E214/2-(G214/2))/2)+(G214/2))))+(4*(((H214*H214)-(((PI()*H214*H214)/4)))*((H214-((4*H214)/(3*PI())))+(G214/2)))))/1000</f>
        <v/>
      </c>
      <c r="V214" s="125" t="n">
        <v>2512</v>
      </c>
      <c r="W214" s="125" t="n">
        <v>258</v>
      </c>
      <c r="Y214">
        <f>SQRT((((VLOOKUP($X$4,$A$4:$D$1021,4,FALSE))-D214)^2)+(((VLOOKUP($X$4,$A$4:$E$1021,5,FALSE))-E214)^2))</f>
        <v/>
      </c>
    </row>
    <row r="215">
      <c r="A215" s="125" t="inlineStr">
        <is>
          <t>W24X68</t>
        </is>
      </c>
      <c r="B215" s="129" t="inlineStr">
        <is>
          <t>AISC</t>
        </is>
      </c>
      <c r="C215" s="125" t="n">
        <v>101.2</v>
      </c>
      <c r="D215" s="125" t="n">
        <v>602.6</v>
      </c>
      <c r="E215" s="125" t="n">
        <v>227.6</v>
      </c>
      <c r="F215" s="125" t="n">
        <v>14.8</v>
      </c>
      <c r="G215" s="125" t="n">
        <v>10.5</v>
      </c>
      <c r="H215" s="125" t="n">
        <v>12.7</v>
      </c>
      <c r="I215" s="125" t="n">
        <v>547.6</v>
      </c>
      <c r="J215" s="125" t="n">
        <v>129</v>
      </c>
      <c r="K215" s="125" t="n">
        <v>7.69</v>
      </c>
      <c r="L215" s="125" t="n">
        <v>52.2</v>
      </c>
      <c r="M215" s="125" t="n">
        <v>2.07</v>
      </c>
      <c r="N215" s="125" t="n">
        <v>75780</v>
      </c>
      <c r="O215" s="125" t="n">
        <v>2915</v>
      </c>
      <c r="P215" s="125" t="n">
        <v>24.2</v>
      </c>
      <c r="Q215" s="125" t="n">
        <v>4.76</v>
      </c>
      <c r="R215" s="125" t="n">
        <v>2515</v>
      </c>
      <c r="S215" s="125" t="n">
        <v>256</v>
      </c>
      <c r="T215" s="125">
        <f>(((E215*D215*D215)/4)-(((E215-G215)*(D215-F215-F215)*(D215-F215-F215))/4)+(4*(H215*H215*(D215/2-F215-(H215/2))-((PI()*H215*H215)/4*((D215/2)-F215-(H215-((4*H215)/(3*PI()))))))))/1000</f>
        <v/>
      </c>
      <c r="U215" s="125">
        <f>(((D215*E215*E215)/4)-(2*((D215-F215-F215)*(E215/2-(G215/2))*(((E215/2-(G215/2))/2)+(G215/2))))+(4*(((H215*H215)-(((PI()*H215*H215)/4)))*((H215-((4*H215)/(3*PI())))+(G215/2)))))/1000</f>
        <v/>
      </c>
      <c r="V215" s="125" t="n">
        <v>2881</v>
      </c>
      <c r="W215" s="125" t="n">
        <v>400</v>
      </c>
      <c r="Y215">
        <f>SQRT((((VLOOKUP($X$4,$A$4:$D$1021,4,FALSE))-D215)^2)+(((VLOOKUP($X$4,$A$4:$E$1021,5,FALSE))-E215)^2))</f>
        <v/>
      </c>
    </row>
    <row r="216">
      <c r="A216" s="125" t="inlineStr">
        <is>
          <t>W24X76</t>
        </is>
      </c>
      <c r="B216" s="129" t="inlineStr">
        <is>
          <t>AISC</t>
        </is>
      </c>
      <c r="C216" s="125" t="n">
        <v>113</v>
      </c>
      <c r="D216" s="125" t="n">
        <v>607.6</v>
      </c>
      <c r="E216" s="125" t="n">
        <v>228.2</v>
      </c>
      <c r="F216" s="125" t="n">
        <v>17.3</v>
      </c>
      <c r="G216" s="125" t="n">
        <v>11.1</v>
      </c>
      <c r="H216" s="125" t="n">
        <v>12.7</v>
      </c>
      <c r="I216" s="125" t="n">
        <v>547.6</v>
      </c>
      <c r="J216" s="125" t="n">
        <v>144</v>
      </c>
      <c r="K216" s="125" t="n">
        <v>6.6</v>
      </c>
      <c r="L216" s="125" t="n">
        <v>49.3</v>
      </c>
      <c r="M216" s="125" t="n">
        <v>2.08</v>
      </c>
      <c r="N216" s="125" t="n">
        <v>87320</v>
      </c>
      <c r="O216" s="125" t="n">
        <v>3434</v>
      </c>
      <c r="P216" s="125" t="n">
        <v>24.6</v>
      </c>
      <c r="Q216" s="125" t="n">
        <v>4.88</v>
      </c>
      <c r="R216" s="125" t="n">
        <v>2874</v>
      </c>
      <c r="S216" s="125" t="n">
        <v>301</v>
      </c>
      <c r="T216" s="125">
        <f>(((E216*D216*D216)/4)-(((E216-G216)*(D216-F216-F216)*(D216-F216-F216))/4)+(4*(H216*H216*(D216/2-F216-(H216/2))-((PI()*H216*H216)/4*((D216/2)-F216-(H216-((4*H216)/(3*PI()))))))))/1000</f>
        <v/>
      </c>
      <c r="U216" s="125">
        <f>(((D216*E216*E216)/4)-(2*((D216-F216-F216)*(E216/2-(G216/2))*(((E216/2-(G216/2))/2)+(G216/2))))+(4*(((H216*H216)-(((PI()*H216*H216)/4)))*((H216-((4*H216)/(3*PI())))+(G216/2)))))/1000</f>
        <v/>
      </c>
      <c r="V216" s="125" t="n">
        <v>3281</v>
      </c>
      <c r="W216" s="125" t="n">
        <v>469</v>
      </c>
      <c r="Y216">
        <f>SQRT((((VLOOKUP($X$4,$A$4:$D$1021,4,FALSE))-D216)^2)+(((VLOOKUP($X$4,$A$4:$E$1021,5,FALSE))-E216)^2))</f>
        <v/>
      </c>
    </row>
    <row r="217">
      <c r="A217" s="125" t="inlineStr">
        <is>
          <t>W24X84</t>
        </is>
      </c>
      <c r="B217" s="129" t="inlineStr">
        <is>
          <t>AISC</t>
        </is>
      </c>
      <c r="C217" s="125" t="n">
        <v>125.1</v>
      </c>
      <c r="D217" s="125" t="n">
        <v>612.2</v>
      </c>
      <c r="E217" s="125" t="n">
        <v>229</v>
      </c>
      <c r="F217" s="125" t="n">
        <v>19.3</v>
      </c>
      <c r="G217" s="125" t="n">
        <v>11.9</v>
      </c>
      <c r="H217" s="125" t="n">
        <v>12.7</v>
      </c>
      <c r="I217" s="125" t="n">
        <v>548.2</v>
      </c>
      <c r="J217" s="125" t="n">
        <v>158</v>
      </c>
      <c r="K217" s="125" t="n">
        <v>5.93</v>
      </c>
      <c r="L217" s="125" t="n">
        <v>46.1</v>
      </c>
      <c r="M217" s="125" t="n">
        <v>2.09</v>
      </c>
      <c r="N217" s="125" t="n">
        <v>97540</v>
      </c>
      <c r="O217" s="125" t="n">
        <v>3872</v>
      </c>
      <c r="P217" s="125" t="n">
        <v>24.8</v>
      </c>
      <c r="Q217" s="125" t="n">
        <v>4.95</v>
      </c>
      <c r="R217" s="125" t="n">
        <v>3187</v>
      </c>
      <c r="S217" s="125" t="n">
        <v>338</v>
      </c>
      <c r="T217" s="125">
        <f>(((E217*D217*D217)/4)-(((E217-G217)*(D217-F217-F217)*(D217-F217-F217))/4)+(4*(H217*H217*(D217/2-F217-(H217/2))-((PI()*H217*H217)/4*((D217/2)-F217-(H217-((4*H217)/(3*PI()))))))))/1000</f>
        <v/>
      </c>
      <c r="U217" s="125">
        <f>(((D217*E217*E217)/4)-(2*((D217-F217-F217)*(E217/2-(G217/2))*(((E217/2-(G217/2))/2)+(G217/2))))+(4*(((H217*H217)-(((PI()*H217*H217)/4)))*((H217-((4*H217)/(3*PI())))+(G217/2)))))/1000</f>
        <v/>
      </c>
      <c r="V217" s="125" t="n">
        <v>3639</v>
      </c>
      <c r="W217" s="125" t="n">
        <v>528</v>
      </c>
      <c r="Y217">
        <f>SQRT((((VLOOKUP($X$4,$A$4:$D$1021,4,FALSE))-D217)^2)+(((VLOOKUP($X$4,$A$4:$E$1021,5,FALSE))-E217)^2))</f>
        <v/>
      </c>
    </row>
    <row r="218">
      <c r="A218" s="125" t="inlineStr">
        <is>
          <t>W24X94</t>
        </is>
      </c>
      <c r="B218" s="129" t="inlineStr">
        <is>
          <t>AISC</t>
        </is>
      </c>
      <c r="C218" s="125" t="n">
        <v>139.9</v>
      </c>
      <c r="D218" s="125" t="n">
        <v>617.2</v>
      </c>
      <c r="E218" s="125" t="n">
        <v>230.2</v>
      </c>
      <c r="F218" s="125" t="n">
        <v>22.1</v>
      </c>
      <c r="G218" s="125" t="n">
        <v>13.1</v>
      </c>
      <c r="H218" s="125" t="n">
        <v>12.7</v>
      </c>
      <c r="I218" s="125" t="n">
        <v>547.6</v>
      </c>
      <c r="J218" s="125" t="n">
        <v>178</v>
      </c>
      <c r="K218" s="125" t="n">
        <v>5.21</v>
      </c>
      <c r="L218" s="125" t="n">
        <v>41.8</v>
      </c>
      <c r="M218" s="125" t="n">
        <v>2.11</v>
      </c>
      <c r="N218" s="125" t="n">
        <v>111800</v>
      </c>
      <c r="O218" s="125" t="n">
        <v>4505</v>
      </c>
      <c r="P218" s="125" t="n">
        <v>25</v>
      </c>
      <c r="Q218" s="125" t="n">
        <v>5.03</v>
      </c>
      <c r="R218" s="125" t="n">
        <v>3622</v>
      </c>
      <c r="S218" s="125" t="n">
        <v>391</v>
      </c>
      <c r="T218" s="125">
        <f>(((E218*D218*D218)/4)-(((E218-G218)*(D218-F218-F218)*(D218-F218-F218))/4)+(4*(H218*H218*(D218/2-F218-(H218/2))-((PI()*H218*H218)/4*((D218/2)-F218-(H218-((4*H218)/(3*PI()))))))))/1000</f>
        <v/>
      </c>
      <c r="U218" s="125">
        <f>(((D218*E218*E218)/4)-(2*((D218-F218-F218)*(E218/2-(G218/2))*(((E218/2-(G218/2))/2)+(G218/2))))+(4*(((H218*H218)-(((PI()*H218*H218)/4)))*((H218-((4*H218)/(3*PI())))+(G218/2)))))/1000</f>
        <v/>
      </c>
      <c r="V218" s="125" t="n">
        <v>4142</v>
      </c>
      <c r="W218" s="125" t="n">
        <v>611</v>
      </c>
      <c r="Y218">
        <f>SQRT((((VLOOKUP($X$4,$A$4:$D$1021,4,FALSE))-D218)^2)+(((VLOOKUP($X$4,$A$4:$E$1021,5,FALSE))-E218)^2))</f>
        <v/>
      </c>
    </row>
    <row r="219">
      <c r="A219" s="125" t="inlineStr">
        <is>
          <t>W24X103</t>
        </is>
      </c>
      <c r="B219" s="129" t="inlineStr">
        <is>
          <t>AISC</t>
        </is>
      </c>
      <c r="C219" s="125" t="n">
        <v>153</v>
      </c>
      <c r="D219" s="125" t="n">
        <v>623.1</v>
      </c>
      <c r="E219" s="125" t="n">
        <v>228.6</v>
      </c>
      <c r="F219" s="125" t="n">
        <v>24.9</v>
      </c>
      <c r="G219" s="125" t="n">
        <v>14</v>
      </c>
      <c r="H219" s="125" t="n">
        <v>12.7</v>
      </c>
      <c r="I219" s="125" t="n">
        <v>547.9</v>
      </c>
      <c r="J219" s="125" t="n">
        <v>195</v>
      </c>
      <c r="K219" s="125" t="n">
        <v>4.59</v>
      </c>
      <c r="L219" s="125" t="n">
        <v>39.1</v>
      </c>
      <c r="M219" s="125" t="n">
        <v>2.11</v>
      </c>
      <c r="N219" s="125" t="n">
        <v>125000</v>
      </c>
      <c r="O219" s="125" t="n">
        <v>4972</v>
      </c>
      <c r="P219" s="125" t="n">
        <v>25.3</v>
      </c>
      <c r="Q219" s="125" t="n">
        <v>5.04</v>
      </c>
      <c r="R219" s="125" t="n">
        <v>4012</v>
      </c>
      <c r="S219" s="125" t="n">
        <v>435</v>
      </c>
      <c r="T219" s="125">
        <f>(((E219*D219*D219)/4)-(((E219-G219)*(D219-F219-F219)*(D219-F219-F219))/4)+(4*(H219*H219*(D219/2-F219-(H219/2))-((PI()*H219*H219)/4*((D219/2)-F219-(H219-((4*H219)/(3*PI()))))))))/1000</f>
        <v/>
      </c>
      <c r="U219" s="125">
        <f>(((D219*E219*E219)/4)-(2*((D219-F219-F219)*(E219/2-(G219/2))*(((E219/2-(G219/2))/2)+(G219/2))))+(4*(((H219*H219)-(((PI()*H219*H219)/4)))*((H219-((4*H219)/(3*PI())))+(G219/2)))))/1000</f>
        <v/>
      </c>
      <c r="V219" s="125" t="n">
        <v>4595</v>
      </c>
      <c r="W219" s="125" t="n">
        <v>680</v>
      </c>
      <c r="Y219">
        <f>SQRT((((VLOOKUP($X$4,$A$4:$D$1021,4,FALSE))-D219)^2)+(((VLOOKUP($X$4,$A$4:$E$1021,5,FALSE))-E219)^2))</f>
        <v/>
      </c>
    </row>
    <row r="220">
      <c r="A220" s="125" t="inlineStr">
        <is>
          <t>W24X114</t>
        </is>
      </c>
      <c r="B220" s="129" t="inlineStr">
        <is>
          <t>AISC</t>
        </is>
      </c>
      <c r="C220" s="125" t="n">
        <v>171</v>
      </c>
      <c r="D220" s="125" t="n">
        <v>628.9</v>
      </c>
      <c r="E220" s="125" t="n">
        <v>229.9</v>
      </c>
      <c r="F220" s="125" t="n">
        <v>27.9</v>
      </c>
      <c r="G220" s="125" t="n">
        <v>15.5</v>
      </c>
      <c r="H220" s="125" t="n">
        <v>12.7</v>
      </c>
      <c r="I220" s="125" t="n">
        <v>547.7</v>
      </c>
      <c r="J220" s="125" t="n">
        <v>218</v>
      </c>
      <c r="K220" s="125" t="n">
        <v>4.12</v>
      </c>
      <c r="L220" s="125" t="n">
        <v>35.3</v>
      </c>
      <c r="M220" s="125" t="n">
        <v>2.12</v>
      </c>
      <c r="N220" s="125" t="n">
        <v>141400</v>
      </c>
      <c r="O220" s="125" t="n">
        <v>5670</v>
      </c>
      <c r="P220" s="125" t="n">
        <v>25.4</v>
      </c>
      <c r="Q220" s="125" t="n">
        <v>5.09</v>
      </c>
      <c r="R220" s="125" t="n">
        <v>4495</v>
      </c>
      <c r="S220" s="125" t="n">
        <v>493</v>
      </c>
      <c r="T220" s="125">
        <f>(((E220*D220*D220)/4)-(((E220-G220)*(D220-F220-F220)*(D220-F220-F220))/4)+(4*(H220*H220*(D220/2-F220-(H220/2))-((PI()*H220*H220)/4*((D220/2)-F220-(H220-((4*H220)/(3*PI()))))))))/1000</f>
        <v/>
      </c>
      <c r="U220" s="125">
        <f>(((D220*E220*E220)/4)-(2*((D220-F220-F220)*(E220/2-(G220/2))*(((E220/2-(G220/2))/2)+(G220/2))))+(4*(((H220*H220)-(((PI()*H220*H220)/4)))*((H220-((4*H220)/(3*PI())))+(G220/2)))))/1000</f>
        <v/>
      </c>
      <c r="V220" s="125" t="n">
        <v>5167</v>
      </c>
      <c r="W220" s="125" t="n">
        <v>773</v>
      </c>
      <c r="Y220">
        <f>SQRT((((VLOOKUP($X$4,$A$4:$D$1021,4,FALSE))-D220)^2)+(((VLOOKUP($X$4,$A$4:$E$1021,5,FALSE))-E220)^2))</f>
        <v/>
      </c>
    </row>
    <row r="221">
      <c r="A221" s="125" t="inlineStr">
        <is>
          <t>W24X128</t>
        </is>
      </c>
      <c r="B221" s="129" t="inlineStr">
        <is>
          <t>AISC</t>
        </is>
      </c>
      <c r="C221" s="125" t="n">
        <v>191</v>
      </c>
      <c r="D221" s="125" t="n">
        <v>635</v>
      </c>
      <c r="E221" s="125" t="n">
        <v>231.5</v>
      </c>
      <c r="F221" s="125" t="n">
        <v>30.9</v>
      </c>
      <c r="G221" s="125" t="n">
        <v>17</v>
      </c>
      <c r="H221" s="125" t="n">
        <v>12.7</v>
      </c>
      <c r="I221" s="125" t="n">
        <v>547.8</v>
      </c>
      <c r="J221" s="125" t="n">
        <v>242</v>
      </c>
      <c r="K221" s="125" t="n">
        <v>3.75</v>
      </c>
      <c r="L221" s="125" t="n">
        <v>32.2</v>
      </c>
      <c r="M221" s="125" t="n">
        <v>2.14</v>
      </c>
      <c r="N221" s="125" t="n">
        <v>158400</v>
      </c>
      <c r="O221" s="125" t="n">
        <v>6415</v>
      </c>
      <c r="P221" s="125" t="n">
        <v>25.6</v>
      </c>
      <c r="Q221" s="125" t="n">
        <v>5.15</v>
      </c>
      <c r="R221" s="125" t="n">
        <v>4990</v>
      </c>
      <c r="S221" s="125" t="n">
        <v>554</v>
      </c>
      <c r="T221" s="125">
        <f>(((E221*D221*D221)/4)-(((E221-G221)*(D221-F221-F221)*(D221-F221-F221))/4)+(4*(H221*H221*(D221/2-F221-(H221/2))-((PI()*H221*H221)/4*((D221/2)-F221-(H221-((4*H221)/(3*PI()))))))))/1000</f>
        <v/>
      </c>
      <c r="U221" s="125">
        <f>(((D221*E221*E221)/4)-(2*((D221-F221-F221)*(E221/2-(G221/2))*(((E221/2-(G221/2))/2)+(G221/2))))+(4*(((H221*H221)-(((PI()*H221*H221)/4)))*((H221-((4*H221)/(3*PI())))+(G221/2)))))/1000</f>
        <v/>
      </c>
      <c r="V221" s="125" t="n">
        <v>5757</v>
      </c>
      <c r="W221" s="125" t="n">
        <v>871</v>
      </c>
      <c r="Y221">
        <f>SQRT((((VLOOKUP($X$4,$A$4:$D$1021,4,FALSE))-D221)^2)+(((VLOOKUP($X$4,$A$4:$E$1021,5,FALSE))-E221)^2))</f>
        <v/>
      </c>
    </row>
    <row r="222">
      <c r="A222" s="125" t="inlineStr">
        <is>
          <t>W24X146</t>
        </is>
      </c>
      <c r="B222" s="129" t="inlineStr">
        <is>
          <t>AISC</t>
        </is>
      </c>
      <c r="C222" s="125" t="n">
        <v>217</v>
      </c>
      <c r="D222" s="125" t="n">
        <v>643.1</v>
      </c>
      <c r="E222" s="125" t="n">
        <v>234.1</v>
      </c>
      <c r="F222" s="125" t="n">
        <v>35.1</v>
      </c>
      <c r="G222" s="125" t="n">
        <v>19.6</v>
      </c>
      <c r="H222" s="125" t="n">
        <v>12.7</v>
      </c>
      <c r="I222" s="125" t="n">
        <v>547.5</v>
      </c>
      <c r="J222" s="125" t="n">
        <v>278</v>
      </c>
      <c r="K222" s="125" t="n">
        <v>3.33</v>
      </c>
      <c r="L222" s="125" t="n">
        <v>27.9</v>
      </c>
      <c r="M222" s="125" t="n">
        <v>2.16</v>
      </c>
      <c r="N222" s="125" t="n">
        <v>183900</v>
      </c>
      <c r="O222" s="125" t="n">
        <v>7544</v>
      </c>
      <c r="P222" s="125" t="n">
        <v>25.7</v>
      </c>
      <c r="Q222" s="125" t="n">
        <v>5.21</v>
      </c>
      <c r="R222" s="125" t="n">
        <v>5718</v>
      </c>
      <c r="S222" s="125" t="n">
        <v>644</v>
      </c>
      <c r="T222" s="125">
        <f>(((E222*D222*D222)/4)-(((E222-G222)*(D222-F222-F222)*(D222-F222-F222))/4)+(4*(H222*H222*(D222/2-F222-(H222/2))-((PI()*H222*H222)/4*((D222/2)-F222-(H222-((4*H222)/(3*PI()))))))))/1000</f>
        <v/>
      </c>
      <c r="U222" s="125">
        <f>(((D222*E222*E222)/4)-(2*((D222-F222-F222)*(E222/2-(G222/2))*(((E222/2-(G222/2))/2)+(G222/2))))+(4*(((H222*H222)-(((PI()*H222*H222)/4)))*((H222-((4*H222)/(3*PI())))+(G222/2)))))/1000</f>
        <v/>
      </c>
      <c r="V222" s="125" t="n">
        <v>6643</v>
      </c>
      <c r="W222" s="125" t="n">
        <v>1019</v>
      </c>
      <c r="Y222">
        <f>SQRT((((VLOOKUP($X$4,$A$4:$D$1021,4,FALSE))-D222)^2)+(((VLOOKUP($X$4,$A$4:$E$1021,5,FALSE))-E222)^2))</f>
        <v/>
      </c>
    </row>
    <row r="223">
      <c r="A223" s="125" t="inlineStr">
        <is>
          <t>W24X163</t>
        </is>
      </c>
      <c r="B223" s="129" t="inlineStr">
        <is>
          <t>AISC</t>
        </is>
      </c>
      <c r="C223" s="125" t="n">
        <v>243</v>
      </c>
      <c r="D223" s="125" t="n">
        <v>651</v>
      </c>
      <c r="E223" s="125" t="n">
        <v>235.9</v>
      </c>
      <c r="F223" s="125" t="n">
        <v>39.1</v>
      </c>
      <c r="G223" s="125" t="n">
        <v>21.6</v>
      </c>
      <c r="H223" s="125" t="n">
        <v>12.7</v>
      </c>
      <c r="I223" s="125" t="n">
        <v>547.4</v>
      </c>
      <c r="J223" s="125" t="n">
        <v>310</v>
      </c>
      <c r="K223" s="125" t="n">
        <v>3.02</v>
      </c>
      <c r="L223" s="125" t="n">
        <v>25.3</v>
      </c>
      <c r="M223" s="125" t="n">
        <v>2.18</v>
      </c>
      <c r="N223" s="125" t="n">
        <v>207900</v>
      </c>
      <c r="O223" s="125" t="n">
        <v>8606</v>
      </c>
      <c r="P223" s="125" t="n">
        <v>25.9</v>
      </c>
      <c r="Q223" s="125" t="n">
        <v>5.27</v>
      </c>
      <c r="R223" s="125" t="n">
        <v>6386</v>
      </c>
      <c r="S223" s="125" t="n">
        <v>730</v>
      </c>
      <c r="T223" s="125">
        <f>(((E223*D223*D223)/4)-(((E223-G223)*(D223-F223-F223)*(D223-F223-F223))/4)+(4*(H223*H223*(D223/2-F223-(H223/2))-((PI()*H223*H223)/4*((D223/2)-F223-(H223-((4*H223)/(3*PI()))))))))/1000</f>
        <v/>
      </c>
      <c r="U223" s="125">
        <f>(((D223*E223*E223)/4)-(2*((D223-F223-F223)*(E223/2-(G223/2))*(((E223/2-(G223/2))/2)+(G223/2))))+(4*(((H223*H223)-(((PI()*H223*H223)/4)))*((H223-((4*H223)/(3*PI())))+(G223/2)))))/1000</f>
        <v/>
      </c>
      <c r="V223" s="125" t="n">
        <v>7455</v>
      </c>
      <c r="W223" s="125" t="n">
        <v>1157</v>
      </c>
      <c r="Y223">
        <f>SQRT((((VLOOKUP($X$4,$A$4:$D$1021,4,FALSE))-D223)^2)+(((VLOOKUP($X$4,$A$4:$E$1021,5,FALSE))-E223)^2))</f>
        <v/>
      </c>
    </row>
    <row r="224">
      <c r="A224" s="125" t="inlineStr">
        <is>
          <t>W24X181</t>
        </is>
      </c>
      <c r="B224" s="129" t="inlineStr">
        <is>
          <t>AISC</t>
        </is>
      </c>
      <c r="C224" s="125" t="n">
        <v>270</v>
      </c>
      <c r="D224" s="125" t="n">
        <v>658.6</v>
      </c>
      <c r="E224" s="125" t="n">
        <v>238.5</v>
      </c>
      <c r="F224" s="125" t="n">
        <v>42.9</v>
      </c>
      <c r="G224" s="125" t="n">
        <v>23.9</v>
      </c>
      <c r="H224" s="125" t="n">
        <v>12.7</v>
      </c>
      <c r="I224" s="125" t="n">
        <v>547.4</v>
      </c>
      <c r="J224" s="125" t="n">
        <v>343</v>
      </c>
      <c r="K224" s="125" t="n">
        <v>2.78</v>
      </c>
      <c r="L224" s="125" t="n">
        <v>22.9</v>
      </c>
      <c r="M224" s="125" t="n">
        <v>2.2</v>
      </c>
      <c r="N224" s="125" t="n">
        <v>232800</v>
      </c>
      <c r="O224" s="125" t="n">
        <v>9768</v>
      </c>
      <c r="P224" s="125" t="n">
        <v>26.1</v>
      </c>
      <c r="Q224" s="125" t="n">
        <v>5.34</v>
      </c>
      <c r="R224" s="125" t="n">
        <v>7069</v>
      </c>
      <c r="S224" s="125" t="n">
        <v>819</v>
      </c>
      <c r="T224" s="125">
        <f>(((E224*D224*D224)/4)-(((E224-G224)*(D224-F224-F224)*(D224-F224-F224))/4)+(4*(H224*H224*(D224/2-F224-(H224/2))-((PI()*H224*H224)/4*((D224/2)-F224-(H224-((4*H224)/(3*PI()))))))))/1000</f>
        <v/>
      </c>
      <c r="U224" s="125">
        <f>(((D224*E224*E224)/4)-(2*((D224-F224-F224)*(E224/2-(G224/2))*(((E224/2-(G224/2))/2)+(G224/2))))+(4*(((H224*H224)-(((PI()*H224*H224)/4)))*((H224-((4*H224)/(3*PI())))+(G224/2)))))/1000</f>
        <v/>
      </c>
      <c r="V224" s="125" t="n">
        <v>8299</v>
      </c>
      <c r="W224" s="125" t="n">
        <v>1304</v>
      </c>
      <c r="Y224">
        <f>SQRT((((VLOOKUP($X$4,$A$4:$D$1021,4,FALSE))-D224)^2)+(((VLOOKUP($X$4,$A$4:$E$1021,5,FALSE))-E224)^2))</f>
        <v/>
      </c>
    </row>
    <row r="225">
      <c r="A225" s="125" t="inlineStr">
        <is>
          <t>W24X198</t>
        </is>
      </c>
      <c r="B225" s="129" t="inlineStr">
        <is>
          <t>AISC</t>
        </is>
      </c>
      <c r="C225" s="125" t="n">
        <v>295</v>
      </c>
      <c r="D225" s="125" t="n">
        <v>667</v>
      </c>
      <c r="E225" s="125" t="n">
        <v>240.5</v>
      </c>
      <c r="F225" s="125" t="n">
        <v>47</v>
      </c>
      <c r="G225" s="125" t="n">
        <v>25.9</v>
      </c>
      <c r="H225" s="125" t="n">
        <v>12.7</v>
      </c>
      <c r="I225" s="125" t="n">
        <v>547.6</v>
      </c>
      <c r="J225" s="125" t="n">
        <v>376</v>
      </c>
      <c r="K225" s="125" t="n">
        <v>2.56</v>
      </c>
      <c r="L225" s="125" t="n">
        <v>21.1</v>
      </c>
      <c r="M225" s="125" t="n">
        <v>2.22</v>
      </c>
      <c r="N225" s="125" t="n">
        <v>259400</v>
      </c>
      <c r="O225" s="125" t="n">
        <v>10980</v>
      </c>
      <c r="P225" s="125" t="n">
        <v>26.3</v>
      </c>
      <c r="Q225" s="125" t="n">
        <v>5.41</v>
      </c>
      <c r="R225" s="125" t="n">
        <v>7778</v>
      </c>
      <c r="S225" s="125" t="n">
        <v>913</v>
      </c>
      <c r="T225" s="125">
        <f>(((E225*D225*D225)/4)-(((E225-G225)*(D225-F225-F225)*(D225-F225-F225))/4)+(4*(H225*H225*(D225/2-F225-(H225/2))-((PI()*H225*H225)/4*((D225/2)-F225-(H225-((4*H225)/(3*PI()))))))))/1000</f>
        <v/>
      </c>
      <c r="U225" s="125">
        <f>(((D225*E225*E225)/4)-(2*((D225-F225-F225)*(E225/2-(G225/2))*(((E225/2-(G225/2))/2)+(G225/2))))+(4*(((H225*H225)-(((PI()*H225*H225)/4)))*((H225-((4*H225)/(3*PI())))+(G225/2)))))/1000</f>
        <v/>
      </c>
      <c r="V225" s="125" t="n">
        <v>9173</v>
      </c>
      <c r="W225" s="125" t="n">
        <v>1458</v>
      </c>
      <c r="Y225">
        <f>SQRT((((VLOOKUP($X$4,$A$4:$D$1021,4,FALSE))-D225)^2)+(((VLOOKUP($X$4,$A$4:$E$1021,5,FALSE))-E225)^2))</f>
        <v/>
      </c>
    </row>
    <row r="226">
      <c r="A226" s="125" t="inlineStr">
        <is>
          <t>W24X218</t>
        </is>
      </c>
      <c r="B226" s="129" t="inlineStr">
        <is>
          <t>AISC</t>
        </is>
      </c>
      <c r="C226" s="125" t="n">
        <v>325</v>
      </c>
      <c r="D226" s="125" t="n">
        <v>675.1</v>
      </c>
      <c r="E226" s="125" t="n">
        <v>243.1</v>
      </c>
      <c r="F226" s="125" t="n">
        <v>51</v>
      </c>
      <c r="G226" s="125" t="n">
        <v>28.4</v>
      </c>
      <c r="H226" s="125" t="n">
        <v>12.7</v>
      </c>
      <c r="I226" s="125" t="n">
        <v>547.7</v>
      </c>
      <c r="J226" s="125" t="n">
        <v>412</v>
      </c>
      <c r="K226" s="125" t="n">
        <v>2.38</v>
      </c>
      <c r="L226" s="125" t="n">
        <v>19.3</v>
      </c>
      <c r="M226" s="125" t="n">
        <v>2.24</v>
      </c>
      <c r="N226" s="125" t="n">
        <v>287700</v>
      </c>
      <c r="O226" s="125" t="n">
        <v>12330</v>
      </c>
      <c r="P226" s="125" t="n">
        <v>26.4</v>
      </c>
      <c r="Q226" s="125" t="n">
        <v>5.47</v>
      </c>
      <c r="R226" s="125" t="n">
        <v>8522</v>
      </c>
      <c r="S226" s="125" t="n">
        <v>1014</v>
      </c>
      <c r="T226" s="125">
        <f>(((E226*D226*D226)/4)-(((E226-G226)*(D226-F226-F226)*(D226-F226-F226))/4)+(4*(H226*H226*(D226/2-F226-(H226/2))-((PI()*H226*H226)/4*((D226/2)-F226-(H226-((4*H226)/(3*PI()))))))))/1000</f>
        <v/>
      </c>
      <c r="U226" s="125">
        <f>(((D226*E226*E226)/4)-(2*((D226-F226-F226)*(E226/2-(G226/2))*(((E226/2-(G226/2))/2)+(G226/2))))+(4*(((H226*H226)-(((PI()*H226*H226)/4)))*((H226-((4*H226)/(3*PI())))+(G226/2)))))/1000</f>
        <v/>
      </c>
      <c r="V226" s="125" t="n">
        <v>10110</v>
      </c>
      <c r="W226" s="125" t="n">
        <v>1625</v>
      </c>
      <c r="Y226">
        <f>SQRT((((VLOOKUP($X$4,$A$4:$D$1021,4,FALSE))-D226)^2)+(((VLOOKUP($X$4,$A$4:$E$1021,5,FALSE))-E226)^2))</f>
        <v/>
      </c>
    </row>
    <row r="227">
      <c r="A227" s="125" t="inlineStr">
        <is>
          <t>W24X239</t>
        </is>
      </c>
      <c r="B227" s="129" t="inlineStr">
        <is>
          <t>AISC</t>
        </is>
      </c>
      <c r="C227" s="125" t="n">
        <v>356</v>
      </c>
      <c r="D227" s="125" t="n">
        <v>685</v>
      </c>
      <c r="E227" s="125" t="n">
        <v>245.6</v>
      </c>
      <c r="F227" s="125" t="n">
        <v>55.9</v>
      </c>
      <c r="G227" s="125" t="n">
        <v>31</v>
      </c>
      <c r="H227" s="125" t="n">
        <v>12.7</v>
      </c>
      <c r="I227" s="125" t="n">
        <v>547.8</v>
      </c>
      <c r="J227" s="125" t="n">
        <v>454</v>
      </c>
      <c r="K227" s="125" t="n">
        <v>2.2</v>
      </c>
      <c r="L227" s="125" t="n">
        <v>17.7</v>
      </c>
      <c r="M227" s="125" t="n">
        <v>2.27</v>
      </c>
      <c r="N227" s="125" t="n">
        <v>322200</v>
      </c>
      <c r="O227" s="125" t="n">
        <v>13950</v>
      </c>
      <c r="P227" s="125" t="n">
        <v>26.6</v>
      </c>
      <c r="Q227" s="125" t="n">
        <v>5.55</v>
      </c>
      <c r="R227" s="125" t="n">
        <v>9406</v>
      </c>
      <c r="S227" s="125" t="n">
        <v>1136</v>
      </c>
      <c r="T227" s="125">
        <f>(((E227*D227*D227)/4)-(((E227-G227)*(D227-F227-F227)*(D227-F227-F227))/4)+(4*(H227*H227*(D227/2-F227-(H227/2))-((PI()*H227*H227)/4*((D227/2)-F227-(H227-((4*H227)/(3*PI()))))))))/1000</f>
        <v/>
      </c>
      <c r="U227" s="125">
        <f>(((D227*E227*E227)/4)-(2*((D227-F227-F227)*(E227/2-(G227/2))*(((E227/2-(G227/2))/2)+(G227/2))))+(4*(((H227*H227)-(((PI()*H227*H227)/4)))*((H227-((4*H227)/(3*PI())))+(G227/2)))))/1000</f>
        <v/>
      </c>
      <c r="V227" s="125" t="n">
        <v>11220</v>
      </c>
      <c r="W227" s="125" t="n">
        <v>1826</v>
      </c>
      <c r="Y227">
        <f>SQRT((((VLOOKUP($X$4,$A$4:$D$1021,4,FALSE))-D227)^2)+(((VLOOKUP($X$4,$A$4:$E$1021,5,FALSE))-E227)^2))</f>
        <v/>
      </c>
    </row>
    <row r="228">
      <c r="A228" s="125" t="inlineStr">
        <is>
          <t>W24X100</t>
        </is>
      </c>
      <c r="B228" s="129" t="inlineStr">
        <is>
          <t>AISC</t>
        </is>
      </c>
      <c r="C228" s="125" t="n">
        <v>149.1</v>
      </c>
      <c r="D228" s="125" t="n">
        <v>612.4</v>
      </c>
      <c r="E228" s="125" t="n">
        <v>304.8</v>
      </c>
      <c r="F228" s="125" t="n">
        <v>19.7</v>
      </c>
      <c r="G228" s="125" t="n">
        <v>11.8</v>
      </c>
      <c r="H228" s="125" t="n">
        <v>16.5</v>
      </c>
      <c r="I228" s="125" t="n">
        <v>540</v>
      </c>
      <c r="J228" s="125" t="n">
        <v>190</v>
      </c>
      <c r="K228" s="125" t="n">
        <v>7.74</v>
      </c>
      <c r="L228" s="125" t="n">
        <v>45.8</v>
      </c>
      <c r="M228" s="125" t="n">
        <v>2.39</v>
      </c>
      <c r="N228" s="125" t="n">
        <v>125900</v>
      </c>
      <c r="O228" s="125" t="n">
        <v>9308</v>
      </c>
      <c r="P228" s="125" t="n">
        <v>25.7</v>
      </c>
      <c r="Q228" s="125" t="n">
        <v>7</v>
      </c>
      <c r="R228" s="125" t="n">
        <v>4111</v>
      </c>
      <c r="S228" s="125" t="n">
        <v>611</v>
      </c>
      <c r="T228" s="125">
        <f>(((E228*D228*D228)/4)-(((E228-G228)*(D228-F228-F228)*(D228-F228-F228))/4)+(4*(H228*H228*(D228/2-F228-(H228/2))-((PI()*H228*H228)/4*((D228/2)-F228-(H228-((4*H228)/(3*PI()))))))))/1000</f>
        <v/>
      </c>
      <c r="U228" s="125">
        <f>(((D228*E228*E228)/4)-(2*((D228-F228-F228)*(E228/2-(G228/2))*(((E228/2-(G228/2))/2)+(G228/2))))+(4*(((H228*H228)-(((PI()*H228*H228)/4)))*((H228-((4*H228)/(3*PI())))+(G228/2)))))/1000</f>
        <v/>
      </c>
      <c r="V228" s="125" t="n">
        <v>4594</v>
      </c>
      <c r="W228" s="125" t="n">
        <v>937</v>
      </c>
      <c r="Y228">
        <f>SQRT((((VLOOKUP($X$4,$A$4:$D$1021,4,FALSE))-D228)^2)+(((VLOOKUP($X$4,$A$4:$E$1021,5,FALSE))-E228)^2))</f>
        <v/>
      </c>
    </row>
    <row r="229">
      <c r="A229" s="125" t="inlineStr">
        <is>
          <t>W24X120</t>
        </is>
      </c>
      <c r="B229" s="129" t="inlineStr">
        <is>
          <t>AISC</t>
        </is>
      </c>
      <c r="C229" s="125" t="n">
        <v>179</v>
      </c>
      <c r="D229" s="125" t="n">
        <v>620.2</v>
      </c>
      <c r="E229" s="125" t="n">
        <v>307.1</v>
      </c>
      <c r="F229" s="125" t="n">
        <v>23.6</v>
      </c>
      <c r="G229" s="125" t="n">
        <v>14.1</v>
      </c>
      <c r="H229" s="125" t="n">
        <v>16.5</v>
      </c>
      <c r="I229" s="125" t="n">
        <v>540</v>
      </c>
      <c r="J229" s="125" t="n">
        <v>228</v>
      </c>
      <c r="K229" s="125" t="n">
        <v>6.51</v>
      </c>
      <c r="L229" s="125" t="n">
        <v>38.3</v>
      </c>
      <c r="M229" s="125" t="n">
        <v>2.41</v>
      </c>
      <c r="N229" s="125" t="n">
        <v>153000</v>
      </c>
      <c r="O229" s="125" t="n">
        <v>11410</v>
      </c>
      <c r="P229" s="125" t="n">
        <v>25.9</v>
      </c>
      <c r="Q229" s="125" t="n">
        <v>7.07</v>
      </c>
      <c r="R229" s="125" t="n">
        <v>4935</v>
      </c>
      <c r="S229" s="125" t="n">
        <v>743</v>
      </c>
      <c r="T229" s="125">
        <f>(((E229*D229*D229)/4)-(((E229-G229)*(D229-F229-F229)*(D229-F229-F229))/4)+(4*(H229*H229*(D229/2-F229-(H229/2))-((PI()*H229*H229)/4*((D229/2)-F229-(H229-((4*H229)/(3*PI()))))))))/1000</f>
        <v/>
      </c>
      <c r="U229" s="125">
        <f>(((D229*E229*E229)/4)-(2*((D229-F229-F229)*(E229/2-(G229/2))*(((E229/2-(G229/2))/2)+(G229/2))))+(4*(((H229*H229)-(((PI()*H229*H229)/4)))*((H229-((4*H229)/(3*PI())))+(G229/2)))))/1000</f>
        <v/>
      </c>
      <c r="V229" s="125" t="n">
        <v>5547</v>
      </c>
      <c r="W229" s="125" t="n">
        <v>1144</v>
      </c>
      <c r="Y229">
        <f>SQRT((((VLOOKUP($X$4,$A$4:$D$1021,4,FALSE))-D229)^2)+(((VLOOKUP($X$4,$A$4:$E$1021,5,FALSE))-E229)^2))</f>
        <v/>
      </c>
    </row>
    <row r="230">
      <c r="A230" s="125" t="inlineStr">
        <is>
          <t>W24X160</t>
        </is>
      </c>
      <c r="B230" s="129" t="inlineStr">
        <is>
          <t>AISC</t>
        </is>
      </c>
      <c r="C230" s="125" t="n">
        <v>238.1</v>
      </c>
      <c r="D230" s="125" t="n">
        <v>635.8</v>
      </c>
      <c r="E230" s="125" t="n">
        <v>311.4</v>
      </c>
      <c r="F230" s="125" t="n">
        <v>31.4</v>
      </c>
      <c r="G230" s="125" t="n">
        <v>18.4</v>
      </c>
      <c r="H230" s="125" t="n">
        <v>16.5</v>
      </c>
      <c r="I230" s="125" t="n">
        <v>540</v>
      </c>
      <c r="J230" s="125" t="n">
        <v>303</v>
      </c>
      <c r="K230" s="125" t="n">
        <v>4.96</v>
      </c>
      <c r="L230" s="125" t="n">
        <v>29.3</v>
      </c>
      <c r="M230" s="125" t="n">
        <v>2.45</v>
      </c>
      <c r="N230" s="125" t="n">
        <v>209500</v>
      </c>
      <c r="O230" s="125" t="n">
        <v>15840</v>
      </c>
      <c r="P230" s="125" t="n">
        <v>26.3</v>
      </c>
      <c r="Q230" s="125" t="n">
        <v>7.23</v>
      </c>
      <c r="R230" s="125" t="n">
        <v>6589</v>
      </c>
      <c r="S230" s="125" t="n">
        <v>1017</v>
      </c>
      <c r="T230" s="125">
        <f>(((E230*D230*D230)/4)-(((E230-G230)*(D230-F230-F230)*(D230-F230-F230))/4)+(4*(H230*H230*(D230/2-F230-(H230/2))-((PI()*H230*H230)/4*((D230/2)-F230-(H230-((4*H230)/(3*PI()))))))))/1000</f>
        <v/>
      </c>
      <c r="U230" s="125">
        <f>(((D230*E230*E230)/4)-(2*((D230-F230-F230)*(E230/2-(G230/2))*(((E230/2-(G230/2))/2)+(G230/2))))+(4*(((H230*H230)-(((PI()*H230*H230)/4)))*((H230-((4*H230)/(3*PI())))+(G230/2)))))/1000</f>
        <v/>
      </c>
      <c r="V230" s="125" t="n">
        <v>7486</v>
      </c>
      <c r="W230" s="125" t="n">
        <v>1574</v>
      </c>
      <c r="Y230">
        <f>SQRT((((VLOOKUP($X$4,$A$4:$D$1021,4,FALSE))-D230)^2)+(((VLOOKUP($X$4,$A$4:$E$1021,5,FALSE))-E230)^2))</f>
        <v/>
      </c>
    </row>
    <row r="231">
      <c r="A231" s="125" t="inlineStr">
        <is>
          <t>W24X104</t>
        </is>
      </c>
      <c r="B231" s="129" t="inlineStr">
        <is>
          <t>AISC</t>
        </is>
      </c>
      <c r="C231" s="125" t="n">
        <v>154.8</v>
      </c>
      <c r="D231" s="125" t="n">
        <v>611.1</v>
      </c>
      <c r="E231" s="125" t="n">
        <v>323.8</v>
      </c>
      <c r="F231" s="125" t="n">
        <v>19.1</v>
      </c>
      <c r="G231" s="125" t="n">
        <v>12.7</v>
      </c>
      <c r="H231" s="125" t="n">
        <v>12.7</v>
      </c>
      <c r="I231" s="125" t="n">
        <v>547.6</v>
      </c>
      <c r="J231" s="125" t="n">
        <v>198</v>
      </c>
      <c r="K231" s="125" t="n">
        <v>8.5</v>
      </c>
      <c r="L231" s="125" t="n">
        <v>43.1</v>
      </c>
      <c r="M231" s="125" t="n">
        <v>2.47</v>
      </c>
      <c r="N231" s="125" t="n">
        <v>129200</v>
      </c>
      <c r="O231" s="125" t="n">
        <v>10790</v>
      </c>
      <c r="P231" s="125" t="n">
        <v>25.6</v>
      </c>
      <c r="Q231" s="125" t="n">
        <v>7.39</v>
      </c>
      <c r="R231" s="125" t="n">
        <v>4227</v>
      </c>
      <c r="S231" s="125" t="n">
        <v>666</v>
      </c>
      <c r="T231" s="125">
        <f>(((E231*D231*D231)/4)-(((E231-G231)*(D231-F231-F231)*(D231-F231-F231))/4)+(4*(H231*H231*(D231/2-F231-(H231/2))-((PI()*H231*H231)/4*((D231/2)-F231-(H231-((4*H231)/(3*PI()))))))))/1000</f>
        <v/>
      </c>
      <c r="U231" s="125">
        <f>(((D231*E231*E231)/4)-(2*((D231-F231-F231)*(E231/2-(G231/2))*(((E231/2-(G231/2))/2)+(G231/2))))+(4*(((H231*H231)-(((PI()*H231*H231)/4)))*((H231-((4*H231)/(3*PI())))+(G231/2)))))/1000</f>
        <v/>
      </c>
      <c r="V231" s="125" t="n">
        <v>4734</v>
      </c>
      <c r="W231" s="125" t="n">
        <v>1023</v>
      </c>
      <c r="Y231">
        <f>SQRT((((VLOOKUP($X$4,$A$4:$D$1021,4,FALSE))-D231)^2)+(((VLOOKUP($X$4,$A$4:$E$1021,5,FALSE))-E231)^2))</f>
        <v/>
      </c>
    </row>
    <row r="232">
      <c r="A232" s="125" t="inlineStr">
        <is>
          <t>W24X117</t>
        </is>
      </c>
      <c r="B232" s="129" t="inlineStr">
        <is>
          <t>AISC</t>
        </is>
      </c>
      <c r="C232" s="125" t="n">
        <v>174.1</v>
      </c>
      <c r="D232" s="125" t="n">
        <v>616.2</v>
      </c>
      <c r="E232" s="125" t="n">
        <v>325.1</v>
      </c>
      <c r="F232" s="125" t="n">
        <v>21.6</v>
      </c>
      <c r="G232" s="125" t="n">
        <v>14</v>
      </c>
      <c r="H232" s="125" t="n">
        <v>12.7</v>
      </c>
      <c r="I232" s="125" t="n">
        <v>547.6</v>
      </c>
      <c r="J232" s="125" t="n">
        <v>222</v>
      </c>
      <c r="K232" s="125" t="n">
        <v>7.53</v>
      </c>
      <c r="L232" s="125" t="n">
        <v>39.2</v>
      </c>
      <c r="M232" s="125" t="n">
        <v>2.48</v>
      </c>
      <c r="N232" s="125" t="n">
        <v>147200</v>
      </c>
      <c r="O232" s="125" t="n">
        <v>12380</v>
      </c>
      <c r="P232" s="125" t="n">
        <v>25.8</v>
      </c>
      <c r="Q232" s="125" t="n">
        <v>7.47</v>
      </c>
      <c r="R232" s="125" t="n">
        <v>4776</v>
      </c>
      <c r="S232" s="125" t="n">
        <v>762</v>
      </c>
      <c r="T232" s="125">
        <f>(((E232*D232*D232)/4)-(((E232-G232)*(D232-F232-F232)*(D232-F232-F232))/4)+(4*(H232*H232*(D232/2-F232-(H232/2))-((PI()*H232*H232)/4*((D232/2)-F232-(H232-((4*H232)/(3*PI()))))))))/1000</f>
        <v/>
      </c>
      <c r="U232" s="125">
        <f>(((D232*E232*E232)/4)-(2*((D232-F232-F232)*(E232/2-(G232/2))*(((E232/2-(G232/2))/2)+(G232/2))))+(4*(((H232*H232)-(((PI()*H232*H232)/4)))*((H232-((4*H232)/(3*PI())))+(G232/2)))))/1000</f>
        <v/>
      </c>
      <c r="V232" s="125" t="n">
        <v>5360</v>
      </c>
      <c r="W232" s="125" t="n">
        <v>1170</v>
      </c>
      <c r="Y232">
        <f>SQRT((((VLOOKUP($X$4,$A$4:$D$1021,4,FALSE))-D232)^2)+(((VLOOKUP($X$4,$A$4:$E$1021,5,FALSE))-E232)^2))</f>
        <v/>
      </c>
    </row>
    <row r="233">
      <c r="A233" s="125" t="inlineStr">
        <is>
          <t>W24X131</t>
        </is>
      </c>
      <c r="B233" s="129" t="inlineStr">
        <is>
          <t>AISC</t>
        </is>
      </c>
      <c r="C233" s="125" t="n">
        <v>194.9</v>
      </c>
      <c r="D233" s="125" t="n">
        <v>621.8</v>
      </c>
      <c r="E233" s="125" t="n">
        <v>326.5</v>
      </c>
      <c r="F233" s="125" t="n">
        <v>24.4</v>
      </c>
      <c r="G233" s="125" t="n">
        <v>15.4</v>
      </c>
      <c r="H233" s="125" t="n">
        <v>12.7</v>
      </c>
      <c r="I233" s="125" t="n">
        <v>547.6</v>
      </c>
      <c r="J233" s="125" t="n">
        <v>249</v>
      </c>
      <c r="K233" s="125" t="n">
        <v>6.7</v>
      </c>
      <c r="L233" s="125" t="n">
        <v>35.6</v>
      </c>
      <c r="M233" s="125" t="n">
        <v>2.5</v>
      </c>
      <c r="N233" s="125" t="n">
        <v>167300</v>
      </c>
      <c r="O233" s="125" t="n">
        <v>14160</v>
      </c>
      <c r="P233" s="125" t="n">
        <v>25.9</v>
      </c>
      <c r="Q233" s="125" t="n">
        <v>7.55</v>
      </c>
      <c r="R233" s="125" t="n">
        <v>5383</v>
      </c>
      <c r="S233" s="125" t="n">
        <v>867</v>
      </c>
      <c r="T233" s="125">
        <f>(((E233*D233*D233)/4)-(((E233-G233)*(D233-F233-F233)*(D233-F233-F233))/4)+(4*(H233*H233*(D233/2-F233-(H233/2))-((PI()*H233*H233)/4*((D233/2)-F233-(H233-((4*H233)/(3*PI()))))))))/1000</f>
        <v/>
      </c>
      <c r="U233" s="125">
        <f>(((D233*E233*E233)/4)-(2*((D233-F233-F233)*(E233/2-(G233/2))*(((E233/2-(G233/2))/2)+(G233/2))))+(4*(((H233*H233)-(((PI()*H233*H233)/4)))*((H233-((4*H233)/(3*PI())))+(G233/2)))))/1000</f>
        <v/>
      </c>
      <c r="V233" s="125" t="n">
        <v>6057</v>
      </c>
      <c r="W233" s="125" t="n">
        <v>1335</v>
      </c>
      <c r="Y233">
        <f>SQRT((((VLOOKUP($X$4,$A$4:$D$1021,4,FALSE))-D233)^2)+(((VLOOKUP($X$4,$A$4:$E$1021,5,FALSE))-E233)^2))</f>
        <v/>
      </c>
    </row>
    <row r="234">
      <c r="A234" s="125" t="inlineStr">
        <is>
          <t>W24X146*</t>
        </is>
      </c>
      <c r="B234" s="129" t="inlineStr">
        <is>
          <t>AISC</t>
        </is>
      </c>
      <c r="C234" s="125" t="n">
        <v>217.3</v>
      </c>
      <c r="D234" s="125" t="n">
        <v>628.4</v>
      </c>
      <c r="E234" s="125" t="n">
        <v>327.7</v>
      </c>
      <c r="F234" s="125" t="n">
        <v>27.7</v>
      </c>
      <c r="G234" s="125" t="n">
        <v>16.5</v>
      </c>
      <c r="H234" s="125" t="n">
        <v>12.7</v>
      </c>
      <c r="I234" s="125" t="n">
        <v>547.6</v>
      </c>
      <c r="J234" s="125" t="n">
        <v>277</v>
      </c>
      <c r="K234" s="125" t="n">
        <v>5.92</v>
      </c>
      <c r="L234" s="125" t="n">
        <v>33.2</v>
      </c>
      <c r="M234" s="125" t="n">
        <v>2.51</v>
      </c>
      <c r="N234" s="125" t="n">
        <v>190800</v>
      </c>
      <c r="O234" s="125" t="n">
        <v>16260</v>
      </c>
      <c r="P234" s="125" t="n">
        <v>26.2</v>
      </c>
      <c r="Q234" s="125" t="n">
        <v>7.66</v>
      </c>
      <c r="R234" s="125" t="n">
        <v>6074</v>
      </c>
      <c r="S234" s="125" t="n">
        <v>993</v>
      </c>
      <c r="T234" s="125">
        <f>(((E234*D234*D234)/4)-(((E234-G234)*(D234-F234-F234)*(D234-F234-F234))/4)+(4*(H234*H234*(D234/2-F234-(H234/2))-((PI()*H234*H234)/4*((D234/2)-F234-(H234-((4*H234)/(3*PI()))))))))/1000</f>
        <v/>
      </c>
      <c r="U234" s="125">
        <f>(((D234*E234*E234)/4)-(2*((D234-F234-F234)*(E234/2-(G234/2))*(((E234/2-(G234/2))/2)+(G234/2))))+(4*(((H234*H234)-(((PI()*H234*H234)/4)))*((H234-((4*H234)/(3*PI())))+(G234/2)))))/1000</f>
        <v/>
      </c>
      <c r="V234" s="125" t="n">
        <v>6845</v>
      </c>
      <c r="W234" s="125" t="n">
        <v>1527</v>
      </c>
      <c r="Y234">
        <f>SQRT((((VLOOKUP($X$4,$A$4:$D$1021,4,FALSE))-D234)^2)+(((VLOOKUP($X$4,$A$4:$E$1021,5,FALSE))-E234)^2))</f>
        <v/>
      </c>
    </row>
    <row r="235">
      <c r="A235" s="125" t="inlineStr">
        <is>
          <t>W24X162</t>
        </is>
      </c>
      <c r="B235" s="129" t="inlineStr">
        <is>
          <t>AISC</t>
        </is>
      </c>
      <c r="C235" s="125" t="n">
        <v>241.1</v>
      </c>
      <c r="D235" s="125" t="n">
        <v>635</v>
      </c>
      <c r="E235" s="125" t="n">
        <v>329.1</v>
      </c>
      <c r="F235" s="125" t="n">
        <v>31</v>
      </c>
      <c r="G235" s="125" t="n">
        <v>17.9</v>
      </c>
      <c r="H235" s="125" t="n">
        <v>12.7</v>
      </c>
      <c r="I235" s="125" t="n">
        <v>547.6</v>
      </c>
      <c r="J235" s="125" t="n">
        <v>308</v>
      </c>
      <c r="K235" s="125" t="n">
        <v>5.31</v>
      </c>
      <c r="L235" s="125" t="n">
        <v>30.6</v>
      </c>
      <c r="M235" s="125" t="n">
        <v>2.53</v>
      </c>
      <c r="N235" s="125" t="n">
        <v>215400</v>
      </c>
      <c r="O235" s="125" t="n">
        <v>18440</v>
      </c>
      <c r="P235" s="125" t="n">
        <v>26.4</v>
      </c>
      <c r="Q235" s="125" t="n">
        <v>7.74</v>
      </c>
      <c r="R235" s="125" t="n">
        <v>6784</v>
      </c>
      <c r="S235" s="125" t="n">
        <v>1121</v>
      </c>
      <c r="T235" s="125">
        <f>(((E235*D235*D235)/4)-(((E235-G235)*(D235-F235-F235)*(D235-F235-F235))/4)+(4*(H235*H235*(D235/2-F235-(H235/2))-((PI()*H235*H235)/4*((D235/2)-F235-(H235-((4*H235)/(3*PI()))))))))/1000</f>
        <v/>
      </c>
      <c r="U235" s="125">
        <f>(((D235*E235*E235)/4)-(2*((D235-F235-F235)*(E235/2-(G235/2))*(((E235/2-(G235/2))/2)+(G235/2))))+(4*(((H235*H235)-(((PI()*H235*H235)/4)))*((H235-((4*H235)/(3*PI())))+(G235/2)))))/1000</f>
        <v/>
      </c>
      <c r="V235" s="125" t="n">
        <v>7670</v>
      </c>
      <c r="W235" s="125" t="n">
        <v>1726</v>
      </c>
      <c r="Y235">
        <f>SQRT((((VLOOKUP($X$4,$A$4:$D$1021,4,FALSE))-D235)^2)+(((VLOOKUP($X$4,$A$4:$E$1021,5,FALSE))-E235)^2))</f>
        <v/>
      </c>
    </row>
    <row r="236">
      <c r="A236" s="125" t="inlineStr">
        <is>
          <t>W24X176</t>
        </is>
      </c>
      <c r="B236" s="129" t="inlineStr">
        <is>
          <t>AISC</t>
        </is>
      </c>
      <c r="C236" s="125" t="n">
        <v>261.9</v>
      </c>
      <c r="D236" s="125" t="n">
        <v>641.1</v>
      </c>
      <c r="E236" s="125" t="n">
        <v>327.4</v>
      </c>
      <c r="F236" s="125" t="n">
        <v>34</v>
      </c>
      <c r="G236" s="125" t="n">
        <v>19.1</v>
      </c>
      <c r="H236" s="125" t="n">
        <v>12.7</v>
      </c>
      <c r="I236" s="125" t="n">
        <v>547.6</v>
      </c>
      <c r="J236" s="125" t="n">
        <v>333</v>
      </c>
      <c r="K236" s="125" t="n">
        <v>4.81</v>
      </c>
      <c r="L236" s="125" t="n">
        <v>28.7</v>
      </c>
      <c r="M236" s="125" t="n">
        <v>2.53</v>
      </c>
      <c r="N236" s="125" t="n">
        <v>236600</v>
      </c>
      <c r="O236" s="125" t="n">
        <v>19950</v>
      </c>
      <c r="P236" s="125" t="n">
        <v>26.6</v>
      </c>
      <c r="Q236" s="125" t="n">
        <v>7.73</v>
      </c>
      <c r="R236" s="125" t="n">
        <v>7380</v>
      </c>
      <c r="S236" s="125" t="n">
        <v>1218</v>
      </c>
      <c r="T236" s="125">
        <f>(((E236*D236*D236)/4)-(((E236-G236)*(D236-F236-F236)*(D236-F236-F236))/4)+(4*(H236*H236*(D236/2-F236-(H236/2))-((PI()*H236*H236)/4*((D236/2)-F236-(H236-((4*H236)/(3*PI()))))))))/1000</f>
        <v/>
      </c>
      <c r="U236" s="125">
        <f>(((D236*E236*E236)/4)-(2*((D236-F236-F236)*(E236/2-(G236/2))*(((E236/2-(G236/2))/2)+(G236/2))))+(4*(((H236*H236)-(((PI()*H236*H236)/4)))*((H236-((4*H236)/(3*PI())))+(G236/2)))))/1000</f>
        <v/>
      </c>
      <c r="V236" s="125" t="n">
        <v>8369</v>
      </c>
      <c r="W236" s="125" t="n">
        <v>1878</v>
      </c>
      <c r="Y236">
        <f>SQRT((((VLOOKUP($X$4,$A$4:$D$1021,4,FALSE))-D236)^2)+(((VLOOKUP($X$4,$A$4:$E$1021,5,FALSE))-E236)^2))</f>
        <v/>
      </c>
    </row>
    <row r="237">
      <c r="A237" s="125" t="inlineStr">
        <is>
          <t>W24X192</t>
        </is>
      </c>
      <c r="B237" s="129" t="inlineStr">
        <is>
          <t>AISC</t>
        </is>
      </c>
      <c r="C237" s="125" t="n">
        <v>285.7</v>
      </c>
      <c r="D237" s="125" t="n">
        <v>646.9</v>
      </c>
      <c r="E237" s="125" t="n">
        <v>328.9</v>
      </c>
      <c r="F237" s="125" t="n">
        <v>37.1</v>
      </c>
      <c r="G237" s="125" t="n">
        <v>20.6</v>
      </c>
      <c r="H237" s="125" t="n">
        <v>12.7</v>
      </c>
      <c r="I237" s="125" t="n">
        <v>547.3</v>
      </c>
      <c r="J237" s="125" t="n">
        <v>363</v>
      </c>
      <c r="K237" s="125" t="n">
        <v>4.44</v>
      </c>
      <c r="L237" s="125" t="n">
        <v>26.6</v>
      </c>
      <c r="M237" s="125" t="n">
        <v>2.55</v>
      </c>
      <c r="N237" s="125" t="n">
        <v>260400</v>
      </c>
      <c r="O237" s="125" t="n">
        <v>22030</v>
      </c>
      <c r="P237" s="125" t="n">
        <v>26.8</v>
      </c>
      <c r="Q237" s="125" t="n">
        <v>7.79</v>
      </c>
      <c r="R237" s="125" t="n">
        <v>8050</v>
      </c>
      <c r="S237" s="125" t="n">
        <v>1340</v>
      </c>
      <c r="T237" s="125">
        <f>(((E237*D237*D237)/4)-(((E237-G237)*(D237-F237-F237)*(D237-F237-F237))/4)+(4*(H237*H237*(D237/2-F237-(H237/2))-((PI()*H237*H237)/4*((D237/2)-F237-(H237-((4*H237)/(3*PI()))))))))/1000</f>
        <v/>
      </c>
      <c r="U237" s="125">
        <f>(((D237*E237*E237)/4)-(2*((D237-F237-F237)*(E237/2-(G237/2))*(((E237/2-(G237/2))/2)+(G237/2))))+(4*(((H237*H237)-(((PI()*H237*H237)/4)))*((H237-((4*H237)/(3*PI())))+(G237/2)))))/1000</f>
        <v/>
      </c>
      <c r="V237" s="125" t="n">
        <v>9163</v>
      </c>
      <c r="W237" s="125" t="n">
        <v>2068</v>
      </c>
      <c r="Y237">
        <f>SQRT((((VLOOKUP($X$4,$A$4:$D$1021,4,FALSE))-D237)^2)+(((VLOOKUP($X$4,$A$4:$E$1021,5,FALSE))-E237)^2))</f>
        <v/>
      </c>
    </row>
    <row r="238">
      <c r="A238" s="125" t="inlineStr">
        <is>
          <t>W24X207</t>
        </is>
      </c>
      <c r="B238" s="129" t="inlineStr">
        <is>
          <t>AISC</t>
        </is>
      </c>
      <c r="C238" s="125" t="n">
        <v>308</v>
      </c>
      <c r="D238" s="125" t="n">
        <v>653</v>
      </c>
      <c r="E238" s="125" t="n">
        <v>330.5</v>
      </c>
      <c r="F238" s="125" t="n">
        <v>39.9</v>
      </c>
      <c r="G238" s="125" t="n">
        <v>22.1</v>
      </c>
      <c r="H238" s="125" t="n">
        <v>12.7</v>
      </c>
      <c r="I238" s="125" t="n">
        <v>547.8</v>
      </c>
      <c r="J238" s="125" t="n">
        <v>392</v>
      </c>
      <c r="K238" s="125" t="n">
        <v>4.14</v>
      </c>
      <c r="L238" s="125" t="n">
        <v>24.8</v>
      </c>
      <c r="M238" s="125" t="n">
        <v>2.56</v>
      </c>
      <c r="N238" s="125" t="n">
        <v>283900</v>
      </c>
      <c r="O238" s="125" t="n">
        <v>24050</v>
      </c>
      <c r="P238" s="125" t="n">
        <v>26.9</v>
      </c>
      <c r="Q238" s="125" t="n">
        <v>7.84</v>
      </c>
      <c r="R238" s="125" t="n">
        <v>8695</v>
      </c>
      <c r="S238" s="125" t="n">
        <v>1455</v>
      </c>
      <c r="T238" s="125">
        <f>(((E238*D238*D238)/4)-(((E238-G238)*(D238-F238-F238)*(D238-F238-F238))/4)+(4*(H238*H238*(D238/2-F238-(H238/2))-((PI()*H238*H238)/4*((D238/2)-F238-(H238-((4*H238)/(3*PI()))))))))/1000</f>
        <v/>
      </c>
      <c r="U238" s="125">
        <f>(((D238*E238*E238)/4)-(2*((D238-F238-F238)*(E238/2-(G238/2))*(((E238/2-(G238/2))/2)+(G238/2))))+(4*(((H238*H238)-(((PI()*H238*H238)/4)))*((H238-((4*H238)/(3*PI())))+(G238/2)))))/1000</f>
        <v/>
      </c>
      <c r="V238" s="125" t="n">
        <v>9936</v>
      </c>
      <c r="W238" s="125" t="n">
        <v>2250</v>
      </c>
      <c r="Y238">
        <f>SQRT((((VLOOKUP($X$4,$A$4:$D$1021,4,FALSE))-D238)^2)+(((VLOOKUP($X$4,$A$4:$E$1021,5,FALSE))-E238)^2))</f>
        <v/>
      </c>
    </row>
    <row r="239">
      <c r="A239" s="125" t="inlineStr">
        <is>
          <t>W24X229</t>
        </is>
      </c>
      <c r="B239" s="129" t="inlineStr">
        <is>
          <t>AISC</t>
        </is>
      </c>
      <c r="C239" s="125" t="n">
        <v>341</v>
      </c>
      <c r="D239" s="125" t="n">
        <v>661</v>
      </c>
      <c r="E239" s="125" t="n">
        <v>333</v>
      </c>
      <c r="F239" s="125" t="n">
        <v>43.9</v>
      </c>
      <c r="G239" s="125" t="n">
        <v>24.4</v>
      </c>
      <c r="H239" s="125" t="n">
        <v>16.5</v>
      </c>
      <c r="I239" s="125" t="n">
        <v>540.2</v>
      </c>
      <c r="J239" s="125" t="n">
        <v>435</v>
      </c>
      <c r="K239" s="125" t="n">
        <v>3.79</v>
      </c>
      <c r="L239" s="125" t="n">
        <v>22.1</v>
      </c>
      <c r="M239" s="125" t="n">
        <v>2.58</v>
      </c>
      <c r="N239" s="125" t="n">
        <v>319000</v>
      </c>
      <c r="O239" s="125" t="n">
        <v>27090</v>
      </c>
      <c r="P239" s="125" t="n">
        <v>27.1</v>
      </c>
      <c r="Q239" s="125" t="n">
        <v>7.9</v>
      </c>
      <c r="R239" s="125" t="n">
        <v>9652</v>
      </c>
      <c r="S239" s="125" t="n">
        <v>1627</v>
      </c>
      <c r="T239" s="125">
        <f>(((E239*D239*D239)/4)-(((E239-G239)*(D239-F239-F239)*(D239-F239-F239))/4)+(4*(H239*H239*(D239/2-F239-(H239/2))-((PI()*H239*H239)/4*((D239/2)-F239-(H239-((4*H239)/(3*PI()))))))))/1000</f>
        <v/>
      </c>
      <c r="U239" s="125">
        <f>(((D239*E239*E239)/4)-(2*((D239-F239-F239)*(E239/2-(G239/2))*(((E239/2-(G239/2))/2)+(G239/2))))+(4*(((H239*H239)-(((PI()*H239*H239)/4)))*((H239-((4*H239)/(3*PI())))+(G239/2)))))/1000</f>
        <v/>
      </c>
      <c r="V239" s="125" t="n">
        <v>11090</v>
      </c>
      <c r="W239" s="125" t="n">
        <v>2523</v>
      </c>
      <c r="Y239">
        <f>SQRT((((VLOOKUP($X$4,$A$4:$D$1021,4,FALSE))-D239)^2)+(((VLOOKUP($X$4,$A$4:$E$1021,5,FALSE))-E239)^2))</f>
        <v/>
      </c>
    </row>
    <row r="240">
      <c r="A240" s="125" t="inlineStr">
        <is>
          <t>W24X250</t>
        </is>
      </c>
      <c r="B240" s="129" t="inlineStr">
        <is>
          <t>AISC</t>
        </is>
      </c>
      <c r="C240" s="125" t="n">
        <v>372</v>
      </c>
      <c r="D240" s="125" t="n">
        <v>669</v>
      </c>
      <c r="E240" s="125" t="n">
        <v>335</v>
      </c>
      <c r="F240" s="125" t="n">
        <v>48</v>
      </c>
      <c r="G240" s="125" t="n">
        <v>26.4</v>
      </c>
      <c r="H240" s="125" t="n">
        <v>16.5</v>
      </c>
      <c r="I240" s="125" t="n">
        <v>540</v>
      </c>
      <c r="J240" s="125" t="n">
        <v>475</v>
      </c>
      <c r="K240" s="125" t="n">
        <v>3.49</v>
      </c>
      <c r="L240" s="125" t="n">
        <v>20.5</v>
      </c>
      <c r="M240" s="125" t="n">
        <v>2.6</v>
      </c>
      <c r="N240" s="125" t="n">
        <v>353900</v>
      </c>
      <c r="O240" s="125" t="n">
        <v>30170</v>
      </c>
      <c r="P240" s="125" t="n">
        <v>27.3</v>
      </c>
      <c r="Q240" s="125" t="n">
        <v>7.97</v>
      </c>
      <c r="R240" s="125" t="n">
        <v>10580</v>
      </c>
      <c r="S240" s="125" t="n">
        <v>1801</v>
      </c>
      <c r="T240" s="125">
        <f>(((E240*D240*D240)/4)-(((E240-G240)*(D240-F240-F240)*(D240-F240-F240))/4)+(4*(H240*H240*(D240/2-F240-(H240/2))-((PI()*H240*H240)/4*((D240/2)-F240-(H240-((4*H240)/(3*PI()))))))))/1000</f>
        <v/>
      </c>
      <c r="U240" s="125">
        <f>(((D240*E240*E240)/4)-(2*((D240-F240-F240)*(E240/2-(G240/2))*(((E240/2-(G240/2))/2)+(G240/2))))+(4*(((H240*H240)-(((PI()*H240*H240)/4)))*((H240-((4*H240)/(3*PI())))+(G240/2)))))/1000</f>
        <v/>
      </c>
      <c r="V240" s="125" t="n">
        <v>12220</v>
      </c>
      <c r="W240" s="125" t="n">
        <v>2797</v>
      </c>
      <c r="Y240">
        <f>SQRT((((VLOOKUP($X$4,$A$4:$D$1021,4,FALSE))-D240)^2)+(((VLOOKUP($X$4,$A$4:$E$1021,5,FALSE))-E240)^2))</f>
        <v/>
      </c>
    </row>
    <row r="241">
      <c r="A241" s="125" t="inlineStr">
        <is>
          <t>W24X279</t>
        </is>
      </c>
      <c r="B241" s="129" t="inlineStr">
        <is>
          <t>AISC</t>
        </is>
      </c>
      <c r="C241" s="125" t="n">
        <v>415</v>
      </c>
      <c r="D241" s="125" t="n">
        <v>679</v>
      </c>
      <c r="E241" s="125" t="n">
        <v>338</v>
      </c>
      <c r="F241" s="125" t="n">
        <v>53.1</v>
      </c>
      <c r="G241" s="125" t="n">
        <v>29.5</v>
      </c>
      <c r="H241" s="125" t="n">
        <v>16.5</v>
      </c>
      <c r="I241" s="125" t="n">
        <v>539.8</v>
      </c>
      <c r="J241" s="125" t="n">
        <v>530</v>
      </c>
      <c r="K241" s="125" t="n">
        <v>3.18</v>
      </c>
      <c r="L241" s="125" t="n">
        <v>18.3</v>
      </c>
      <c r="M241" s="125" t="n">
        <v>2.62</v>
      </c>
      <c r="N241" s="125" t="n">
        <v>400500</v>
      </c>
      <c r="O241" s="125" t="n">
        <v>34310</v>
      </c>
      <c r="P241" s="125" t="n">
        <v>27.5</v>
      </c>
      <c r="Q241" s="125" t="n">
        <v>8.039999999999999</v>
      </c>
      <c r="R241" s="125" t="n">
        <v>11800</v>
      </c>
      <c r="S241" s="125" t="n">
        <v>2030</v>
      </c>
      <c r="T241" s="125">
        <f>(((E241*D241*D241)/4)-(((E241-G241)*(D241-F241-F241)*(D241-F241-F241))/4)+(4*(H241*H241*(D241/2-F241-(H241/2))-((PI()*H241*H241)/4*((D241/2)-F241-(H241-((4*H241)/(3*PI()))))))))/1000</f>
        <v/>
      </c>
      <c r="U241" s="125">
        <f>(((D241*E241*E241)/4)-(2*((D241-F241-F241)*(E241/2-(G241/2))*(((E241/2-(G241/2))/2)+(G241/2))))+(4*(((H241*H241)-(((PI()*H241*H241)/4)))*((H241-((4*H241)/(3*PI())))+(G241/2)))))/1000</f>
        <v/>
      </c>
      <c r="V241" s="125" t="n">
        <v>13720</v>
      </c>
      <c r="W241" s="125" t="n">
        <v>3162</v>
      </c>
      <c r="Y241">
        <f>SQRT((((VLOOKUP($X$4,$A$4:$D$1021,4,FALSE))-D241)^2)+(((VLOOKUP($X$4,$A$4:$E$1021,5,FALSE))-E241)^2))</f>
        <v/>
      </c>
    </row>
    <row r="242">
      <c r="A242" s="125" t="inlineStr">
        <is>
          <t>W24X306</t>
        </is>
      </c>
      <c r="B242" s="129" t="inlineStr">
        <is>
          <t>AISC</t>
        </is>
      </c>
      <c r="C242" s="125" t="n">
        <v>455</v>
      </c>
      <c r="D242" s="125" t="n">
        <v>689</v>
      </c>
      <c r="E242" s="125" t="n">
        <v>340</v>
      </c>
      <c r="F242" s="125" t="n">
        <v>57.9</v>
      </c>
      <c r="G242" s="125" t="n">
        <v>32</v>
      </c>
      <c r="H242" s="125" t="n">
        <v>16.5</v>
      </c>
      <c r="I242" s="125" t="n">
        <v>540.2</v>
      </c>
      <c r="J242" s="125" t="n">
        <v>579</v>
      </c>
      <c r="K242" s="125" t="n">
        <v>2.94</v>
      </c>
      <c r="L242" s="125" t="n">
        <v>16.9</v>
      </c>
      <c r="M242" s="125" t="n">
        <v>2.65</v>
      </c>
      <c r="N242" s="125" t="n">
        <v>445200</v>
      </c>
      <c r="O242" s="125" t="n">
        <v>38100</v>
      </c>
      <c r="P242" s="125" t="n">
        <v>27.7</v>
      </c>
      <c r="Q242" s="125" t="n">
        <v>8.109999999999999</v>
      </c>
      <c r="R242" s="125" t="n">
        <v>12920</v>
      </c>
      <c r="S242" s="125" t="n">
        <v>2241</v>
      </c>
      <c r="T242" s="125">
        <f>(((E242*D242*D242)/4)-(((E242-G242)*(D242-F242-F242)*(D242-F242-F242))/4)+(4*(H242*H242*(D242/2-F242-(H242/2))-((PI()*H242*H242)/4*((D242/2)-F242-(H242-((4*H242)/(3*PI()))))))))/1000</f>
        <v/>
      </c>
      <c r="U242" s="125">
        <f>(((D242*E242*E242)/4)-(2*((D242-F242-F242)*(E242/2-(G242/2))*(((E242/2-(G242/2))/2)+(G242/2))))+(4*(((H242*H242)-(((PI()*H242*H242)/4)))*((H242-((4*H242)/(3*PI())))+(G242/2)))))/1000</f>
        <v/>
      </c>
      <c r="V242" s="125" t="n">
        <v>15120</v>
      </c>
      <c r="W242" s="125" t="n">
        <v>3498</v>
      </c>
      <c r="Y242">
        <f>SQRT((((VLOOKUP($X$4,$A$4:$D$1021,4,FALSE))-D242)^2)+(((VLOOKUP($X$4,$A$4:$E$1021,5,FALSE))-E242)^2))</f>
        <v/>
      </c>
    </row>
    <row r="243">
      <c r="A243" s="125" t="inlineStr">
        <is>
          <t>W24X335</t>
        </is>
      </c>
      <c r="B243" s="129" t="inlineStr">
        <is>
          <t>AISC</t>
        </is>
      </c>
      <c r="C243" s="125" t="n">
        <v>498</v>
      </c>
      <c r="D243" s="125" t="n">
        <v>699</v>
      </c>
      <c r="E243" s="125" t="n">
        <v>343</v>
      </c>
      <c r="F243" s="125" t="n">
        <v>63</v>
      </c>
      <c r="G243" s="125" t="n">
        <v>35.1</v>
      </c>
      <c r="H243" s="125" t="n">
        <v>13</v>
      </c>
      <c r="I243" s="125" t="n">
        <v>547</v>
      </c>
      <c r="J243" s="125" t="n">
        <v>635</v>
      </c>
      <c r="K243" s="125" t="n">
        <v>2.72</v>
      </c>
      <c r="L243" s="125" t="n">
        <v>15.6</v>
      </c>
      <c r="M243" s="125" t="n">
        <v>2.68</v>
      </c>
      <c r="N243" s="125" t="n">
        <v>494700</v>
      </c>
      <c r="O243" s="125" t="n">
        <v>42580</v>
      </c>
      <c r="P243" s="125" t="n">
        <v>27.9</v>
      </c>
      <c r="Q243" s="125" t="n">
        <v>8.19</v>
      </c>
      <c r="R243" s="125" t="n">
        <v>14150</v>
      </c>
      <c r="S243" s="125" t="n">
        <v>2483</v>
      </c>
      <c r="T243" s="125">
        <f>(((E243*D243*D243)/4)-(((E243-G243)*(D243-F243-F243)*(D243-F243-F243))/4)+(4*(H243*H243*(D243/2-F243-(H243/2))-((PI()*H243*H243)/4*((D243/2)-F243-(H243-((4*H243)/(3*PI()))))))))/1000</f>
        <v/>
      </c>
      <c r="U243" s="125">
        <f>(((D243*E243*E243)/4)-(2*((D243-F243-F243)*(E243/2-(G243/2))*(((E243/2-(G243/2))/2)+(G243/2))))+(4*(((H243*H243)-(((PI()*H243*H243)/4)))*((H243-((4*H243)/(3*PI())))+(G243/2)))))/1000</f>
        <v/>
      </c>
      <c r="V243" s="125" t="n">
        <v>16670</v>
      </c>
      <c r="W243" s="125" t="n">
        <v>3885</v>
      </c>
      <c r="Y243">
        <f>SQRT((((VLOOKUP($X$4,$A$4:$D$1021,4,FALSE))-D243)^2)+(((VLOOKUP($X$4,$A$4:$E$1021,5,FALSE))-E243)^2))</f>
        <v/>
      </c>
    </row>
    <row r="244">
      <c r="A244" s="125" t="inlineStr">
        <is>
          <t>W24X370</t>
        </is>
      </c>
      <c r="B244" s="129" t="inlineStr">
        <is>
          <t>AISC</t>
        </is>
      </c>
      <c r="C244" s="125" t="n">
        <v>551</v>
      </c>
      <c r="D244" s="125" t="n">
        <v>711</v>
      </c>
      <c r="E244" s="125" t="n">
        <v>347</v>
      </c>
      <c r="F244" s="125" t="n">
        <v>69.09999999999999</v>
      </c>
      <c r="G244" s="125" t="n">
        <v>38.6</v>
      </c>
      <c r="H244" s="125" t="n">
        <v>13</v>
      </c>
      <c r="I244" s="125" t="n">
        <v>546.8</v>
      </c>
      <c r="J244" s="125" t="n">
        <v>702</v>
      </c>
      <c r="K244" s="125" t="n">
        <v>2.51</v>
      </c>
      <c r="L244" s="125" t="n">
        <v>14.2</v>
      </c>
      <c r="M244" s="125" t="n">
        <v>2.71</v>
      </c>
      <c r="N244" s="125" t="n">
        <v>557510</v>
      </c>
      <c r="O244" s="125" t="n">
        <v>48400</v>
      </c>
      <c r="P244" s="125" t="n">
        <v>28.2</v>
      </c>
      <c r="Q244" s="125" t="n">
        <v>8.300000000000001</v>
      </c>
      <c r="R244" s="125" t="n">
        <v>15682</v>
      </c>
      <c r="S244" s="125" t="n">
        <v>2790</v>
      </c>
      <c r="T244" s="125">
        <f>(((E244*D244*D244)/4)-(((E244-G244)*(D244-F244-F244)*(D244-F244-F244))/4)+(4*(H244*H244*(D244/2-F244-(H244/2))-((PI()*H244*H244)/4*((D244/2)-F244-(H244-((4*H244)/(3*PI()))))))))/1000</f>
        <v/>
      </c>
      <c r="U244" s="125">
        <f>(((D244*E244*E244)/4)-(2*((D244-F244-F244)*(E244/2-(G244/2))*(((E244/2-(G244/2))/2)+(G244/2))))+(4*(((H244*H244)-(((PI()*H244*H244)/4)))*((H244-((4*H244)/(3*PI())))+(G244/2)))))/1000</f>
        <v/>
      </c>
      <c r="V244" s="125" t="n">
        <v>18599</v>
      </c>
      <c r="W244" s="125" t="n">
        <v>4377</v>
      </c>
      <c r="Y244">
        <f>SQRT((((VLOOKUP($X$4,$A$4:$D$1021,4,FALSE))-D244)^2)+(((VLOOKUP($X$4,$A$4:$E$1021,5,FALSE))-E244)^2))</f>
        <v/>
      </c>
    </row>
    <row r="245">
      <c r="A245" s="125" t="inlineStr">
        <is>
          <t>W27X84</t>
        </is>
      </c>
      <c r="B245" s="129" t="inlineStr">
        <is>
          <t>AISC</t>
        </is>
      </c>
      <c r="C245" s="125" t="n">
        <v>125.2</v>
      </c>
      <c r="D245" s="125" t="n">
        <v>677.9</v>
      </c>
      <c r="E245" s="125" t="n">
        <v>253</v>
      </c>
      <c r="F245" s="125" t="n">
        <v>16.2</v>
      </c>
      <c r="G245" s="125" t="n">
        <v>11.7</v>
      </c>
      <c r="H245" s="125" t="n">
        <v>15.2</v>
      </c>
      <c r="I245" s="125" t="n">
        <v>615.1</v>
      </c>
      <c r="J245" s="125" t="n">
        <v>159</v>
      </c>
      <c r="K245" s="125" t="n">
        <v>7.81</v>
      </c>
      <c r="L245" s="125" t="n">
        <v>52.6</v>
      </c>
      <c r="M245" s="125" t="n">
        <v>2.32</v>
      </c>
      <c r="N245" s="125" t="n">
        <v>118000</v>
      </c>
      <c r="O245" s="125" t="n">
        <v>4383</v>
      </c>
      <c r="P245" s="125" t="n">
        <v>27.2</v>
      </c>
      <c r="Q245" s="125" t="n">
        <v>5.24</v>
      </c>
      <c r="R245" s="125" t="n">
        <v>3481</v>
      </c>
      <c r="S245" s="125" t="n">
        <v>347</v>
      </c>
      <c r="T245" s="125">
        <f>(((E245*D245*D245)/4)-(((E245-G245)*(D245-F245-F245)*(D245-F245-F245))/4)+(4*(H245*H245*(D245/2-F245-(H245/2))-((PI()*H245*H245)/4*((D245/2)-F245-(H245-((4*H245)/(3*PI()))))))))/1000</f>
        <v/>
      </c>
      <c r="U245" s="125">
        <f>(((D245*E245*E245)/4)-(2*((D245-F245-F245)*(E245/2-(G245/2))*(((E245/2-(G245/2))/2)+(G245/2))))+(4*(((H245*H245)-(((PI()*H245*H245)/4)))*((H245-((4*H245)/(3*PI())))+(G245/2)))))/1000</f>
        <v/>
      </c>
      <c r="V245" s="125" t="n">
        <v>3994</v>
      </c>
      <c r="W245" s="125" t="n">
        <v>542</v>
      </c>
      <c r="Y245">
        <f>SQRT((((VLOOKUP($X$4,$A$4:$D$1021,4,FALSE))-D245)^2)+(((VLOOKUP($X$4,$A$4:$E$1021,5,FALSE))-E245)^2))</f>
        <v/>
      </c>
    </row>
    <row r="246">
      <c r="A246" s="125" t="inlineStr">
        <is>
          <t>W27X94</t>
        </is>
      </c>
      <c r="B246" s="129" t="inlineStr">
        <is>
          <t>AISC</t>
        </is>
      </c>
      <c r="C246" s="125" t="n">
        <v>140.1</v>
      </c>
      <c r="D246" s="125" t="n">
        <v>683.5</v>
      </c>
      <c r="E246" s="125" t="n">
        <v>253.7</v>
      </c>
      <c r="F246" s="125" t="n">
        <v>19</v>
      </c>
      <c r="G246" s="125" t="n">
        <v>12.4</v>
      </c>
      <c r="H246" s="125" t="n">
        <v>15.2</v>
      </c>
      <c r="I246" s="125" t="n">
        <v>615.1</v>
      </c>
      <c r="J246" s="125" t="n">
        <v>178</v>
      </c>
      <c r="K246" s="125" t="n">
        <v>6.68</v>
      </c>
      <c r="L246" s="125" t="n">
        <v>49.6</v>
      </c>
      <c r="M246" s="125" t="n">
        <v>2.33</v>
      </c>
      <c r="N246" s="125" t="n">
        <v>136300</v>
      </c>
      <c r="O246" s="125" t="n">
        <v>5184</v>
      </c>
      <c r="P246" s="125" t="n">
        <v>27.6</v>
      </c>
      <c r="Q246" s="125" t="n">
        <v>5.39</v>
      </c>
      <c r="R246" s="125" t="n">
        <v>3987</v>
      </c>
      <c r="S246" s="125" t="n">
        <v>409</v>
      </c>
      <c r="T246" s="125">
        <f>(((E246*D246*D246)/4)-(((E246-G246)*(D246-F246-F246)*(D246-F246-F246))/4)+(4*(H246*H246*(D246/2-F246-(H246/2))-((PI()*H246*H246)/4*((D246/2)-F246-(H246-((4*H246)/(3*PI()))))))))/1000</f>
        <v/>
      </c>
      <c r="U246" s="125">
        <f>(((D246*E246*E246)/4)-(2*((D246-F246-F246)*(E246/2-(G246/2))*(((E246/2-(G246/2))/2)+(G246/2))))+(4*(((H246*H246)-(((PI()*H246*H246)/4)))*((H246-((4*H246)/(3*PI())))+(G246/2)))))/1000</f>
        <v/>
      </c>
      <c r="V246" s="125" t="n">
        <v>4558</v>
      </c>
      <c r="W246" s="125" t="n">
        <v>638</v>
      </c>
      <c r="Y246">
        <f>SQRT((((VLOOKUP($X$4,$A$4:$D$1021,4,FALSE))-D246)^2)+(((VLOOKUP($X$4,$A$4:$E$1021,5,FALSE))-E246)^2))</f>
        <v/>
      </c>
    </row>
    <row r="247">
      <c r="A247" s="125" t="inlineStr">
        <is>
          <t>W27X102</t>
        </is>
      </c>
      <c r="B247" s="129" t="inlineStr">
        <is>
          <t>AISC</t>
        </is>
      </c>
      <c r="C247" s="125" t="n">
        <v>152.4</v>
      </c>
      <c r="D247" s="125" t="n">
        <v>687.5</v>
      </c>
      <c r="E247" s="125" t="n">
        <v>254.5</v>
      </c>
      <c r="F247" s="125" t="n">
        <v>21</v>
      </c>
      <c r="G247" s="125" t="n">
        <v>13.2</v>
      </c>
      <c r="H247" s="125" t="n">
        <v>15.2</v>
      </c>
      <c r="I247" s="125" t="n">
        <v>615.1</v>
      </c>
      <c r="J247" s="125" t="n">
        <v>194</v>
      </c>
      <c r="K247" s="125" t="n">
        <v>6.06</v>
      </c>
      <c r="L247" s="125" t="n">
        <v>46.6</v>
      </c>
      <c r="M247" s="125" t="n">
        <v>2.34</v>
      </c>
      <c r="N247" s="125" t="n">
        <v>150400</v>
      </c>
      <c r="O247" s="125" t="n">
        <v>5784</v>
      </c>
      <c r="P247" s="125" t="n">
        <v>27.8</v>
      </c>
      <c r="Q247" s="125" t="n">
        <v>5.46</v>
      </c>
      <c r="R247" s="125" t="n">
        <v>4374</v>
      </c>
      <c r="S247" s="125" t="n">
        <v>455</v>
      </c>
      <c r="T247" s="125">
        <f>(((E247*D247*D247)/4)-(((E247-G247)*(D247-F247-F247)*(D247-F247-F247))/4)+(4*(H247*H247*(D247/2-F247-(H247/2))-((PI()*H247*H247)/4*((D247/2)-F247-(H247-((4*H247)/(3*PI()))))))))/1000</f>
        <v/>
      </c>
      <c r="U247" s="125">
        <f>(((D247*E247*E247)/4)-(2*((D247-F247-F247)*(E247/2-(G247/2))*(((E247/2-(G247/2))/2)+(G247/2))))+(4*(((H247*H247)-(((PI()*H247*H247)/4)))*((H247-((4*H247)/(3*PI())))+(G247/2)))))/1000</f>
        <v/>
      </c>
      <c r="V247" s="125" t="n">
        <v>5000</v>
      </c>
      <c r="W247" s="125" t="n">
        <v>710</v>
      </c>
      <c r="Y247">
        <f>SQRT((((VLOOKUP($X$4,$A$4:$D$1021,4,FALSE))-D247)^2)+(((VLOOKUP($X$4,$A$4:$E$1021,5,FALSE))-E247)^2))</f>
        <v/>
      </c>
    </row>
    <row r="248">
      <c r="A248" s="125" t="inlineStr">
        <is>
          <t>W27X114</t>
        </is>
      </c>
      <c r="B248" s="129" t="inlineStr">
        <is>
          <t>AISC</t>
        </is>
      </c>
      <c r="C248" s="125" t="n">
        <v>170.2</v>
      </c>
      <c r="D248" s="125" t="n">
        <v>692.9</v>
      </c>
      <c r="E248" s="125" t="n">
        <v>255.8</v>
      </c>
      <c r="F248" s="125" t="n">
        <v>23.7</v>
      </c>
      <c r="G248" s="125" t="n">
        <v>14.5</v>
      </c>
      <c r="H248" s="125" t="n">
        <v>15.2</v>
      </c>
      <c r="I248" s="125" t="n">
        <v>615.1</v>
      </c>
      <c r="J248" s="125" t="n">
        <v>217</v>
      </c>
      <c r="K248" s="125" t="n">
        <v>5.4</v>
      </c>
      <c r="L248" s="125" t="n">
        <v>42.4</v>
      </c>
      <c r="M248" s="125" t="n">
        <v>2.35</v>
      </c>
      <c r="N248" s="125" t="n">
        <v>170300</v>
      </c>
      <c r="O248" s="125" t="n">
        <v>6631</v>
      </c>
      <c r="P248" s="125" t="n">
        <v>28</v>
      </c>
      <c r="Q248" s="125" t="n">
        <v>5.53</v>
      </c>
      <c r="R248" s="125" t="n">
        <v>4916</v>
      </c>
      <c r="S248" s="125" t="n">
        <v>518</v>
      </c>
      <c r="T248" s="125">
        <f>(((E248*D248*D248)/4)-(((E248-G248)*(D248-F248-F248)*(D248-F248-F248))/4)+(4*(H248*H248*(D248/2-F248-(H248/2))-((PI()*H248*H248)/4*((D248/2)-F248-(H248-((4*H248)/(3*PI()))))))))/1000</f>
        <v/>
      </c>
      <c r="U248" s="125">
        <f>(((D248*E248*E248)/4)-(2*((D248-F248-F248)*(E248/2-(G248/2))*(((E248/2-(G248/2))/2)+(G248/2))))+(4*(((H248*H248)-(((PI()*H248*H248)/4)))*((H248-((4*H248)/(3*PI())))+(G248/2)))))/1000</f>
        <v/>
      </c>
      <c r="V248" s="125" t="n">
        <v>5631</v>
      </c>
      <c r="W248" s="125" t="n">
        <v>811</v>
      </c>
      <c r="Y248">
        <f>SQRT((((VLOOKUP($X$4,$A$4:$D$1021,4,FALSE))-D248)^2)+(((VLOOKUP($X$4,$A$4:$E$1021,5,FALSE))-E248)^2))</f>
        <v/>
      </c>
    </row>
    <row r="249">
      <c r="A249" s="125" t="inlineStr">
        <is>
          <t>W27X129</t>
        </is>
      </c>
      <c r="B249" s="129" t="inlineStr">
        <is>
          <t>AISC</t>
        </is>
      </c>
      <c r="C249" s="125" t="n">
        <v>192</v>
      </c>
      <c r="D249" s="125" t="n">
        <v>701.8</v>
      </c>
      <c r="E249" s="125" t="n">
        <v>254.3</v>
      </c>
      <c r="F249" s="125" t="n">
        <v>27.9</v>
      </c>
      <c r="G249" s="125" t="n">
        <v>15.5</v>
      </c>
      <c r="H249" s="125" t="n">
        <v>15.2</v>
      </c>
      <c r="I249" s="125" t="n">
        <v>615.6</v>
      </c>
      <c r="J249" s="125" t="n">
        <v>244</v>
      </c>
      <c r="K249" s="125" t="n">
        <v>4.56</v>
      </c>
      <c r="L249" s="125" t="n">
        <v>39.7</v>
      </c>
      <c r="M249" s="125" t="n">
        <v>2.36</v>
      </c>
      <c r="N249" s="125" t="n">
        <v>198000</v>
      </c>
      <c r="O249" s="125" t="n">
        <v>7670</v>
      </c>
      <c r="P249" s="125" t="n">
        <v>28.5</v>
      </c>
      <c r="Q249" s="125" t="n">
        <v>5.61</v>
      </c>
      <c r="R249" s="125" t="n">
        <v>5644</v>
      </c>
      <c r="S249" s="125" t="n">
        <v>603</v>
      </c>
      <c r="T249" s="125">
        <f>(((E249*D249*D249)/4)-(((E249-G249)*(D249-F249-F249)*(D249-F249-F249))/4)+(4*(H249*H249*(D249/2-F249-(H249/2))-((PI()*H249*H249)/4*((D249/2)-F249-(H249-((4*H249)/(3*PI()))))))))/1000</f>
        <v/>
      </c>
      <c r="U249" s="125">
        <f>(((D249*E249*E249)/4)-(2*((D249-F249-F249)*(E249/2-(G249/2))*(((E249/2-(G249/2))/2)+(G249/2))))+(4*(((H249*H249)-(((PI()*H249*H249)/4)))*((H249-((4*H249)/(3*PI())))+(G249/2)))))/1000</f>
        <v/>
      </c>
      <c r="V249" s="125" t="n">
        <v>6462</v>
      </c>
      <c r="W249" s="125" t="n">
        <v>943</v>
      </c>
      <c r="Y249">
        <f>SQRT((((VLOOKUP($X$4,$A$4:$D$1021,4,FALSE))-D249)^2)+(((VLOOKUP($X$4,$A$4:$E$1021,5,FALSE))-E249)^2))</f>
        <v/>
      </c>
    </row>
    <row r="250">
      <c r="A250" s="125" t="inlineStr">
        <is>
          <t>W27X143</t>
        </is>
      </c>
      <c r="B250" s="129" t="inlineStr">
        <is>
          <t>AISC</t>
        </is>
      </c>
      <c r="C250" s="125" t="n">
        <v>213</v>
      </c>
      <c r="D250" s="125" t="n">
        <v>707.9</v>
      </c>
      <c r="E250" s="125" t="n">
        <v>255.8</v>
      </c>
      <c r="F250" s="125" t="n">
        <v>31</v>
      </c>
      <c r="G250" s="125" t="n">
        <v>17</v>
      </c>
      <c r="H250" s="125" t="n">
        <v>15.2</v>
      </c>
      <c r="I250" s="125" t="n">
        <v>615.5</v>
      </c>
      <c r="J250" s="125" t="n">
        <v>270</v>
      </c>
      <c r="K250" s="125" t="n">
        <v>4.13</v>
      </c>
      <c r="L250" s="125" t="n">
        <v>36.2</v>
      </c>
      <c r="M250" s="125" t="n">
        <v>2.38</v>
      </c>
      <c r="N250" s="125" t="n">
        <v>222000</v>
      </c>
      <c r="O250" s="125" t="n">
        <v>8678</v>
      </c>
      <c r="P250" s="125" t="n">
        <v>28.7</v>
      </c>
      <c r="Q250" s="125" t="n">
        <v>5.67</v>
      </c>
      <c r="R250" s="125" t="n">
        <v>6272</v>
      </c>
      <c r="S250" s="125" t="n">
        <v>678</v>
      </c>
      <c r="T250" s="125">
        <f>(((E250*D250*D250)/4)-(((E250-G250)*(D250-F250-F250)*(D250-F250-F250))/4)+(4*(H250*H250*(D250/2-F250-(H250/2))-((PI()*H250*H250)/4*((D250/2)-F250-(H250-((4*H250)/(3*PI()))))))))/1000</f>
        <v/>
      </c>
      <c r="U250" s="125">
        <f>(((D250*E250*E250)/4)-(2*((D250-F250-F250)*(E250/2-(G250/2))*(((E250/2-(G250/2))/2)+(G250/2))))+(4*(((H250*H250)-(((PI()*H250*H250)/4)))*((H250-((4*H250)/(3*PI())))+(G250/2)))))/1000</f>
        <v/>
      </c>
      <c r="V250" s="125" t="n">
        <v>7204</v>
      </c>
      <c r="W250" s="125" t="n">
        <v>1063</v>
      </c>
      <c r="Y250">
        <f>SQRT((((VLOOKUP($X$4,$A$4:$D$1021,4,FALSE))-D250)^2)+(((VLOOKUP($X$4,$A$4:$E$1021,5,FALSE))-E250)^2))</f>
        <v/>
      </c>
    </row>
    <row r="251">
      <c r="A251" s="125" t="inlineStr">
        <is>
          <t>W27X159</t>
        </is>
      </c>
      <c r="B251" s="129" t="inlineStr">
        <is>
          <t>AISC</t>
        </is>
      </c>
      <c r="C251" s="125" t="n">
        <v>237</v>
      </c>
      <c r="D251" s="125" t="n">
        <v>714</v>
      </c>
      <c r="E251" s="125" t="n">
        <v>257.8</v>
      </c>
      <c r="F251" s="125" t="n">
        <v>34</v>
      </c>
      <c r="G251" s="125" t="n">
        <v>19.1</v>
      </c>
      <c r="H251" s="125" t="n">
        <v>15.2</v>
      </c>
      <c r="I251" s="125" t="n">
        <v>615.6</v>
      </c>
      <c r="J251" s="125" t="n">
        <v>301</v>
      </c>
      <c r="K251" s="125" t="n">
        <v>3.79</v>
      </c>
      <c r="L251" s="125" t="n">
        <v>32.2</v>
      </c>
      <c r="M251" s="125" t="n">
        <v>2.39</v>
      </c>
      <c r="N251" s="125" t="n">
        <v>247800</v>
      </c>
      <c r="O251" s="125" t="n">
        <v>9750</v>
      </c>
      <c r="P251" s="125" t="n">
        <v>28.7</v>
      </c>
      <c r="Q251" s="125" t="n">
        <v>5.69</v>
      </c>
      <c r="R251" s="125" t="n">
        <v>6940</v>
      </c>
      <c r="S251" s="125" t="n">
        <v>756</v>
      </c>
      <c r="T251" s="125">
        <f>(((E251*D251*D251)/4)-(((E251-G251)*(D251-F251-F251)*(D251-F251-F251))/4)+(4*(H251*H251*(D251/2-F251-(H251/2))-((PI()*H251*H251)/4*((D251/2)-F251-(H251-((4*H251)/(3*PI()))))))))/1000</f>
        <v/>
      </c>
      <c r="U251" s="125">
        <f>(((D251*E251*E251)/4)-(2*((D251-F251-F251)*(E251/2-(G251/2))*(((E251/2-(G251/2))/2)+(G251/2))))+(4*(((H251*H251)-(((PI()*H251*H251)/4)))*((H251-((4*H251)/(3*PI())))+(G251/2)))))/1000</f>
        <v/>
      </c>
      <c r="V251" s="125" t="n">
        <v>8016</v>
      </c>
      <c r="W251" s="125" t="n">
        <v>1191</v>
      </c>
      <c r="Y251">
        <f>SQRT((((VLOOKUP($X$4,$A$4:$D$1021,4,FALSE))-D251)^2)+(((VLOOKUP($X$4,$A$4:$E$1021,5,FALSE))-E251)^2))</f>
        <v/>
      </c>
    </row>
    <row r="252">
      <c r="A252" s="125" t="inlineStr">
        <is>
          <t>W27X182</t>
        </is>
      </c>
      <c r="B252" s="129" t="inlineStr">
        <is>
          <t>AISC</t>
        </is>
      </c>
      <c r="C252" s="125" t="n">
        <v>271</v>
      </c>
      <c r="D252" s="125" t="n">
        <v>723.9</v>
      </c>
      <c r="E252" s="125" t="n">
        <v>260.2</v>
      </c>
      <c r="F252" s="125" t="n">
        <v>39.1</v>
      </c>
      <c r="G252" s="125" t="n">
        <v>21.6</v>
      </c>
      <c r="H252" s="125" t="n">
        <v>15.2</v>
      </c>
      <c r="I252" s="125" t="n">
        <v>615.3</v>
      </c>
      <c r="J252" s="125" t="n">
        <v>345</v>
      </c>
      <c r="K252" s="125" t="n">
        <v>3.33</v>
      </c>
      <c r="L252" s="125" t="n">
        <v>28.5</v>
      </c>
      <c r="M252" s="125" t="n">
        <v>2.42</v>
      </c>
      <c r="N252" s="125" t="n">
        <v>289300</v>
      </c>
      <c r="O252" s="125" t="n">
        <v>11540</v>
      </c>
      <c r="P252" s="125" t="n">
        <v>29</v>
      </c>
      <c r="Q252" s="125" t="n">
        <v>5.78</v>
      </c>
      <c r="R252" s="125" t="n">
        <v>7993</v>
      </c>
      <c r="S252" s="125" t="n">
        <v>887</v>
      </c>
      <c r="T252" s="125">
        <f>(((E252*D252*D252)/4)-(((E252-G252)*(D252-F252-F252)*(D252-F252-F252))/4)+(4*(H252*H252*(D252/2-F252-(H252/2))-((PI()*H252*H252)/4*((D252/2)-F252-(H252-((4*H252)/(3*PI()))))))))/1000</f>
        <v/>
      </c>
      <c r="U252" s="125">
        <f>(((D252*E252*E252)/4)-(2*((D252-F252-F252)*(E252/2-(G252/2))*(((E252/2-(G252/2))/2)+(G252/2))))+(4*(((H252*H252)-(((PI()*H252*H252)/4)))*((H252-((4*H252)/(3*PI())))+(G252/2)))))/1000</f>
        <v/>
      </c>
      <c r="V252" s="125" t="n">
        <v>9282</v>
      </c>
      <c r="W252" s="125" t="n">
        <v>1402</v>
      </c>
      <c r="Y252">
        <f>SQRT((((VLOOKUP($X$4,$A$4:$D$1021,4,FALSE))-D252)^2)+(((VLOOKUP($X$4,$A$4:$E$1021,5,FALSE))-E252)^2))</f>
        <v/>
      </c>
    </row>
    <row r="253">
      <c r="A253" s="125" t="inlineStr">
        <is>
          <t>W27X201</t>
        </is>
      </c>
      <c r="B253" s="129" t="inlineStr">
        <is>
          <t>AISC</t>
        </is>
      </c>
      <c r="C253" s="125" t="n">
        <v>299</v>
      </c>
      <c r="D253" s="125" t="n">
        <v>732</v>
      </c>
      <c r="E253" s="125" t="n">
        <v>262.8</v>
      </c>
      <c r="F253" s="125" t="n">
        <v>42.9</v>
      </c>
      <c r="G253" s="125" t="n">
        <v>23.9</v>
      </c>
      <c r="H253" s="125" t="n">
        <v>15.2</v>
      </c>
      <c r="I253" s="125" t="n">
        <v>615.8</v>
      </c>
      <c r="J253" s="125" t="n">
        <v>382</v>
      </c>
      <c r="K253" s="125" t="n">
        <v>3.06</v>
      </c>
      <c r="L253" s="125" t="n">
        <v>25.8</v>
      </c>
      <c r="M253" s="125" t="n">
        <v>2.44</v>
      </c>
      <c r="N253" s="125" t="n">
        <v>323800</v>
      </c>
      <c r="O253" s="125" t="n">
        <v>13060</v>
      </c>
      <c r="P253" s="125" t="n">
        <v>29.1</v>
      </c>
      <c r="Q253" s="125" t="n">
        <v>5.85</v>
      </c>
      <c r="R253" s="125" t="n">
        <v>8847</v>
      </c>
      <c r="S253" s="125" t="n">
        <v>994</v>
      </c>
      <c r="T253" s="125">
        <f>(((E253*D253*D253)/4)-(((E253-G253)*(D253-F253-F253)*(D253-F253-F253))/4)+(4*(H253*H253*(D253/2-F253-(H253/2))-((PI()*H253*H253)/4*((D253/2)-F253-(H253-((4*H253)/(3*PI()))))))))/1000</f>
        <v/>
      </c>
      <c r="U253" s="125">
        <f>(((D253*E253*E253)/4)-(2*((D253-F253-F253)*(E253/2-(G253/2))*(((E253/2-(G253/2))/2)+(G253/2))))+(4*(((H253*H253)-(((PI()*H253*H253)/4)))*((H253-((4*H253)/(3*PI())))+(G253/2)))))/1000</f>
        <v/>
      </c>
      <c r="V253" s="125" t="n">
        <v>10330</v>
      </c>
      <c r="W253" s="125" t="n">
        <v>1577</v>
      </c>
      <c r="Y253">
        <f>SQRT((((VLOOKUP($X$4,$A$4:$D$1021,4,FALSE))-D253)^2)+(((VLOOKUP($X$4,$A$4:$E$1021,5,FALSE))-E253)^2))</f>
        <v/>
      </c>
    </row>
    <row r="254">
      <c r="A254" s="125" t="inlineStr">
        <is>
          <t>W27X221</t>
        </is>
      </c>
      <c r="B254" s="129" t="inlineStr">
        <is>
          <t>AISC</t>
        </is>
      </c>
      <c r="C254" s="125" t="n">
        <v>329</v>
      </c>
      <c r="D254" s="125" t="n">
        <v>739.9</v>
      </c>
      <c r="E254" s="125" t="n">
        <v>264.8</v>
      </c>
      <c r="F254" s="125" t="n">
        <v>47</v>
      </c>
      <c r="G254" s="125" t="n">
        <v>25.9</v>
      </c>
      <c r="H254" s="125" t="n">
        <v>15.2</v>
      </c>
      <c r="I254" s="125" t="n">
        <v>615.5</v>
      </c>
      <c r="J254" s="125" t="n">
        <v>418</v>
      </c>
      <c r="K254" s="125" t="n">
        <v>2.82</v>
      </c>
      <c r="L254" s="125" t="n">
        <v>23.8</v>
      </c>
      <c r="M254" s="125" t="n">
        <v>2.46</v>
      </c>
      <c r="N254" s="125" t="n">
        <v>359400</v>
      </c>
      <c r="O254" s="125" t="n">
        <v>14640</v>
      </c>
      <c r="P254" s="125" t="n">
        <v>29.3</v>
      </c>
      <c r="Q254" s="125" t="n">
        <v>5.92</v>
      </c>
      <c r="R254" s="125" t="n">
        <v>9715</v>
      </c>
      <c r="S254" s="125" t="n">
        <v>1106</v>
      </c>
      <c r="T254" s="125">
        <f>(((E254*D254*D254)/4)-(((E254-G254)*(D254-F254-F254)*(D254-F254-F254))/4)+(4*(H254*H254*(D254/2-F254-(H254/2))-((PI()*H254*H254)/4*((D254/2)-F254-(H254-((4*H254)/(3*PI()))))))))/1000</f>
        <v/>
      </c>
      <c r="U254" s="125">
        <f>(((D254*E254*E254)/4)-(2*((D254-F254-F254)*(E254/2-(G254/2))*(((E254/2-(G254/2))/2)+(G254/2))))+(4*(((H254*H254)-(((PI()*H254*H254)/4)))*((H254-((4*H254)/(3*PI())))+(G254/2)))))/1000</f>
        <v/>
      </c>
      <c r="V254" s="125" t="n">
        <v>11390</v>
      </c>
      <c r="W254" s="125" t="n">
        <v>1759</v>
      </c>
      <c r="Y254">
        <f>SQRT((((VLOOKUP($X$4,$A$4:$D$1021,4,FALSE))-D254)^2)+(((VLOOKUP($X$4,$A$4:$E$1021,5,FALSE))-E254)^2))</f>
        <v/>
      </c>
    </row>
    <row r="255">
      <c r="A255" s="125" t="inlineStr">
        <is>
          <t>W27X247</t>
        </is>
      </c>
      <c r="B255" s="129" t="inlineStr">
        <is>
          <t>AISC</t>
        </is>
      </c>
      <c r="C255" s="125" t="n">
        <v>368</v>
      </c>
      <c r="D255" s="125" t="n">
        <v>749.8</v>
      </c>
      <c r="E255" s="125" t="n">
        <v>267.7</v>
      </c>
      <c r="F255" s="125" t="n">
        <v>52.1</v>
      </c>
      <c r="G255" s="125" t="n">
        <v>28.9</v>
      </c>
      <c r="H255" s="125" t="n">
        <v>15.2</v>
      </c>
      <c r="I255" s="125" t="n">
        <v>615.2</v>
      </c>
      <c r="J255" s="125" t="n">
        <v>468</v>
      </c>
      <c r="K255" s="125" t="n">
        <v>2.57</v>
      </c>
      <c r="L255" s="125" t="n">
        <v>21.3</v>
      </c>
      <c r="M255" s="125" t="n">
        <v>2.49</v>
      </c>
      <c r="N255" s="125" t="n">
        <v>406900</v>
      </c>
      <c r="O255" s="125" t="n">
        <v>16800</v>
      </c>
      <c r="P255" s="125" t="n">
        <v>29.5</v>
      </c>
      <c r="Q255" s="125" t="n">
        <v>5.99</v>
      </c>
      <c r="R255" s="125" t="n">
        <v>10850</v>
      </c>
      <c r="S255" s="125" t="n">
        <v>1255</v>
      </c>
      <c r="T255" s="125">
        <f>(((E255*D255*D255)/4)-(((E255-G255)*(D255-F255-F255)*(D255-F255-F255))/4)+(4*(H255*H255*(D255/2-F255-(H255/2))-((PI()*H255*H255)/4*((D255/2)-F255-(H255-((4*H255)/(3*PI()))))))))/1000</f>
        <v/>
      </c>
      <c r="U255" s="125">
        <f>(((D255*E255*E255)/4)-(2*((D255-F255-F255)*(E255/2-(G255/2))*(((E255/2-(G255/2))/2)+(G255/2))))+(4*(((H255*H255)-(((PI()*H255*H255)/4)))*((H255-((4*H255)/(3*PI())))+(G255/2)))))/1000</f>
        <v/>
      </c>
      <c r="V255" s="125" t="n">
        <v>12810</v>
      </c>
      <c r="W255" s="125" t="n">
        <v>2005</v>
      </c>
      <c r="Y255">
        <f>SQRT((((VLOOKUP($X$4,$A$4:$D$1021,4,FALSE))-D255)^2)+(((VLOOKUP($X$4,$A$4:$E$1021,5,FALSE))-E255)^2))</f>
        <v/>
      </c>
    </row>
    <row r="256">
      <c r="A256" s="125" t="inlineStr">
        <is>
          <t>W27X271</t>
        </is>
      </c>
      <c r="B256" s="129" t="inlineStr">
        <is>
          <t>AISC</t>
        </is>
      </c>
      <c r="C256" s="125" t="n">
        <v>404</v>
      </c>
      <c r="D256" s="125" t="n">
        <v>760</v>
      </c>
      <c r="E256" s="125" t="n">
        <v>270.3</v>
      </c>
      <c r="F256" s="125" t="n">
        <v>56.9</v>
      </c>
      <c r="G256" s="125" t="n">
        <v>31.5</v>
      </c>
      <c r="H256" s="125" t="n">
        <v>15.2</v>
      </c>
      <c r="I256" s="125" t="n">
        <v>615.8</v>
      </c>
      <c r="J256" s="125" t="n">
        <v>513</v>
      </c>
      <c r="K256" s="125" t="n">
        <v>2.38</v>
      </c>
      <c r="L256" s="125" t="n">
        <v>19.5</v>
      </c>
      <c r="M256" s="125" t="n">
        <v>2.51</v>
      </c>
      <c r="N256" s="125" t="n">
        <v>453800</v>
      </c>
      <c r="O256" s="125" t="n">
        <v>18910</v>
      </c>
      <c r="P256" s="125" t="n">
        <v>29.7</v>
      </c>
      <c r="Q256" s="125" t="n">
        <v>6.07</v>
      </c>
      <c r="R256" s="125" t="n">
        <v>11940</v>
      </c>
      <c r="S256" s="125" t="n">
        <v>1399</v>
      </c>
      <c r="T256" s="125">
        <f>(((E256*D256*D256)/4)-(((E256-G256)*(D256-F256-F256)*(D256-F256-F256))/4)+(4*(H256*H256*(D256/2-F256-(H256/2))-((PI()*H256*H256)/4*((D256/2)-F256-(H256-((4*H256)/(3*PI()))))))))/1000</f>
        <v/>
      </c>
      <c r="U256" s="125">
        <f>(((D256*E256*E256)/4)-(2*((D256-F256-F256)*(E256/2-(G256/2))*(((E256/2-(G256/2))/2)+(G256/2))))+(4*(((H256*H256)-(((PI()*H256*H256)/4)))*((H256-((4*H256)/(3*PI())))+(G256/2)))))/1000</f>
        <v/>
      </c>
      <c r="V256" s="125" t="n">
        <v>14170</v>
      </c>
      <c r="W256" s="125" t="n">
        <v>2243</v>
      </c>
      <c r="Y256">
        <f>SQRT((((VLOOKUP($X$4,$A$4:$D$1021,4,FALSE))-D256)^2)+(((VLOOKUP($X$4,$A$4:$E$1021,5,FALSE))-E256)^2))</f>
        <v/>
      </c>
    </row>
    <row r="257">
      <c r="A257" s="125" t="inlineStr">
        <is>
          <t>W27X302</t>
        </is>
      </c>
      <c r="B257" s="129" t="inlineStr">
        <is>
          <t>AISC</t>
        </is>
      </c>
      <c r="C257" s="125" t="n">
        <v>449</v>
      </c>
      <c r="D257" s="125" t="n">
        <v>771.9</v>
      </c>
      <c r="E257" s="125" t="n">
        <v>273.8</v>
      </c>
      <c r="F257" s="125" t="n">
        <v>63</v>
      </c>
      <c r="G257" s="125" t="n">
        <v>35.1</v>
      </c>
      <c r="H257" s="125" t="n">
        <v>15.2</v>
      </c>
      <c r="I257" s="125" t="n">
        <v>615.5</v>
      </c>
      <c r="J257" s="125" t="n">
        <v>574</v>
      </c>
      <c r="K257" s="125" t="n">
        <v>2.17</v>
      </c>
      <c r="L257" s="125" t="n">
        <v>17.5</v>
      </c>
      <c r="M257" s="125" t="n">
        <v>2.54</v>
      </c>
      <c r="N257" s="125" t="n">
        <v>515400</v>
      </c>
      <c r="O257" s="125" t="n">
        <v>21790</v>
      </c>
      <c r="P257" s="125" t="n">
        <v>30</v>
      </c>
      <c r="Q257" s="125" t="n">
        <v>6.16</v>
      </c>
      <c r="R257" s="125" t="n">
        <v>13350</v>
      </c>
      <c r="S257" s="125" t="n">
        <v>1592</v>
      </c>
      <c r="T257" s="125">
        <f>(((E257*D257*D257)/4)-(((E257-G257)*(D257-F257-F257)*(D257-F257-F257))/4)+(4*(H257*H257*(D257/2-F257-(H257/2))-((PI()*H257*H257)/4*((D257/2)-F257-(H257-((4*H257)/(3*PI()))))))))/1000</f>
        <v/>
      </c>
      <c r="U257" s="125">
        <f>(((D257*E257*E257)/4)-(2*((D257-F257-F257)*(E257/2-(G257/2))*(((E257/2-(G257/2))/2)+(G257/2))))+(4*(((H257*H257)-(((PI()*H257*H257)/4)))*((H257-((4*H257)/(3*PI())))+(G257/2)))))/1000</f>
        <v/>
      </c>
      <c r="V257" s="125" t="n">
        <v>15950</v>
      </c>
      <c r="W257" s="125" t="n">
        <v>2565</v>
      </c>
      <c r="Y257">
        <f>SQRT((((VLOOKUP($X$4,$A$4:$D$1021,4,FALSE))-D257)^2)+(((VLOOKUP($X$4,$A$4:$E$1021,5,FALSE))-E257)^2))</f>
        <v/>
      </c>
    </row>
    <row r="258">
      <c r="A258" s="125" t="inlineStr">
        <is>
          <t>W27X146</t>
        </is>
      </c>
      <c r="B258" s="129" t="inlineStr">
        <is>
          <t>AISC</t>
        </is>
      </c>
      <c r="C258" s="125" t="n">
        <v>217.3</v>
      </c>
      <c r="D258" s="125" t="n">
        <v>695.5</v>
      </c>
      <c r="E258" s="125" t="n">
        <v>354.7</v>
      </c>
      <c r="F258" s="125" t="n">
        <v>24.8</v>
      </c>
      <c r="G258" s="125" t="n">
        <v>15.4</v>
      </c>
      <c r="H258" s="125" t="n">
        <v>15.2</v>
      </c>
      <c r="I258" s="125" t="n">
        <v>615.6</v>
      </c>
      <c r="J258" s="125" t="n">
        <v>277</v>
      </c>
      <c r="K258" s="125" t="n">
        <v>7.16</v>
      </c>
      <c r="L258" s="125" t="n">
        <v>40.1</v>
      </c>
      <c r="M258" s="125" t="n">
        <v>2.75</v>
      </c>
      <c r="N258" s="125" t="n">
        <v>234200</v>
      </c>
      <c r="O258" s="125" t="n">
        <v>18440</v>
      </c>
      <c r="P258" s="125" t="n">
        <v>29.1</v>
      </c>
      <c r="Q258" s="125" t="n">
        <v>8.16</v>
      </c>
      <c r="R258" s="125" t="n">
        <v>6735</v>
      </c>
      <c r="S258" s="125" t="n">
        <v>1040</v>
      </c>
      <c r="T258" s="125">
        <f>(((E258*D258*D258)/4)-(((E258-G258)*(D258-F258-F258)*(D258-F258-F258))/4)+(4*(H258*H258*(D258/2-F258-(H258/2))-((PI()*H258*H258)/4*((D258/2)-F258-(H258-((4*H258)/(3*PI()))))))))/1000</f>
        <v/>
      </c>
      <c r="U258" s="125">
        <f>(((D258*E258*E258)/4)-(2*((D258-F258-F258)*(E258/2-(G258/2))*(((E258/2-(G258/2))/2)+(G258/2))))+(4*(((H258*H258)-(((PI()*H258*H258)/4)))*((H258-((4*H258)/(3*PI())))+(G258/2)))))/1000</f>
        <v/>
      </c>
      <c r="V258" s="125" t="n">
        <v>7558</v>
      </c>
      <c r="W258" s="125" t="n">
        <v>1598</v>
      </c>
      <c r="Y258">
        <f>SQRT((((VLOOKUP($X$4,$A$4:$D$1021,4,FALSE))-D258)^2)+(((VLOOKUP($X$4,$A$4:$E$1021,5,FALSE))-E258)^2))</f>
        <v/>
      </c>
    </row>
    <row r="259">
      <c r="A259" s="125" t="inlineStr">
        <is>
          <t>W27X161</t>
        </is>
      </c>
      <c r="B259" s="129" t="inlineStr">
        <is>
          <t>AISC</t>
        </is>
      </c>
      <c r="C259" s="125" t="n">
        <v>239.6</v>
      </c>
      <c r="D259" s="125" t="n">
        <v>700.8</v>
      </c>
      <c r="E259" s="125" t="n">
        <v>356.1</v>
      </c>
      <c r="F259" s="125" t="n">
        <v>27.4</v>
      </c>
      <c r="G259" s="125" t="n">
        <v>16.8</v>
      </c>
      <c r="H259" s="125" t="n">
        <v>15.2</v>
      </c>
      <c r="I259" s="125" t="n">
        <v>615.5</v>
      </c>
      <c r="J259" s="125" t="n">
        <v>306</v>
      </c>
      <c r="K259" s="125" t="n">
        <v>6.49</v>
      </c>
      <c r="L259" s="125" t="n">
        <v>36.7</v>
      </c>
      <c r="M259" s="125" t="n">
        <v>2.77</v>
      </c>
      <c r="N259" s="125" t="n">
        <v>261200</v>
      </c>
      <c r="O259" s="125" t="n">
        <v>20670</v>
      </c>
      <c r="P259" s="125" t="n">
        <v>29.2</v>
      </c>
      <c r="Q259" s="125" t="n">
        <v>8.220000000000001</v>
      </c>
      <c r="R259" s="125" t="n">
        <v>7455</v>
      </c>
      <c r="S259" s="125" t="n">
        <v>1161</v>
      </c>
      <c r="T259" s="125">
        <f>(((E259*D259*D259)/4)-(((E259-G259)*(D259-F259-F259)*(D259-F259-F259))/4)+(4*(H259*H259*(D259/2-F259-(H259/2))-((PI()*H259*H259)/4*((D259/2)-F259-(H259-((4*H259)/(3*PI()))))))))/1000</f>
        <v/>
      </c>
      <c r="U259" s="125">
        <f>(((D259*E259*E259)/4)-(2*((D259-F259-F259)*(E259/2-(G259/2))*(((E259/2-(G259/2))/2)+(G259/2))))+(4*(((H259*H259)-(((PI()*H259*H259)/4)))*((H259-((4*H259)/(3*PI())))+(G259/2)))))/1000</f>
        <v/>
      </c>
      <c r="V259" s="125" t="n">
        <v>8389</v>
      </c>
      <c r="W259" s="125" t="n">
        <v>1787</v>
      </c>
      <c r="Y259">
        <f>SQRT((((VLOOKUP($X$4,$A$4:$D$1021,4,FALSE))-D259)^2)+(((VLOOKUP($X$4,$A$4:$E$1021,5,FALSE))-E259)^2))</f>
        <v/>
      </c>
    </row>
    <row r="260">
      <c r="A260" s="125" t="inlineStr">
        <is>
          <t>W27X178</t>
        </is>
      </c>
      <c r="B260" s="129" t="inlineStr">
        <is>
          <t>AISC</t>
        </is>
      </c>
      <c r="C260" s="125" t="n">
        <v>264.9</v>
      </c>
      <c r="D260" s="125" t="n">
        <v>706.4</v>
      </c>
      <c r="E260" s="125" t="n">
        <v>357.8</v>
      </c>
      <c r="F260" s="125" t="n">
        <v>30.2</v>
      </c>
      <c r="G260" s="125" t="n">
        <v>18.4</v>
      </c>
      <c r="H260" s="125" t="n">
        <v>15.2</v>
      </c>
      <c r="I260" s="125" t="n">
        <v>615.5</v>
      </c>
      <c r="J260" s="125" t="n">
        <v>337</v>
      </c>
      <c r="K260" s="125" t="n">
        <v>5.92</v>
      </c>
      <c r="L260" s="125" t="n">
        <v>33.4</v>
      </c>
      <c r="M260" s="125" t="n">
        <v>2.78</v>
      </c>
      <c r="N260" s="125" t="n">
        <v>290800</v>
      </c>
      <c r="O260" s="125" t="n">
        <v>23120</v>
      </c>
      <c r="P260" s="125" t="n">
        <v>29.4</v>
      </c>
      <c r="Q260" s="125" t="n">
        <v>8.279999999999999</v>
      </c>
      <c r="R260" s="125" t="n">
        <v>8233</v>
      </c>
      <c r="S260" s="125" t="n">
        <v>1292</v>
      </c>
      <c r="T260" s="125">
        <f>(((E260*D260*D260)/4)-(((E260-G260)*(D260-F260-F260)*(D260-F260-F260))/4)+(4*(H260*H260*(D260/2-F260-(H260/2))-((PI()*H260*H260)/4*((D260/2)-F260-(H260-((4*H260)/(3*PI()))))))))/1000</f>
        <v/>
      </c>
      <c r="U260" s="125">
        <f>(((D260*E260*E260)/4)-(2*((D260-F260-F260)*(E260/2-(G260/2))*(((E260/2-(G260/2))/2)+(G260/2))))+(4*(((H260*H260)-(((PI()*H260*H260)/4)))*((H260-((4*H260)/(3*PI())))+(G260/2)))))/1000</f>
        <v/>
      </c>
      <c r="V260" s="125" t="n">
        <v>9297</v>
      </c>
      <c r="W260" s="125" t="n">
        <v>1992</v>
      </c>
      <c r="Y260">
        <f>SQRT((((VLOOKUP($X$4,$A$4:$D$1021,4,FALSE))-D260)^2)+(((VLOOKUP($X$4,$A$4:$E$1021,5,FALSE))-E260)^2))</f>
        <v/>
      </c>
    </row>
    <row r="261">
      <c r="A261" s="125" t="inlineStr">
        <is>
          <t>W27X194</t>
        </is>
      </c>
      <c r="B261" s="129" t="inlineStr">
        <is>
          <t>AISC</t>
        </is>
      </c>
      <c r="C261" s="125" t="n">
        <v>288.7</v>
      </c>
      <c r="D261" s="125" t="n">
        <v>714</v>
      </c>
      <c r="E261" s="125" t="n">
        <v>356.4</v>
      </c>
      <c r="F261" s="125" t="n">
        <v>34</v>
      </c>
      <c r="G261" s="125" t="n">
        <v>19.1</v>
      </c>
      <c r="H261" s="125" t="n">
        <v>15.2</v>
      </c>
      <c r="I261" s="125" t="n">
        <v>615.5</v>
      </c>
      <c r="J261" s="125" t="n">
        <v>368</v>
      </c>
      <c r="K261" s="125" t="n">
        <v>5.24</v>
      </c>
      <c r="L261" s="125" t="n">
        <v>32.3</v>
      </c>
      <c r="M261" s="125" t="n">
        <v>2.79</v>
      </c>
      <c r="N261" s="125" t="n">
        <v>325500</v>
      </c>
      <c r="O261" s="125" t="n">
        <v>25720</v>
      </c>
      <c r="P261" s="125" t="n">
        <v>29.8</v>
      </c>
      <c r="Q261" s="125" t="n">
        <v>8.359999999999999</v>
      </c>
      <c r="R261" s="125" t="n">
        <v>9118</v>
      </c>
      <c r="S261" s="125" t="n">
        <v>1444</v>
      </c>
      <c r="T261" s="125">
        <f>(((E261*D261*D261)/4)-(((E261-G261)*(D261-F261-F261)*(D261-F261-F261))/4)+(4*(H261*H261*(D261/2-F261-(H261/2))-((PI()*H261*H261)/4*((D261/2)-F261-(H261-((4*H261)/(3*PI()))))))))/1000</f>
        <v/>
      </c>
      <c r="U261" s="125">
        <f>(((D261*E261*E261)/4)-(2*((D261-F261-F261)*(E261/2-(G261/2))*(((E261/2-(G261/2))/2)+(G261/2))))+(4*(((H261*H261)-(((PI()*H261*H261)/4)))*((H261-((4*H261)/(3*PI())))+(G261/2)))))/1000</f>
        <v/>
      </c>
      <c r="V261" s="125" t="n">
        <v>10300</v>
      </c>
      <c r="W261" s="125" t="n">
        <v>2223</v>
      </c>
      <c r="Y261">
        <f>SQRT((((VLOOKUP($X$4,$A$4:$D$1021,4,FALSE))-D261)^2)+(((VLOOKUP($X$4,$A$4:$E$1021,5,FALSE))-E261)^2))</f>
        <v/>
      </c>
    </row>
    <row r="262">
      <c r="A262" s="125" t="inlineStr">
        <is>
          <t>W27X217</t>
        </is>
      </c>
      <c r="B262" s="129" t="inlineStr">
        <is>
          <t>AISC</t>
        </is>
      </c>
      <c r="C262" s="125" t="n">
        <v>322.9</v>
      </c>
      <c r="D262" s="125" t="n">
        <v>722.1</v>
      </c>
      <c r="E262" s="125" t="n">
        <v>358.5</v>
      </c>
      <c r="F262" s="125" t="n">
        <v>38.1</v>
      </c>
      <c r="G262" s="125" t="n">
        <v>21.1</v>
      </c>
      <c r="H262" s="125" t="n">
        <v>15.2</v>
      </c>
      <c r="I262" s="125" t="n">
        <v>615.5</v>
      </c>
      <c r="J262" s="125" t="n">
        <v>411</v>
      </c>
      <c r="K262" s="125" t="n">
        <v>4.7</v>
      </c>
      <c r="L262" s="125" t="n">
        <v>29.2</v>
      </c>
      <c r="M262" s="125" t="n">
        <v>2.81</v>
      </c>
      <c r="N262" s="125" t="n">
        <v>369200</v>
      </c>
      <c r="O262" s="125" t="n">
        <v>29310</v>
      </c>
      <c r="P262" s="125" t="n">
        <v>30</v>
      </c>
      <c r="Q262" s="125" t="n">
        <v>8.44</v>
      </c>
      <c r="R262" s="125" t="n">
        <v>10230</v>
      </c>
      <c r="S262" s="125" t="n">
        <v>1635</v>
      </c>
      <c r="T262" s="125">
        <f>(((E262*D262*D262)/4)-(((E262-G262)*(D262-F262-F262)*(D262-F262-F262))/4)+(4*(H262*H262*(D262/2-F262-(H262/2))-((PI()*H262*H262)/4*((D262/2)-F262-(H262-((4*H262)/(3*PI()))))))))/1000</f>
        <v/>
      </c>
      <c r="U262" s="125">
        <f>(((D262*E262*E262)/4)-(2*((D262-F262-F262)*(E262/2-(G262/2))*(((E262/2-(G262/2))/2)+(G262/2))))+(4*(((H262*H262)-(((PI()*H262*H262)/4)))*((H262-((4*H262)/(3*PI())))+(G262/2)))))/1000</f>
        <v/>
      </c>
      <c r="V262" s="125" t="n">
        <v>11610</v>
      </c>
      <c r="W262" s="125" t="n">
        <v>2523</v>
      </c>
      <c r="Y262">
        <f>SQRT((((VLOOKUP($X$4,$A$4:$D$1021,4,FALSE))-D262)^2)+(((VLOOKUP($X$4,$A$4:$E$1021,5,FALSE))-E262)^2))</f>
        <v/>
      </c>
    </row>
    <row r="263">
      <c r="A263" s="125" t="inlineStr">
        <is>
          <t>W27X235</t>
        </is>
      </c>
      <c r="B263" s="129" t="inlineStr">
        <is>
          <t>AISC</t>
        </is>
      </c>
      <c r="C263" s="125" t="n">
        <v>349.7</v>
      </c>
      <c r="D263" s="125" t="n">
        <v>728</v>
      </c>
      <c r="E263" s="125" t="n">
        <v>360.4</v>
      </c>
      <c r="F263" s="125" t="n">
        <v>40.9</v>
      </c>
      <c r="G263" s="125" t="n">
        <v>23.1</v>
      </c>
      <c r="H263" s="125" t="n">
        <v>15.2</v>
      </c>
      <c r="I263" s="125" t="n">
        <v>615.8</v>
      </c>
      <c r="J263" s="125" t="n">
        <v>446</v>
      </c>
      <c r="K263" s="125" t="n">
        <v>4.41</v>
      </c>
      <c r="L263" s="125" t="n">
        <v>26.6</v>
      </c>
      <c r="M263" s="125" t="n">
        <v>2.83</v>
      </c>
      <c r="N263" s="125" t="n">
        <v>402300</v>
      </c>
      <c r="O263" s="125" t="n">
        <v>31970</v>
      </c>
      <c r="P263" s="125" t="n">
        <v>30</v>
      </c>
      <c r="Q263" s="125" t="n">
        <v>8.470000000000001</v>
      </c>
      <c r="R263" s="125" t="n">
        <v>11050</v>
      </c>
      <c r="S263" s="125" t="n">
        <v>1774</v>
      </c>
      <c r="T263" s="125">
        <f>(((E263*D263*D263)/4)-(((E263-G263)*(D263-F263-F263)*(D263-F263-F263))/4)+(4*(H263*H263*(D263/2-F263-(H263/2))-((PI()*H263*H263)/4*((D263/2)-F263-(H263-((4*H263)/(3*PI()))))))))/1000</f>
        <v/>
      </c>
      <c r="U263" s="125">
        <f>(((D263*E263*E263)/4)-(2*((D263-F263-F263)*(E263/2-(G263/2))*(((E263/2-(G263/2))/2)+(G263/2))))+(4*(((H263*H263)-(((PI()*H263*H263)/4)))*((H263-((4*H263)/(3*PI())))+(G263/2)))))/1000</f>
        <v/>
      </c>
      <c r="V263" s="125" t="n">
        <v>12600</v>
      </c>
      <c r="W263" s="125" t="n">
        <v>2745</v>
      </c>
      <c r="Y263">
        <f>SQRT((((VLOOKUP($X$4,$A$4:$D$1021,4,FALSE))-D263)^2)+(((VLOOKUP($X$4,$A$4:$E$1021,5,FALSE))-E263)^2))</f>
        <v/>
      </c>
    </row>
    <row r="264">
      <c r="A264" s="125" t="inlineStr">
        <is>
          <t>W27X258</t>
        </is>
      </c>
      <c r="B264" s="129" t="inlineStr">
        <is>
          <t>AISC</t>
        </is>
      </c>
      <c r="C264" s="125" t="n">
        <v>383.9</v>
      </c>
      <c r="D264" s="125" t="n">
        <v>736.1</v>
      </c>
      <c r="E264" s="125" t="n">
        <v>362.5</v>
      </c>
      <c r="F264" s="125" t="n">
        <v>45</v>
      </c>
      <c r="G264" s="125" t="n">
        <v>24.9</v>
      </c>
      <c r="H264" s="125" t="n">
        <v>15.2</v>
      </c>
      <c r="I264" s="125" t="n">
        <v>615.8</v>
      </c>
      <c r="J264" s="125" t="n">
        <v>489</v>
      </c>
      <c r="K264" s="125" t="n">
        <v>4.03</v>
      </c>
      <c r="L264" s="125" t="n">
        <v>24.7</v>
      </c>
      <c r="M264" s="125" t="n">
        <v>2.85</v>
      </c>
      <c r="N264" s="125" t="n">
        <v>447800</v>
      </c>
      <c r="O264" s="125" t="n">
        <v>35780</v>
      </c>
      <c r="P264" s="125" t="n">
        <v>30.3</v>
      </c>
      <c r="Q264" s="125" t="n">
        <v>8.56</v>
      </c>
      <c r="R264" s="125" t="n">
        <v>12170</v>
      </c>
      <c r="S264" s="125" t="n">
        <v>1974</v>
      </c>
      <c r="T264" s="125">
        <f>(((E264*D264*D264)/4)-(((E264-G264)*(D264-F264-F264)*(D264-F264-F264))/4)+(4*(H264*H264*(D264/2-F264-(H264/2))-((PI()*H264*H264)/4*((D264/2)-F264-(H264-((4*H264)/(3*PI()))))))))/1000</f>
        <v/>
      </c>
      <c r="U264" s="125">
        <f>(((D264*E264*E264)/4)-(2*((D264-F264-F264)*(E264/2-(G264/2))*(((E264/2-(G264/2))/2)+(G264/2))))+(4*(((H264*H264)-(((PI()*H264*H264)/4)))*((H264-((4*H264)/(3*PI())))+(G264/2)))))/1000</f>
        <v/>
      </c>
      <c r="V264" s="125" t="n">
        <v>13930</v>
      </c>
      <c r="W264" s="125" t="n">
        <v>3057</v>
      </c>
      <c r="Y264">
        <f>SQRT((((VLOOKUP($X$4,$A$4:$D$1021,4,FALSE))-D264)^2)+(((VLOOKUP($X$4,$A$4:$E$1021,5,FALSE))-E264)^2))</f>
        <v/>
      </c>
    </row>
    <row r="265">
      <c r="A265" s="125" t="inlineStr">
        <is>
          <t>W27X281</t>
        </is>
      </c>
      <c r="B265" s="129" t="inlineStr">
        <is>
          <t>AISC</t>
        </is>
      </c>
      <c r="C265" s="125" t="n">
        <v>418.2</v>
      </c>
      <c r="D265" s="125" t="n">
        <v>744</v>
      </c>
      <c r="E265" s="125" t="n">
        <v>364.5</v>
      </c>
      <c r="F265" s="125" t="n">
        <v>49</v>
      </c>
      <c r="G265" s="125" t="n">
        <v>26.9</v>
      </c>
      <c r="H265" s="125" t="n">
        <v>15.2</v>
      </c>
      <c r="I265" s="125" t="n">
        <v>615.6</v>
      </c>
      <c r="J265" s="125" t="n">
        <v>533</v>
      </c>
      <c r="K265" s="125" t="n">
        <v>3.72</v>
      </c>
      <c r="L265" s="125" t="n">
        <v>22.9</v>
      </c>
      <c r="M265" s="125" t="n">
        <v>2.87</v>
      </c>
      <c r="N265" s="125" t="n">
        <v>494700</v>
      </c>
      <c r="O265" s="125" t="n">
        <v>39680</v>
      </c>
      <c r="P265" s="125" t="n">
        <v>30.5</v>
      </c>
      <c r="Q265" s="125" t="n">
        <v>8.630000000000001</v>
      </c>
      <c r="R265" s="125" t="n">
        <v>13300</v>
      </c>
      <c r="S265" s="125" t="n">
        <v>2177</v>
      </c>
      <c r="T265" s="125">
        <f>(((E265*D265*D265)/4)-(((E265-G265)*(D265-F265-F265)*(D265-F265-F265))/4)+(4*(H265*H265*(D265/2-F265-(H265/2))-((PI()*H265*H265)/4*((D265/2)-F265-(H265-((4*H265)/(3*PI()))))))))/1000</f>
        <v/>
      </c>
      <c r="U265" s="125">
        <f>(((D265*E265*E265)/4)-(2*((D265-F265-F265)*(E265/2-(G265/2))*(((E265/2-(G265/2))/2)+(G265/2))))+(4*(((H265*H265)-(((PI()*H265*H265)/4)))*((H265-((4*H265)/(3*PI())))+(G265/2)))))/1000</f>
        <v/>
      </c>
      <c r="V265" s="125" t="n">
        <v>15290</v>
      </c>
      <c r="W265" s="125" t="n">
        <v>3377</v>
      </c>
      <c r="Y265">
        <f>SQRT((((VLOOKUP($X$4,$A$4:$D$1021,4,FALSE))-D265)^2)+(((VLOOKUP($X$4,$A$4:$E$1021,5,FALSE))-E265)^2))</f>
        <v/>
      </c>
    </row>
    <row r="266">
      <c r="A266" s="125" t="inlineStr">
        <is>
          <t>W27X307</t>
        </is>
      </c>
      <c r="B266" s="129" t="inlineStr">
        <is>
          <t>AISC</t>
        </is>
      </c>
      <c r="C266" s="125" t="n">
        <v>456.9</v>
      </c>
      <c r="D266" s="125" t="n">
        <v>752.1</v>
      </c>
      <c r="E266" s="125" t="n">
        <v>366.9</v>
      </c>
      <c r="F266" s="125" t="n">
        <v>53.1</v>
      </c>
      <c r="G266" s="125" t="n">
        <v>29.5</v>
      </c>
      <c r="H266" s="125" t="n">
        <v>15.2</v>
      </c>
      <c r="I266" s="125" t="n">
        <v>615.5</v>
      </c>
      <c r="J266" s="125" t="n">
        <v>582</v>
      </c>
      <c r="K266" s="125" t="n">
        <v>3.46</v>
      </c>
      <c r="L266" s="125" t="n">
        <v>20.9</v>
      </c>
      <c r="M266" s="125" t="n">
        <v>2.89</v>
      </c>
      <c r="N266" s="125" t="n">
        <v>545000</v>
      </c>
      <c r="O266" s="125" t="n">
        <v>43850</v>
      </c>
      <c r="P266" s="125" t="n">
        <v>30.6</v>
      </c>
      <c r="Q266" s="125" t="n">
        <v>8.68</v>
      </c>
      <c r="R266" s="125" t="n">
        <v>14990</v>
      </c>
      <c r="S266" s="125" t="n">
        <v>2390</v>
      </c>
      <c r="T266" s="125">
        <f>(((E266*D266*D266)/4)-(((E266-G266)*(D266-F266-F266)*(D266-F266-F266))/4)+(4*(H266*H266*(D266/2-F266-(H266/2))-((PI()*H266*H266)/4*((D266/2)-F266-(H266-((4*H266)/(3*PI()))))))))/1000</f>
        <v/>
      </c>
      <c r="U266" s="125">
        <f>(((D266*E266*E266)/4)-(2*((D266-F266-F266)*(E266/2-(G266/2))*(((E266/2-(G266/2))/2)+(G266/2))))+(4*(((H266*H266)-(((PI()*H266*H266)/4)))*((H266-((4*H266)/(3*PI())))+(G266/2)))))/1000</f>
        <v/>
      </c>
      <c r="V266" s="125" t="n">
        <v>16750</v>
      </c>
      <c r="W266" s="125" t="n">
        <v>3717</v>
      </c>
      <c r="Y266">
        <f>SQRT((((VLOOKUP($X$4,$A$4:$D$1021,4,FALSE))-D266)^2)+(((VLOOKUP($X$4,$A$4:$E$1021,5,FALSE))-E266)^2))</f>
        <v/>
      </c>
    </row>
    <row r="267">
      <c r="A267" s="125" t="inlineStr">
        <is>
          <t>W27X336</t>
        </is>
      </c>
      <c r="B267" s="129" t="inlineStr">
        <is>
          <t>AISC</t>
        </is>
      </c>
      <c r="C267" s="125" t="n">
        <v>500</v>
      </c>
      <c r="D267" s="125" t="n">
        <v>762</v>
      </c>
      <c r="E267" s="125" t="n">
        <v>369</v>
      </c>
      <c r="F267" s="125" t="n">
        <v>57.9</v>
      </c>
      <c r="G267" s="125" t="n">
        <v>32</v>
      </c>
      <c r="H267" s="125" t="n">
        <v>15.2</v>
      </c>
      <c r="I267" s="125" t="n">
        <v>615.8</v>
      </c>
      <c r="J267" s="125" t="n">
        <v>636</v>
      </c>
      <c r="K267" s="125" t="n">
        <v>3.19</v>
      </c>
      <c r="L267" s="125" t="n">
        <v>19.2</v>
      </c>
      <c r="M267" s="125" t="n">
        <v>2.91</v>
      </c>
      <c r="N267" s="125" t="n">
        <v>604800</v>
      </c>
      <c r="O267" s="125" t="n">
        <v>48670</v>
      </c>
      <c r="P267" s="125" t="n">
        <v>30.8</v>
      </c>
      <c r="Q267" s="125" t="n">
        <v>8.75</v>
      </c>
      <c r="R267" s="125" t="n">
        <v>15870</v>
      </c>
      <c r="S267" s="125" t="n">
        <v>2638</v>
      </c>
      <c r="T267" s="125">
        <f>(((E267*D267*D267)/4)-(((E267-G267)*(D267-F267-F267)*(D267-F267-F267))/4)+(4*(H267*H267*(D267/2-F267-(H267/2))-((PI()*H267*H267)/4*((D267/2)-F267-(H267-((4*H267)/(3*PI()))))))))/1000</f>
        <v/>
      </c>
      <c r="U267" s="125">
        <f>(((D267*E267*E267)/4)-(2*((D267-F267-F267)*(E267/2-(G267/2))*(((E267/2-(G267/2))/2)+(G267/2))))+(4*(((H267*H267)-(((PI()*H267*H267)/4)))*((H267-((4*H267)/(3*PI())))+(G267/2)))))/1000</f>
        <v/>
      </c>
      <c r="V267" s="125" t="n">
        <v>18450</v>
      </c>
      <c r="W267" s="125" t="n">
        <v>4111</v>
      </c>
      <c r="Y267">
        <f>SQRT((((VLOOKUP($X$4,$A$4:$D$1021,4,FALSE))-D267)^2)+(((VLOOKUP($X$4,$A$4:$E$1021,5,FALSE))-E267)^2))</f>
        <v/>
      </c>
    </row>
    <row r="268">
      <c r="A268" s="125" t="inlineStr">
        <is>
          <t>W30X90</t>
        </is>
      </c>
      <c r="B268" s="129" t="inlineStr">
        <is>
          <t>AISC</t>
        </is>
      </c>
      <c r="C268" s="125" t="n">
        <v>133.9</v>
      </c>
      <c r="D268" s="125" t="n">
        <v>750</v>
      </c>
      <c r="E268" s="125" t="n">
        <v>264.4</v>
      </c>
      <c r="F268" s="125" t="n">
        <v>15.5</v>
      </c>
      <c r="G268" s="125" t="n">
        <v>12</v>
      </c>
      <c r="H268" s="125" t="n">
        <v>16.5</v>
      </c>
      <c r="I268" s="125" t="n">
        <v>686</v>
      </c>
      <c r="J268" s="125" t="n">
        <v>171</v>
      </c>
      <c r="K268" s="125" t="n">
        <v>8.529999999999999</v>
      </c>
      <c r="L268" s="125" t="n">
        <v>57.2</v>
      </c>
      <c r="M268" s="125" t="n">
        <v>2.51</v>
      </c>
      <c r="N268" s="125" t="n">
        <v>150700</v>
      </c>
      <c r="O268" s="125" t="n">
        <v>4788</v>
      </c>
      <c r="P268" s="125" t="n">
        <v>29.7</v>
      </c>
      <c r="Q268" s="125" t="n">
        <v>5.3</v>
      </c>
      <c r="R268" s="125" t="n">
        <v>4018</v>
      </c>
      <c r="S268" s="125" t="n">
        <v>362</v>
      </c>
      <c r="T268" s="125">
        <f>(((E268*D268*D268)/4)-(((E268-G268)*(D268-F268-F268)*(D268-F268-F268))/4)+(4*(H268*H268*(D268/2-F268-(H268/2))-((PI()*H268*H268)/4*((D268/2)-F268-(H268-((4*H268)/(3*PI()))))))))/1000</f>
        <v/>
      </c>
      <c r="U268" s="125">
        <f>(((D268*E268*E268)/4)-(2*((D268-F268-F268)*(E268/2-(G268/2))*(((E268/2-(G268/2))/2)+(G268/2))))+(4*(((H268*H268)-(((PI()*H268*H268)/4)))*((H268-((4*H268)/(3*PI())))+(G268/2)))))/1000</f>
        <v/>
      </c>
      <c r="V268" s="125" t="n">
        <v>4644</v>
      </c>
      <c r="W268" s="125" t="n">
        <v>570</v>
      </c>
      <c r="Y268">
        <f>SQRT((((VLOOKUP($X$4,$A$4:$D$1021,4,FALSE))-D268)^2)+(((VLOOKUP($X$4,$A$4:$E$1021,5,FALSE))-E268)^2))</f>
        <v/>
      </c>
    </row>
    <row r="269">
      <c r="A269" s="125" t="inlineStr">
        <is>
          <t>W30X99</t>
        </is>
      </c>
      <c r="B269" s="129" t="inlineStr">
        <is>
          <t>AISC</t>
        </is>
      </c>
      <c r="C269" s="125" t="n">
        <v>146.9</v>
      </c>
      <c r="D269" s="125" t="n">
        <v>754</v>
      </c>
      <c r="E269" s="125" t="n">
        <v>265.2</v>
      </c>
      <c r="F269" s="125" t="n">
        <v>17.5</v>
      </c>
      <c r="G269" s="125" t="n">
        <v>12.8</v>
      </c>
      <c r="H269" s="125" t="n">
        <v>16.5</v>
      </c>
      <c r="I269" s="125" t="n">
        <v>686</v>
      </c>
      <c r="J269" s="125" t="n">
        <v>187</v>
      </c>
      <c r="K269" s="125" t="n">
        <v>7.58</v>
      </c>
      <c r="L269" s="125" t="n">
        <v>53.6</v>
      </c>
      <c r="M269" s="125" t="n">
        <v>2.51</v>
      </c>
      <c r="N269" s="125" t="n">
        <v>168500</v>
      </c>
      <c r="O269" s="125" t="n">
        <v>5456</v>
      </c>
      <c r="P269" s="125" t="n">
        <v>30</v>
      </c>
      <c r="Q269" s="125" t="n">
        <v>5.4</v>
      </c>
      <c r="R269" s="125" t="n">
        <v>4470</v>
      </c>
      <c r="S269" s="125" t="n">
        <v>411</v>
      </c>
      <c r="T269" s="125">
        <f>(((E269*D269*D269)/4)-(((E269-G269)*(D269-F269-F269)*(D269-F269-F269))/4)+(4*(H269*H269*(D269/2-F269-(H269/2))-((PI()*H269*H269)/4*((D269/2)-F269-(H269-((4*H269)/(3*PI()))))))))/1000</f>
        <v/>
      </c>
      <c r="U269" s="125">
        <f>(((D269*E269*E269)/4)-(2*((D269-F269-F269)*(E269/2-(G269/2))*(((E269/2-(G269/2))/2)+(G269/2))))+(4*(((H269*H269)-(((PI()*H269*H269)/4)))*((H269-((4*H269)/(3*PI())))+(G269/2)))))/1000</f>
        <v/>
      </c>
      <c r="V269" s="125" t="n">
        <v>5156</v>
      </c>
      <c r="W269" s="125" t="n">
        <v>647</v>
      </c>
      <c r="Y269">
        <f>SQRT((((VLOOKUP($X$4,$A$4:$D$1021,4,FALSE))-D269)^2)+(((VLOOKUP($X$4,$A$4:$E$1021,5,FALSE))-E269)^2))</f>
        <v/>
      </c>
    </row>
    <row r="270">
      <c r="A270" s="125" t="inlineStr">
        <is>
          <t>W30X108</t>
        </is>
      </c>
      <c r="B270" s="129" t="inlineStr">
        <is>
          <t>AISC</t>
        </is>
      </c>
      <c r="C270" s="125" t="n">
        <v>160.7</v>
      </c>
      <c r="D270" s="125" t="n">
        <v>757.7</v>
      </c>
      <c r="E270" s="125" t="n">
        <v>266.1</v>
      </c>
      <c r="F270" s="125" t="n">
        <v>19.3</v>
      </c>
      <c r="G270" s="125" t="n">
        <v>13.8</v>
      </c>
      <c r="H270" s="125" t="n">
        <v>16.5</v>
      </c>
      <c r="I270" s="125" t="n">
        <v>686.1</v>
      </c>
      <c r="J270" s="125" t="n">
        <v>205</v>
      </c>
      <c r="K270" s="125" t="n">
        <v>6.89</v>
      </c>
      <c r="L270" s="125" t="n">
        <v>49.6</v>
      </c>
      <c r="M270" s="125" t="n">
        <v>2.52</v>
      </c>
      <c r="N270" s="125" t="n">
        <v>185900</v>
      </c>
      <c r="O270" s="125" t="n">
        <v>6080</v>
      </c>
      <c r="P270" s="125" t="n">
        <v>30.1</v>
      </c>
      <c r="Q270" s="125" t="n">
        <v>5.45</v>
      </c>
      <c r="R270" s="125" t="n">
        <v>4907</v>
      </c>
      <c r="S270" s="125" t="n">
        <v>457</v>
      </c>
      <c r="T270" s="125">
        <f>(((E270*D270*D270)/4)-(((E270-G270)*(D270-F270-F270)*(D270-F270-F270))/4)+(4*(H270*H270*(D270/2-F270-(H270/2))-((PI()*H270*H270)/4*((D270/2)-F270-(H270-((4*H270)/(3*PI()))))))))/1000</f>
        <v/>
      </c>
      <c r="U270" s="125">
        <f>(((D270*E270*E270)/4)-(2*((D270-F270-F270)*(E270/2-(G270/2))*(((E270/2-(G270/2))/2)+(G270/2))))+(4*(((H270*H270)-(((PI()*H270*H270)/4)))*((H270-((4*H270)/(3*PI())))+(G270/2)))))/1000</f>
        <v/>
      </c>
      <c r="V270" s="125" t="n">
        <v>5665</v>
      </c>
      <c r="W270" s="125" t="n">
        <v>720</v>
      </c>
      <c r="Y270">
        <f>SQRT((((VLOOKUP($X$4,$A$4:$D$1021,4,FALSE))-D270)^2)+(((VLOOKUP($X$4,$A$4:$E$1021,5,FALSE))-E270)^2))</f>
        <v/>
      </c>
    </row>
    <row r="271">
      <c r="A271" s="125" t="inlineStr">
        <is>
          <t>W30X116</t>
        </is>
      </c>
      <c r="B271" s="129" t="inlineStr">
        <is>
          <t>AISC</t>
        </is>
      </c>
      <c r="C271" s="125" t="n">
        <v>173</v>
      </c>
      <c r="D271" s="125" t="n">
        <v>762.2</v>
      </c>
      <c r="E271" s="125" t="n">
        <v>266.7</v>
      </c>
      <c r="F271" s="125" t="n">
        <v>21.6</v>
      </c>
      <c r="G271" s="125" t="n">
        <v>14.3</v>
      </c>
      <c r="H271" s="125" t="n">
        <v>16.5</v>
      </c>
      <c r="I271" s="125" t="n">
        <v>686</v>
      </c>
      <c r="J271" s="125" t="n">
        <v>220</v>
      </c>
      <c r="K271" s="125" t="n">
        <v>6.17</v>
      </c>
      <c r="L271" s="125" t="n">
        <v>48</v>
      </c>
      <c r="M271" s="125" t="n">
        <v>2.53</v>
      </c>
      <c r="N271" s="125" t="n">
        <v>205300</v>
      </c>
      <c r="O271" s="125" t="n">
        <v>6850</v>
      </c>
      <c r="P271" s="125" t="n">
        <v>30.5</v>
      </c>
      <c r="Q271" s="125" t="n">
        <v>5.58</v>
      </c>
      <c r="R271" s="125" t="n">
        <v>5387</v>
      </c>
      <c r="S271" s="125" t="n">
        <v>514</v>
      </c>
      <c r="T271" s="125">
        <f>(((E271*D271*D271)/4)-(((E271-G271)*(D271-F271-F271)*(D271-F271-F271))/4)+(4*(H271*H271*(D271/2-F271-(H271/2))-((PI()*H271*H271)/4*((D271/2)-F271-(H271-((4*H271)/(3*PI()))))))))/1000</f>
        <v/>
      </c>
      <c r="U271" s="125">
        <f>(((D271*E271*E271)/4)-(2*((D271-F271-F271)*(E271/2-(G271/2))*(((E271/2-(G271/2))/2)+(G271/2))))+(4*(((H271*H271)-(((PI()*H271*H271)/4)))*((H271-((4*H271)/(3*PI())))+(G271/2)))))/1000</f>
        <v/>
      </c>
      <c r="V271" s="125" t="n">
        <v>6198</v>
      </c>
      <c r="W271" s="125" t="n">
        <v>807</v>
      </c>
      <c r="Y271">
        <f>SQRT((((VLOOKUP($X$4,$A$4:$D$1021,4,FALSE))-D271)^2)+(((VLOOKUP($X$4,$A$4:$E$1021,5,FALSE))-E271)^2))</f>
        <v/>
      </c>
    </row>
    <row r="272">
      <c r="A272" s="125" t="inlineStr">
        <is>
          <t>W30X124</t>
        </is>
      </c>
      <c r="B272" s="129" t="inlineStr">
        <is>
          <t>AISC</t>
        </is>
      </c>
      <c r="C272" s="125" t="n">
        <v>184.5</v>
      </c>
      <c r="D272" s="125" t="n">
        <v>766.3</v>
      </c>
      <c r="E272" s="125" t="n">
        <v>267.1</v>
      </c>
      <c r="F272" s="125" t="n">
        <v>23.6</v>
      </c>
      <c r="G272" s="125" t="n">
        <v>14.9</v>
      </c>
      <c r="H272" s="125" t="n">
        <v>16.5</v>
      </c>
      <c r="I272" s="125" t="n">
        <v>686.1</v>
      </c>
      <c r="J272" s="125" t="n">
        <v>235</v>
      </c>
      <c r="K272" s="125" t="n">
        <v>5.65</v>
      </c>
      <c r="L272" s="125" t="n">
        <v>46.2</v>
      </c>
      <c r="M272" s="125" t="n">
        <v>2.54</v>
      </c>
      <c r="N272" s="125" t="n">
        <v>223100</v>
      </c>
      <c r="O272" s="125" t="n">
        <v>7525</v>
      </c>
      <c r="P272" s="125" t="n">
        <v>30.8</v>
      </c>
      <c r="Q272" s="125" t="n">
        <v>5.65</v>
      </c>
      <c r="R272" s="125" t="n">
        <v>5821</v>
      </c>
      <c r="S272" s="125" t="n">
        <v>563</v>
      </c>
      <c r="T272" s="125">
        <f>(((E272*D272*D272)/4)-(((E272-G272)*(D272-F272-F272)*(D272-F272-F272))/4)+(4*(H272*H272*(D272/2-F272-(H272/2))-((PI()*H272*H272)/4*((D272/2)-F272-(H272-((4*H272)/(3*PI()))))))))/1000</f>
        <v/>
      </c>
      <c r="U272" s="125">
        <f>(((D272*E272*E272)/4)-(2*((D272-F272-F272)*(E272/2-(G272/2))*(((E272/2-(G272/2))/2)+(G272/2))))+(4*(((H272*H272)-(((PI()*H272*H272)/4)))*((H272-((4*H272)/(3*PI())))+(G272/2)))))/1000</f>
        <v/>
      </c>
      <c r="V272" s="125" t="n">
        <v>6689</v>
      </c>
      <c r="W272" s="125" t="n">
        <v>885</v>
      </c>
      <c r="Y272">
        <f>SQRT((((VLOOKUP($X$4,$A$4:$D$1021,4,FALSE))-D272)^2)+(((VLOOKUP($X$4,$A$4:$E$1021,5,FALSE))-E272)^2))</f>
        <v/>
      </c>
    </row>
    <row r="273">
      <c r="A273" s="125" t="inlineStr">
        <is>
          <t>W30X132</t>
        </is>
      </c>
      <c r="B273" s="129" t="inlineStr">
        <is>
          <t>AISC</t>
        </is>
      </c>
      <c r="C273" s="125" t="n">
        <v>196.8</v>
      </c>
      <c r="D273" s="125" t="n">
        <v>769.8</v>
      </c>
      <c r="E273" s="125" t="n">
        <v>268</v>
      </c>
      <c r="F273" s="125" t="n">
        <v>25.4</v>
      </c>
      <c r="G273" s="125" t="n">
        <v>15.6</v>
      </c>
      <c r="H273" s="125" t="n">
        <v>16.5</v>
      </c>
      <c r="I273" s="125" t="n">
        <v>686</v>
      </c>
      <c r="J273" s="125" t="n">
        <v>251</v>
      </c>
      <c r="K273" s="125" t="n">
        <v>5.28</v>
      </c>
      <c r="L273" s="125" t="n">
        <v>44</v>
      </c>
      <c r="M273" s="125" t="n">
        <v>2.55</v>
      </c>
      <c r="N273" s="125" t="n">
        <v>240000</v>
      </c>
      <c r="O273" s="125" t="n">
        <v>8175</v>
      </c>
      <c r="P273" s="125" t="n">
        <v>30.9</v>
      </c>
      <c r="Q273" s="125" t="n">
        <v>5.71</v>
      </c>
      <c r="R273" s="125" t="n">
        <v>6234</v>
      </c>
      <c r="S273" s="125" t="n">
        <v>610</v>
      </c>
      <c r="T273" s="125">
        <f>(((E273*D273*D273)/4)-(((E273-G273)*(D273-F273-F273)*(D273-F273-F273))/4)+(4*(H273*H273*(D273/2-F273-(H273/2))-((PI()*H273*H273)/4*((D273/2)-F273-(H273-((4*H273)/(3*PI()))))))))/1000</f>
        <v/>
      </c>
      <c r="U273" s="125">
        <f>(((D273*E273*E273)/4)-(2*((D273-F273-F273)*(E273/2-(G273/2))*(((E273/2-(G273/2))/2)+(G273/2))))+(4*(((H273*H273)-(((PI()*H273*H273)/4)))*((H273-((4*H273)/(3*PI())))+(G273/2)))))/1000</f>
        <v/>
      </c>
      <c r="V273" s="125" t="n">
        <v>7167</v>
      </c>
      <c r="W273" s="125" t="n">
        <v>959</v>
      </c>
      <c r="Y273">
        <f>SQRT((((VLOOKUP($X$4,$A$4:$D$1021,4,FALSE))-D273)^2)+(((VLOOKUP($X$4,$A$4:$E$1021,5,FALSE))-E273)^2))</f>
        <v/>
      </c>
    </row>
    <row r="274">
      <c r="A274" s="125" t="inlineStr">
        <is>
          <t>W30X148</t>
        </is>
      </c>
      <c r="B274" s="129" t="inlineStr">
        <is>
          <t>AISC</t>
        </is>
      </c>
      <c r="C274" s="125" t="n">
        <v>220</v>
      </c>
      <c r="D274" s="125" t="n">
        <v>779</v>
      </c>
      <c r="E274" s="125" t="n">
        <v>266.2</v>
      </c>
      <c r="F274" s="125" t="n">
        <v>30</v>
      </c>
      <c r="G274" s="125" t="n">
        <v>16.5</v>
      </c>
      <c r="H274" s="125" t="n">
        <v>16.5</v>
      </c>
      <c r="I274" s="125" t="n">
        <v>686</v>
      </c>
      <c r="J274" s="125" t="n">
        <v>281</v>
      </c>
      <c r="K274" s="125" t="n">
        <v>4.44</v>
      </c>
      <c r="L274" s="125" t="n">
        <v>41.6</v>
      </c>
      <c r="M274" s="125" t="n">
        <v>2.56</v>
      </c>
      <c r="N274" s="125" t="n">
        <v>278200</v>
      </c>
      <c r="O274" s="125" t="n">
        <v>9463</v>
      </c>
      <c r="P274" s="125" t="n">
        <v>31.5</v>
      </c>
      <c r="Q274" s="125" t="n">
        <v>5.81</v>
      </c>
      <c r="R274" s="125" t="n">
        <v>7142</v>
      </c>
      <c r="S274" s="125" t="n">
        <v>711</v>
      </c>
      <c r="T274" s="125">
        <f>(((E274*D274*D274)/4)-(((E274-G274)*(D274-F274-F274)*(D274-F274-F274))/4)+(4*(H274*H274*(D274/2-F274-(H274/2))-((PI()*H274*H274)/4*((D274/2)-F274-(H274-((4*H274)/(3*PI()))))))))/1000</f>
        <v/>
      </c>
      <c r="U274" s="125">
        <f>(((D274*E274*E274)/4)-(2*((D274-F274-F274)*(E274/2-(G274/2))*(((E274/2-(G274/2))/2)+(G274/2))))+(4*(((H274*H274)-(((PI()*H274*H274)/4)))*((H274-((4*H274)/(3*PI())))+(G274/2)))))/1000</f>
        <v/>
      </c>
      <c r="V274" s="125" t="n">
        <v>8197</v>
      </c>
      <c r="W274" s="125" t="n">
        <v>1115</v>
      </c>
      <c r="Y274">
        <f>SQRT((((VLOOKUP($X$4,$A$4:$D$1021,4,FALSE))-D274)^2)+(((VLOOKUP($X$4,$A$4:$E$1021,5,FALSE))-E274)^2))</f>
        <v/>
      </c>
    </row>
    <row r="275">
      <c r="A275" s="125" t="inlineStr">
        <is>
          <t>W30X165</t>
        </is>
      </c>
      <c r="B275" s="129" t="inlineStr">
        <is>
          <t>AISC</t>
        </is>
      </c>
      <c r="C275" s="125" t="n">
        <v>246</v>
      </c>
      <c r="D275" s="125" t="n">
        <v>785.1</v>
      </c>
      <c r="E275" s="125" t="n">
        <v>268.1</v>
      </c>
      <c r="F275" s="125" t="n">
        <v>33</v>
      </c>
      <c r="G275" s="125" t="n">
        <v>18.5</v>
      </c>
      <c r="H275" s="125" t="n">
        <v>16.5</v>
      </c>
      <c r="I275" s="125" t="n">
        <v>686.1</v>
      </c>
      <c r="J275" s="125" t="n">
        <v>312</v>
      </c>
      <c r="K275" s="125" t="n">
        <v>4.06</v>
      </c>
      <c r="L275" s="125" t="n">
        <v>37.1</v>
      </c>
      <c r="M275" s="125" t="n">
        <v>2.58</v>
      </c>
      <c r="N275" s="125" t="n">
        <v>310700</v>
      </c>
      <c r="O275" s="125" t="n">
        <v>10640</v>
      </c>
      <c r="P275" s="125" t="n">
        <v>31.5</v>
      </c>
      <c r="Q275" s="125" t="n">
        <v>5.84</v>
      </c>
      <c r="R275" s="125" t="n">
        <v>7914</v>
      </c>
      <c r="S275" s="125" t="n">
        <v>794</v>
      </c>
      <c r="T275" s="125">
        <f>(((E275*D275*D275)/4)-(((E275-G275)*(D275-F275-F275)*(D275-F275-F275))/4)+(4*(H275*H275*(D275/2-F275-(H275/2))-((PI()*H275*H275)/4*((D275/2)-F275-(H275-((4*H275)/(3*PI()))))))))/1000</f>
        <v/>
      </c>
      <c r="U275" s="125">
        <f>(((D275*E275*E275)/4)-(2*((D275-F275-F275)*(E275/2-(G275/2))*(((E275/2-(G275/2))/2)+(G275/2))))+(4*(((H275*H275)-(((PI()*H275*H275)/4)))*((H275-((4*H275)/(3*PI())))+(G275/2)))))/1000</f>
        <v/>
      </c>
      <c r="V275" s="125" t="n">
        <v>9129</v>
      </c>
      <c r="W275" s="125" t="n">
        <v>1251</v>
      </c>
      <c r="Y275">
        <f>SQRT((((VLOOKUP($X$4,$A$4:$D$1021,4,FALSE))-D275)^2)+(((VLOOKUP($X$4,$A$4:$E$1021,5,FALSE))-E275)^2))</f>
        <v/>
      </c>
    </row>
    <row r="276">
      <c r="A276" s="125" t="inlineStr">
        <is>
          <t>W30X185</t>
        </is>
      </c>
      <c r="B276" s="129" t="inlineStr">
        <is>
          <t>AISC</t>
        </is>
      </c>
      <c r="C276" s="125" t="n">
        <v>275</v>
      </c>
      <c r="D276" s="125" t="n">
        <v>793</v>
      </c>
      <c r="E276" s="125" t="n">
        <v>270.1</v>
      </c>
      <c r="F276" s="125" t="n">
        <v>37.1</v>
      </c>
      <c r="G276" s="125" t="n">
        <v>20.6</v>
      </c>
      <c r="H276" s="125" t="n">
        <v>16.5</v>
      </c>
      <c r="I276" s="125" t="n">
        <v>685.8</v>
      </c>
      <c r="J276" s="125" t="n">
        <v>351</v>
      </c>
      <c r="K276" s="125" t="n">
        <v>3.64</v>
      </c>
      <c r="L276" s="125" t="n">
        <v>33.3</v>
      </c>
      <c r="M276" s="125" t="n">
        <v>2.6</v>
      </c>
      <c r="N276" s="125" t="n">
        <v>353200</v>
      </c>
      <c r="O276" s="125" t="n">
        <v>12240</v>
      </c>
      <c r="P276" s="125" t="n">
        <v>31.7</v>
      </c>
      <c r="Q276" s="125" t="n">
        <v>5.91</v>
      </c>
      <c r="R276" s="125" t="n">
        <v>8909</v>
      </c>
      <c r="S276" s="125" t="n">
        <v>906</v>
      </c>
      <c r="T276" s="125">
        <f>(((E276*D276*D276)/4)-(((E276-G276)*(D276-F276-F276)*(D276-F276-F276))/4)+(4*(H276*H276*(D276/2-F276-(H276/2))-((PI()*H276*H276)/4*((D276/2)-F276-(H276-((4*H276)/(3*PI()))))))))/1000</f>
        <v/>
      </c>
      <c r="U276" s="125">
        <f>(((D276*E276*E276)/4)-(2*((D276-F276-F276)*(E276/2-(G276/2))*(((E276/2-(G276/2))/2)+(G276/2))))+(4*(((H276*H276)-(((PI()*H276*H276)/4)))*((H276-((4*H276)/(3*PI())))+(G276/2)))))/1000</f>
        <v/>
      </c>
      <c r="V276" s="125" t="n">
        <v>10320</v>
      </c>
      <c r="W276" s="125" t="n">
        <v>1433</v>
      </c>
      <c r="Y276">
        <f>SQRT((((VLOOKUP($X$4,$A$4:$D$1021,4,FALSE))-D276)^2)+(((VLOOKUP($X$4,$A$4:$E$1021,5,FALSE))-E276)^2))</f>
        <v/>
      </c>
    </row>
    <row r="277">
      <c r="A277" s="125" t="inlineStr">
        <is>
          <t>W30X207</t>
        </is>
      </c>
      <c r="B277" s="129" t="inlineStr">
        <is>
          <t>AISC</t>
        </is>
      </c>
      <c r="C277" s="125" t="n">
        <v>308</v>
      </c>
      <c r="D277" s="125" t="n">
        <v>801.1</v>
      </c>
      <c r="E277" s="125" t="n">
        <v>272.7</v>
      </c>
      <c r="F277" s="125" t="n">
        <v>40.9</v>
      </c>
      <c r="G277" s="125" t="n">
        <v>23.1</v>
      </c>
      <c r="H277" s="125" t="n">
        <v>16.5</v>
      </c>
      <c r="I277" s="125" t="n">
        <v>686.3</v>
      </c>
      <c r="J277" s="125" t="n">
        <v>392</v>
      </c>
      <c r="K277" s="125" t="n">
        <v>3.33</v>
      </c>
      <c r="L277" s="125" t="n">
        <v>29.7</v>
      </c>
      <c r="M277" s="125" t="n">
        <v>2.62</v>
      </c>
      <c r="N277" s="125" t="n">
        <v>397200</v>
      </c>
      <c r="O277" s="125" t="n">
        <v>13900</v>
      </c>
      <c r="P277" s="125" t="n">
        <v>31.8</v>
      </c>
      <c r="Q277" s="125" t="n">
        <v>5.96</v>
      </c>
      <c r="R277" s="125" t="n">
        <v>9916</v>
      </c>
      <c r="S277" s="125" t="n">
        <v>1020</v>
      </c>
      <c r="T277" s="125">
        <f>(((E277*D277*D277)/4)-(((E277-G277)*(D277-F277-F277)*(D277-F277-F277))/4)+(4*(H277*H277*(D277/2-F277-(H277/2))-((PI()*H277*H277)/4*((D277/2)-F277-(H277-((4*H277)/(3*PI()))))))))/1000</f>
        <v/>
      </c>
      <c r="U277" s="125">
        <f>(((D277*E277*E277)/4)-(2*((D277-F277-F277)*(E277/2-(G277/2))*(((E277/2-(G277/2))/2)+(G277/2))))+(4*(((H277*H277)-(((PI()*H277*H277)/4)))*((H277-((4*H277)/(3*PI())))+(G277/2)))))/1000</f>
        <v/>
      </c>
      <c r="V277" s="125" t="n">
        <v>11550</v>
      </c>
      <c r="W277" s="125" t="n">
        <v>1620</v>
      </c>
      <c r="Y277">
        <f>SQRT((((VLOOKUP($X$4,$A$4:$D$1021,4,FALSE))-D277)^2)+(((VLOOKUP($X$4,$A$4:$E$1021,5,FALSE))-E277)^2))</f>
        <v/>
      </c>
    </row>
    <row r="278">
      <c r="A278" s="125" t="inlineStr">
        <is>
          <t>W30X226</t>
        </is>
      </c>
      <c r="B278" s="129" t="inlineStr">
        <is>
          <t>AISC</t>
        </is>
      </c>
      <c r="C278" s="125" t="n">
        <v>337</v>
      </c>
      <c r="D278" s="125" t="n">
        <v>809</v>
      </c>
      <c r="E278" s="125" t="n">
        <v>274.6</v>
      </c>
      <c r="F278" s="125" t="n">
        <v>44.9</v>
      </c>
      <c r="G278" s="125" t="n">
        <v>24.9</v>
      </c>
      <c r="H278" s="125" t="n">
        <v>16.5</v>
      </c>
      <c r="I278" s="125" t="n">
        <v>686.2</v>
      </c>
      <c r="J278" s="125" t="n">
        <v>428</v>
      </c>
      <c r="K278" s="125" t="n">
        <v>3.06</v>
      </c>
      <c r="L278" s="125" t="n">
        <v>27.6</v>
      </c>
      <c r="M278" s="125" t="n">
        <v>2.64</v>
      </c>
      <c r="N278" s="125" t="n">
        <v>440500</v>
      </c>
      <c r="O278" s="125" t="n">
        <v>15600</v>
      </c>
      <c r="P278" s="125" t="n">
        <v>32.1</v>
      </c>
      <c r="Q278" s="125" t="n">
        <v>6.04</v>
      </c>
      <c r="R278" s="125" t="n">
        <v>10890</v>
      </c>
      <c r="S278" s="125" t="n">
        <v>1136</v>
      </c>
      <c r="T278" s="125">
        <f>(((E278*D278*D278)/4)-(((E278-G278)*(D278-F278-F278)*(D278-F278-F278))/4)+(4*(H278*H278*(D278/2-F278-(H278/2))-((PI()*H278*H278)/4*((D278/2)-F278-(H278-((4*H278)/(3*PI()))))))))/1000</f>
        <v/>
      </c>
      <c r="U278" s="125">
        <f>(((D278*E278*E278)/4)-(2*((D278-F278-F278)*(E278/2-(G278/2))*(((E278/2-(G278/2))/2)+(G278/2))))+(4*(((H278*H278)-(((PI()*H278*H278)/4)))*((H278-((4*H278)/(3*PI())))+(G278/2)))))/1000</f>
        <v/>
      </c>
      <c r="V278" s="125" t="n">
        <v>12720</v>
      </c>
      <c r="W278" s="125" t="n">
        <v>1808</v>
      </c>
      <c r="Y278">
        <f>SQRT((((VLOOKUP($X$4,$A$4:$D$1021,4,FALSE))-D278)^2)+(((VLOOKUP($X$4,$A$4:$E$1021,5,FALSE))-E278)^2))</f>
        <v/>
      </c>
    </row>
    <row r="279">
      <c r="A279" s="125" t="inlineStr">
        <is>
          <t>W30X246</t>
        </is>
      </c>
      <c r="B279" s="129" t="inlineStr">
        <is>
          <t>AISC</t>
        </is>
      </c>
      <c r="C279" s="125" t="n">
        <v>366</v>
      </c>
      <c r="D279" s="125" t="n">
        <v>817.1</v>
      </c>
      <c r="E279" s="125" t="n">
        <v>276.6</v>
      </c>
      <c r="F279" s="125" t="n">
        <v>48</v>
      </c>
      <c r="G279" s="125" t="n">
        <v>26.9</v>
      </c>
      <c r="H279" s="125" t="n">
        <v>16.5</v>
      </c>
      <c r="I279" s="125" t="n">
        <v>688.1</v>
      </c>
      <c r="J279" s="125" t="n">
        <v>462</v>
      </c>
      <c r="K279" s="125" t="n">
        <v>2.88</v>
      </c>
      <c r="L279" s="125" t="n">
        <v>25.6</v>
      </c>
      <c r="M279" s="125" t="n">
        <v>2.66</v>
      </c>
      <c r="N279" s="125" t="n">
        <v>480200</v>
      </c>
      <c r="O279" s="125" t="n">
        <v>17050</v>
      </c>
      <c r="P279" s="125" t="n">
        <v>32.2</v>
      </c>
      <c r="Q279" s="125" t="n">
        <v>6.08</v>
      </c>
      <c r="R279" s="125" t="n">
        <v>11750</v>
      </c>
      <c r="S279" s="125" t="n">
        <v>1233</v>
      </c>
      <c r="T279" s="125">
        <f>(((E279*D279*D279)/4)-(((E279-G279)*(D279-F279-F279)*(D279-F279-F279))/4)+(4*(H279*H279*(D279/2-F279-(H279/2))-((PI()*H279*H279)/4*((D279/2)-F279-(H279-((4*H279)/(3*PI()))))))))/1000</f>
        <v/>
      </c>
      <c r="U279" s="125">
        <f>(((D279*E279*E279)/4)-(2*((D279-F279-F279)*(E279/2-(G279/2))*(((E279/2-(G279/2))/2)+(G279/2))))+(4*(((H279*H279)-(((PI()*H279*H279)/4)))*((H279-((4*H279)/(3*PI())))+(G279/2)))))/1000</f>
        <v/>
      </c>
      <c r="V279" s="125" t="n">
        <v>13790</v>
      </c>
      <c r="W279" s="125" t="n">
        <v>1971</v>
      </c>
      <c r="Y279">
        <f>SQRT((((VLOOKUP($X$4,$A$4:$D$1021,4,FALSE))-D279)^2)+(((VLOOKUP($X$4,$A$4:$E$1021,5,FALSE))-E279)^2))</f>
        <v/>
      </c>
    </row>
    <row r="280">
      <c r="A280" s="125" t="inlineStr">
        <is>
          <t>W30X269</t>
        </is>
      </c>
      <c r="B280" s="129" t="inlineStr">
        <is>
          <t>AISC</t>
        </is>
      </c>
      <c r="C280" s="125" t="n">
        <v>401</v>
      </c>
      <c r="D280" s="125" t="n">
        <v>825</v>
      </c>
      <c r="E280" s="125" t="n">
        <v>279.1</v>
      </c>
      <c r="F280" s="125" t="n">
        <v>53.1</v>
      </c>
      <c r="G280" s="125" t="n">
        <v>29.5</v>
      </c>
      <c r="H280" s="125" t="n">
        <v>16.5</v>
      </c>
      <c r="I280" s="125" t="n">
        <v>685.8</v>
      </c>
      <c r="J280" s="125" t="n">
        <v>511</v>
      </c>
      <c r="K280" s="125" t="n">
        <v>2.63</v>
      </c>
      <c r="L280" s="125" t="n">
        <v>23.2</v>
      </c>
      <c r="M280" s="125" t="n">
        <v>2.68</v>
      </c>
      <c r="N280" s="125" t="n">
        <v>536500</v>
      </c>
      <c r="O280" s="125" t="n">
        <v>19400</v>
      </c>
      <c r="P280" s="125" t="n">
        <v>32.4</v>
      </c>
      <c r="Q280" s="125" t="n">
        <v>6.16</v>
      </c>
      <c r="R280" s="125" t="n">
        <v>13010</v>
      </c>
      <c r="S280" s="125" t="n">
        <v>1390</v>
      </c>
      <c r="T280" s="125">
        <f>(((E280*D280*D280)/4)-(((E280-G280)*(D280-F280-F280)*(D280-F280-F280))/4)+(4*(H280*H280*(D280/2-F280-(H280/2))-((PI()*H280*H280)/4*((D280/2)-F280-(H280-((4*H280)/(3*PI()))))))))/1000</f>
        <v/>
      </c>
      <c r="U280" s="125">
        <f>(((D280*E280*E280)/4)-(2*((D280-F280-F280)*(E280/2-(G280/2))*(((E280/2-(G280/2))/2)+(G280/2))))+(4*(((H280*H280)-(((PI()*H280*H280)/4)))*((H280-((4*H280)/(3*PI())))+(G280/2)))))/1000</f>
        <v/>
      </c>
      <c r="V280" s="125" t="n">
        <v>15330</v>
      </c>
      <c r="W280" s="125" t="n">
        <v>2229</v>
      </c>
      <c r="Y280">
        <f>SQRT((((VLOOKUP($X$4,$A$4:$D$1021,4,FALSE))-D280)^2)+(((VLOOKUP($X$4,$A$4:$E$1021,5,FALSE))-E280)^2))</f>
        <v/>
      </c>
    </row>
    <row r="281">
      <c r="A281" s="125" t="inlineStr">
        <is>
          <t>W30X295</t>
        </is>
      </c>
      <c r="B281" s="129" t="inlineStr">
        <is>
          <t>AISC</t>
        </is>
      </c>
      <c r="C281" s="125" t="n">
        <v>439</v>
      </c>
      <c r="D281" s="125" t="n">
        <v>835.2</v>
      </c>
      <c r="E281" s="125" t="n">
        <v>281.7</v>
      </c>
      <c r="F281" s="125" t="n">
        <v>57.9</v>
      </c>
      <c r="G281" s="125" t="n">
        <v>32</v>
      </c>
      <c r="H281" s="125" t="n">
        <v>16.5</v>
      </c>
      <c r="I281" s="125" t="n">
        <v>686.4</v>
      </c>
      <c r="J281" s="125" t="n">
        <v>559</v>
      </c>
      <c r="K281" s="125" t="n">
        <v>2.43</v>
      </c>
      <c r="L281" s="125" t="n">
        <v>21.5</v>
      </c>
      <c r="M281" s="125" t="n">
        <v>2.7</v>
      </c>
      <c r="N281" s="125" t="n">
        <v>595900</v>
      </c>
      <c r="O281" s="125" t="n">
        <v>21780</v>
      </c>
      <c r="P281" s="125" t="n">
        <v>32.7</v>
      </c>
      <c r="Q281" s="125" t="n">
        <v>6.24</v>
      </c>
      <c r="R281" s="125" t="n">
        <v>14270</v>
      </c>
      <c r="S281" s="125" t="n">
        <v>1546</v>
      </c>
      <c r="T281" s="125">
        <f>(((E281*D281*D281)/4)-(((E281-G281)*(D281-F281-F281)*(D281-F281-F281))/4)+(4*(H281*H281*(D281/2-F281-(H281/2))-((PI()*H281*H281)/4*((D281/2)-F281-(H281-((4*H281)/(3*PI()))))))))/1000</f>
        <v/>
      </c>
      <c r="U281" s="125">
        <f>(((D281*E281*E281)/4)-(2*((D281-F281-F281)*(E281/2-(G281/2))*(((E281/2-(G281/2))/2)+(G281/2))))+(4*(((H281*H281)-(((PI()*H281*H281)/4)))*((H281-((4*H281)/(3*PI())))+(G281/2)))))/1000</f>
        <v/>
      </c>
      <c r="V281" s="125" t="n">
        <v>16900</v>
      </c>
      <c r="W281" s="125" t="n">
        <v>2486</v>
      </c>
      <c r="Y281">
        <f>SQRT((((VLOOKUP($X$4,$A$4:$D$1021,4,FALSE))-D281)^2)+(((VLOOKUP($X$4,$A$4:$E$1021,5,FALSE))-E281)^2))</f>
        <v/>
      </c>
    </row>
    <row r="282">
      <c r="A282" s="125" t="inlineStr">
        <is>
          <t>W30X173</t>
        </is>
      </c>
      <c r="B282" s="129" t="inlineStr">
        <is>
          <t>AISC</t>
        </is>
      </c>
      <c r="C282" s="125" t="n">
        <v>257.5</v>
      </c>
      <c r="D282" s="125" t="n">
        <v>773.2</v>
      </c>
      <c r="E282" s="125" t="n">
        <v>380.6</v>
      </c>
      <c r="F282" s="125" t="n">
        <v>27.1</v>
      </c>
      <c r="G282" s="125" t="n">
        <v>16.6</v>
      </c>
      <c r="H282" s="125" t="n">
        <v>16.5</v>
      </c>
      <c r="I282" s="125" t="n">
        <v>686.1</v>
      </c>
      <c r="J282" s="125" t="n">
        <v>328</v>
      </c>
      <c r="K282" s="125" t="n">
        <v>7.04</v>
      </c>
      <c r="L282" s="125" t="n">
        <v>41.2</v>
      </c>
      <c r="M282" s="125" t="n">
        <v>3.01</v>
      </c>
      <c r="N282" s="125" t="n">
        <v>341200</v>
      </c>
      <c r="O282" s="125" t="n">
        <v>24890</v>
      </c>
      <c r="P282" s="125" t="n">
        <v>32.3</v>
      </c>
      <c r="Q282" s="125" t="n">
        <v>8.710000000000001</v>
      </c>
      <c r="R282" s="125" t="n">
        <v>8827</v>
      </c>
      <c r="S282" s="125" t="n">
        <v>1308</v>
      </c>
      <c r="T282" s="125">
        <f>(((E282*D282*D282)/4)-(((E282-G282)*(D282-F282-F282)*(D282-F282-F282))/4)+(4*(H282*H282*(D282/2-F282-(H282/2))-((PI()*H282*H282)/4*((D282/2)-F282-(H282-((4*H282)/(3*PI()))))))))/1000</f>
        <v/>
      </c>
      <c r="U282" s="125">
        <f>(((D282*E282*E282)/4)-(2*((D282-F282-F282)*(E282/2-(G282/2))*(((E282/2-(G282/2))/2)+(G282/2))))+(4*(((H282*H282)-(((PI()*H282*H282)/4)))*((H282-((4*H282)/(3*PI())))+(G282/2)))))/1000</f>
        <v/>
      </c>
      <c r="V282" s="125" t="n">
        <v>9916</v>
      </c>
      <c r="W282" s="125" t="n">
        <v>2012</v>
      </c>
      <c r="Y282">
        <f>SQRT((((VLOOKUP($X$4,$A$4:$D$1021,4,FALSE))-D282)^2)+(((VLOOKUP($X$4,$A$4:$E$1021,5,FALSE))-E282)^2))</f>
        <v/>
      </c>
    </row>
    <row r="283">
      <c r="A283" s="125" t="inlineStr">
        <is>
          <t>W30X191</t>
        </is>
      </c>
      <c r="B283" s="129" t="inlineStr">
        <is>
          <t>AISC</t>
        </is>
      </c>
      <c r="C283" s="125" t="n">
        <v>284.2</v>
      </c>
      <c r="D283" s="125" t="n">
        <v>779.3</v>
      </c>
      <c r="E283" s="125" t="n">
        <v>382</v>
      </c>
      <c r="F283" s="125" t="n">
        <v>30.1</v>
      </c>
      <c r="G283" s="125" t="n">
        <v>18</v>
      </c>
      <c r="H283" s="125" t="n">
        <v>16.5</v>
      </c>
      <c r="I283" s="125" t="n">
        <v>686.1</v>
      </c>
      <c r="J283" s="125" t="n">
        <v>362</v>
      </c>
      <c r="K283" s="125" t="n">
        <v>6.35</v>
      </c>
      <c r="L283" s="125" t="n">
        <v>38.1</v>
      </c>
      <c r="M283" s="125" t="n">
        <v>3.02</v>
      </c>
      <c r="N283" s="125" t="n">
        <v>381700</v>
      </c>
      <c r="O283" s="125" t="n">
        <v>28000</v>
      </c>
      <c r="P283" s="125" t="n">
        <v>32.5</v>
      </c>
      <c r="Q283" s="125" t="n">
        <v>8.800000000000001</v>
      </c>
      <c r="R283" s="125" t="n">
        <v>9796</v>
      </c>
      <c r="S283" s="125" t="n">
        <v>1466</v>
      </c>
      <c r="T283" s="125">
        <f>(((E283*D283*D283)/4)-(((E283-G283)*(D283-F283-F283)*(D283-F283-F283))/4)+(4*(H283*H283*(D283/2-F283-(H283/2))-((PI()*H283*H283)/4*((D283/2)-F283-(H283-((4*H283)/(3*PI()))))))))/1000</f>
        <v/>
      </c>
      <c r="U283" s="125">
        <f>(((D283*E283*E283)/4)-(2*((D283-F283-F283)*(E283/2-(G283/2))*(((E283/2-(G283/2))/2)+(G283/2))))+(4*(((H283*H283)-(((PI()*H283*H283)/4)))*((H283-((4*H283)/(3*PI())))+(G283/2)))))/1000</f>
        <v/>
      </c>
      <c r="V283" s="125" t="n">
        <v>11030</v>
      </c>
      <c r="W283" s="125" t="n">
        <v>2258</v>
      </c>
      <c r="Y283">
        <f>SQRT((((VLOOKUP($X$4,$A$4:$D$1021,4,FALSE))-D283)^2)+(((VLOOKUP($X$4,$A$4:$E$1021,5,FALSE))-E283)^2))</f>
        <v/>
      </c>
    </row>
    <row r="284">
      <c r="A284" s="125" t="inlineStr">
        <is>
          <t>W30X211</t>
        </is>
      </c>
      <c r="B284" s="129" t="inlineStr">
        <is>
          <t>AISC</t>
        </is>
      </c>
      <c r="C284" s="125" t="n">
        <v>314</v>
      </c>
      <c r="D284" s="125" t="n">
        <v>785.9</v>
      </c>
      <c r="E284" s="125" t="n">
        <v>383.7</v>
      </c>
      <c r="F284" s="125" t="n">
        <v>33.4</v>
      </c>
      <c r="G284" s="125" t="n">
        <v>19.7</v>
      </c>
      <c r="H284" s="125" t="n">
        <v>16.5</v>
      </c>
      <c r="I284" s="125" t="n">
        <v>686.1</v>
      </c>
      <c r="J284" s="125" t="n">
        <v>400</v>
      </c>
      <c r="K284" s="125" t="n">
        <v>5.74</v>
      </c>
      <c r="L284" s="125" t="n">
        <v>34.9</v>
      </c>
      <c r="M284" s="125" t="n">
        <v>3.04</v>
      </c>
      <c r="N284" s="125" t="n">
        <v>427000</v>
      </c>
      <c r="O284" s="125" t="n">
        <v>31500</v>
      </c>
      <c r="P284" s="125" t="n">
        <v>32.7</v>
      </c>
      <c r="Q284" s="125" t="n">
        <v>8.869999999999999</v>
      </c>
      <c r="R284" s="125" t="n">
        <v>10870</v>
      </c>
      <c r="S284" s="125" t="n">
        <v>1642</v>
      </c>
      <c r="T284" s="125">
        <f>(((E284*D284*D284)/4)-(((E284-G284)*(D284-F284-F284)*(D284-F284-F284))/4)+(4*(H284*H284*(D284/2-F284-(H284/2))-((PI()*H284*H284)/4*((D284/2)-F284-(H284-((4*H284)/(3*PI()))))))))/1000</f>
        <v/>
      </c>
      <c r="U284" s="125">
        <f>(((D284*E284*E284)/4)-(2*((D284-F284-F284)*(E284/2-(G284/2))*(((E284/2-(G284/2))/2)+(G284/2))))+(4*(((H284*H284)-(((PI()*H284*H284)/4)))*((H284-((4*H284)/(3*PI())))+(G284/2)))))/1000</f>
        <v/>
      </c>
      <c r="V284" s="125" t="n">
        <v>12270</v>
      </c>
      <c r="W284" s="125" t="n">
        <v>2531</v>
      </c>
      <c r="Y284">
        <f>SQRT((((VLOOKUP($X$4,$A$4:$D$1021,4,FALSE))-D284)^2)+(((VLOOKUP($X$4,$A$4:$E$1021,5,FALSE))-E284)^2))</f>
        <v/>
      </c>
    </row>
    <row r="285">
      <c r="A285" s="125" t="inlineStr">
        <is>
          <t>W30X235</t>
        </is>
      </c>
      <c r="B285" s="129" t="inlineStr">
        <is>
          <t>AISC</t>
        </is>
      </c>
      <c r="C285" s="125" t="n">
        <v>349.7</v>
      </c>
      <c r="D285" s="125" t="n">
        <v>795</v>
      </c>
      <c r="E285" s="125" t="n">
        <v>382.4</v>
      </c>
      <c r="F285" s="125" t="n">
        <v>38.1</v>
      </c>
      <c r="G285" s="125" t="n">
        <v>21.1</v>
      </c>
      <c r="H285" s="125" t="n">
        <v>16.5</v>
      </c>
      <c r="I285" s="125" t="n">
        <v>685.8</v>
      </c>
      <c r="J285" s="125" t="n">
        <v>445</v>
      </c>
      <c r="K285" s="125" t="n">
        <v>5.02</v>
      </c>
      <c r="L285" s="125" t="n">
        <v>32.5</v>
      </c>
      <c r="M285" s="125" t="n">
        <v>3.05</v>
      </c>
      <c r="N285" s="125" t="n">
        <v>485900</v>
      </c>
      <c r="O285" s="125" t="n">
        <v>35570</v>
      </c>
      <c r="P285" s="125" t="n">
        <v>33</v>
      </c>
      <c r="Q285" s="125" t="n">
        <v>8.94</v>
      </c>
      <c r="R285" s="125" t="n">
        <v>12220</v>
      </c>
      <c r="S285" s="125" t="n">
        <v>1860</v>
      </c>
      <c r="T285" s="125">
        <f>(((E285*D285*D285)/4)-(((E285-G285)*(D285-F285-F285)*(D285-F285-F285))/4)+(4*(H285*H285*(D285/2-F285-(H285/2))-((PI()*H285*H285)/4*((D285/2)-F285-(H285-((4*H285)/(3*PI()))))))))/1000</f>
        <v/>
      </c>
      <c r="U285" s="125">
        <f>(((D285*E285*E285)/4)-(2*((D285-F285-F285)*(E285/2-(G285/2))*(((E285/2-(G285/2))/2)+(G285/2))))+(4*(((H285*H285)-(((PI()*H285*H285)/4)))*((H285-((4*H285)/(3*PI())))+(G285/2)))))/1000</f>
        <v/>
      </c>
      <c r="V285" s="125" t="n">
        <v>13830</v>
      </c>
      <c r="W285" s="125" t="n">
        <v>2869</v>
      </c>
      <c r="Y285">
        <f>SQRT((((VLOOKUP($X$4,$A$4:$D$1021,4,FALSE))-D285)^2)+(((VLOOKUP($X$4,$A$4:$E$1021,5,FALSE))-E285)^2))</f>
        <v/>
      </c>
    </row>
    <row r="286">
      <c r="A286" s="125" t="inlineStr">
        <is>
          <t>W30X261</t>
        </is>
      </c>
      <c r="B286" s="129" t="inlineStr">
        <is>
          <t>AISC</t>
        </is>
      </c>
      <c r="C286" s="125" t="n">
        <v>388.4</v>
      </c>
      <c r="D286" s="125" t="n">
        <v>802.9</v>
      </c>
      <c r="E286" s="125" t="n">
        <v>384.9</v>
      </c>
      <c r="F286" s="125" t="n">
        <v>41.9</v>
      </c>
      <c r="G286" s="125" t="n">
        <v>23.6</v>
      </c>
      <c r="H286" s="125" t="n">
        <v>16.5</v>
      </c>
      <c r="I286" s="125" t="n">
        <v>686.1</v>
      </c>
      <c r="J286" s="125" t="n">
        <v>495</v>
      </c>
      <c r="K286" s="125" t="n">
        <v>4.59</v>
      </c>
      <c r="L286" s="125" t="n">
        <v>29</v>
      </c>
      <c r="M286" s="125" t="n">
        <v>3.07</v>
      </c>
      <c r="N286" s="125" t="n">
        <v>543700</v>
      </c>
      <c r="O286" s="125" t="n">
        <v>39920</v>
      </c>
      <c r="P286" s="125" t="n">
        <v>33.1</v>
      </c>
      <c r="Q286" s="125" t="n">
        <v>8.98</v>
      </c>
      <c r="R286" s="125" t="n">
        <v>13540</v>
      </c>
      <c r="S286" s="125" t="n">
        <v>2074</v>
      </c>
      <c r="T286" s="125">
        <f>(((E286*D286*D286)/4)-(((E286-G286)*(D286-F286-F286)*(D286-F286-F286))/4)+(4*(H286*H286*(D286/2-F286-(H286/2))-((PI()*H286*H286)/4*((D286/2)-F286-(H286-((4*H286)/(3*PI()))))))))/1000</f>
        <v/>
      </c>
      <c r="U286" s="125">
        <f>(((D286*E286*E286)/4)-(2*((D286-F286-F286)*(E286/2-(G286/2))*(((E286/2-(G286/2))/2)+(G286/2))))+(4*(((H286*H286)-(((PI()*H286*H286)/4)))*((H286-((4*H286)/(3*PI())))+(G286/2)))))/1000</f>
        <v/>
      </c>
      <c r="V286" s="125" t="n">
        <v>15410</v>
      </c>
      <c r="W286" s="125" t="n">
        <v>3208</v>
      </c>
      <c r="Y286">
        <f>SQRT((((VLOOKUP($X$4,$A$4:$D$1021,4,FALSE))-D286)^2)+(((VLOOKUP($X$4,$A$4:$E$1021,5,FALSE))-E286)^2))</f>
        <v/>
      </c>
    </row>
    <row r="287">
      <c r="A287" s="125" t="inlineStr">
        <is>
          <t>W30X292</t>
        </is>
      </c>
      <c r="B287" s="129" t="inlineStr">
        <is>
          <t>AISC</t>
        </is>
      </c>
      <c r="C287" s="125" t="n">
        <v>434.5</v>
      </c>
      <c r="D287" s="125" t="n">
        <v>813.1</v>
      </c>
      <c r="E287" s="125" t="n">
        <v>387.5</v>
      </c>
      <c r="F287" s="125" t="n">
        <v>47</v>
      </c>
      <c r="G287" s="125" t="n">
        <v>25.9</v>
      </c>
      <c r="H287" s="125" t="n">
        <v>16.5</v>
      </c>
      <c r="I287" s="125" t="n">
        <v>686.1</v>
      </c>
      <c r="J287" s="125" t="n">
        <v>553</v>
      </c>
      <c r="K287" s="125" t="n">
        <v>4.12</v>
      </c>
      <c r="L287" s="125" t="n">
        <v>26.5</v>
      </c>
      <c r="M287" s="125" t="n">
        <v>3.1</v>
      </c>
      <c r="N287" s="125" t="n">
        <v>618300</v>
      </c>
      <c r="O287" s="125" t="n">
        <v>45680</v>
      </c>
      <c r="P287" s="125" t="n">
        <v>33.4</v>
      </c>
      <c r="Q287" s="125" t="n">
        <v>9.09</v>
      </c>
      <c r="R287" s="125" t="n">
        <v>15210</v>
      </c>
      <c r="S287" s="125" t="n">
        <v>2358</v>
      </c>
      <c r="T287" s="125">
        <f>(((E287*D287*D287)/4)-(((E287-G287)*(D287-F287-F287)*(D287-F287-F287))/4)+(4*(H287*H287*(D287/2-F287-(H287/2))-((PI()*H287*H287)/4*((D287/2)-F287-(H287-((4*H287)/(3*PI()))))))))/1000</f>
        <v/>
      </c>
      <c r="U287" s="125">
        <f>(((D287*E287*E287)/4)-(2*((D287-F287-F287)*(E287/2-(G287/2))*(((E287/2-(G287/2))/2)+(G287/2))))+(4*(((H287*H287)-(((PI()*H287*H287)/4)))*((H287-((4*H287)/(3*PI())))+(G287/2)))))/1000</f>
        <v/>
      </c>
      <c r="V287" s="125" t="n">
        <v>17380</v>
      </c>
      <c r="W287" s="125" t="n">
        <v>3653</v>
      </c>
      <c r="Y287">
        <f>SQRT((((VLOOKUP($X$4,$A$4:$D$1021,4,FALSE))-D287)^2)+(((VLOOKUP($X$4,$A$4:$E$1021,5,FALSE))-E287)^2))</f>
        <v/>
      </c>
    </row>
    <row r="288">
      <c r="A288" s="125" t="inlineStr">
        <is>
          <t>W30X326</t>
        </is>
      </c>
      <c r="B288" s="129" t="inlineStr">
        <is>
          <t>AISC</t>
        </is>
      </c>
      <c r="C288" s="125" t="n">
        <v>485.1</v>
      </c>
      <c r="D288" s="125" t="n">
        <v>823</v>
      </c>
      <c r="E288" s="125" t="n">
        <v>390.4</v>
      </c>
      <c r="F288" s="125" t="n">
        <v>52.1</v>
      </c>
      <c r="G288" s="125" t="n">
        <v>29</v>
      </c>
      <c r="H288" s="125" t="n">
        <v>16.5</v>
      </c>
      <c r="I288" s="125" t="n">
        <v>685.9</v>
      </c>
      <c r="J288" s="125" t="n">
        <v>617</v>
      </c>
      <c r="K288" s="125" t="n">
        <v>3.75</v>
      </c>
      <c r="L288" s="125" t="n">
        <v>23.7</v>
      </c>
      <c r="M288" s="125" t="n">
        <v>3.12</v>
      </c>
      <c r="N288" s="125" t="n">
        <v>697600</v>
      </c>
      <c r="O288" s="125" t="n">
        <v>51790</v>
      </c>
      <c r="P288" s="125" t="n">
        <v>33.6</v>
      </c>
      <c r="Q288" s="125" t="n">
        <v>9.16</v>
      </c>
      <c r="R288" s="125" t="n">
        <v>16950</v>
      </c>
      <c r="S288" s="125" t="n">
        <v>2653</v>
      </c>
      <c r="T288" s="125">
        <f>(((E288*D288*D288)/4)-(((E288-G288)*(D288-F288-F288)*(D288-F288-F288))/4)+(4*(H288*H288*(D288/2-F288-(H288/2))-((PI()*H288*H288)/4*((D288/2)-F288-(H288-((4*H288)/(3*PI()))))))))/1000</f>
        <v/>
      </c>
      <c r="U288" s="125">
        <f>(((D288*E288*E288)/4)-(2*((D288-F288-F288)*(E288/2-(G288/2))*(((E288/2-(G288/2))/2)+(G288/2))))+(4*(((H288*H288)-(((PI()*H288*H288)/4)))*((H288-((4*H288)/(3*PI())))+(G288/2)))))/1000</f>
        <v/>
      </c>
      <c r="V288" s="125" t="n">
        <v>19500</v>
      </c>
      <c r="W288" s="125" t="n">
        <v>4123</v>
      </c>
      <c r="Y288">
        <f>SQRT((((VLOOKUP($X$4,$A$4:$D$1021,4,FALSE))-D288)^2)+(((VLOOKUP($X$4,$A$4:$E$1021,5,FALSE))-E288)^2))</f>
        <v/>
      </c>
    </row>
    <row r="289">
      <c r="A289" s="125" t="inlineStr">
        <is>
          <t>W30X357</t>
        </is>
      </c>
      <c r="B289" s="129" t="inlineStr">
        <is>
          <t>AISC</t>
        </is>
      </c>
      <c r="C289" s="125" t="n">
        <v>531</v>
      </c>
      <c r="D289" s="125" t="n">
        <v>833</v>
      </c>
      <c r="E289" s="125" t="n">
        <v>393</v>
      </c>
      <c r="F289" s="125" t="n">
        <v>56.9</v>
      </c>
      <c r="G289" s="125" t="n">
        <v>31.5</v>
      </c>
      <c r="H289" s="125" t="n">
        <v>20</v>
      </c>
      <c r="I289" s="125" t="n">
        <v>679.2</v>
      </c>
      <c r="J289" s="125" t="n">
        <v>677</v>
      </c>
      <c r="K289" s="125" t="n">
        <v>3.45</v>
      </c>
      <c r="L289" s="125" t="n">
        <v>21.6</v>
      </c>
      <c r="M289" s="125" t="n">
        <v>3.14</v>
      </c>
      <c r="N289" s="125" t="n">
        <v>776600</v>
      </c>
      <c r="O289" s="125" t="n">
        <v>57770</v>
      </c>
      <c r="P289" s="125" t="n">
        <v>33.9</v>
      </c>
      <c r="Q289" s="125" t="n">
        <v>9.24</v>
      </c>
      <c r="R289" s="125" t="n">
        <v>18650</v>
      </c>
      <c r="S289" s="125" t="n">
        <v>2940</v>
      </c>
      <c r="T289" s="125">
        <f>(((E289*D289*D289)/4)-(((E289-G289)*(D289-F289-F289)*(D289-F289-F289))/4)+(4*(H289*H289*(D289/2-F289-(H289/2))-((PI()*H289*H289)/4*((D289/2)-F289-(H289-((4*H289)/(3*PI()))))))))/1000</f>
        <v/>
      </c>
      <c r="U289" s="125">
        <f>(((D289*E289*E289)/4)-(2*((D289-F289-F289)*(E289/2-(G289/2))*(((E289/2-(G289/2))/2)+(G289/2))))+(4*(((H289*H289)-(((PI()*H289*H289)/4)))*((H289-((4*H289)/(3*PI())))+(G289/2)))))/1000</f>
        <v/>
      </c>
      <c r="V289" s="125" t="n">
        <v>21550</v>
      </c>
      <c r="W289" s="125" t="n">
        <v>4579</v>
      </c>
      <c r="Y289">
        <f>SQRT((((VLOOKUP($X$4,$A$4:$D$1021,4,FALSE))-D289)^2)+(((VLOOKUP($X$4,$A$4:$E$1021,5,FALSE))-E289)^2))</f>
        <v/>
      </c>
    </row>
    <row r="290">
      <c r="A290" s="125" t="inlineStr">
        <is>
          <t>W33X118</t>
        </is>
      </c>
      <c r="B290" s="129" t="inlineStr">
        <is>
          <t>AISC</t>
        </is>
      </c>
      <c r="C290" s="125" t="n">
        <v>175.9</v>
      </c>
      <c r="D290" s="125" t="n">
        <v>834.9</v>
      </c>
      <c r="E290" s="125" t="n">
        <v>291.7</v>
      </c>
      <c r="F290" s="125" t="n">
        <v>18.8</v>
      </c>
      <c r="G290" s="125" t="n">
        <v>14</v>
      </c>
      <c r="H290" s="125" t="n">
        <v>17.8</v>
      </c>
      <c r="I290" s="125" t="n">
        <v>761.7</v>
      </c>
      <c r="J290" s="125" t="n">
        <v>224</v>
      </c>
      <c r="K290" s="125" t="n">
        <v>7.76</v>
      </c>
      <c r="L290" s="125" t="n">
        <v>54.4</v>
      </c>
      <c r="M290" s="125" t="n">
        <v>2.78</v>
      </c>
      <c r="N290" s="125" t="n">
        <v>246000</v>
      </c>
      <c r="O290" s="125" t="n">
        <v>7800</v>
      </c>
      <c r="P290" s="125" t="n">
        <v>33.1</v>
      </c>
      <c r="Q290" s="125" t="n">
        <v>5.9</v>
      </c>
      <c r="R290" s="125" t="n">
        <v>5893</v>
      </c>
      <c r="S290" s="125" t="n">
        <v>535</v>
      </c>
      <c r="T290" s="125">
        <f>(((E290*D290*D290)/4)-(((E290-G290)*(D290-F290-F290)*(D290-F290-F290))/4)+(4*(H290*H290*(D290/2-F290-(H290/2))-((PI()*H290*H290)/4*((D290/2)-F290-(H290-((4*H290)/(3*PI()))))))))/1000</f>
        <v/>
      </c>
      <c r="U290" s="125">
        <f>(((D290*E290*E290)/4)-(2*((D290-F290-F290)*(E290/2-(G290/2))*(((E290/2-(G290/2))/2)+(G290/2))))+(4*(((H290*H290)-(((PI()*H290*H290)/4)))*((H290-((4*H290)/(3*PI())))+(G290/2)))))/1000</f>
        <v/>
      </c>
      <c r="V290" s="125" t="n">
        <v>6808</v>
      </c>
      <c r="W290" s="125" t="n">
        <v>842</v>
      </c>
      <c r="Y290">
        <f>SQRT((((VLOOKUP($X$4,$A$4:$D$1021,4,FALSE))-D290)^2)+(((VLOOKUP($X$4,$A$4:$E$1021,5,FALSE))-E290)^2))</f>
        <v/>
      </c>
    </row>
    <row r="291">
      <c r="A291" s="125" t="inlineStr">
        <is>
          <t>W33X130</t>
        </is>
      </c>
      <c r="B291" s="129" t="inlineStr">
        <is>
          <t>AISC</t>
        </is>
      </c>
      <c r="C291" s="125" t="n">
        <v>193.8</v>
      </c>
      <c r="D291" s="125" t="n">
        <v>840.7</v>
      </c>
      <c r="E291" s="125" t="n">
        <v>292.4</v>
      </c>
      <c r="F291" s="125" t="n">
        <v>21.7</v>
      </c>
      <c r="G291" s="125" t="n">
        <v>14.7</v>
      </c>
      <c r="H291" s="125" t="n">
        <v>17.8</v>
      </c>
      <c r="I291" s="125" t="n">
        <v>761.7</v>
      </c>
      <c r="J291" s="125" t="n">
        <v>247</v>
      </c>
      <c r="K291" s="125" t="n">
        <v>6.74</v>
      </c>
      <c r="L291" s="125" t="n">
        <v>51.8</v>
      </c>
      <c r="M291" s="125" t="n">
        <v>2.79</v>
      </c>
      <c r="N291" s="125" t="n">
        <v>279200</v>
      </c>
      <c r="O291" s="125" t="n">
        <v>9067</v>
      </c>
      <c r="P291" s="125" t="n">
        <v>33.6</v>
      </c>
      <c r="Q291" s="125" t="n">
        <v>6.06</v>
      </c>
      <c r="R291" s="125" t="n">
        <v>6642</v>
      </c>
      <c r="S291" s="125" t="n">
        <v>620</v>
      </c>
      <c r="T291" s="125">
        <f>(((E291*D291*D291)/4)-(((E291-G291)*(D291-F291-F291)*(D291-F291-F291))/4)+(4*(H291*H291*(D291/2-F291-(H291/2))-((PI()*H291*H291)/4*((D291/2)-F291-(H291-((4*H291)/(3*PI()))))))))/1000</f>
        <v/>
      </c>
      <c r="U291" s="125">
        <f>(((D291*E291*E291)/4)-(2*((D291-F291-F291)*(E291/2-(G291/2))*(((E291/2-(G291/2))/2)+(G291/2))))+(4*(((H291*H291)-(((PI()*H291*H291)/4)))*((H291-((4*H291)/(3*PI())))+(G291/2)))))/1000</f>
        <v/>
      </c>
      <c r="V291" s="125" t="n">
        <v>7640</v>
      </c>
      <c r="W291" s="125" t="n">
        <v>974</v>
      </c>
      <c r="Y291">
        <f>SQRT((((VLOOKUP($X$4,$A$4:$D$1021,4,FALSE))-D291)^2)+(((VLOOKUP($X$4,$A$4:$E$1021,5,FALSE))-E291)^2))</f>
        <v/>
      </c>
    </row>
    <row r="292">
      <c r="A292" s="125" t="inlineStr">
        <is>
          <t>W33X141</t>
        </is>
      </c>
      <c r="B292" s="129" t="inlineStr">
        <is>
          <t>AISC</t>
        </is>
      </c>
      <c r="C292" s="125" t="n">
        <v>209.8</v>
      </c>
      <c r="D292" s="125" t="n">
        <v>845.8</v>
      </c>
      <c r="E292" s="125" t="n">
        <v>293</v>
      </c>
      <c r="F292" s="125" t="n">
        <v>24.4</v>
      </c>
      <c r="G292" s="125" t="n">
        <v>15.4</v>
      </c>
      <c r="H292" s="125" t="n">
        <v>17.8</v>
      </c>
      <c r="I292" s="125" t="n">
        <v>761.4</v>
      </c>
      <c r="J292" s="125" t="n">
        <v>268</v>
      </c>
      <c r="K292" s="125" t="n">
        <v>6.01</v>
      </c>
      <c r="L292" s="125" t="n">
        <v>49.5</v>
      </c>
      <c r="M292" s="125" t="n">
        <v>2.8</v>
      </c>
      <c r="N292" s="125" t="n">
        <v>310200</v>
      </c>
      <c r="O292" s="125" t="n">
        <v>10250</v>
      </c>
      <c r="P292" s="125" t="n">
        <v>34</v>
      </c>
      <c r="Q292" s="125" t="n">
        <v>6.18</v>
      </c>
      <c r="R292" s="125" t="n">
        <v>7334</v>
      </c>
      <c r="S292" s="125" t="n">
        <v>700</v>
      </c>
      <c r="T292" s="125">
        <f>(((E292*D292*D292)/4)-(((E292-G292)*(D292-F292-F292)*(D292-F292-F292))/4)+(4*(H292*H292*(D292/2-F292-(H292/2))-((PI()*H292*H292)/4*((D292/2)-F292-(H292-((4*H292)/(3*PI()))))))))/1000</f>
        <v/>
      </c>
      <c r="U292" s="125">
        <f>(((D292*E292*E292)/4)-(2*((D292-F292-F292)*(E292/2-(G292/2))*(((E292/2-(G292/2))/2)+(G292/2))))+(4*(((H292*H292)-(((PI()*H292*H292)/4)))*((H292-((4*H292)/(3*PI())))+(G292/2)))))/1000</f>
        <v/>
      </c>
      <c r="V292" s="125" t="n">
        <v>8416</v>
      </c>
      <c r="W292" s="125" t="n">
        <v>1097</v>
      </c>
      <c r="Y292">
        <f>SQRT((((VLOOKUP($X$4,$A$4:$D$1021,4,FALSE))-D292)^2)+(((VLOOKUP($X$4,$A$4:$E$1021,5,FALSE))-E292)^2))</f>
        <v/>
      </c>
    </row>
    <row r="293">
      <c r="A293" s="125" t="inlineStr">
        <is>
          <t>W33X152</t>
        </is>
      </c>
      <c r="B293" s="129" t="inlineStr">
        <is>
          <t>AISC</t>
        </is>
      </c>
      <c r="C293" s="125" t="n">
        <v>226.5</v>
      </c>
      <c r="D293" s="125" t="n">
        <v>850.9</v>
      </c>
      <c r="E293" s="125" t="n">
        <v>293.8</v>
      </c>
      <c r="F293" s="125" t="n">
        <v>26.8</v>
      </c>
      <c r="G293" s="125" t="n">
        <v>16.1</v>
      </c>
      <c r="H293" s="125" t="n">
        <v>17.8</v>
      </c>
      <c r="I293" s="125" t="n">
        <v>761.7</v>
      </c>
      <c r="J293" s="125" t="n">
        <v>289</v>
      </c>
      <c r="K293" s="125" t="n">
        <v>5.48</v>
      </c>
      <c r="L293" s="125" t="n">
        <v>47.3</v>
      </c>
      <c r="M293" s="125" t="n">
        <v>2.81</v>
      </c>
      <c r="N293" s="125" t="n">
        <v>339700</v>
      </c>
      <c r="O293" s="125" t="n">
        <v>11360</v>
      </c>
      <c r="P293" s="125" t="n">
        <v>34.3</v>
      </c>
      <c r="Q293" s="125" t="n">
        <v>6.27</v>
      </c>
      <c r="R293" s="125" t="n">
        <v>7985</v>
      </c>
      <c r="S293" s="125" t="n">
        <v>773</v>
      </c>
      <c r="T293" s="125">
        <f>(((E293*D293*D293)/4)-(((E293-G293)*(D293-F293-F293)*(D293-F293-F293))/4)+(4*(H293*H293*(D293/2-F293-(H293/2))-((PI()*H293*H293)/4*((D293/2)-F293-(H293-((4*H293)/(3*PI()))))))))/1000</f>
        <v/>
      </c>
      <c r="U293" s="125">
        <f>(((D293*E293*E293)/4)-(2*((D293-F293-F293)*(E293/2-(G293/2))*(((E293/2-(G293/2))/2)+(G293/2))))+(4*(((H293*H293)-(((PI()*H293*H293)/4)))*((H293-((4*H293)/(3*PI())))+(G293/2)))))/1000</f>
        <v/>
      </c>
      <c r="V293" s="125" t="n">
        <v>9155</v>
      </c>
      <c r="W293" s="125" t="n">
        <v>1212</v>
      </c>
      <c r="Y293">
        <f>SQRT((((VLOOKUP($X$4,$A$4:$D$1021,4,FALSE))-D293)^2)+(((VLOOKUP($X$4,$A$4:$E$1021,5,FALSE))-E293)^2))</f>
        <v/>
      </c>
    </row>
    <row r="294">
      <c r="A294" s="125" t="inlineStr">
        <is>
          <t>W33X169</t>
        </is>
      </c>
      <c r="B294" s="129" t="inlineStr">
        <is>
          <t>AISC</t>
        </is>
      </c>
      <c r="C294" s="125" t="n">
        <v>252</v>
      </c>
      <c r="D294" s="125" t="n">
        <v>859</v>
      </c>
      <c r="E294" s="125" t="n">
        <v>292.1</v>
      </c>
      <c r="F294" s="125" t="n">
        <v>31</v>
      </c>
      <c r="G294" s="125" t="n">
        <v>17</v>
      </c>
      <c r="H294" s="125" t="n">
        <v>17.8</v>
      </c>
      <c r="I294" s="125" t="n">
        <v>761.4</v>
      </c>
      <c r="J294" s="125" t="n">
        <v>319</v>
      </c>
      <c r="K294" s="125" t="n">
        <v>4.71</v>
      </c>
      <c r="L294" s="125" t="n">
        <v>44.8</v>
      </c>
      <c r="M294" s="125" t="n">
        <v>2.82</v>
      </c>
      <c r="N294" s="125" t="n">
        <v>386500</v>
      </c>
      <c r="O294" s="125" t="n">
        <v>12920</v>
      </c>
      <c r="P294" s="125" t="n">
        <v>34.8</v>
      </c>
      <c r="Q294" s="125" t="n">
        <v>6.36</v>
      </c>
      <c r="R294" s="125" t="n">
        <v>8999</v>
      </c>
      <c r="S294" s="125" t="n">
        <v>884</v>
      </c>
      <c r="T294" s="125">
        <f>(((E294*D294*D294)/4)-(((E294-G294)*(D294-F294-F294)*(D294-F294-F294))/4)+(4*(H294*H294*(D294/2-F294-(H294/2))-((PI()*H294*H294)/4*((D294/2)-F294-(H294-((4*H294)/(3*PI()))))))))/1000</f>
        <v/>
      </c>
      <c r="U294" s="125">
        <f>(((D294*E294*E294)/4)-(2*((D294-F294-F294)*(E294/2-(G294/2))*(((E294/2-(G294/2))/2)+(G294/2))))+(4*(((H294*H294)-(((PI()*H294*H294)/4)))*((H294-((4*H294)/(3*PI())))+(G294/2)))))/1000</f>
        <v/>
      </c>
      <c r="V294" s="125" t="n">
        <v>10310</v>
      </c>
      <c r="W294" s="125" t="n">
        <v>1383</v>
      </c>
      <c r="Y294">
        <f>SQRT((((VLOOKUP($X$4,$A$4:$D$1021,4,FALSE))-D294)^2)+(((VLOOKUP($X$4,$A$4:$E$1021,5,FALSE))-E294)^2))</f>
        <v/>
      </c>
    </row>
    <row r="295">
      <c r="A295" s="125" t="inlineStr">
        <is>
          <t>W33X187</t>
        </is>
      </c>
      <c r="B295" s="129" t="inlineStr">
        <is>
          <t>AISC</t>
        </is>
      </c>
      <c r="C295" s="125" t="n">
        <v>278</v>
      </c>
      <c r="D295" s="125" t="n">
        <v>865.1</v>
      </c>
      <c r="E295" s="125" t="n">
        <v>294.1</v>
      </c>
      <c r="F295" s="125" t="n">
        <v>34</v>
      </c>
      <c r="G295" s="125" t="n">
        <v>19.1</v>
      </c>
      <c r="H295" s="125" t="n">
        <v>17.8</v>
      </c>
      <c r="I295" s="125" t="n">
        <v>761.5</v>
      </c>
      <c r="J295" s="125" t="n">
        <v>355</v>
      </c>
      <c r="K295" s="125" t="n">
        <v>4.33</v>
      </c>
      <c r="L295" s="125" t="n">
        <v>39.9</v>
      </c>
      <c r="M295" s="125" t="n">
        <v>2.84</v>
      </c>
      <c r="N295" s="125" t="n">
        <v>430400</v>
      </c>
      <c r="O295" s="125" t="n">
        <v>14470</v>
      </c>
      <c r="P295" s="125" t="n">
        <v>34.8</v>
      </c>
      <c r="Q295" s="125" t="n">
        <v>6.38</v>
      </c>
      <c r="R295" s="125" t="n">
        <v>9950</v>
      </c>
      <c r="S295" s="125" t="n">
        <v>984</v>
      </c>
      <c r="T295" s="125">
        <f>(((E295*D295*D295)/4)-(((E295-G295)*(D295-F295-F295)*(D295-F295-F295))/4)+(4*(H295*H295*(D295/2-F295-(H295/2))-((PI()*H295*H295)/4*((D295/2)-F295-(H295-((4*H295)/(3*PI()))))))))/1000</f>
        <v/>
      </c>
      <c r="U295" s="125">
        <f>(((D295*E295*E295)/4)-(2*((D295-F295-F295)*(E295/2-(G295/2))*(((E295/2-(G295/2))/2)+(G295/2))))+(4*(((H295*H295)-(((PI()*H295*H295)/4)))*((H295-((4*H295)/(3*PI())))+(G295/2)))))/1000</f>
        <v/>
      </c>
      <c r="V295" s="125" t="n">
        <v>11450</v>
      </c>
      <c r="W295" s="125" t="n">
        <v>1547</v>
      </c>
      <c r="Y295">
        <f>SQRT((((VLOOKUP($X$4,$A$4:$D$1021,4,FALSE))-D295)^2)+(((VLOOKUP($X$4,$A$4:$E$1021,5,FALSE))-E295)^2))</f>
        <v/>
      </c>
    </row>
    <row r="296">
      <c r="A296" s="125" t="inlineStr">
        <is>
          <t>W33X204</t>
        </is>
      </c>
      <c r="B296" s="129" t="inlineStr">
        <is>
          <t>AISC</t>
        </is>
      </c>
      <c r="C296" s="125" t="n">
        <v>304</v>
      </c>
      <c r="D296" s="125" t="n">
        <v>871.2</v>
      </c>
      <c r="E296" s="125" t="n">
        <v>295.7</v>
      </c>
      <c r="F296" s="125" t="n">
        <v>37.1</v>
      </c>
      <c r="G296" s="125" t="n">
        <v>20.6</v>
      </c>
      <c r="H296" s="125" t="n">
        <v>17.8</v>
      </c>
      <c r="I296" s="125" t="n">
        <v>761.4</v>
      </c>
      <c r="J296" s="125" t="n">
        <v>386</v>
      </c>
      <c r="K296" s="125" t="n">
        <v>3.99</v>
      </c>
      <c r="L296" s="125" t="n">
        <v>37</v>
      </c>
      <c r="M296" s="125" t="n">
        <v>2.85</v>
      </c>
      <c r="N296" s="125" t="n">
        <v>473000</v>
      </c>
      <c r="O296" s="125" t="n">
        <v>16050</v>
      </c>
      <c r="P296" s="125" t="n">
        <v>35</v>
      </c>
      <c r="Q296" s="125" t="n">
        <v>6.45</v>
      </c>
      <c r="R296" s="125" t="n">
        <v>10860</v>
      </c>
      <c r="S296" s="125" t="n">
        <v>1086</v>
      </c>
      <c r="T296" s="125">
        <f>(((E296*D296*D296)/4)-(((E296-G296)*(D296-F296-F296)*(D296-F296-F296))/4)+(4*(H296*H296*(D296/2-F296-(H296/2))-((PI()*H296*H296)/4*((D296/2)-F296-(H296-((4*H296)/(3*PI()))))))))/1000</f>
        <v/>
      </c>
      <c r="U296" s="125">
        <f>(((D296*E296*E296)/4)-(2*((D296-F296-F296)*(E296/2-(G296/2))*(((E296/2-(G296/2))/2)+(G296/2))))+(4*(((H296*H296)-(((PI()*H296*H296)/4)))*((H296-((4*H296)/(3*PI())))+(G296/2)))))/1000</f>
        <v/>
      </c>
      <c r="V296" s="125" t="n">
        <v>12530</v>
      </c>
      <c r="W296" s="125" t="n">
        <v>1710</v>
      </c>
      <c r="Y296">
        <f>SQRT((((VLOOKUP($X$4,$A$4:$D$1021,4,FALSE))-D296)^2)+(((VLOOKUP($X$4,$A$4:$E$1021,5,FALSE))-E296)^2))</f>
        <v/>
      </c>
    </row>
    <row r="297">
      <c r="A297" s="125" t="inlineStr">
        <is>
          <t>W33X219</t>
        </is>
      </c>
      <c r="B297" s="129" t="inlineStr">
        <is>
          <t>AISC</t>
        </is>
      </c>
      <c r="C297" s="125" t="n">
        <v>326</v>
      </c>
      <c r="D297" s="125" t="n">
        <v>877.1</v>
      </c>
      <c r="E297" s="125" t="n">
        <v>297.2</v>
      </c>
      <c r="F297" s="125" t="n">
        <v>39.9</v>
      </c>
      <c r="G297" s="125" t="n">
        <v>22.1</v>
      </c>
      <c r="H297" s="125" t="n">
        <v>17.8</v>
      </c>
      <c r="I297" s="125" t="n">
        <v>761.7</v>
      </c>
      <c r="J297" s="125" t="n">
        <v>416</v>
      </c>
      <c r="K297" s="125" t="n">
        <v>3.72</v>
      </c>
      <c r="L297" s="125" t="n">
        <v>34.5</v>
      </c>
      <c r="M297" s="125" t="n">
        <v>2.87</v>
      </c>
      <c r="N297" s="125" t="n">
        <v>513500</v>
      </c>
      <c r="O297" s="125" t="n">
        <v>17540</v>
      </c>
      <c r="P297" s="125" t="n">
        <v>35.1</v>
      </c>
      <c r="Q297" s="125" t="n">
        <v>6.49</v>
      </c>
      <c r="R297" s="125" t="n">
        <v>11710</v>
      </c>
      <c r="S297" s="125" t="n">
        <v>1180</v>
      </c>
      <c r="T297" s="125">
        <f>(((E297*D297*D297)/4)-(((E297-G297)*(D297-F297-F297)*(D297-F297-F297))/4)+(4*(H297*H297*(D297/2-F297-(H297/2))-((PI()*H297*H297)/4*((D297/2)-F297-(H297-((4*H297)/(3*PI()))))))))/1000</f>
        <v/>
      </c>
      <c r="U297" s="125">
        <f>(((D297*E297*E297)/4)-(2*((D297-F297-F297)*(E297/2-(G297/2))*(((E297/2-(G297/2))/2)+(G297/2))))+(4*(((H297*H297)-(((PI()*H297*H297)/4)))*((H297-((4*H297)/(3*PI())))+(G297/2)))))/1000</f>
        <v/>
      </c>
      <c r="V297" s="125" t="n">
        <v>13550</v>
      </c>
      <c r="W297" s="125" t="n">
        <v>1864</v>
      </c>
      <c r="Y297">
        <f>SQRT((((VLOOKUP($X$4,$A$4:$D$1021,4,FALSE))-D297)^2)+(((VLOOKUP($X$4,$A$4:$E$1021,5,FALSE))-E297)^2))</f>
        <v/>
      </c>
    </row>
    <row r="298">
      <c r="A298" s="125" t="inlineStr">
        <is>
          <t>W33X243</t>
        </is>
      </c>
      <c r="B298" s="129" t="inlineStr">
        <is>
          <t>AISC</t>
        </is>
      </c>
      <c r="C298" s="125" t="n">
        <v>362</v>
      </c>
      <c r="D298" s="125" t="n">
        <v>885.2</v>
      </c>
      <c r="E298" s="125" t="n">
        <v>299.7</v>
      </c>
      <c r="F298" s="125" t="n">
        <v>43.9</v>
      </c>
      <c r="G298" s="125" t="n">
        <v>24.4</v>
      </c>
      <c r="H298" s="125" t="n">
        <v>17.8</v>
      </c>
      <c r="I298" s="125" t="n">
        <v>761.8</v>
      </c>
      <c r="J298" s="125" t="n">
        <v>460</v>
      </c>
      <c r="K298" s="125" t="n">
        <v>3.41</v>
      </c>
      <c r="L298" s="125" t="n">
        <v>31.2</v>
      </c>
      <c r="M298" s="125" t="n">
        <v>2.89</v>
      </c>
      <c r="N298" s="125" t="n">
        <v>573400</v>
      </c>
      <c r="O298" s="125" t="n">
        <v>19800</v>
      </c>
      <c r="P298" s="125" t="n">
        <v>35.3</v>
      </c>
      <c r="Q298" s="125" t="n">
        <v>6.56</v>
      </c>
      <c r="R298" s="125" t="n">
        <v>12960</v>
      </c>
      <c r="S298" s="125" t="n">
        <v>1321</v>
      </c>
      <c r="T298" s="125">
        <f>(((E298*D298*D298)/4)-(((E298-G298)*(D298-F298-F298)*(D298-F298-F298))/4)+(4*(H298*H298*(D298/2-F298-(H298/2))-((PI()*H298*H298)/4*((D298/2)-F298-(H298-((4*H298)/(3*PI()))))))))/1000</f>
        <v/>
      </c>
      <c r="U298" s="125">
        <f>(((D298*E298*E298)/4)-(2*((D298-F298-F298)*(E298/2-(G298/2))*(((E298/2-(G298/2))/2)+(G298/2))))+(4*(((H298*H298)-(((PI()*H298*H298)/4)))*((H298-((4*H298)/(3*PI())))+(G298/2)))))/1000</f>
        <v/>
      </c>
      <c r="V298" s="125" t="n">
        <v>15060</v>
      </c>
      <c r="W298" s="125" t="n">
        <v>2095</v>
      </c>
      <c r="Y298">
        <f>SQRT((((VLOOKUP($X$4,$A$4:$D$1021,4,FALSE))-D298)^2)+(((VLOOKUP($X$4,$A$4:$E$1021,5,FALSE))-E298)^2))</f>
        <v/>
      </c>
    </row>
    <row r="299">
      <c r="A299" s="125" t="inlineStr">
        <is>
          <t>W33X271</t>
        </is>
      </c>
      <c r="B299" s="129" t="inlineStr">
        <is>
          <t>AISC</t>
        </is>
      </c>
      <c r="C299" s="125" t="n">
        <v>404</v>
      </c>
      <c r="D299" s="125" t="n">
        <v>895.1</v>
      </c>
      <c r="E299" s="125" t="n">
        <v>302.1</v>
      </c>
      <c r="F299" s="125" t="n">
        <v>49</v>
      </c>
      <c r="G299" s="125" t="n">
        <v>26.9</v>
      </c>
      <c r="H299" s="125" t="n">
        <v>17.8</v>
      </c>
      <c r="I299" s="125" t="n">
        <v>761.5</v>
      </c>
      <c r="J299" s="125" t="n">
        <v>513</v>
      </c>
      <c r="K299" s="125" t="n">
        <v>3.08</v>
      </c>
      <c r="L299" s="125" t="n">
        <v>28.3</v>
      </c>
      <c r="M299" s="125" t="n">
        <v>2.91</v>
      </c>
      <c r="N299" s="125" t="n">
        <v>648200</v>
      </c>
      <c r="O299" s="125" t="n">
        <v>22660</v>
      </c>
      <c r="P299" s="125" t="n">
        <v>35.5</v>
      </c>
      <c r="Q299" s="125" t="n">
        <v>6.64</v>
      </c>
      <c r="R299" s="125" t="n">
        <v>14480</v>
      </c>
      <c r="S299" s="125" t="n">
        <v>1500</v>
      </c>
      <c r="T299" s="125">
        <f>(((E299*D299*D299)/4)-(((E299-G299)*(D299-F299-F299)*(D299-F299-F299))/4)+(4*(H299*H299*(D299/2-F299-(H299/2))-((PI()*H299*H299)/4*((D299/2)-F299-(H299-((4*H299)/(3*PI()))))))))/1000</f>
        <v/>
      </c>
      <c r="U299" s="125">
        <f>(((D299*E299*E299)/4)-(2*((D299-F299-F299)*(E299/2-(G299/2))*(((E299/2-(G299/2))/2)+(G299/2))))+(4*(((H299*H299)-(((PI()*H299*H299)/4)))*((H299-((4*H299)/(3*PI())))+(G299/2)))))/1000</f>
        <v/>
      </c>
      <c r="V299" s="125" t="n">
        <v>16910</v>
      </c>
      <c r="W299" s="125" t="n">
        <v>2385</v>
      </c>
      <c r="Y299">
        <f>SQRT((((VLOOKUP($X$4,$A$4:$D$1021,4,FALSE))-D299)^2)+(((VLOOKUP($X$4,$A$4:$E$1021,5,FALSE))-E299)^2))</f>
        <v/>
      </c>
    </row>
    <row r="300">
      <c r="A300" s="125" t="inlineStr">
        <is>
          <t>W33X301</t>
        </is>
      </c>
      <c r="B300" s="129" t="inlineStr">
        <is>
          <t>AISC</t>
        </is>
      </c>
      <c r="C300" s="125" t="n">
        <v>449</v>
      </c>
      <c r="D300" s="125" t="n">
        <v>905</v>
      </c>
      <c r="E300" s="125" t="n">
        <v>305.2</v>
      </c>
      <c r="F300" s="125" t="n">
        <v>54.1</v>
      </c>
      <c r="G300" s="125" t="n">
        <v>30</v>
      </c>
      <c r="H300" s="125" t="n">
        <v>17.8</v>
      </c>
      <c r="I300" s="125" t="n">
        <v>761.2</v>
      </c>
      <c r="J300" s="125" t="n">
        <v>572</v>
      </c>
      <c r="K300" s="125" t="n">
        <v>2.82</v>
      </c>
      <c r="L300" s="125" t="n">
        <v>25.4</v>
      </c>
      <c r="M300" s="125" t="n">
        <v>2.94</v>
      </c>
      <c r="N300" s="125" t="n">
        <v>729200</v>
      </c>
      <c r="O300" s="125" t="n">
        <v>25820</v>
      </c>
      <c r="P300" s="125" t="n">
        <v>35.7</v>
      </c>
      <c r="Q300" s="125" t="n">
        <v>6.72</v>
      </c>
      <c r="R300" s="125" t="n">
        <v>16120</v>
      </c>
      <c r="S300" s="125" t="n">
        <v>1692</v>
      </c>
      <c r="T300" s="125">
        <f>(((E300*D300*D300)/4)-(((E300-G300)*(D300-F300-F300)*(D300-F300-F300))/4)+(4*(H300*H300*(D300/2-F300-(H300/2))-((PI()*H300*H300)/4*((D300/2)-F300-(H300-((4*H300)/(3*PI()))))))))/1000</f>
        <v/>
      </c>
      <c r="U300" s="125">
        <f>(((D300*E300*E300)/4)-(2*((D300-F300-F300)*(E300/2-(G300/2))*(((E300/2-(G300/2))/2)+(G300/2))))+(4*(((H300*H300)-(((PI()*H300*H300)/4)))*((H300-((4*H300)/(3*PI())))+(G300/2)))))/1000</f>
        <v/>
      </c>
      <c r="V300" s="125" t="n">
        <v>18920</v>
      </c>
      <c r="W300" s="125" t="n">
        <v>2704</v>
      </c>
      <c r="Y300">
        <f>SQRT((((VLOOKUP($X$4,$A$4:$D$1021,4,FALSE))-D300)^2)+(((VLOOKUP($X$4,$A$4:$E$1021,5,FALSE))-E300)^2))</f>
        <v/>
      </c>
    </row>
    <row r="301">
      <c r="A301" s="125" t="inlineStr">
        <is>
          <t>W33X332</t>
        </is>
      </c>
      <c r="B301" s="129" t="inlineStr">
        <is>
          <t>AISC</t>
        </is>
      </c>
      <c r="C301" s="125" t="n">
        <v>494</v>
      </c>
      <c r="D301" s="125" t="n">
        <v>915.2</v>
      </c>
      <c r="E301" s="125" t="n">
        <v>308.1</v>
      </c>
      <c r="F301" s="125" t="n">
        <v>58.9</v>
      </c>
      <c r="G301" s="125" t="n">
        <v>33</v>
      </c>
      <c r="H301" s="125" t="n">
        <v>17.8</v>
      </c>
      <c r="I301" s="125" t="n">
        <v>761.8</v>
      </c>
      <c r="J301" s="125" t="n">
        <v>629</v>
      </c>
      <c r="K301" s="125" t="n">
        <v>2.62</v>
      </c>
      <c r="L301" s="125" t="n">
        <v>23.1</v>
      </c>
      <c r="M301" s="125" t="n">
        <v>2.97</v>
      </c>
      <c r="N301" s="125" t="n">
        <v>810000</v>
      </c>
      <c r="O301" s="125" t="n">
        <v>28960</v>
      </c>
      <c r="P301" s="125" t="n">
        <v>35.9</v>
      </c>
      <c r="Q301" s="125" t="n">
        <v>6.79</v>
      </c>
      <c r="R301" s="125" t="n">
        <v>17700</v>
      </c>
      <c r="S301" s="125" t="n">
        <v>1880</v>
      </c>
      <c r="T301" s="125">
        <f>(((E301*D301*D301)/4)-(((E301-G301)*(D301-F301-F301)*(D301-F301-F301))/4)+(4*(H301*H301*(D301/2-F301-(H301/2))-((PI()*H301*H301)/4*((D301/2)-F301-(H301-((4*H301)/(3*PI()))))))))/1000</f>
        <v/>
      </c>
      <c r="U301" s="125">
        <f>(((D301*E301*E301)/4)-(2*((D301-F301-F301)*(E301/2-(G301/2))*(((E301/2-(G301/2))/2)+(G301/2))))+(4*(((H301*H301)-(((PI()*H301*H301)/4)))*((H301-((4*H301)/(3*PI())))+(G301/2)))))/1000</f>
        <v/>
      </c>
      <c r="V301" s="125" t="n">
        <v>20890</v>
      </c>
      <c r="W301" s="125" t="n">
        <v>3018</v>
      </c>
      <c r="Y301">
        <f>SQRT((((VLOOKUP($X$4,$A$4:$D$1021,4,FALSE))-D301)^2)+(((VLOOKUP($X$4,$A$4:$E$1021,5,FALSE))-E301)^2))</f>
        <v/>
      </c>
    </row>
    <row r="302">
      <c r="A302" s="125" t="inlineStr">
        <is>
          <t>W33X361</t>
        </is>
      </c>
      <c r="B302" s="129" t="inlineStr">
        <is>
          <t>AISC</t>
        </is>
      </c>
      <c r="C302" s="125" t="n">
        <v>537</v>
      </c>
      <c r="D302" s="125" t="n">
        <v>925.1</v>
      </c>
      <c r="E302" s="125" t="n">
        <v>310.6</v>
      </c>
      <c r="F302" s="125" t="n">
        <v>64</v>
      </c>
      <c r="G302" s="125" t="n">
        <v>35.6</v>
      </c>
      <c r="H302" s="125" t="n">
        <v>17.8</v>
      </c>
      <c r="I302" s="125" t="n">
        <v>761.5</v>
      </c>
      <c r="J302" s="125" t="n">
        <v>684</v>
      </c>
      <c r="K302" s="125" t="n">
        <v>2.43</v>
      </c>
      <c r="L302" s="125" t="n">
        <v>21.4</v>
      </c>
      <c r="M302" s="125" t="n">
        <v>2.99</v>
      </c>
      <c r="N302" s="125" t="n">
        <v>892800</v>
      </c>
      <c r="O302" s="125" t="n">
        <v>32280</v>
      </c>
      <c r="P302" s="125" t="n">
        <v>36.1</v>
      </c>
      <c r="Q302" s="125" t="n">
        <v>6.87</v>
      </c>
      <c r="R302" s="125" t="n">
        <v>19300</v>
      </c>
      <c r="S302" s="125" t="n">
        <v>2078</v>
      </c>
      <c r="T302" s="125">
        <f>(((E302*D302*D302)/4)-(((E302-G302)*(D302-F302-F302)*(D302-F302-F302))/4)+(4*(H302*H302*(D302/2-F302-(H302/2))-((PI()*H302*H302)/4*((D302/2)-F302-(H302-((4*H302)/(3*PI()))))))))/1000</f>
        <v/>
      </c>
      <c r="U302" s="125">
        <f>(((D302*E302*E302)/4)-(2*((D302-F302-F302)*(E302/2-(G302/2))*(((E302/2-(G302/2))/2)+(G302/2))))+(4*(((H302*H302)-(((PI()*H302*H302)/4)))*((H302-((4*H302)/(3*PI())))+(G302/2)))))/1000</f>
        <v/>
      </c>
      <c r="V302" s="125" t="n">
        <v>22880</v>
      </c>
      <c r="W302" s="125" t="n">
        <v>3346</v>
      </c>
      <c r="Y302">
        <f>SQRT((((VLOOKUP($X$4,$A$4:$D$1021,4,FALSE))-D302)^2)+(((VLOOKUP($X$4,$A$4:$E$1021,5,FALSE))-E302)^2))</f>
        <v/>
      </c>
    </row>
    <row r="303">
      <c r="A303" s="125" t="inlineStr">
        <is>
          <t>W33X201</t>
        </is>
      </c>
      <c r="B303" s="129" t="inlineStr">
        <is>
          <t>AISC</t>
        </is>
      </c>
      <c r="C303" s="125" t="n">
        <v>299.1</v>
      </c>
      <c r="D303" s="125" t="n">
        <v>855.5</v>
      </c>
      <c r="E303" s="125" t="n">
        <v>399.9</v>
      </c>
      <c r="F303" s="125" t="n">
        <v>29.2</v>
      </c>
      <c r="G303" s="125" t="n">
        <v>18.2</v>
      </c>
      <c r="H303" s="125" t="n">
        <v>17.8</v>
      </c>
      <c r="I303" s="125" t="n">
        <v>761.5</v>
      </c>
      <c r="J303" s="125" t="n">
        <v>381</v>
      </c>
      <c r="K303" s="125" t="n">
        <v>6.85</v>
      </c>
      <c r="L303" s="125" t="n">
        <v>41.9</v>
      </c>
      <c r="M303" s="125" t="n">
        <v>3.24</v>
      </c>
      <c r="N303" s="125" t="n">
        <v>479800</v>
      </c>
      <c r="O303" s="125" t="n">
        <v>31180</v>
      </c>
      <c r="P303" s="125" t="n">
        <v>35.5</v>
      </c>
      <c r="Q303" s="125" t="n">
        <v>9.050000000000001</v>
      </c>
      <c r="R303" s="125" t="n">
        <v>11220</v>
      </c>
      <c r="S303" s="125" t="n">
        <v>1559</v>
      </c>
      <c r="T303" s="125">
        <f>(((E303*D303*D303)/4)-(((E303-G303)*(D303-F303-F303)*(D303-F303-F303))/4)+(4*(H303*H303*(D303/2-F303-(H303/2))-((PI()*H303*H303)/4*((D303/2)-F303-(H303-((4*H303)/(3*PI()))))))))/1000</f>
        <v/>
      </c>
      <c r="U303" s="125">
        <f>(((D303*E303*E303)/4)-(2*((D303-F303-F303)*(E303/2-(G303/2))*(((E303/2-(G303/2))/2)+(G303/2))))+(4*(((H303*H303)-(((PI()*H303*H303)/4)))*((H303-((4*H303)/(3*PI())))+(G303/2)))))/1000</f>
        <v/>
      </c>
      <c r="V303" s="125" t="n">
        <v>12640</v>
      </c>
      <c r="W303" s="125" t="n">
        <v>2405</v>
      </c>
      <c r="Y303">
        <f>SQRT((((VLOOKUP($X$4,$A$4:$D$1021,4,FALSE))-D303)^2)+(((VLOOKUP($X$4,$A$4:$E$1021,5,FALSE))-E303)^2))</f>
        <v/>
      </c>
    </row>
    <row r="304">
      <c r="A304" s="125" t="inlineStr">
        <is>
          <t>W33X221</t>
        </is>
      </c>
      <c r="B304" s="129" t="inlineStr">
        <is>
          <t>AISC</t>
        </is>
      </c>
      <c r="C304" s="125" t="n">
        <v>328.9</v>
      </c>
      <c r="D304" s="125" t="n">
        <v>861.8</v>
      </c>
      <c r="E304" s="125" t="n">
        <v>401.4</v>
      </c>
      <c r="F304" s="125" t="n">
        <v>32.4</v>
      </c>
      <c r="G304" s="125" t="n">
        <v>19.7</v>
      </c>
      <c r="H304" s="125" t="n">
        <v>17.8</v>
      </c>
      <c r="I304" s="125" t="n">
        <v>761.4</v>
      </c>
      <c r="J304" s="125" t="n">
        <v>420</v>
      </c>
      <c r="K304" s="125" t="n">
        <v>6.2</v>
      </c>
      <c r="L304" s="125" t="n">
        <v>38.7</v>
      </c>
      <c r="M304" s="125" t="n">
        <v>3.26</v>
      </c>
      <c r="N304" s="125" t="n">
        <v>534700</v>
      </c>
      <c r="O304" s="125" t="n">
        <v>34970</v>
      </c>
      <c r="P304" s="125" t="n">
        <v>35.7</v>
      </c>
      <c r="Q304" s="125" t="n">
        <v>9.130000000000001</v>
      </c>
      <c r="R304" s="125" t="n">
        <v>12410</v>
      </c>
      <c r="S304" s="125" t="n">
        <v>1742</v>
      </c>
      <c r="T304" s="125">
        <f>(((E304*D304*D304)/4)-(((E304-G304)*(D304-F304-F304)*(D304-F304-F304))/4)+(4*(H304*H304*(D304/2-F304-(H304/2))-((PI()*H304*H304)/4*((D304/2)-F304-(H304-((4*H304)/(3*PI()))))))))/1000</f>
        <v/>
      </c>
      <c r="U304" s="125">
        <f>(((D304*E304*E304)/4)-(2*((D304-F304-F304)*(E304/2-(G304/2))*(((E304/2-(G304/2))/2)+(G304/2))))+(4*(((H304*H304)-(((PI()*H304*H304)/4)))*((H304-((4*H304)/(3*PI())))+(G304/2)))))/1000</f>
        <v/>
      </c>
      <c r="V304" s="125" t="n">
        <v>14020</v>
      </c>
      <c r="W304" s="125" t="n">
        <v>2690</v>
      </c>
      <c r="Y304">
        <f>SQRT((((VLOOKUP($X$4,$A$4:$D$1021,4,FALSE))-D304)^2)+(((VLOOKUP($X$4,$A$4:$E$1021,5,FALSE))-E304)^2))</f>
        <v/>
      </c>
    </row>
    <row r="305">
      <c r="A305" s="125" t="inlineStr">
        <is>
          <t>W33X241</t>
        </is>
      </c>
      <c r="B305" s="129" t="inlineStr">
        <is>
          <t>AISC</t>
        </is>
      </c>
      <c r="C305" s="125" t="n">
        <v>358.6</v>
      </c>
      <c r="D305" s="125" t="n">
        <v>868.2</v>
      </c>
      <c r="E305" s="125" t="n">
        <v>402.8</v>
      </c>
      <c r="F305" s="125" t="n">
        <v>35.6</v>
      </c>
      <c r="G305" s="125" t="n">
        <v>21.1</v>
      </c>
      <c r="H305" s="125" t="n">
        <v>17.8</v>
      </c>
      <c r="I305" s="125" t="n">
        <v>761.5</v>
      </c>
      <c r="J305" s="125" t="n">
        <v>457</v>
      </c>
      <c r="K305" s="125" t="n">
        <v>5.66</v>
      </c>
      <c r="L305" s="125" t="n">
        <v>36.1</v>
      </c>
      <c r="M305" s="125" t="n">
        <v>3.27</v>
      </c>
      <c r="N305" s="125" t="n">
        <v>590000</v>
      </c>
      <c r="O305" s="125" t="n">
        <v>38800</v>
      </c>
      <c r="P305" s="125" t="n">
        <v>35.9</v>
      </c>
      <c r="Q305" s="125" t="n">
        <v>9.210000000000001</v>
      </c>
      <c r="R305" s="125" t="n">
        <v>13590</v>
      </c>
      <c r="S305" s="125" t="n">
        <v>1927</v>
      </c>
      <c r="T305" s="125">
        <f>(((E305*D305*D305)/4)-(((E305-G305)*(D305-F305-F305)*(D305-F305-F305))/4)+(4*(H305*H305*(D305/2-F305-(H305/2))-((PI()*H305*H305)/4*((D305/2)-F305-(H305-((4*H305)/(3*PI()))))))))/1000</f>
        <v/>
      </c>
      <c r="U305" s="125">
        <f>(((D305*E305*E305)/4)-(2*((D305-F305-F305)*(E305/2-(G305/2))*(((E305/2-(G305/2))/2)+(G305/2))))+(4*(((H305*H305)-(((PI()*H305*H305)/4)))*((H305-((4*H305)/(3*PI())))+(G305/2)))))/1000</f>
        <v/>
      </c>
      <c r="V305" s="125" t="n">
        <v>15380</v>
      </c>
      <c r="W305" s="125" t="n">
        <v>2977</v>
      </c>
      <c r="Y305">
        <f>SQRT((((VLOOKUP($X$4,$A$4:$D$1021,4,FALSE))-D305)^2)+(((VLOOKUP($X$4,$A$4:$E$1021,5,FALSE))-E305)^2))</f>
        <v/>
      </c>
    </row>
    <row r="306">
      <c r="A306" s="125" t="inlineStr">
        <is>
          <t>W33X263</t>
        </is>
      </c>
      <c r="B306" s="129" t="inlineStr">
        <is>
          <t>AISC</t>
        </is>
      </c>
      <c r="C306" s="125" t="n">
        <v>391.4</v>
      </c>
      <c r="D306" s="125" t="n">
        <v>877.1</v>
      </c>
      <c r="E306" s="125" t="n">
        <v>401.4</v>
      </c>
      <c r="F306" s="125" t="n">
        <v>39.9</v>
      </c>
      <c r="G306" s="125" t="n">
        <v>22.1</v>
      </c>
      <c r="H306" s="125" t="n">
        <v>17.8</v>
      </c>
      <c r="I306" s="125" t="n">
        <v>761.7</v>
      </c>
      <c r="J306" s="125" t="n">
        <v>499</v>
      </c>
      <c r="K306" s="125" t="n">
        <v>5.03</v>
      </c>
      <c r="L306" s="125" t="n">
        <v>34.5</v>
      </c>
      <c r="M306" s="125" t="n">
        <v>3.29</v>
      </c>
      <c r="N306" s="125" t="n">
        <v>659000</v>
      </c>
      <c r="O306" s="125" t="n">
        <v>43070</v>
      </c>
      <c r="P306" s="125" t="n">
        <v>36.3</v>
      </c>
      <c r="Q306" s="125" t="n">
        <v>9.289999999999999</v>
      </c>
      <c r="R306" s="125" t="n">
        <v>15030</v>
      </c>
      <c r="S306" s="125" t="n">
        <v>2146</v>
      </c>
      <c r="T306" s="125">
        <f>(((E306*D306*D306)/4)-(((E306-G306)*(D306-F306-F306)*(D306-F306-F306))/4)+(4*(H306*H306*(D306/2-F306-(H306/2))-((PI()*H306*H306)/4*((D306/2)-F306-(H306-((4*H306)/(3*PI()))))))))/1000</f>
        <v/>
      </c>
      <c r="U306" s="125">
        <f>(((D306*E306*E306)/4)-(2*((D306-F306-F306)*(E306/2-(G306/2))*(((E306/2-(G306/2))/2)+(G306/2))))+(4*(((H306*H306)-(((PI()*H306*H306)/4)))*((H306-((4*H306)/(3*PI())))+(G306/2)))))/1000</f>
        <v/>
      </c>
      <c r="V306" s="125" t="n">
        <v>17020</v>
      </c>
      <c r="W306" s="125" t="n">
        <v>3314</v>
      </c>
      <c r="Y306">
        <f>SQRT((((VLOOKUP($X$4,$A$4:$D$1021,4,FALSE))-D306)^2)+(((VLOOKUP($X$4,$A$4:$E$1021,5,FALSE))-E306)^2))</f>
        <v/>
      </c>
    </row>
    <row r="307">
      <c r="A307" s="125" t="inlineStr">
        <is>
          <t>W33X291</t>
        </is>
      </c>
      <c r="B307" s="129" t="inlineStr">
        <is>
          <t>AISC</t>
        </is>
      </c>
      <c r="C307" s="125" t="n">
        <v>433.1</v>
      </c>
      <c r="D307" s="125" t="n">
        <v>884.9</v>
      </c>
      <c r="E307" s="125" t="n">
        <v>404</v>
      </c>
      <c r="F307" s="125" t="n">
        <v>43.9</v>
      </c>
      <c r="G307" s="125" t="n">
        <v>24.4</v>
      </c>
      <c r="H307" s="125" t="n">
        <v>17.8</v>
      </c>
      <c r="I307" s="125" t="n">
        <v>761.4</v>
      </c>
      <c r="J307" s="125" t="n">
        <v>552</v>
      </c>
      <c r="K307" s="125" t="n">
        <v>4.6</v>
      </c>
      <c r="L307" s="125" t="n">
        <v>31.2</v>
      </c>
      <c r="M307" s="125" t="n">
        <v>3.31</v>
      </c>
      <c r="N307" s="125" t="n">
        <v>735400</v>
      </c>
      <c r="O307" s="125" t="n">
        <v>48390</v>
      </c>
      <c r="P307" s="125" t="n">
        <v>36.5</v>
      </c>
      <c r="Q307" s="125" t="n">
        <v>9.359999999999999</v>
      </c>
      <c r="R307" s="125" t="n">
        <v>16620</v>
      </c>
      <c r="S307" s="125" t="n">
        <v>2396</v>
      </c>
      <c r="T307" s="125">
        <f>(((E307*D307*D307)/4)-(((E307-G307)*(D307-F307-F307)*(D307-F307-F307))/4)+(4*(H307*H307*(D307/2-F307-(H307/2))-((PI()*H307*H307)/4*((D307/2)-F307-(H307-((4*H307)/(3*PI()))))))))/1000</f>
        <v/>
      </c>
      <c r="U307" s="125">
        <f>(((D307*E307*E307)/4)-(2*((D307-F307-F307)*(E307/2-(G307/2))*(((E307/2-(G307/2))/2)+(G307/2))))+(4*(((H307*H307)-(((PI()*H307*H307)/4)))*((H307-((4*H307)/(3*PI())))+(G307/2)))))/1000</f>
        <v/>
      </c>
      <c r="V307" s="125" t="n">
        <v>18910</v>
      </c>
      <c r="W307" s="125" t="n">
        <v>3709</v>
      </c>
      <c r="Y307">
        <f>SQRT((((VLOOKUP($X$4,$A$4:$D$1021,4,FALSE))-D307)^2)+(((VLOOKUP($X$4,$A$4:$E$1021,5,FALSE))-E307)^2))</f>
        <v/>
      </c>
    </row>
    <row r="308">
      <c r="A308" s="125" t="inlineStr">
        <is>
          <t>W33X318</t>
        </is>
      </c>
      <c r="B308" s="129" t="inlineStr">
        <is>
          <t>AISC</t>
        </is>
      </c>
      <c r="C308" s="125" t="n">
        <v>473.2</v>
      </c>
      <c r="D308" s="125" t="n">
        <v>893.1</v>
      </c>
      <c r="E308" s="125" t="n">
        <v>406</v>
      </c>
      <c r="F308" s="125" t="n">
        <v>48</v>
      </c>
      <c r="G308" s="125" t="n">
        <v>26.4</v>
      </c>
      <c r="H308" s="125" t="n">
        <v>17.8</v>
      </c>
      <c r="I308" s="125" t="n">
        <v>761.5</v>
      </c>
      <c r="J308" s="125" t="n">
        <v>603</v>
      </c>
      <c r="K308" s="125" t="n">
        <v>4.23</v>
      </c>
      <c r="L308" s="125" t="n">
        <v>28.8</v>
      </c>
      <c r="M308" s="125" t="n">
        <v>3.33</v>
      </c>
      <c r="N308" s="125" t="n">
        <v>812500</v>
      </c>
      <c r="O308" s="125" t="n">
        <v>53680</v>
      </c>
      <c r="P308" s="125" t="n">
        <v>36.7</v>
      </c>
      <c r="Q308" s="125" t="n">
        <v>9.43</v>
      </c>
      <c r="R308" s="125" t="n">
        <v>18200</v>
      </c>
      <c r="S308" s="125" t="n">
        <v>2644</v>
      </c>
      <c r="T308" s="125">
        <f>(((E308*D308*D308)/4)-(((E308-G308)*(D308-F308-F308)*(D308-F308-F308))/4)+(4*(H308*H308*(D308/2-F308-(H308/2))-((PI()*H308*H308)/4*((D308/2)-F308-(H308-((4*H308)/(3*PI()))))))))/1000</f>
        <v/>
      </c>
      <c r="U308" s="125">
        <f>(((D308*E308*E308)/4)-(2*((D308-F308-F308)*(E308/2-(G308/2))*(((E308/2-(G308/2))/2)+(G308/2))))+(4*(((H308*H308)-(((PI()*H308*H308)/4)))*((H308-((4*H308)/(3*PI())))+(G308/2)))))/1000</f>
        <v/>
      </c>
      <c r="V308" s="125" t="n">
        <v>20780</v>
      </c>
      <c r="W308" s="125" t="n">
        <v>4101</v>
      </c>
      <c r="Y308">
        <f>SQRT((((VLOOKUP($X$4,$A$4:$D$1021,4,FALSE))-D308)^2)+(((VLOOKUP($X$4,$A$4:$E$1021,5,FALSE))-E308)^2))</f>
        <v/>
      </c>
    </row>
    <row r="309">
      <c r="A309" s="125" t="inlineStr">
        <is>
          <t>W33X354</t>
        </is>
      </c>
      <c r="B309" s="129" t="inlineStr">
        <is>
          <t>AISC</t>
        </is>
      </c>
      <c r="C309" s="125" t="n">
        <v>526.8</v>
      </c>
      <c r="D309" s="125" t="n">
        <v>903</v>
      </c>
      <c r="E309" s="125" t="n">
        <v>408.9</v>
      </c>
      <c r="F309" s="125" t="n">
        <v>53.1</v>
      </c>
      <c r="G309" s="125" t="n">
        <v>29.5</v>
      </c>
      <c r="H309" s="125" t="n">
        <v>17.8</v>
      </c>
      <c r="I309" s="125" t="n">
        <v>761.2</v>
      </c>
      <c r="J309" s="125" t="n">
        <v>672</v>
      </c>
      <c r="K309" s="125" t="n">
        <v>3.85</v>
      </c>
      <c r="L309" s="125" t="n">
        <v>25.8</v>
      </c>
      <c r="M309" s="125" t="n">
        <v>3.35</v>
      </c>
      <c r="N309" s="125" t="n">
        <v>913500</v>
      </c>
      <c r="O309" s="125" t="n">
        <v>60680</v>
      </c>
      <c r="P309" s="125" t="n">
        <v>36.9</v>
      </c>
      <c r="Q309" s="125" t="n">
        <v>9.5</v>
      </c>
      <c r="R309" s="125" t="n">
        <v>20330</v>
      </c>
      <c r="S309" s="125" t="n">
        <v>2968</v>
      </c>
      <c r="T309" s="125">
        <f>(((E309*D309*D309)/4)-(((E309-G309)*(D309-F309-F309)*(D309-F309-F309))/4)+(4*(H309*H309*(D309/2-F309-(H309/2))-((PI()*H309*H309)/4*((D309/2)-F309-(H309-((4*H309)/(3*PI()))))))))/1000</f>
        <v/>
      </c>
      <c r="U309" s="125">
        <f>(((D309*E309*E309)/4)-(2*((D309-F309-F309)*(E309/2-(G309/2))*(((E309/2-(G309/2))/2)+(G309/2))))+(4*(((H309*H309)-(((PI()*H309*H309)/4)))*((H309-((4*H309)/(3*PI())))+(G309/2)))))/1000</f>
        <v/>
      </c>
      <c r="V309" s="125" t="n">
        <v>23230</v>
      </c>
      <c r="W309" s="125" t="n">
        <v>4616</v>
      </c>
      <c r="Y309">
        <f>SQRT((((VLOOKUP($X$4,$A$4:$D$1021,4,FALSE))-D309)^2)+(((VLOOKUP($X$4,$A$4:$E$1021,5,FALSE))-E309)^2))</f>
        <v/>
      </c>
    </row>
    <row r="310">
      <c r="A310" s="125" t="inlineStr">
        <is>
          <t>W33X387</t>
        </is>
      </c>
      <c r="B310" s="129" t="inlineStr">
        <is>
          <t>AISC</t>
        </is>
      </c>
      <c r="C310" s="125" t="n">
        <v>575.9</v>
      </c>
      <c r="D310" s="125" t="n">
        <v>913.1</v>
      </c>
      <c r="E310" s="125" t="n">
        <v>411.5</v>
      </c>
      <c r="F310" s="125" t="n">
        <v>57.9</v>
      </c>
      <c r="G310" s="125" t="n">
        <v>32</v>
      </c>
      <c r="H310" s="125" t="n">
        <v>17.8</v>
      </c>
      <c r="I310" s="125" t="n">
        <v>761.7</v>
      </c>
      <c r="J310" s="125" t="n">
        <v>734</v>
      </c>
      <c r="K310" s="125" t="n">
        <v>3.55</v>
      </c>
      <c r="L310" s="125" t="n">
        <v>23.8</v>
      </c>
      <c r="M310" s="125" t="n">
        <v>3.38</v>
      </c>
      <c r="N310" s="125" t="n">
        <v>1012000</v>
      </c>
      <c r="O310" s="125" t="n">
        <v>67480</v>
      </c>
      <c r="P310" s="125" t="n">
        <v>37.1</v>
      </c>
      <c r="Q310" s="125" t="n">
        <v>9.59</v>
      </c>
      <c r="R310" s="125" t="n">
        <v>22170</v>
      </c>
      <c r="S310" s="125" t="n">
        <v>3280</v>
      </c>
      <c r="T310" s="125">
        <f>(((E310*D310*D310)/4)-(((E310-G310)*(D310-F310-F310)*(D310-F310-F310))/4)+(4*(H310*H310*(D310/2-F310-(H310/2))-((PI()*H310*H310)/4*((D310/2)-F310-(H310-((4*H310)/(3*PI()))))))))/1000</f>
        <v/>
      </c>
      <c r="U310" s="125">
        <f>(((D310*E310*E310)/4)-(2*((D310-F310-F310)*(E310/2-(G310/2))*(((E310/2-(G310/2))/2)+(G310/2))))+(4*(((H310*H310)-(((PI()*H310*H310)/4)))*((H310-((4*H310)/(3*PI())))+(G310/2)))))/1000</f>
        <v/>
      </c>
      <c r="V310" s="125" t="n">
        <v>25570</v>
      </c>
      <c r="W310" s="125" t="n">
        <v>5113</v>
      </c>
      <c r="Y310">
        <f>SQRT((((VLOOKUP($X$4,$A$4:$D$1021,4,FALSE))-D310)^2)+(((VLOOKUP($X$4,$A$4:$E$1021,5,FALSE))-E310)^2))</f>
        <v/>
      </c>
    </row>
    <row r="311">
      <c r="A311" s="125" t="inlineStr">
        <is>
          <t>W33X424</t>
        </is>
      </c>
      <c r="B311" s="129" t="inlineStr">
        <is>
          <t>AISC</t>
        </is>
      </c>
      <c r="C311" s="125" t="n">
        <v>631</v>
      </c>
      <c r="D311" s="125" t="n">
        <v>923</v>
      </c>
      <c r="E311" s="125" t="n">
        <v>414</v>
      </c>
      <c r="F311" s="125" t="n">
        <v>63</v>
      </c>
      <c r="G311" s="125" t="n">
        <v>35.1</v>
      </c>
      <c r="H311" s="125" t="n">
        <v>20</v>
      </c>
      <c r="I311" s="125" t="n">
        <v>757</v>
      </c>
      <c r="J311" s="125" t="n">
        <v>805</v>
      </c>
      <c r="K311" s="125" t="n">
        <v>3.29</v>
      </c>
      <c r="L311" s="125" t="n">
        <v>21.6</v>
      </c>
      <c r="M311" s="125" t="n">
        <v>3.4</v>
      </c>
      <c r="N311" s="125" t="n">
        <v>1120000</v>
      </c>
      <c r="O311" s="125" t="n">
        <v>74810</v>
      </c>
      <c r="P311" s="125" t="n">
        <v>37.3</v>
      </c>
      <c r="Q311" s="125" t="n">
        <v>9.640000000000001</v>
      </c>
      <c r="R311" s="125" t="n">
        <v>24260</v>
      </c>
      <c r="S311" s="125" t="n">
        <v>3614</v>
      </c>
      <c r="T311" s="125">
        <f>(((E311*D311*D311)/4)-(((E311-G311)*(D311-F311-F311)*(D311-F311-F311))/4)+(4*(H311*H311*(D311/2-F311-(H311/2))-((PI()*H311*H311)/4*((D311/2)-F311-(H311-((4*H311)/(3*PI()))))))))/1000</f>
        <v/>
      </c>
      <c r="U311" s="125">
        <f>(((D311*E311*E311)/4)-(2*((D311-F311-F311)*(E311/2-(G311/2))*(((E311/2-(G311/2))/2)+(G311/2))))+(4*(((H311*H311)-(((PI()*H311*H311)/4)))*((H311-((4*H311)/(3*PI())))+(G311/2)))))/1000</f>
        <v/>
      </c>
      <c r="V311" s="125" t="n">
        <v>28140</v>
      </c>
      <c r="W311" s="125" t="n">
        <v>5652</v>
      </c>
      <c r="Y311">
        <f>SQRT((((VLOOKUP($X$4,$A$4:$D$1021,4,FALSE))-D311)^2)+(((VLOOKUP($X$4,$A$4:$E$1021,5,FALSE))-E311)^2))</f>
        <v/>
      </c>
    </row>
    <row r="312">
      <c r="A312" s="125" t="inlineStr">
        <is>
          <t>W33X468</t>
        </is>
      </c>
      <c r="B312" s="129" t="inlineStr">
        <is>
          <t>AISC</t>
        </is>
      </c>
      <c r="C312" s="125" t="n">
        <v>697</v>
      </c>
      <c r="D312" s="125" t="n">
        <v>935</v>
      </c>
      <c r="E312" s="125" t="n">
        <v>418</v>
      </c>
      <c r="F312" s="125" t="n">
        <v>69.09999999999999</v>
      </c>
      <c r="G312" s="125" t="n">
        <v>38.6</v>
      </c>
      <c r="H312" s="125" t="n">
        <v>20</v>
      </c>
      <c r="I312" s="125" t="n">
        <v>756.8</v>
      </c>
      <c r="J312" s="125" t="n">
        <v>889</v>
      </c>
      <c r="K312" s="125" t="n">
        <v>3.02</v>
      </c>
      <c r="L312" s="125" t="n">
        <v>19.6</v>
      </c>
      <c r="M312" s="125" t="n">
        <v>3.43</v>
      </c>
      <c r="N312" s="125" t="n">
        <v>1253000</v>
      </c>
      <c r="O312" s="125" t="n">
        <v>84520</v>
      </c>
      <c r="P312" s="125" t="n">
        <v>37.6</v>
      </c>
      <c r="Q312" s="125" t="n">
        <v>9.75</v>
      </c>
      <c r="R312" s="125" t="n">
        <v>26810</v>
      </c>
      <c r="S312" s="125" t="n">
        <v>4044</v>
      </c>
      <c r="T312" s="125">
        <f>(((E312*D312*D312)/4)-(((E312-G312)*(D312-F312-F312)*(D312-F312-F312))/4)+(4*(H312*H312*(D312/2-F312-(H312/2))-((PI()*H312*H312)/4*((D312/2)-F312-(H312-((4*H312)/(3*PI()))))))))/1000</f>
        <v/>
      </c>
      <c r="U312" s="125">
        <f>(((D312*E312*E312)/4)-(2*((D312-F312-F312)*(E312/2-(G312/2))*(((E312/2-(G312/2))/2)+(G312/2))))+(4*(((H312*H312)-(((PI()*H312*H312)/4)))*((H312-((4*H312)/(3*PI())))+(G312/2)))))/1000</f>
        <v/>
      </c>
      <c r="V312" s="125" t="n">
        <v>31270</v>
      </c>
      <c r="W312" s="125" t="n">
        <v>6342</v>
      </c>
      <c r="Y312">
        <f>SQRT((((VLOOKUP($X$4,$A$4:$D$1021,4,FALSE))-D312)^2)+(((VLOOKUP($X$4,$A$4:$E$1021,5,FALSE))-E312)^2))</f>
        <v/>
      </c>
    </row>
    <row r="313">
      <c r="A313" s="125" t="inlineStr">
        <is>
          <t>W36X135</t>
        </is>
      </c>
      <c r="B313" s="129" t="inlineStr">
        <is>
          <t>AISC</t>
        </is>
      </c>
      <c r="C313" s="125" t="n">
        <v>200.9</v>
      </c>
      <c r="D313" s="125" t="n">
        <v>903</v>
      </c>
      <c r="E313" s="125" t="n">
        <v>303.3</v>
      </c>
      <c r="F313" s="125" t="n">
        <v>20.2</v>
      </c>
      <c r="G313" s="125" t="n">
        <v>15.1</v>
      </c>
      <c r="H313" s="125" t="n">
        <v>19.1</v>
      </c>
      <c r="I313" s="125" t="n">
        <v>824.4</v>
      </c>
      <c r="J313" s="125" t="n">
        <v>256</v>
      </c>
      <c r="K313" s="125" t="n">
        <v>7.51</v>
      </c>
      <c r="L313" s="125" t="n">
        <v>54.6</v>
      </c>
      <c r="M313" s="125" t="n">
        <v>2.96</v>
      </c>
      <c r="N313" s="125" t="n">
        <v>325300</v>
      </c>
      <c r="O313" s="125" t="n">
        <v>9424</v>
      </c>
      <c r="P313" s="125" t="n">
        <v>35.7</v>
      </c>
      <c r="Q313" s="125" t="n">
        <v>6.07</v>
      </c>
      <c r="R313" s="125" t="n">
        <v>7204</v>
      </c>
      <c r="S313" s="125" t="n">
        <v>621</v>
      </c>
      <c r="T313" s="125">
        <f>(((E313*D313*D313)/4)-(((E313-G313)*(D313-F313-F313)*(D313-F313-F313))/4)+(4*(H313*H313*(D313/2-F313-(H313/2))-((PI()*H313*H313)/4*((D313/2)-F313-(H313-((4*H313)/(3*PI()))))))))/1000</f>
        <v/>
      </c>
      <c r="U313" s="125">
        <f>(((D313*E313*E313)/4)-(2*((D313-F313-F313)*(E313/2-(G313/2))*(((E313/2-(G313/2))/2)+(G313/2))))+(4*(((H313*H313)-(((PI()*H313*H313)/4)))*((H313-((4*H313)/(3*PI())))+(G313/2)))))/1000</f>
        <v/>
      </c>
      <c r="V313" s="125" t="n">
        <v>8351</v>
      </c>
      <c r="W313" s="125" t="n">
        <v>982</v>
      </c>
      <c r="Y313">
        <f>SQRT((((VLOOKUP($X$4,$A$4:$D$1021,4,FALSE))-D313)^2)+(((VLOOKUP($X$4,$A$4:$E$1021,5,FALSE))-E313)^2))</f>
        <v/>
      </c>
    </row>
    <row r="314">
      <c r="A314" s="125" t="inlineStr">
        <is>
          <t>W36X150</t>
        </is>
      </c>
      <c r="B314" s="129" t="inlineStr">
        <is>
          <t>AISC</t>
        </is>
      </c>
      <c r="C314" s="125" t="n">
        <v>224.2</v>
      </c>
      <c r="D314" s="125" t="n">
        <v>910.4</v>
      </c>
      <c r="E314" s="125" t="n">
        <v>304.1</v>
      </c>
      <c r="F314" s="125" t="n">
        <v>23.9</v>
      </c>
      <c r="G314" s="125" t="n">
        <v>15.9</v>
      </c>
      <c r="H314" s="125" t="n">
        <v>19.1</v>
      </c>
      <c r="I314" s="125" t="n">
        <v>824.4</v>
      </c>
      <c r="J314" s="125" t="n">
        <v>286</v>
      </c>
      <c r="K314" s="125" t="n">
        <v>6.36</v>
      </c>
      <c r="L314" s="125" t="n">
        <v>51.8</v>
      </c>
      <c r="M314" s="125" t="n">
        <v>2.97</v>
      </c>
      <c r="N314" s="125" t="n">
        <v>376400</v>
      </c>
      <c r="O314" s="125" t="n">
        <v>11240</v>
      </c>
      <c r="P314" s="125" t="n">
        <v>36.3</v>
      </c>
      <c r="Q314" s="125" t="n">
        <v>6.27</v>
      </c>
      <c r="R314" s="125" t="n">
        <v>8269</v>
      </c>
      <c r="S314" s="125" t="n">
        <v>739</v>
      </c>
      <c r="T314" s="125">
        <f>(((E314*D314*D314)/4)-(((E314-G314)*(D314-F314-F314)*(D314-F314-F314))/4)+(4*(H314*H314*(D314/2-F314-(H314/2))-((PI()*H314*H314)/4*((D314/2)-F314-(H314-((4*H314)/(3*PI()))))))))/1000</f>
        <v/>
      </c>
      <c r="U314" s="125">
        <f>(((D314*E314*E314)/4)-(2*((D314-F314-F314)*(E314/2-(G314/2))*(((E314/2-(G314/2))/2)+(G314/2))))+(4*(((H314*H314)-(((PI()*H314*H314)/4)))*((H314-((4*H314)/(3*PI())))+(G314/2)))))/1000</f>
        <v/>
      </c>
      <c r="V314" s="125" t="n">
        <v>9535</v>
      </c>
      <c r="W314" s="125" t="n">
        <v>1163</v>
      </c>
      <c r="Y314">
        <f>SQRT((((VLOOKUP($X$4,$A$4:$D$1021,4,FALSE))-D314)^2)+(((VLOOKUP($X$4,$A$4:$E$1021,5,FALSE))-E314)^2))</f>
        <v/>
      </c>
    </row>
    <row r="315">
      <c r="A315" s="125" t="inlineStr">
        <is>
          <t>W36X160</t>
        </is>
      </c>
      <c r="B315" s="129" t="inlineStr">
        <is>
          <t>AISC</t>
        </is>
      </c>
      <c r="C315" s="125" t="n">
        <v>238.1</v>
      </c>
      <c r="D315" s="125" t="n">
        <v>914.7</v>
      </c>
      <c r="E315" s="125" t="n">
        <v>304.8</v>
      </c>
      <c r="F315" s="125" t="n">
        <v>25.9</v>
      </c>
      <c r="G315" s="125" t="n">
        <v>16.5</v>
      </c>
      <c r="H315" s="125" t="n">
        <v>19</v>
      </c>
      <c r="I315" s="125" t="n">
        <v>824.9</v>
      </c>
      <c r="J315" s="125" t="n">
        <v>304</v>
      </c>
      <c r="K315" s="125" t="n">
        <v>5.88</v>
      </c>
      <c r="L315" s="125" t="n">
        <v>50</v>
      </c>
      <c r="M315" s="125" t="n">
        <v>2.98</v>
      </c>
      <c r="N315" s="125" t="n">
        <v>406100</v>
      </c>
      <c r="O315" s="125" t="n">
        <v>12270</v>
      </c>
      <c r="P315" s="125" t="n">
        <v>36.6</v>
      </c>
      <c r="Q315" s="125" t="n">
        <v>6.36</v>
      </c>
      <c r="R315" s="125" t="n">
        <v>8879</v>
      </c>
      <c r="S315" s="125" t="n">
        <v>805</v>
      </c>
      <c r="T315" s="125">
        <f>(((E315*D315*D315)/4)-(((E315-G315)*(D315-F315-F315)*(D315-F315-F315))/4)+(4*(H315*H315*(D315/2-F315-(H315/2))-((PI()*H315*H315)/4*((D315/2)-F315-(H315-((4*H315)/(3*PI()))))))))/1000</f>
        <v/>
      </c>
      <c r="U315" s="125">
        <f>(((D315*E315*E315)/4)-(2*((D315-F315-F315)*(E315/2-(G315/2))*(((E315/2-(G315/2))/2)+(G315/2))))+(4*(((H315*H315)-(((PI()*H315*H315)/4)))*((H315-((4*H315)/(3*PI())))+(G315/2)))))/1000</f>
        <v/>
      </c>
      <c r="V315" s="125" t="n">
        <v>10230</v>
      </c>
      <c r="W315" s="125" t="n">
        <v>1266</v>
      </c>
      <c r="Y315">
        <f>SQRT((((VLOOKUP($X$4,$A$4:$D$1021,4,FALSE))-D315)^2)+(((VLOOKUP($X$4,$A$4:$E$1021,5,FALSE))-E315)^2))</f>
        <v/>
      </c>
    </row>
    <row r="316">
      <c r="A316" s="125" t="inlineStr">
        <is>
          <t>W36X170</t>
        </is>
      </c>
      <c r="B316" s="129" t="inlineStr">
        <is>
          <t>AISC</t>
        </is>
      </c>
      <c r="C316" s="125" t="n">
        <v>253.4</v>
      </c>
      <c r="D316" s="125" t="n">
        <v>918.4</v>
      </c>
      <c r="E316" s="125" t="n">
        <v>305.5</v>
      </c>
      <c r="F316" s="125" t="n">
        <v>27.9</v>
      </c>
      <c r="G316" s="125" t="n">
        <v>17.3</v>
      </c>
      <c r="H316" s="125" t="n">
        <v>19.1</v>
      </c>
      <c r="I316" s="125" t="n">
        <v>824.4</v>
      </c>
      <c r="J316" s="125" t="n">
        <v>323</v>
      </c>
      <c r="K316" s="125" t="n">
        <v>5.47</v>
      </c>
      <c r="L316" s="125" t="n">
        <v>47.7</v>
      </c>
      <c r="M316" s="125" t="n">
        <v>2.99</v>
      </c>
      <c r="N316" s="125" t="n">
        <v>436300</v>
      </c>
      <c r="O316" s="125" t="n">
        <v>13300</v>
      </c>
      <c r="P316" s="125" t="n">
        <v>36.8</v>
      </c>
      <c r="Q316" s="125" t="n">
        <v>6.42</v>
      </c>
      <c r="R316" s="125" t="n">
        <v>9501</v>
      </c>
      <c r="S316" s="125" t="n">
        <v>871</v>
      </c>
      <c r="T316" s="125">
        <f>(((E316*D316*D316)/4)-(((E316-G316)*(D316-F316-F316)*(D316-F316-F316))/4)+(4*(H316*H316*(D316/2-F316-(H316/2))-((PI()*H316*H316)/4*((D316/2)-F316-(H316-((4*H316)/(3*PI()))))))))/1000</f>
        <v/>
      </c>
      <c r="U316" s="125">
        <f>(((D316*E316*E316)/4)-(2*((D316-F316-F316)*(E316/2-(G316/2))*(((E316/2-(G316/2))/2)+(G316/2))))+(4*(((H316*H316)-(((PI()*H316*H316)/4)))*((H316-((4*H316)/(3*PI())))+(G316/2)))))/1000</f>
        <v/>
      </c>
      <c r="V316" s="125" t="n">
        <v>10940</v>
      </c>
      <c r="W316" s="125" t="n">
        <v>1371</v>
      </c>
      <c r="Y316">
        <f>SQRT((((VLOOKUP($X$4,$A$4:$D$1021,4,FALSE))-D316)^2)+(((VLOOKUP($X$4,$A$4:$E$1021,5,FALSE))-E316)^2))</f>
        <v/>
      </c>
    </row>
    <row r="317">
      <c r="A317" s="125" t="inlineStr">
        <is>
          <t>W36X182</t>
        </is>
      </c>
      <c r="B317" s="129" t="inlineStr">
        <is>
          <t>AISC</t>
        </is>
      </c>
      <c r="C317" s="125" t="n">
        <v>270.8</v>
      </c>
      <c r="D317" s="125" t="n">
        <v>922.8</v>
      </c>
      <c r="E317" s="125" t="n">
        <v>306.7</v>
      </c>
      <c r="F317" s="125" t="n">
        <v>30</v>
      </c>
      <c r="G317" s="125" t="n">
        <v>18.4</v>
      </c>
      <c r="H317" s="125" t="n">
        <v>19</v>
      </c>
      <c r="I317" s="125" t="n">
        <v>824.9</v>
      </c>
      <c r="J317" s="125" t="n">
        <v>346</v>
      </c>
      <c r="K317" s="125" t="n">
        <v>5.12</v>
      </c>
      <c r="L317" s="125" t="n">
        <v>44.8</v>
      </c>
      <c r="M317" s="125" t="n">
        <v>3</v>
      </c>
      <c r="N317" s="125" t="n">
        <v>470700</v>
      </c>
      <c r="O317" s="125" t="n">
        <v>14460</v>
      </c>
      <c r="P317" s="125" t="n">
        <v>36.9</v>
      </c>
      <c r="Q317" s="125" t="n">
        <v>6.47</v>
      </c>
      <c r="R317" s="125" t="n">
        <v>10200</v>
      </c>
      <c r="S317" s="125" t="n">
        <v>943</v>
      </c>
      <c r="T317" s="125">
        <f>(((E317*D317*D317)/4)-(((E317-G317)*(D317-F317-F317)*(D317-F317-F317))/4)+(4*(H317*H317*(D317/2-F317-(H317/2))-((PI()*H317*H317)/4*((D317/2)-F317-(H317-((4*H317)/(3*PI()))))))))/1000</f>
        <v/>
      </c>
      <c r="U317" s="125">
        <f>(((D317*E317*E317)/4)-(2*((D317-F317-F317)*(E317/2-(G317/2))*(((E317/2-(G317/2))/2)+(G317/2))))+(4*(((H317*H317)-(((PI()*H317*H317)/4)))*((H317-((4*H317)/(3*PI())))+(G317/2)))))/1000</f>
        <v/>
      </c>
      <c r="V317" s="125" t="n">
        <v>11770</v>
      </c>
      <c r="W317" s="125" t="n">
        <v>1487</v>
      </c>
      <c r="Y317">
        <f>SQRT((((VLOOKUP($X$4,$A$4:$D$1021,4,FALSE))-D317)^2)+(((VLOOKUP($X$4,$A$4:$E$1021,5,FALSE))-E317)^2))</f>
        <v/>
      </c>
    </row>
    <row r="318">
      <c r="A318" s="125" t="inlineStr">
        <is>
          <t>W36X194</t>
        </is>
      </c>
      <c r="B318" s="129" t="inlineStr">
        <is>
          <t>AISC</t>
        </is>
      </c>
      <c r="C318" s="125" t="n">
        <v>289.1</v>
      </c>
      <c r="D318" s="125" t="n">
        <v>926.6</v>
      </c>
      <c r="E318" s="125" t="n">
        <v>307.7</v>
      </c>
      <c r="F318" s="125" t="n">
        <v>32</v>
      </c>
      <c r="G318" s="125" t="n">
        <v>19.5</v>
      </c>
      <c r="H318" s="125" t="n">
        <v>19.1</v>
      </c>
      <c r="I318" s="125" t="n">
        <v>824.4</v>
      </c>
      <c r="J318" s="125" t="n">
        <v>368</v>
      </c>
      <c r="K318" s="125" t="n">
        <v>4.81</v>
      </c>
      <c r="L318" s="125" t="n">
        <v>42.3</v>
      </c>
      <c r="M318" s="125" t="n">
        <v>3.01</v>
      </c>
      <c r="N318" s="125" t="n">
        <v>504200</v>
      </c>
      <c r="O318" s="125" t="n">
        <v>15600</v>
      </c>
      <c r="P318" s="125" t="n">
        <v>37</v>
      </c>
      <c r="Q318" s="125" t="n">
        <v>6.51</v>
      </c>
      <c r="R318" s="125" t="n">
        <v>10880</v>
      </c>
      <c r="S318" s="125" t="n">
        <v>1014</v>
      </c>
      <c r="T318" s="125">
        <f>(((E318*D318*D318)/4)-(((E318-G318)*(D318-F318-F318)*(D318-F318-F318))/4)+(4*(H318*H318*(D318/2-F318-(H318/2))-((PI()*H318*H318)/4*((D318/2)-F318-(H318-((4*H318)/(3*PI()))))))))/1000</f>
        <v/>
      </c>
      <c r="U318" s="125">
        <f>(((D318*E318*E318)/4)-(2*((D318-F318-F318)*(E318/2-(G318/2))*(((E318/2-(G318/2))/2)+(G318/2))))+(4*(((H318*H318)-(((PI()*H318*H318)/4)))*((H318-((4*H318)/(3*PI())))+(G318/2)))))/1000</f>
        <v/>
      </c>
      <c r="V318" s="125" t="n">
        <v>12570</v>
      </c>
      <c r="W318" s="125" t="n">
        <v>1601</v>
      </c>
      <c r="Y318">
        <f>SQRT((((VLOOKUP($X$4,$A$4:$D$1021,4,FALSE))-D318)^2)+(((VLOOKUP($X$4,$A$4:$E$1021,5,FALSE))-E318)^2))</f>
        <v/>
      </c>
    </row>
    <row r="319">
      <c r="A319" s="125" t="inlineStr">
        <is>
          <t>W36X210</t>
        </is>
      </c>
      <c r="B319" s="129" t="inlineStr">
        <is>
          <t>AISC</t>
        </is>
      </c>
      <c r="C319" s="125" t="n">
        <v>312.5</v>
      </c>
      <c r="D319" s="125" t="n">
        <v>931.9</v>
      </c>
      <c r="E319" s="125" t="n">
        <v>309.4</v>
      </c>
      <c r="F319" s="125" t="n">
        <v>34.5</v>
      </c>
      <c r="G319" s="125" t="n">
        <v>21.1</v>
      </c>
      <c r="H319" s="125" t="n">
        <v>19</v>
      </c>
      <c r="I319" s="125" t="n">
        <v>824.8</v>
      </c>
      <c r="J319" s="125" t="n">
        <v>399</v>
      </c>
      <c r="K319" s="125" t="n">
        <v>4.48</v>
      </c>
      <c r="L319" s="125" t="n">
        <v>39.1</v>
      </c>
      <c r="M319" s="125" t="n">
        <v>3.03</v>
      </c>
      <c r="N319" s="125" t="n">
        <v>549000</v>
      </c>
      <c r="O319" s="125" t="n">
        <v>17130</v>
      </c>
      <c r="P319" s="125" t="n">
        <v>37.1</v>
      </c>
      <c r="Q319" s="125" t="n">
        <v>6.55</v>
      </c>
      <c r="R319" s="125" t="n">
        <v>11780</v>
      </c>
      <c r="S319" s="125" t="n">
        <v>1107</v>
      </c>
      <c r="T319" s="125">
        <f>(((E319*D319*D319)/4)-(((E319-G319)*(D319-F319-F319)*(D319-F319-F319))/4)+(4*(H319*H319*(D319/2-F319-(H319/2))-((PI()*H319*H319)/4*((D319/2)-F319-(H319-((4*H319)/(3*PI()))))))))/1000</f>
        <v/>
      </c>
      <c r="U319" s="125">
        <f>(((D319*E319*E319)/4)-(2*((D319-F319-F319)*(E319/2-(G319/2))*(((E319/2-(G319/2))/2)+(G319/2))))+(4*(((H319*H319)-(((PI()*H319*H319)/4)))*((H319-((4*H319)/(3*PI())))+(G319/2)))))/1000</f>
        <v/>
      </c>
      <c r="V319" s="125" t="n">
        <v>13650</v>
      </c>
      <c r="W319" s="125" t="n">
        <v>1754</v>
      </c>
      <c r="Y319">
        <f>SQRT((((VLOOKUP($X$4,$A$4:$D$1021,4,FALSE))-D319)^2)+(((VLOOKUP($X$4,$A$4:$E$1021,5,FALSE))-E319)^2))</f>
        <v/>
      </c>
    </row>
    <row r="320">
      <c r="A320" s="125" t="inlineStr">
        <is>
          <t>W36X232</t>
        </is>
      </c>
      <c r="B320" s="129" t="inlineStr">
        <is>
          <t>AISC</t>
        </is>
      </c>
      <c r="C320" s="125" t="n">
        <v>345</v>
      </c>
      <c r="D320" s="125" t="n">
        <v>942.9</v>
      </c>
      <c r="E320" s="125" t="n">
        <v>307.8</v>
      </c>
      <c r="F320" s="125" t="n">
        <v>39.9</v>
      </c>
      <c r="G320" s="125" t="n">
        <v>22.1</v>
      </c>
      <c r="H320" s="125" t="n">
        <v>19.1</v>
      </c>
      <c r="I320" s="125" t="n">
        <v>824.9</v>
      </c>
      <c r="J320" s="125" t="n">
        <v>440</v>
      </c>
      <c r="K320" s="125" t="n">
        <v>3.86</v>
      </c>
      <c r="L320" s="125" t="n">
        <v>37.3</v>
      </c>
      <c r="M320" s="125" t="n">
        <v>3.04</v>
      </c>
      <c r="N320" s="125" t="n">
        <v>625200</v>
      </c>
      <c r="O320" s="125" t="n">
        <v>19480</v>
      </c>
      <c r="P320" s="125" t="n">
        <v>37.7</v>
      </c>
      <c r="Q320" s="125" t="n">
        <v>6.66</v>
      </c>
      <c r="R320" s="125" t="n">
        <v>13260</v>
      </c>
      <c r="S320" s="125" t="n">
        <v>1266</v>
      </c>
      <c r="T320" s="125">
        <f>(((E320*D320*D320)/4)-(((E320-G320)*(D320-F320-F320)*(D320-F320-F320))/4)+(4*(H320*H320*(D320/2-F320-(H320/2))-((PI()*H320*H320)/4*((D320/2)-F320-(H320-((4*H320)/(3*PI()))))))))/1000</f>
        <v/>
      </c>
      <c r="U320" s="125">
        <f>(((D320*E320*E320)/4)-(2*((D320-F320-F320)*(E320/2-(G320/2))*(((E320/2-(G320/2))/2)+(G320/2))))+(4*(((H320*H320)-(((PI()*H320*H320)/4)))*((H320-((4*H320)/(3*PI())))+(G320/2)))))/1000</f>
        <v/>
      </c>
      <c r="V320" s="125" t="n">
        <v>15340</v>
      </c>
      <c r="W320" s="125" t="n">
        <v>2000</v>
      </c>
      <c r="Y320">
        <f>SQRT((((VLOOKUP($X$4,$A$4:$D$1021,4,FALSE))-D320)^2)+(((VLOOKUP($X$4,$A$4:$E$1021,5,FALSE))-E320)^2))</f>
        <v/>
      </c>
    </row>
    <row r="321">
      <c r="A321" s="125" t="inlineStr">
        <is>
          <t>W36X256</t>
        </is>
      </c>
      <c r="B321" s="129" t="inlineStr">
        <is>
          <t>AISC</t>
        </is>
      </c>
      <c r="C321" s="125" t="n">
        <v>381</v>
      </c>
      <c r="D321" s="125" t="n">
        <v>950.7</v>
      </c>
      <c r="E321" s="125" t="n">
        <v>310.3</v>
      </c>
      <c r="F321" s="125" t="n">
        <v>43.9</v>
      </c>
      <c r="G321" s="125" t="n">
        <v>24.4</v>
      </c>
      <c r="H321" s="125" t="n">
        <v>19.1</v>
      </c>
      <c r="I321" s="125" t="n">
        <v>824.7</v>
      </c>
      <c r="J321" s="125" t="n">
        <v>486</v>
      </c>
      <c r="K321" s="125" t="n">
        <v>3.53</v>
      </c>
      <c r="L321" s="125" t="n">
        <v>33.8</v>
      </c>
      <c r="M321" s="125" t="n">
        <v>3.06</v>
      </c>
      <c r="N321" s="125" t="n">
        <v>696900</v>
      </c>
      <c r="O321" s="125" t="n">
        <v>21980</v>
      </c>
      <c r="P321" s="125" t="n">
        <v>37.9</v>
      </c>
      <c r="Q321" s="125" t="n">
        <v>6.72</v>
      </c>
      <c r="R321" s="125" t="n">
        <v>14660</v>
      </c>
      <c r="S321" s="125" t="n">
        <v>1416</v>
      </c>
      <c r="T321" s="125">
        <f>(((E321*D321*D321)/4)-(((E321-G321)*(D321-F321-F321)*(D321-F321-F321))/4)+(4*(H321*H321*(D321/2-F321-(H321/2))-((PI()*H321*H321)/4*((D321/2)-F321-(H321-((4*H321)/(3*PI()))))))))/1000</f>
        <v/>
      </c>
      <c r="U321" s="125">
        <f>(((D321*E321*E321)/4)-(2*((D321-F321-F321)*(E321/2-(G321/2))*(((E321/2-(G321/2))/2)+(G321/2))))+(4*(((H321*H321)-(((PI()*H321*H321)/4)))*((H321-((4*H321)/(3*PI())))+(G321/2)))))/1000</f>
        <v/>
      </c>
      <c r="V321" s="125" t="n">
        <v>17030</v>
      </c>
      <c r="W321" s="125" t="n">
        <v>2247</v>
      </c>
      <c r="Y321">
        <f>SQRT((((VLOOKUP($X$4,$A$4:$D$1021,4,FALSE))-D321)^2)+(((VLOOKUP($X$4,$A$4:$E$1021,5,FALSE))-E321)^2))</f>
        <v/>
      </c>
    </row>
    <row r="322">
      <c r="A322" s="125" t="inlineStr">
        <is>
          <t>W36X286</t>
        </is>
      </c>
      <c r="B322" s="129" t="inlineStr">
        <is>
          <t>AISC</t>
        </is>
      </c>
      <c r="C322" s="125" t="n">
        <v>426</v>
      </c>
      <c r="D322" s="125" t="n">
        <v>960.9</v>
      </c>
      <c r="E322" s="125" t="n">
        <v>312.8</v>
      </c>
      <c r="F322" s="125" t="n">
        <v>48</v>
      </c>
      <c r="G322" s="125" t="n">
        <v>26.9</v>
      </c>
      <c r="H322" s="125" t="n">
        <v>19.1</v>
      </c>
      <c r="I322" s="125" t="n">
        <v>826.7</v>
      </c>
      <c r="J322" s="125" t="n">
        <v>536</v>
      </c>
      <c r="K322" s="125" t="n">
        <v>3.26</v>
      </c>
      <c r="L322" s="125" t="n">
        <v>30.7</v>
      </c>
      <c r="M322" s="125" t="n">
        <v>3.09</v>
      </c>
      <c r="N322" s="125" t="n">
        <v>777000</v>
      </c>
      <c r="O322" s="125" t="n">
        <v>24640</v>
      </c>
      <c r="P322" s="125" t="n">
        <v>38.1</v>
      </c>
      <c r="Q322" s="125" t="n">
        <v>6.78</v>
      </c>
      <c r="R322" s="125" t="n">
        <v>16170</v>
      </c>
      <c r="S322" s="125" t="n">
        <v>1575</v>
      </c>
      <c r="T322" s="125">
        <f>(((E322*D322*D322)/4)-(((E322-G322)*(D322-F322-F322)*(D322-F322-F322))/4)+(4*(H322*H322*(D322/2-F322-(H322/2))-((PI()*H322*H322)/4*((D322/2)-F322-(H322-((4*H322)/(3*PI()))))))))/1000</f>
        <v/>
      </c>
      <c r="U322" s="125">
        <f>(((D322*E322*E322)/4)-(2*((D322-F322-F322)*(E322/2-(G322/2))*(((E322/2-(G322/2))/2)+(G322/2))))+(4*(((H322*H322)-(((PI()*H322*H322)/4)))*((H322-((4*H322)/(3*PI())))+(G322/2)))))/1000</f>
        <v/>
      </c>
      <c r="V322" s="125" t="n">
        <v>18870</v>
      </c>
      <c r="W322" s="125" t="n">
        <v>2510</v>
      </c>
      <c r="Y322">
        <f>SQRT((((VLOOKUP($X$4,$A$4:$D$1021,4,FALSE))-D322)^2)+(((VLOOKUP($X$4,$A$4:$E$1021,5,FALSE))-E322)^2))</f>
        <v/>
      </c>
    </row>
    <row r="323">
      <c r="A323" s="125" t="inlineStr">
        <is>
          <t>W36X318</t>
        </is>
      </c>
      <c r="B323" s="129" t="inlineStr">
        <is>
          <t>AISC</t>
        </is>
      </c>
      <c r="C323" s="125" t="n">
        <v>474</v>
      </c>
      <c r="D323" s="125" t="n">
        <v>970.8</v>
      </c>
      <c r="E323" s="125" t="n">
        <v>315.7</v>
      </c>
      <c r="F323" s="125" t="n">
        <v>54.1</v>
      </c>
      <c r="G323" s="125" t="n">
        <v>29.9</v>
      </c>
      <c r="H323" s="125" t="n">
        <v>19.1</v>
      </c>
      <c r="I323" s="125" t="n">
        <v>824.4</v>
      </c>
      <c r="J323" s="125" t="n">
        <v>603</v>
      </c>
      <c r="K323" s="125" t="n">
        <v>2.92</v>
      </c>
      <c r="L323" s="125" t="n">
        <v>27.6</v>
      </c>
      <c r="M323" s="125" t="n">
        <v>3.11</v>
      </c>
      <c r="N323" s="125" t="n">
        <v>884100</v>
      </c>
      <c r="O323" s="125" t="n">
        <v>28580</v>
      </c>
      <c r="P323" s="125" t="n">
        <v>38.3</v>
      </c>
      <c r="Q323" s="125" t="n">
        <v>6.89</v>
      </c>
      <c r="R323" s="125" t="n">
        <v>18210</v>
      </c>
      <c r="S323" s="125" t="n">
        <v>1810</v>
      </c>
      <c r="T323" s="125">
        <f>(((E323*D323*D323)/4)-(((E323-G323)*(D323-F323-F323)*(D323-F323-F323))/4)+(4*(H323*H323*(D323/2-F323-(H323/2))-((PI()*H323*H323)/4*((D323/2)-F323-(H323-((4*H323)/(3*PI()))))))))/1000</f>
        <v/>
      </c>
      <c r="U323" s="125">
        <f>(((D323*E323*E323)/4)-(2*((D323-F323-F323)*(E323/2-(G323/2))*(((E323/2-(G323/2))/2)+(G323/2))))+(4*(((H323*H323)-(((PI()*H323*H323)/4)))*((H323-((4*H323)/(3*PI())))+(G323/2)))))/1000</f>
        <v/>
      </c>
      <c r="V323" s="125" t="n">
        <v>21350</v>
      </c>
      <c r="W323" s="125" t="n">
        <v>2895</v>
      </c>
      <c r="Y323">
        <f>SQRT((((VLOOKUP($X$4,$A$4:$D$1021,4,FALSE))-D323)^2)+(((VLOOKUP($X$4,$A$4:$E$1021,5,FALSE))-E323)^2))</f>
        <v/>
      </c>
    </row>
    <row r="324">
      <c r="A324" s="125" t="inlineStr">
        <is>
          <t>W36X350</t>
        </is>
      </c>
      <c r="B324" s="129" t="inlineStr">
        <is>
          <t>AISC</t>
        </is>
      </c>
      <c r="C324" s="125" t="n">
        <v>521</v>
      </c>
      <c r="D324" s="125" t="n">
        <v>980.7</v>
      </c>
      <c r="E324" s="125" t="n">
        <v>318.8</v>
      </c>
      <c r="F324" s="125" t="n">
        <v>58.9</v>
      </c>
      <c r="G324" s="125" t="n">
        <v>33</v>
      </c>
      <c r="H324" s="125" t="n">
        <v>19.1</v>
      </c>
      <c r="I324" s="125" t="n">
        <v>824.7</v>
      </c>
      <c r="J324" s="125" t="n">
        <v>663</v>
      </c>
      <c r="K324" s="125" t="n">
        <v>2.71</v>
      </c>
      <c r="L324" s="125" t="n">
        <v>25</v>
      </c>
      <c r="M324" s="125" t="n">
        <v>3.14</v>
      </c>
      <c r="N324" s="125" t="n">
        <v>981300</v>
      </c>
      <c r="O324" s="125" t="n">
        <v>32080</v>
      </c>
      <c r="P324" s="125" t="n">
        <v>38.5</v>
      </c>
      <c r="Q324" s="125" t="n">
        <v>6.95</v>
      </c>
      <c r="R324" s="125" t="n">
        <v>20010</v>
      </c>
      <c r="S324" s="125" t="n">
        <v>2013</v>
      </c>
      <c r="T324" s="125">
        <f>(((E324*D324*D324)/4)-(((E324-G324)*(D324-F324-F324)*(D324-F324-F324))/4)+(4*(H324*H324*(D324/2-F324-(H324/2))-((PI()*H324*H324)/4*((D324/2)-F324-(H324-((4*H324)/(3*PI()))))))))/1000</f>
        <v/>
      </c>
      <c r="U324" s="125">
        <f>(((D324*E324*E324)/4)-(2*((D324-F324-F324)*(E324/2-(G324/2))*(((E324/2-(G324/2))/2)+(G324/2))))+(4*(((H324*H324)-(((PI()*H324*H324)/4)))*((H324-((4*H324)/(3*PI())))+(G324/2)))))/1000</f>
        <v/>
      </c>
      <c r="V324" s="125" t="n">
        <v>23590</v>
      </c>
      <c r="W324" s="125" t="n">
        <v>3235</v>
      </c>
      <c r="Y324">
        <f>SQRT((((VLOOKUP($X$4,$A$4:$D$1021,4,FALSE))-D324)^2)+(((VLOOKUP($X$4,$A$4:$E$1021,5,FALSE))-E324)^2))</f>
        <v/>
      </c>
    </row>
    <row r="325">
      <c r="A325" s="125" t="inlineStr">
        <is>
          <t>W36X387</t>
        </is>
      </c>
      <c r="B325" s="129" t="inlineStr">
        <is>
          <t>AISC</t>
        </is>
      </c>
      <c r="C325" s="125" t="n">
        <v>576</v>
      </c>
      <c r="D325" s="125" t="n">
        <v>992.9</v>
      </c>
      <c r="E325" s="125" t="n">
        <v>321.8</v>
      </c>
      <c r="F325" s="125" t="n">
        <v>65</v>
      </c>
      <c r="G325" s="125" t="n">
        <v>36.1</v>
      </c>
      <c r="H325" s="125" t="n">
        <v>19.1</v>
      </c>
      <c r="I325" s="125" t="n">
        <v>824.7</v>
      </c>
      <c r="J325" s="125" t="n">
        <v>733</v>
      </c>
      <c r="K325" s="125" t="n">
        <v>2.48</v>
      </c>
      <c r="L325" s="125" t="n">
        <v>22.8</v>
      </c>
      <c r="M325" s="125" t="n">
        <v>3.17</v>
      </c>
      <c r="N325" s="125" t="n">
        <v>110100</v>
      </c>
      <c r="O325" s="125" t="n">
        <v>36460</v>
      </c>
      <c r="P325" s="125" t="n">
        <v>38.8</v>
      </c>
      <c r="Q325" s="125" t="n">
        <v>7.05</v>
      </c>
      <c r="R325" s="125" t="n">
        <v>22180</v>
      </c>
      <c r="S325" s="125" t="n">
        <v>2266</v>
      </c>
      <c r="T325" s="125">
        <f>(((E325*D325*D325)/4)-(((E325-G325)*(D325-F325-F325)*(D325-F325-F325))/4)+(4*(H325*H325*(D325/2-F325-(H325/2))-((PI()*H325*H325)/4*((D325/2)-F325-(H325-((4*H325)/(3*PI()))))))))/1000</f>
        <v/>
      </c>
      <c r="U325" s="125">
        <f>(((D325*E325*E325)/4)-(2*((D325-F325-F325)*(E325/2-(G325/2))*(((E325/2-(G325/2))/2)+(G325/2))))+(4*(((H325*H325)-(((PI()*H325*H325)/4)))*((H325-((4*H325)/(3*PI())))+(G325/2)))))/1000</f>
        <v/>
      </c>
      <c r="V325" s="125" t="n">
        <v>26260</v>
      </c>
      <c r="W325" s="125" t="n">
        <v>3654</v>
      </c>
      <c r="Y325">
        <f>SQRT((((VLOOKUP($X$4,$A$4:$D$1021,4,FALSE))-D325)^2)+(((VLOOKUP($X$4,$A$4:$E$1021,5,FALSE))-E325)^2))</f>
        <v/>
      </c>
    </row>
    <row r="326">
      <c r="A326" s="125" t="inlineStr">
        <is>
          <t>W36X230</t>
        </is>
      </c>
      <c r="B326" s="129" t="inlineStr">
        <is>
          <t>AISC</t>
        </is>
      </c>
      <c r="C326" s="125" t="n">
        <v>343.3</v>
      </c>
      <c r="D326" s="125" t="n">
        <v>911.8</v>
      </c>
      <c r="E326" s="125" t="n">
        <v>418.5</v>
      </c>
      <c r="F326" s="125" t="n">
        <v>32</v>
      </c>
      <c r="G326" s="125" t="n">
        <v>19.4</v>
      </c>
      <c r="H326" s="125" t="n">
        <v>24.1</v>
      </c>
      <c r="I326" s="125" t="n">
        <v>799.6</v>
      </c>
      <c r="J326" s="125" t="n">
        <v>437</v>
      </c>
      <c r="K326" s="125" t="n">
        <v>6.54</v>
      </c>
      <c r="L326" s="125" t="n">
        <v>41.2</v>
      </c>
      <c r="M326" s="125" t="n">
        <v>3.42</v>
      </c>
      <c r="N326" s="125" t="n">
        <v>625800</v>
      </c>
      <c r="O326" s="125" t="n">
        <v>39160</v>
      </c>
      <c r="P326" s="125" t="n">
        <v>37.8</v>
      </c>
      <c r="Q326" s="125" t="n">
        <v>9.460000000000001</v>
      </c>
      <c r="R326" s="125" t="n">
        <v>13730</v>
      </c>
      <c r="S326" s="125" t="n">
        <v>1871</v>
      </c>
      <c r="T326" s="125">
        <f>(((E326*D326*D326)/4)-(((E326-G326)*(D326-F326-F326)*(D326-F326-F326))/4)+(4*(H326*H326*(D326/2-F326-(H326/2))-((PI()*H326*H326)/4*((D326/2)-F326-(H326-((4*H326)/(3*PI()))))))))/1000</f>
        <v/>
      </c>
      <c r="U326" s="125">
        <f>(((D326*E326*E326)/4)-(2*((D326-F326-F326)*(E326/2-(G326/2))*(((E326/2-(G326/2))/2)+(G326/2))))+(4*(((H326*H326)-(((PI()*H326*H326)/4)))*((H326-((4*H326)/(3*PI())))+(G326/2)))))/1000</f>
        <v/>
      </c>
      <c r="V326" s="125" t="n">
        <v>15480</v>
      </c>
      <c r="W326" s="125" t="n">
        <v>2890</v>
      </c>
      <c r="Y326">
        <f>SQRT((((VLOOKUP($X$4,$A$4:$D$1021,4,FALSE))-D326)^2)+(((VLOOKUP($X$4,$A$4:$E$1021,5,FALSE))-E326)^2))</f>
        <v/>
      </c>
    </row>
    <row r="327">
      <c r="A327" s="125" t="inlineStr">
        <is>
          <t>W36X245</t>
        </is>
      </c>
      <c r="B327" s="129" t="inlineStr">
        <is>
          <t>AISC</t>
        </is>
      </c>
      <c r="C327" s="125" t="n">
        <v>364.6</v>
      </c>
      <c r="D327" s="125" t="n">
        <v>916.4</v>
      </c>
      <c r="E327" s="125" t="n">
        <v>419.4</v>
      </c>
      <c r="F327" s="125" t="n">
        <v>34.3</v>
      </c>
      <c r="G327" s="125" t="n">
        <v>20.3</v>
      </c>
      <c r="H327" s="125" t="n">
        <v>24.1</v>
      </c>
      <c r="I327" s="125" t="n">
        <v>799.6</v>
      </c>
      <c r="J327" s="125" t="n">
        <v>465</v>
      </c>
      <c r="K327" s="125" t="n">
        <v>6.12</v>
      </c>
      <c r="L327" s="125" t="n">
        <v>39.4</v>
      </c>
      <c r="M327" s="125" t="n">
        <v>3.43</v>
      </c>
      <c r="N327" s="125" t="n">
        <v>671700</v>
      </c>
      <c r="O327" s="125" t="n">
        <v>42240</v>
      </c>
      <c r="P327" s="125" t="n">
        <v>38</v>
      </c>
      <c r="Q327" s="125" t="n">
        <v>9.529999999999999</v>
      </c>
      <c r="R327" s="125" t="n">
        <v>14660</v>
      </c>
      <c r="S327" s="125" t="n">
        <v>2014</v>
      </c>
      <c r="T327" s="125">
        <f>(((E327*D327*D327)/4)-(((E327-G327)*(D327-F327-F327)*(D327-F327-F327))/4)+(4*(H327*H327*(D327/2-F327-(H327/2))-((PI()*H327*H327)/4*((D327/2)-F327-(H327-((4*H327)/(3*PI()))))))))/1000</f>
        <v/>
      </c>
      <c r="U327" s="125">
        <f>(((D327*E327*E327)/4)-(2*((D327-F327-F327)*(E327/2-(G327/2))*(((E327/2-(G327/2))/2)+(G327/2))))+(4*(((H327*H327)-(((PI()*H327*H327)/4)))*((H327-((4*H327)/(3*PI())))+(G327/2)))))/1000</f>
        <v/>
      </c>
      <c r="V327" s="125" t="n">
        <v>16550</v>
      </c>
      <c r="W327" s="125" t="n">
        <v>3111</v>
      </c>
      <c r="Y327">
        <f>SQRT((((VLOOKUP($X$4,$A$4:$D$1021,4,FALSE))-D327)^2)+(((VLOOKUP($X$4,$A$4:$E$1021,5,FALSE))-E327)^2))</f>
        <v/>
      </c>
    </row>
    <row r="328">
      <c r="A328" s="125" t="inlineStr">
        <is>
          <t>W36X260</t>
        </is>
      </c>
      <c r="B328" s="129" t="inlineStr">
        <is>
          <t>AISC</t>
        </is>
      </c>
      <c r="C328" s="125" t="n">
        <v>388</v>
      </c>
      <c r="D328" s="125" t="n">
        <v>921</v>
      </c>
      <c r="E328" s="125" t="n">
        <v>420.5</v>
      </c>
      <c r="F328" s="125" t="n">
        <v>36.6</v>
      </c>
      <c r="G328" s="125" t="n">
        <v>21.4</v>
      </c>
      <c r="H328" s="125" t="n">
        <v>24.1</v>
      </c>
      <c r="I328" s="125" t="n">
        <v>799.6</v>
      </c>
      <c r="J328" s="125" t="n">
        <v>494</v>
      </c>
      <c r="K328" s="125" t="n">
        <v>5.74</v>
      </c>
      <c r="L328" s="125" t="n">
        <v>37.4</v>
      </c>
      <c r="M328" s="125" t="n">
        <v>3.44</v>
      </c>
      <c r="N328" s="125" t="n">
        <v>719600</v>
      </c>
      <c r="O328" s="125" t="n">
        <v>45440</v>
      </c>
      <c r="P328" s="125" t="n">
        <v>38.2</v>
      </c>
      <c r="Q328" s="125" t="n">
        <v>9.59</v>
      </c>
      <c r="R328" s="125" t="n">
        <v>15630</v>
      </c>
      <c r="S328" s="125" t="n">
        <v>2161</v>
      </c>
      <c r="T328" s="125">
        <f>(((E328*D328*D328)/4)-(((E328-G328)*(D328-F328-F328)*(D328-F328-F328))/4)+(4*(H328*H328*(D328/2-F328-(H328/2))-((PI()*H328*H328)/4*((D328/2)-F328-(H328-((4*H328)/(3*PI()))))))))/1000</f>
        <v/>
      </c>
      <c r="U328" s="125">
        <f>(((D328*E328*E328)/4)-(2*((D328-F328-F328)*(E328/2-(G328/2))*(((E328/2-(G328/2))/2)+(G328/2))))+(4*(((H328*H328)-(((PI()*H328*H328)/4)))*((H328-((4*H328)/(3*PI())))+(G328/2)))))/1000</f>
        <v/>
      </c>
      <c r="V328" s="125" t="n">
        <v>17670</v>
      </c>
      <c r="W328" s="125" t="n">
        <v>3341</v>
      </c>
      <c r="Y328">
        <f>SQRT((((VLOOKUP($X$4,$A$4:$D$1021,4,FALSE))-D328)^2)+(((VLOOKUP($X$4,$A$4:$E$1021,5,FALSE))-E328)^2))</f>
        <v/>
      </c>
    </row>
    <row r="329">
      <c r="A329" s="125" t="inlineStr">
        <is>
          <t>W36X280</t>
        </is>
      </c>
      <c r="B329" s="129" t="inlineStr">
        <is>
          <t>AISC</t>
        </is>
      </c>
      <c r="C329" s="125" t="n">
        <v>416.7</v>
      </c>
      <c r="D329" s="125" t="n">
        <v>927.6</v>
      </c>
      <c r="E329" s="125" t="n">
        <v>421.5</v>
      </c>
      <c r="F329" s="125" t="n">
        <v>39.9</v>
      </c>
      <c r="G329" s="125" t="n">
        <v>22.5</v>
      </c>
      <c r="H329" s="125" t="n">
        <v>24.1</v>
      </c>
      <c r="I329" s="125" t="n">
        <v>799.6</v>
      </c>
      <c r="J329" s="125" t="n">
        <v>532</v>
      </c>
      <c r="K329" s="125" t="n">
        <v>5.28</v>
      </c>
      <c r="L329" s="125" t="n">
        <v>35.6</v>
      </c>
      <c r="M329" s="125" t="n">
        <v>3.45</v>
      </c>
      <c r="N329" s="125" t="n">
        <v>785700</v>
      </c>
      <c r="O329" s="125" t="n">
        <v>49870</v>
      </c>
      <c r="P329" s="125" t="n">
        <v>38.4</v>
      </c>
      <c r="Q329" s="125" t="n">
        <v>9.68</v>
      </c>
      <c r="R329" s="125" t="n">
        <v>16940</v>
      </c>
      <c r="S329" s="125" t="n">
        <v>2366</v>
      </c>
      <c r="T329" s="125">
        <f>(((E329*D329*D329)/4)-(((E329-G329)*(D329-F329-F329)*(D329-F329-F329))/4)+(4*(H329*H329*(D329/2-F329-(H329/2))-((PI()*H329*H329)/4*((D329/2)-F329-(H329-((4*H329)/(3*PI()))))))))/1000</f>
        <v/>
      </c>
      <c r="U329" s="125">
        <f>(((D329*E329*E329)/4)-(2*((D329-F329-F329)*(E329/2-(G329/2))*(((E329/2-(G329/2))/2)+(G329/2))))+(4*(((H329*H329)-(((PI()*H329*H329)/4)))*((H329-((4*H329)/(3*PI())))+(G329/2)))))/1000</f>
        <v/>
      </c>
      <c r="V329" s="125" t="n">
        <v>19170</v>
      </c>
      <c r="W329" s="125" t="n">
        <v>3658</v>
      </c>
      <c r="Y329">
        <f>SQRT((((VLOOKUP($X$4,$A$4:$D$1021,4,FALSE))-D329)^2)+(((VLOOKUP($X$4,$A$4:$E$1021,5,FALSE))-E329)^2))</f>
        <v/>
      </c>
    </row>
    <row r="330">
      <c r="A330" s="125" t="inlineStr">
        <is>
          <t>W36X300</t>
        </is>
      </c>
      <c r="B330" s="129" t="inlineStr">
        <is>
          <t>AISC</t>
        </is>
      </c>
      <c r="C330" s="125" t="n">
        <v>446.4</v>
      </c>
      <c r="D330" s="125" t="n">
        <v>933.2</v>
      </c>
      <c r="E330" s="125" t="n">
        <v>423</v>
      </c>
      <c r="F330" s="125" t="n">
        <v>42.7</v>
      </c>
      <c r="G330" s="125" t="n">
        <v>24</v>
      </c>
      <c r="H330" s="125" t="n">
        <v>24.1</v>
      </c>
      <c r="I330" s="125" t="n">
        <v>799.7</v>
      </c>
      <c r="J330" s="125" t="n">
        <v>569</v>
      </c>
      <c r="K330" s="125" t="n">
        <v>4.96</v>
      </c>
      <c r="L330" s="125" t="n">
        <v>33.3</v>
      </c>
      <c r="M330" s="125" t="n">
        <v>3.47</v>
      </c>
      <c r="N330" s="125" t="n">
        <v>846900</v>
      </c>
      <c r="O330" s="125" t="n">
        <v>53940</v>
      </c>
      <c r="P330" s="125" t="n">
        <v>38.6</v>
      </c>
      <c r="Q330" s="125" t="n">
        <v>9.73</v>
      </c>
      <c r="R330" s="125" t="n">
        <v>18150</v>
      </c>
      <c r="S330" s="125" t="n">
        <v>2550</v>
      </c>
      <c r="T330" s="125">
        <f>(((E330*D330*D330)/4)-(((E330-G330)*(D330-F330-F330)*(D330-F330-F330))/4)+(4*(H330*H330*(D330/2-F330-(H330/2))-((PI()*H330*H330)/4*((D330/2)-F330-(H330-((4*H330)/(3*PI()))))))))/1000</f>
        <v/>
      </c>
      <c r="U330" s="125">
        <f>(((D330*E330*E330)/4)-(2*((D330-F330-F330)*(E330/2-(G330/2))*(((E330/2-(G330/2))/2)+(G330/2))))+(4*(((H330*H330)-(((PI()*H330*H330)/4)))*((H330-((4*H330)/(3*PI())))+(G330/2)))))/1000</f>
        <v/>
      </c>
      <c r="V330" s="125" t="n">
        <v>20600</v>
      </c>
      <c r="W330" s="125" t="n">
        <v>3948</v>
      </c>
      <c r="Y330">
        <f>SQRT((((VLOOKUP($X$4,$A$4:$D$1021,4,FALSE))-D330)^2)+(((VLOOKUP($X$4,$A$4:$E$1021,5,FALSE))-E330)^2))</f>
        <v/>
      </c>
    </row>
    <row r="331">
      <c r="A331" s="125" t="inlineStr">
        <is>
          <t>W36X328</t>
        </is>
      </c>
      <c r="B331" s="129" t="inlineStr">
        <is>
          <t>AISC</t>
        </is>
      </c>
      <c r="C331" s="125" t="n">
        <v>488.1</v>
      </c>
      <c r="D331" s="125" t="n">
        <v>942.1</v>
      </c>
      <c r="E331" s="125" t="n">
        <v>422.4</v>
      </c>
      <c r="F331" s="125" t="n">
        <v>47</v>
      </c>
      <c r="G331" s="125" t="n">
        <v>25.9</v>
      </c>
      <c r="H331" s="125" t="n">
        <v>24.1</v>
      </c>
      <c r="I331" s="125" t="n">
        <v>799.9</v>
      </c>
      <c r="J331" s="125" t="n">
        <v>622</v>
      </c>
      <c r="K331" s="125" t="n">
        <v>4.49</v>
      </c>
      <c r="L331" s="125" t="n">
        <v>30.9</v>
      </c>
      <c r="M331" s="125" t="n">
        <v>3.48</v>
      </c>
      <c r="N331" s="125" t="n">
        <v>936400</v>
      </c>
      <c r="O331" s="125" t="n">
        <v>59170</v>
      </c>
      <c r="P331" s="125" t="n">
        <v>38.8</v>
      </c>
      <c r="Q331" s="125" t="n">
        <v>9.76</v>
      </c>
      <c r="R331" s="125" t="n">
        <v>19880</v>
      </c>
      <c r="S331" s="125" t="n">
        <v>2801</v>
      </c>
      <c r="T331" s="125">
        <f>(((E331*D331*D331)/4)-(((E331-G331)*(D331-F331-F331)*(D331-F331-F331))/4)+(4*(H331*H331*(D331/2-F331-(H331/2))-((PI()*H331*H331)/4*((D331/2)-F331-(H331-((4*H331)/(3*PI()))))))))/1000</f>
        <v/>
      </c>
      <c r="U331" s="125">
        <f>(((D331*E331*E331)/4)-(2*((D331-F331-F331)*(E331/2-(G331/2))*(((E331/2-(G331/2))/2)+(G331/2))))+(4*(((H331*H331)-(((PI()*H331*H331)/4)))*((H331-((4*H331)/(3*PI())))+(G331/2)))))/1000</f>
        <v/>
      </c>
      <c r="V331" s="125" t="n">
        <v>22640</v>
      </c>
      <c r="W331" s="125" t="n">
        <v>4344</v>
      </c>
      <c r="Y331">
        <f>SQRT((((VLOOKUP($X$4,$A$4:$D$1021,4,FALSE))-D331)^2)+(((VLOOKUP($X$4,$A$4:$E$1021,5,FALSE))-E331)^2))</f>
        <v/>
      </c>
    </row>
    <row r="332">
      <c r="A332" s="125" t="inlineStr">
        <is>
          <t>W36X359</t>
        </is>
      </c>
      <c r="B332" s="129" t="inlineStr">
        <is>
          <t>AISC</t>
        </is>
      </c>
      <c r="C332" s="125" t="n">
        <v>534.2</v>
      </c>
      <c r="D332" s="125" t="n">
        <v>950</v>
      </c>
      <c r="E332" s="125" t="n">
        <v>424.9</v>
      </c>
      <c r="F332" s="125" t="n">
        <v>51.1</v>
      </c>
      <c r="G332" s="125" t="n">
        <v>28.5</v>
      </c>
      <c r="H332" s="125" t="n">
        <v>24.1</v>
      </c>
      <c r="I332" s="125" t="n">
        <v>799.7</v>
      </c>
      <c r="J332" s="125" t="n">
        <v>680</v>
      </c>
      <c r="K332" s="125" t="n">
        <v>4.16</v>
      </c>
      <c r="L332" s="125" t="n">
        <v>28.1</v>
      </c>
      <c r="M332" s="125" t="n">
        <v>3.5</v>
      </c>
      <c r="N332" s="125" t="n">
        <v>1031000</v>
      </c>
      <c r="O332" s="125" t="n">
        <v>65450</v>
      </c>
      <c r="P332" s="125" t="n">
        <v>38.9</v>
      </c>
      <c r="Q332" s="125" t="n">
        <v>9.81</v>
      </c>
      <c r="R332" s="125" t="n">
        <v>21700</v>
      </c>
      <c r="S332" s="125" t="n">
        <v>3081</v>
      </c>
      <c r="T332" s="125">
        <f>(((E332*D332*D332)/4)-(((E332-G332)*(D332-F332-F332)*(D332-F332-F332))/4)+(4*(H332*H332*(D332/2-F332-(H332/2))-((PI()*H332*H332)/4*((D332/2)-F332-(H332-((4*H332)/(3*PI()))))))))/1000</f>
        <v/>
      </c>
      <c r="U332" s="125">
        <f>(((D332*E332*E332)/4)-(2*((D332-F332-F332)*(E332/2-(G332/2))*(((E332/2-(G332/2))/2)+(G332/2))))+(4*(((H332*H332)-(((PI()*H332*H332)/4)))*((H332-((4*H332)/(3*PI())))+(G332/2)))))/1000</f>
        <v/>
      </c>
      <c r="V332" s="125" t="n">
        <v>24820</v>
      </c>
      <c r="W332" s="125" t="n">
        <v>4790</v>
      </c>
      <c r="Y332">
        <f>SQRT((((VLOOKUP($X$4,$A$4:$D$1021,4,FALSE))-D332)^2)+(((VLOOKUP($X$4,$A$4:$E$1021,5,FALSE))-E332)^2))</f>
        <v/>
      </c>
    </row>
    <row r="333">
      <c r="A333" s="125" t="inlineStr">
        <is>
          <t>W36X393</t>
        </is>
      </c>
      <c r="B333" s="129" t="inlineStr">
        <is>
          <t>AISC</t>
        </is>
      </c>
      <c r="C333" s="125" t="n">
        <v>584.8</v>
      </c>
      <c r="D333" s="125" t="n">
        <v>960.1</v>
      </c>
      <c r="E333" s="125" t="n">
        <v>427.5</v>
      </c>
      <c r="F333" s="125" t="n">
        <v>55.9</v>
      </c>
      <c r="G333" s="125" t="n">
        <v>31</v>
      </c>
      <c r="H333" s="125" t="n">
        <v>24.1</v>
      </c>
      <c r="I333" s="125" t="n">
        <v>800.1</v>
      </c>
      <c r="J333" s="125" t="n">
        <v>746</v>
      </c>
      <c r="K333" s="125" t="n">
        <v>3.83</v>
      </c>
      <c r="L333" s="125" t="n">
        <v>25.8</v>
      </c>
      <c r="M333" s="125" t="n">
        <v>3.53</v>
      </c>
      <c r="N333" s="125" t="n">
        <v>1144000</v>
      </c>
      <c r="O333" s="125" t="n">
        <v>73000</v>
      </c>
      <c r="P333" s="125" t="n">
        <v>39.2</v>
      </c>
      <c r="Q333" s="125" t="n">
        <v>9.890000000000001</v>
      </c>
      <c r="R333" s="125" t="n">
        <v>23840</v>
      </c>
      <c r="S333" s="125" t="n">
        <v>3415</v>
      </c>
      <c r="T333" s="125">
        <f>(((E333*D333*D333)/4)-(((E333-G333)*(D333-F333-F333)*(D333-F333-F333))/4)+(4*(H333*H333*(D333/2-F333-(H333/2))-((PI()*H333*H333)/4*((D333/2)-F333-(H333-((4*H333)/(3*PI()))))))))/1000</f>
        <v/>
      </c>
      <c r="U333" s="125">
        <f>(((D333*E333*E333)/4)-(2*((D333-F333-F333)*(E333/2-(G333/2))*(((E333/2-(G333/2))/2)+(G333/2))))+(4*(((H333*H333)-(((PI()*H333*H333)/4)))*((H333-((4*H333)/(3*PI())))+(G333/2)))))/1000</f>
        <v/>
      </c>
      <c r="V333" s="125" t="n">
        <v>27390</v>
      </c>
      <c r="W333" s="125" t="n">
        <v>5320</v>
      </c>
      <c r="Y333">
        <f>SQRT((((VLOOKUP($X$4,$A$4:$D$1021,4,FALSE))-D333)^2)+(((VLOOKUP($X$4,$A$4:$E$1021,5,FALSE))-E333)^2))</f>
        <v/>
      </c>
    </row>
    <row r="334">
      <c r="A334" s="125" t="inlineStr">
        <is>
          <t>W36X439</t>
        </is>
      </c>
      <c r="B334" s="129" t="inlineStr">
        <is>
          <t>AISC</t>
        </is>
      </c>
      <c r="C334" s="125" t="n">
        <v>653</v>
      </c>
      <c r="D334" s="125" t="n">
        <v>972</v>
      </c>
      <c r="E334" s="125" t="n">
        <v>431</v>
      </c>
      <c r="F334" s="125" t="n">
        <v>62</v>
      </c>
      <c r="G334" s="125" t="n">
        <v>34.5</v>
      </c>
      <c r="H334" s="125" t="n">
        <v>24</v>
      </c>
      <c r="I334" s="125" t="n">
        <v>800</v>
      </c>
      <c r="J334" s="125" t="n">
        <v>832</v>
      </c>
      <c r="K334" s="125" t="n">
        <v>3.48</v>
      </c>
      <c r="L334" s="125" t="n">
        <v>23.2</v>
      </c>
      <c r="M334" s="125" t="n">
        <v>3.56</v>
      </c>
      <c r="N334" s="125" t="n">
        <v>1292000</v>
      </c>
      <c r="O334" s="125" t="n">
        <v>83050</v>
      </c>
      <c r="P334" s="125" t="n">
        <v>39.4</v>
      </c>
      <c r="Q334" s="125" t="n">
        <v>9.99</v>
      </c>
      <c r="R334" s="125" t="n">
        <v>26950</v>
      </c>
      <c r="S334" s="125" t="n">
        <v>3854</v>
      </c>
      <c r="T334" s="125">
        <f>(((E334*D334*D334)/4)-(((E334-G334)*(D334-F334-F334)*(D334-F334-F334))/4)+(4*(H334*H334*(D334/2-F334-(H334/2))-((PI()*H334*H334)/4*((D334/2)-F334-(H334-((4*H334)/(3*PI()))))))))/1000</f>
        <v/>
      </c>
      <c r="U334" s="125">
        <f>(((D334*E334*E334)/4)-(2*((D334-F334-F334)*(E334/2-(G334/2))*(((E334/2-(G334/2))/2)+(G334/2))))+(4*(((H334*H334)-(((PI()*H334*H334)/4)))*((H334-((4*H334)/(3*PI())))+(G334/2)))))/1000</f>
        <v/>
      </c>
      <c r="V334" s="125" t="n">
        <v>30730</v>
      </c>
      <c r="W334" s="125" t="n">
        <v>6014</v>
      </c>
      <c r="Y334">
        <f>SQRT((((VLOOKUP($X$4,$A$4:$D$1021,4,FALSE))-D334)^2)+(((VLOOKUP($X$4,$A$4:$E$1021,5,FALSE))-E334)^2))</f>
        <v/>
      </c>
    </row>
    <row r="335">
      <c r="A335" s="125" t="inlineStr">
        <is>
          <t>W36X527</t>
        </is>
      </c>
      <c r="B335" s="129" t="inlineStr">
        <is>
          <t>AISC</t>
        </is>
      </c>
      <c r="C335" s="125" t="n">
        <v>784</v>
      </c>
      <c r="D335" s="125" t="n">
        <v>996</v>
      </c>
      <c r="E335" s="125" t="n">
        <v>437</v>
      </c>
      <c r="F335" s="125" t="n">
        <v>73.90000000000001</v>
      </c>
      <c r="G335" s="125" t="n">
        <v>40.9</v>
      </c>
      <c r="H335" s="125" t="n">
        <v>24</v>
      </c>
      <c r="I335" s="125" t="n">
        <v>800.2</v>
      </c>
      <c r="J335" s="125" t="n">
        <v>998</v>
      </c>
      <c r="K335" s="125" t="n">
        <v>2.96</v>
      </c>
      <c r="L335" s="125" t="n">
        <v>19.6</v>
      </c>
      <c r="M335" s="125" t="n">
        <v>3.62</v>
      </c>
      <c r="N335" s="125" t="n">
        <v>1593000</v>
      </c>
      <c r="O335" s="125" t="n">
        <v>103300</v>
      </c>
      <c r="P335" s="125" t="n">
        <v>40</v>
      </c>
      <c r="Q335" s="125" t="n">
        <v>10.2</v>
      </c>
      <c r="R335" s="125" t="n">
        <v>31980</v>
      </c>
      <c r="S335" s="125" t="n">
        <v>4728</v>
      </c>
      <c r="T335" s="125">
        <f>(((E335*D335*D335)/4)-(((E335-G335)*(D335-F335-F335)*(D335-F335-F335))/4)+(4*(H335*H335*(D335/2-F335-(H335/2))-((PI()*H335*H335)/4*((D335/2)-F335-(H335-((4*H335)/(3*PI()))))))))/1000</f>
        <v/>
      </c>
      <c r="U335" s="125">
        <f>(((D335*E335*E335)/4)-(2*((D335-F335-F335)*(E335/2-(G335/2))*(((E335/2-(G335/2))/2)+(G335/2))))+(4*(((H335*H335)-(((PI()*H335*H335)/4)))*((H335-((4*H335)/(3*PI())))+(G335/2)))))/1000</f>
        <v/>
      </c>
      <c r="V335" s="125" t="n">
        <v>37340</v>
      </c>
      <c r="W335" s="125" t="n">
        <v>7439</v>
      </c>
      <c r="Y335">
        <f>SQRT((((VLOOKUP($X$4,$A$4:$D$1021,4,FALSE))-D335)^2)+(((VLOOKUP($X$4,$A$4:$E$1021,5,FALSE))-E335)^2))</f>
        <v/>
      </c>
    </row>
    <row r="336">
      <c r="A336" s="125" t="inlineStr">
        <is>
          <t>W36X650</t>
        </is>
      </c>
      <c r="B336" s="129" t="inlineStr">
        <is>
          <t>AISC</t>
        </is>
      </c>
      <c r="C336" s="125" t="n">
        <v>967</v>
      </c>
      <c r="D336" s="125" t="n">
        <v>1028</v>
      </c>
      <c r="E336" s="125" t="n">
        <v>446</v>
      </c>
      <c r="F336" s="125" t="n">
        <v>89.90000000000001</v>
      </c>
      <c r="G336" s="125" t="n">
        <v>50</v>
      </c>
      <c r="H336" s="125" t="n">
        <v>24</v>
      </c>
      <c r="I336" s="125" t="n">
        <v>800.2</v>
      </c>
      <c r="J336" s="125" t="n">
        <v>1232</v>
      </c>
      <c r="K336" s="125" t="n">
        <v>2.48</v>
      </c>
      <c r="L336" s="125" t="n">
        <v>16</v>
      </c>
      <c r="M336" s="125" t="n">
        <v>3.7</v>
      </c>
      <c r="N336" s="125" t="n">
        <v>2033000</v>
      </c>
      <c r="O336" s="125" t="n">
        <v>133900</v>
      </c>
      <c r="P336" s="125" t="n">
        <v>40.6</v>
      </c>
      <c r="Q336" s="125" t="n">
        <v>10.4</v>
      </c>
      <c r="R336" s="125" t="n">
        <v>39540</v>
      </c>
      <c r="S336" s="125" t="n">
        <v>6003</v>
      </c>
      <c r="T336" s="125">
        <f>(((E336*D336*D336)/4)-(((E336-G336)*(D336-F336-F336)*(D336-F336-F336))/4)+(4*(H336*H336*(D336/2-F336-(H336/2))-((PI()*H336*H336)/4*((D336/2)-F336-(H336-((4*H336)/(3*PI()))))))))/1000</f>
        <v/>
      </c>
      <c r="U336" s="125">
        <f>(((D336*E336*E336)/4)-(2*((D336-F336-F336)*(E336/2-(G336/2))*(((E336/2-(G336/2))/2)+(G336/2))))+(4*(((H336*H336)-(((PI()*H336*H336)/4)))*((H336-((4*H336)/(3*PI())))+(G336/2)))))/1000</f>
        <v/>
      </c>
      <c r="V336" s="125" t="n">
        <v>46810</v>
      </c>
      <c r="W336" s="125" t="n">
        <v>9504</v>
      </c>
      <c r="Y336">
        <f>SQRT((((VLOOKUP($X$4,$A$4:$D$1021,4,FALSE))-D336)^2)+(((VLOOKUP($X$4,$A$4:$E$1021,5,FALSE))-E336)^2))</f>
        <v/>
      </c>
    </row>
    <row r="337">
      <c r="A337" s="125" t="inlineStr">
        <is>
          <t>W40X149</t>
        </is>
      </c>
      <c r="B337" s="129" t="inlineStr">
        <is>
          <t>AISC</t>
        </is>
      </c>
      <c r="C337" s="125" t="n">
        <v>222</v>
      </c>
      <c r="D337" s="125" t="n">
        <v>970.3</v>
      </c>
      <c r="E337" s="125" t="n">
        <v>300</v>
      </c>
      <c r="F337" s="125" t="n">
        <v>21.1</v>
      </c>
      <c r="G337" s="125" t="n">
        <v>16</v>
      </c>
      <c r="H337" s="125" t="n">
        <v>30</v>
      </c>
      <c r="I337" s="125" t="n">
        <v>868.1</v>
      </c>
      <c r="J337" s="125" t="n">
        <v>283</v>
      </c>
      <c r="K337" s="125" t="n">
        <v>7.11</v>
      </c>
      <c r="L337" s="125" t="n">
        <v>54.3</v>
      </c>
      <c r="M337" s="125" t="n">
        <v>3.06</v>
      </c>
      <c r="N337" s="125" t="n">
        <v>408000</v>
      </c>
      <c r="O337" s="125" t="n">
        <v>9553</v>
      </c>
      <c r="P337" s="125" t="n">
        <v>38</v>
      </c>
      <c r="Q337" s="125" t="n">
        <v>5.81</v>
      </c>
      <c r="R337" s="125" t="n">
        <v>8409</v>
      </c>
      <c r="S337" s="125" t="n">
        <v>637</v>
      </c>
      <c r="T337" s="125">
        <f>(((E337*D337*D337)/4)-(((E337-G337)*(D337-F337-F337)*(D337-F337-F337))/4)+(4*(H337*H337*(D337/2-F337-(H337/2))-((PI()*H337*H337)/4*((D337/2)-F337-(H337-((4*H337)/(3*PI()))))))))/1000</f>
        <v/>
      </c>
      <c r="U337" s="125">
        <f>(((D337*E337*E337)/4)-(2*((D337-F337-F337)*(E337/2-(G337/2))*(((E337/2-(G337/2))/2)+(G337/2))))+(4*(((H337*H337)-(((PI()*H337*H337)/4)))*((H337-((4*H337)/(3*PI())))+(G337/2)))))/1000</f>
        <v/>
      </c>
      <c r="V337" s="125" t="n">
        <v>9807</v>
      </c>
      <c r="W337" s="125" t="n">
        <v>1020</v>
      </c>
      <c r="Y337">
        <f>SQRT((((VLOOKUP($X$4,$A$4:$D$1021,4,FALSE))-D337)^2)+(((VLOOKUP($X$4,$A$4:$E$1021,5,FALSE))-E337)^2))</f>
        <v/>
      </c>
    </row>
    <row r="338">
      <c r="A338" s="125" t="inlineStr">
        <is>
          <t>W40X167</t>
        </is>
      </c>
      <c r="B338" s="129" t="inlineStr">
        <is>
          <t>AISC</t>
        </is>
      </c>
      <c r="C338" s="125" t="n">
        <v>249</v>
      </c>
      <c r="D338" s="125" t="n">
        <v>980.2</v>
      </c>
      <c r="E338" s="125" t="n">
        <v>300</v>
      </c>
      <c r="F338" s="125" t="n">
        <v>26</v>
      </c>
      <c r="G338" s="125" t="n">
        <v>16.5</v>
      </c>
      <c r="H338" s="125" t="n">
        <v>30</v>
      </c>
      <c r="I338" s="125" t="n">
        <v>868.2</v>
      </c>
      <c r="J338" s="125" t="n">
        <v>317</v>
      </c>
      <c r="K338" s="125" t="n">
        <v>5.77</v>
      </c>
      <c r="L338" s="125" t="n">
        <v>52.6</v>
      </c>
      <c r="M338" s="125" t="n">
        <v>3.08</v>
      </c>
      <c r="N338" s="125" t="n">
        <v>481300</v>
      </c>
      <c r="O338" s="125" t="n">
        <v>11760</v>
      </c>
      <c r="P338" s="125" t="n">
        <v>39</v>
      </c>
      <c r="Q338" s="125" t="n">
        <v>6.09</v>
      </c>
      <c r="R338" s="125" t="n">
        <v>9821</v>
      </c>
      <c r="S338" s="125" t="n">
        <v>784</v>
      </c>
      <c r="T338" s="125">
        <f>(((E338*D338*D338)/4)-(((E338-G338)*(D338-F338-F338)*(D338-F338-F338))/4)+(4*(H338*H338*(D338/2-F338-(H338/2))-((PI()*H338*H338)/4*((D338/2)-F338-(H338-((4*H338)/(3*PI()))))))))/1000</f>
        <v/>
      </c>
      <c r="U338" s="125">
        <f>(((D338*E338*E338)/4)-(2*((D338-F338-F338)*(E338/2-(G338/2))*(((E338/2-(G338/2))/2)+(G338/2))))+(4*(((H338*H338)-(((PI()*H338*H338)/4)))*((H338-((4*H338)/(3*PI())))+(G338/2)))))/1000</f>
        <v/>
      </c>
      <c r="V338" s="125" t="n">
        <v>11350</v>
      </c>
      <c r="W338" s="125" t="n">
        <v>1245</v>
      </c>
      <c r="Y338">
        <f>SQRT((((VLOOKUP($X$4,$A$4:$D$1021,4,FALSE))-D338)^2)+(((VLOOKUP($X$4,$A$4:$E$1021,5,FALSE))-E338)^2))</f>
        <v/>
      </c>
    </row>
    <row r="339">
      <c r="A339" s="125" t="inlineStr">
        <is>
          <t>W40X183</t>
        </is>
      </c>
      <c r="B339" s="129" t="inlineStr">
        <is>
          <t>AISC</t>
        </is>
      </c>
      <c r="C339" s="125" t="n">
        <v>272</v>
      </c>
      <c r="D339" s="125" t="n">
        <v>990.1</v>
      </c>
      <c r="E339" s="125" t="n">
        <v>300</v>
      </c>
      <c r="F339" s="125" t="n">
        <v>31</v>
      </c>
      <c r="G339" s="125" t="n">
        <v>16.5</v>
      </c>
      <c r="H339" s="125" t="n">
        <v>30</v>
      </c>
      <c r="I339" s="125" t="n">
        <v>868.1</v>
      </c>
      <c r="J339" s="125" t="n">
        <v>347</v>
      </c>
      <c r="K339" s="125" t="n">
        <v>4.84</v>
      </c>
      <c r="L339" s="125" t="n">
        <v>52.6</v>
      </c>
      <c r="M339" s="125" t="n">
        <v>3.1</v>
      </c>
      <c r="N339" s="125" t="n">
        <v>554000</v>
      </c>
      <c r="O339" s="125" t="n">
        <v>14010</v>
      </c>
      <c r="P339" s="125" t="n">
        <v>40</v>
      </c>
      <c r="Q339" s="125" t="n">
        <v>6.36</v>
      </c>
      <c r="R339" s="125" t="n">
        <v>11190</v>
      </c>
      <c r="S339" s="125" t="n">
        <v>934</v>
      </c>
      <c r="T339" s="125">
        <f>(((E339*D339*D339)/4)-(((E339-G339)*(D339-F339-F339)*(D339-F339-F339))/4)+(4*(H339*H339*(D339/2-F339-(H339/2))-((PI()*H339*H339)/4*((D339/2)-F339-(H339-((4*H339)/(3*PI()))))))))/1000</f>
        <v/>
      </c>
      <c r="U339" s="125">
        <f>(((D339*E339*E339)/4)-(2*((D339-F339-F339)*(E339/2-(G339/2))*(((E339/2-(G339/2))/2)+(G339/2))))+(4*(((H339*H339)-(((PI()*H339*H339)/4)))*((H339-((4*H339)/(3*PI())))+(G339/2)))))/1000</f>
        <v/>
      </c>
      <c r="V339" s="125" t="n">
        <v>12830</v>
      </c>
      <c r="W339" s="125" t="n">
        <v>1470</v>
      </c>
      <c r="Y339">
        <f>SQRT((((VLOOKUP($X$4,$A$4:$D$1021,4,FALSE))-D339)^2)+(((VLOOKUP($X$4,$A$4:$E$1021,5,FALSE))-E339)^2))</f>
        <v/>
      </c>
    </row>
    <row r="340">
      <c r="A340" s="125" t="inlineStr">
        <is>
          <t>W40X211</t>
        </is>
      </c>
      <c r="B340" s="129" t="inlineStr">
        <is>
          <t>AISC</t>
        </is>
      </c>
      <c r="C340" s="125" t="n">
        <v>314</v>
      </c>
      <c r="D340" s="125" t="n">
        <v>1000</v>
      </c>
      <c r="E340" s="125" t="n">
        <v>300</v>
      </c>
      <c r="F340" s="125" t="n">
        <v>35.9</v>
      </c>
      <c r="G340" s="125" t="n">
        <v>19.1</v>
      </c>
      <c r="H340" s="125" t="n">
        <v>30</v>
      </c>
      <c r="I340" s="125" t="n">
        <v>868.2</v>
      </c>
      <c r="J340" s="125" t="n">
        <v>400</v>
      </c>
      <c r="K340" s="125" t="n">
        <v>4.18</v>
      </c>
      <c r="L340" s="125" t="n">
        <v>45.5</v>
      </c>
      <c r="M340" s="125" t="n">
        <v>3.11</v>
      </c>
      <c r="N340" s="125" t="n">
        <v>644200</v>
      </c>
      <c r="O340" s="125" t="n">
        <v>16240</v>
      </c>
      <c r="P340" s="125" t="n">
        <v>40.1</v>
      </c>
      <c r="Q340" s="125" t="n">
        <v>6.37</v>
      </c>
      <c r="R340" s="125" t="n">
        <v>12880</v>
      </c>
      <c r="S340" s="125" t="n">
        <v>1083</v>
      </c>
      <c r="T340" s="125">
        <f>(((E340*D340*D340)/4)-(((E340-G340)*(D340-F340-F340)*(D340-F340-F340))/4)+(4*(H340*H340*(D340/2-F340-(H340/2))-((PI()*H340*H340)/4*((D340/2)-F340-(H340-((4*H340)/(3*PI()))))))))/1000</f>
        <v/>
      </c>
      <c r="U340" s="125">
        <f>(((D340*E340*E340)/4)-(2*((D340-F340-F340)*(E340/2-(G340/2))*(((E340/2-(G340/2))/2)+(G340/2))))+(4*(((H340*H340)-(((PI()*H340*H340)/4)))*((H340-((4*H340)/(3*PI())))+(G340/2)))))/1000</f>
        <v/>
      </c>
      <c r="V340" s="125" t="n">
        <v>14850</v>
      </c>
      <c r="W340" s="125" t="n">
        <v>1713</v>
      </c>
      <c r="Y340">
        <f>SQRT((((VLOOKUP($X$4,$A$4:$D$1021,4,FALSE))-D340)^2)+(((VLOOKUP($X$4,$A$4:$E$1021,5,FALSE))-E340)^2))</f>
        <v/>
      </c>
    </row>
    <row r="341">
      <c r="A341" s="125" t="inlineStr">
        <is>
          <t>W40X235</t>
        </is>
      </c>
      <c r="B341" s="129" t="inlineStr">
        <is>
          <t>AISC</t>
        </is>
      </c>
      <c r="C341" s="125" t="n">
        <v>349</v>
      </c>
      <c r="D341" s="125" t="n">
        <v>1008.1</v>
      </c>
      <c r="E341" s="125" t="n">
        <v>302</v>
      </c>
      <c r="F341" s="125" t="n">
        <v>40</v>
      </c>
      <c r="G341" s="125" t="n">
        <v>21.1</v>
      </c>
      <c r="H341" s="125" t="n">
        <v>30</v>
      </c>
      <c r="I341" s="125" t="n">
        <v>868.1</v>
      </c>
      <c r="J341" s="125" t="n">
        <v>445</v>
      </c>
      <c r="K341" s="125" t="n">
        <v>3.78</v>
      </c>
      <c r="L341" s="125" t="n">
        <v>41.1</v>
      </c>
      <c r="M341" s="125" t="n">
        <v>3.13</v>
      </c>
      <c r="N341" s="125" t="n">
        <v>723100</v>
      </c>
      <c r="O341" s="125" t="n">
        <v>18470</v>
      </c>
      <c r="P341" s="125" t="n">
        <v>40.3</v>
      </c>
      <c r="Q341" s="125" t="n">
        <v>6.44</v>
      </c>
      <c r="R341" s="125" t="n">
        <v>14350</v>
      </c>
      <c r="S341" s="125" t="n">
        <v>1223</v>
      </c>
      <c r="T341" s="125">
        <f>(((E341*D341*D341)/4)-(((E341-G341)*(D341-F341-F341)*(D341-F341-F341))/4)+(4*(H341*H341*(D341/2-F341-(H341/2))-((PI()*H341*H341)/4*((D341/2)-F341-(H341-((4*H341)/(3*PI()))))))))/1000</f>
        <v/>
      </c>
      <c r="U341" s="125">
        <f>(((D341*E341*E341)/4)-(2*((D341-F341-F341)*(E341/2-(G341/2))*(((E341/2-(G341/2))/2)+(G341/2))))+(4*(((H341*H341)-(((PI()*H341*H341)/4)))*((H341-((4*H341)/(3*PI())))+(G341/2)))))/1000</f>
        <v/>
      </c>
      <c r="V341" s="125" t="n">
        <v>16590</v>
      </c>
      <c r="W341" s="125" t="n">
        <v>1941</v>
      </c>
      <c r="Y341">
        <f>SQRT((((VLOOKUP($X$4,$A$4:$D$1021,4,FALSE))-D341)^2)+(((VLOOKUP($X$4,$A$4:$E$1021,5,FALSE))-E341)^2))</f>
        <v/>
      </c>
    </row>
    <row r="342">
      <c r="A342" s="125" t="inlineStr">
        <is>
          <t>W40X264</t>
        </is>
      </c>
      <c r="B342" s="129" t="inlineStr">
        <is>
          <t>AISC</t>
        </is>
      </c>
      <c r="C342" s="125" t="n">
        <v>393</v>
      </c>
      <c r="D342" s="125" t="n">
        <v>1016</v>
      </c>
      <c r="E342" s="125" t="n">
        <v>303</v>
      </c>
      <c r="F342" s="125" t="n">
        <v>43.9</v>
      </c>
      <c r="G342" s="125" t="n">
        <v>24.4</v>
      </c>
      <c r="H342" s="125" t="n">
        <v>30</v>
      </c>
      <c r="I342" s="125" t="n">
        <v>868.2</v>
      </c>
      <c r="J342" s="125" t="n">
        <v>500</v>
      </c>
      <c r="K342" s="125" t="n">
        <v>3.45</v>
      </c>
      <c r="L342" s="125" t="n">
        <v>35.6</v>
      </c>
      <c r="M342" s="125" t="n">
        <v>3.14</v>
      </c>
      <c r="N342" s="125" t="n">
        <v>807700</v>
      </c>
      <c r="O342" s="125" t="n">
        <v>20500</v>
      </c>
      <c r="P342" s="125" t="n">
        <v>40.2</v>
      </c>
      <c r="Q342" s="125" t="n">
        <v>6.4</v>
      </c>
      <c r="R342" s="125" t="n">
        <v>15900</v>
      </c>
      <c r="S342" s="125" t="n">
        <v>1353</v>
      </c>
      <c r="T342" s="125">
        <f>(((E342*D342*D342)/4)-(((E342-G342)*(D342-F342-F342)*(D342-F342-F342))/4)+(4*(H342*H342*(D342/2-F342-(H342/2))-((PI()*H342*H342)/4*((D342/2)-F342-(H342-((4*H342)/(3*PI()))))))))/1000</f>
        <v/>
      </c>
      <c r="U342" s="125">
        <f>(((D342*E342*E342)/4)-(2*((D342-F342-F342)*(E342/2-(G342/2))*(((E342/2-(G342/2))/2)+(G342/2))))+(4*(((H342*H342)-(((PI()*H342*H342)/4)))*((H342-((4*H342)/(3*PI())))+(G342/2)))))/1000</f>
        <v/>
      </c>
      <c r="V342" s="125" t="n">
        <v>18540</v>
      </c>
      <c r="W342" s="125" t="n">
        <v>2168</v>
      </c>
      <c r="Y342">
        <f>SQRT((((VLOOKUP($X$4,$A$4:$D$1021,4,FALSE))-D342)^2)+(((VLOOKUP($X$4,$A$4:$E$1021,5,FALSE))-E342)^2))</f>
        <v/>
      </c>
    </row>
    <row r="343">
      <c r="A343" s="125" t="inlineStr">
        <is>
          <t>W40X278</t>
        </is>
      </c>
      <c r="B343" s="129" t="inlineStr">
        <is>
          <t>AISC</t>
        </is>
      </c>
      <c r="C343" s="125" t="n">
        <v>415</v>
      </c>
      <c r="D343" s="125" t="n">
        <v>1020</v>
      </c>
      <c r="E343" s="125" t="n">
        <v>304</v>
      </c>
      <c r="F343" s="125" t="n">
        <v>46</v>
      </c>
      <c r="G343" s="125" t="n">
        <v>26</v>
      </c>
      <c r="H343" s="125" t="n">
        <v>30</v>
      </c>
      <c r="I343" s="125" t="n">
        <v>868</v>
      </c>
      <c r="J343" s="125" t="n">
        <v>529</v>
      </c>
      <c r="K343" s="125" t="n">
        <v>3.3</v>
      </c>
      <c r="L343" s="125" t="n">
        <v>33.4</v>
      </c>
      <c r="M343" s="125" t="n">
        <v>3.15</v>
      </c>
      <c r="N343" s="125" t="n">
        <v>853100</v>
      </c>
      <c r="O343" s="125" t="n">
        <v>21710</v>
      </c>
      <c r="P343" s="125" t="n">
        <v>40.2</v>
      </c>
      <c r="Q343" s="125" t="n">
        <v>6.41</v>
      </c>
      <c r="R343" s="125" t="n">
        <v>16728</v>
      </c>
      <c r="S343" s="125" t="n">
        <v>1428</v>
      </c>
      <c r="T343" s="125">
        <f>(((E343*D343*D343)/4)-(((E343-G343)*(D343-F343-F343)*(D343-F343-F343))/4)+(4*(H343*H343*(D343/2-F343-(H343/2))-((PI()*H343*H343)/4*((D343/2)-F343-(H343-((4*H343)/(3*PI()))))))))/1000</f>
        <v/>
      </c>
      <c r="U343" s="125">
        <f>(((D343*E343*E343)/4)-(2*((D343-F343-F343)*(E343/2-(G343/2))*(((E343/2-(G343/2))/2)+(G343/2))))+(4*(((H343*H343)-(((PI()*H343*H343)/4)))*((H343-((4*H343)/(3*PI())))+(G343/2)))))/1000</f>
        <v/>
      </c>
      <c r="V343" s="125" t="n">
        <v>19571</v>
      </c>
      <c r="W343" s="125" t="n">
        <v>2298</v>
      </c>
      <c r="Y343">
        <f>SQRT((((VLOOKUP($X$4,$A$4:$D$1021,4,FALSE))-D343)^2)+(((VLOOKUP($X$4,$A$4:$E$1021,5,FALSE))-E343)^2))</f>
        <v/>
      </c>
    </row>
    <row r="344">
      <c r="A344" s="125" t="inlineStr">
        <is>
          <t>W40X294</t>
        </is>
      </c>
      <c r="B344" s="129" t="inlineStr">
        <is>
          <t>AISC</t>
        </is>
      </c>
      <c r="C344" s="125" t="n">
        <v>438</v>
      </c>
      <c r="D344" s="125" t="n">
        <v>1025.9</v>
      </c>
      <c r="E344" s="125" t="n">
        <v>305.4</v>
      </c>
      <c r="F344" s="125" t="n">
        <v>49</v>
      </c>
      <c r="G344" s="125" t="n">
        <v>26.9</v>
      </c>
      <c r="H344" s="125" t="n">
        <v>30</v>
      </c>
      <c r="I344" s="125" t="n">
        <v>867.9</v>
      </c>
      <c r="J344" s="125" t="n">
        <v>557</v>
      </c>
      <c r="K344" s="125" t="n">
        <v>3.12</v>
      </c>
      <c r="L344" s="125" t="n">
        <v>32.3</v>
      </c>
      <c r="M344" s="125" t="n">
        <v>3.17</v>
      </c>
      <c r="N344" s="125" t="n">
        <v>909900</v>
      </c>
      <c r="O344" s="125" t="n">
        <v>23450</v>
      </c>
      <c r="P344" s="125" t="n">
        <v>40.4</v>
      </c>
      <c r="Q344" s="125" t="n">
        <v>6.49</v>
      </c>
      <c r="R344" s="125" t="n">
        <v>17740</v>
      </c>
      <c r="S344" s="125" t="n">
        <v>1536</v>
      </c>
      <c r="T344" s="125">
        <f>(((E344*D344*D344)/4)-(((E344-G344)*(D344-F344-F344)*(D344-F344-F344))/4)+(4*(H344*H344*(D344/2-F344-(H344/2))-((PI()*H344*H344)/4*((D344/2)-F344-(H344-((4*H344)/(3*PI()))))))))/1000</f>
        <v/>
      </c>
      <c r="U344" s="125">
        <f>(((D344*E344*E344)/4)-(2*((D344-F344-F344)*(E344/2-(G344/2))*(((E344/2-(G344/2))/2)+(G344/2))))+(4*(((H344*H344)-(((PI()*H344*H344)/4)))*((H344-((4*H344)/(3*PI())))+(G344/2)))))/1000</f>
        <v/>
      </c>
      <c r="V344" s="125" t="n">
        <v>20760</v>
      </c>
      <c r="W344" s="125" t="n">
        <v>2469</v>
      </c>
      <c r="Y344">
        <f>SQRT((((VLOOKUP($X$4,$A$4:$D$1021,4,FALSE))-D344)^2)+(((VLOOKUP($X$4,$A$4:$E$1021,5,FALSE))-E344)^2))</f>
        <v/>
      </c>
    </row>
    <row r="345">
      <c r="A345" s="125" t="inlineStr">
        <is>
          <t>W40X327</t>
        </is>
      </c>
      <c r="B345" s="129" t="inlineStr">
        <is>
          <t>AISC</t>
        </is>
      </c>
      <c r="C345" s="125" t="n">
        <v>487</v>
      </c>
      <c r="D345" s="125" t="n">
        <v>1036.1</v>
      </c>
      <c r="E345" s="125" t="n">
        <v>308.5</v>
      </c>
      <c r="F345" s="125" t="n">
        <v>54.1</v>
      </c>
      <c r="G345" s="125" t="n">
        <v>30</v>
      </c>
      <c r="H345" s="125" t="n">
        <v>30</v>
      </c>
      <c r="I345" s="125" t="n">
        <v>867.9</v>
      </c>
      <c r="J345" s="125" t="n">
        <v>620</v>
      </c>
      <c r="K345" s="125" t="n">
        <v>2.85</v>
      </c>
      <c r="L345" s="125" t="n">
        <v>28.9</v>
      </c>
      <c r="M345" s="125" t="n">
        <v>3.19</v>
      </c>
      <c r="N345" s="125" t="n">
        <v>1021000</v>
      </c>
      <c r="O345" s="125" t="n">
        <v>26730</v>
      </c>
      <c r="P345" s="125" t="n">
        <v>40.6</v>
      </c>
      <c r="Q345" s="125" t="n">
        <v>6.57</v>
      </c>
      <c r="R345" s="125" t="n">
        <v>19720</v>
      </c>
      <c r="S345" s="125" t="n">
        <v>1733</v>
      </c>
      <c r="T345" s="125">
        <f>(((E345*D345*D345)/4)-(((E345-G345)*(D345-F345-F345)*(D345-F345-F345))/4)+(4*(H345*H345*(D345/2-F345-(H345/2))-((PI()*H345*H345)/4*((D345/2)-F345-(H345-((4*H345)/(3*PI()))))))))/1000</f>
        <v/>
      </c>
      <c r="U345" s="125">
        <f>(((D345*E345*E345)/4)-(2*((D345-F345-F345)*(E345/2-(G345/2))*(((E345/2-(G345/2))/2)+(G345/2))))+(4*(((H345*H345)-(((PI()*H345*H345)/4)))*((H345-((4*H345)/(3*PI())))+(G345/2)))))/1000</f>
        <v/>
      </c>
      <c r="V345" s="125" t="n">
        <v>23200</v>
      </c>
      <c r="W345" s="125" t="n">
        <v>2800</v>
      </c>
      <c r="Y345">
        <f>SQRT((((VLOOKUP($X$4,$A$4:$D$1021,4,FALSE))-D345)^2)+(((VLOOKUP($X$4,$A$4:$E$1021,5,FALSE))-E345)^2))</f>
        <v/>
      </c>
    </row>
    <row r="346">
      <c r="A346" s="125" t="inlineStr">
        <is>
          <t>W40X331</t>
        </is>
      </c>
      <c r="B346" s="129" t="inlineStr">
        <is>
          <t>AISC</t>
        </is>
      </c>
      <c r="C346" s="125" t="n">
        <v>494</v>
      </c>
      <c r="D346" s="125" t="n">
        <v>1036</v>
      </c>
      <c r="E346" s="125" t="n">
        <v>309</v>
      </c>
      <c r="F346" s="125" t="n">
        <v>54</v>
      </c>
      <c r="G346" s="125" t="n">
        <v>31</v>
      </c>
      <c r="H346" s="125" t="n">
        <v>30</v>
      </c>
      <c r="I346" s="125" t="n">
        <v>868</v>
      </c>
      <c r="J346" s="125" t="n">
        <v>629</v>
      </c>
      <c r="K346" s="125" t="n">
        <v>2.86</v>
      </c>
      <c r="L346" s="125" t="n">
        <v>28</v>
      </c>
      <c r="M346" s="125" t="n">
        <v>3.19</v>
      </c>
      <c r="N346" s="125" t="n">
        <v>1028000</v>
      </c>
      <c r="O346" s="125" t="n">
        <v>26820</v>
      </c>
      <c r="P346" s="125" t="n">
        <v>40.4</v>
      </c>
      <c r="Q346" s="125" t="n">
        <v>6.53</v>
      </c>
      <c r="R346" s="125" t="n">
        <v>19845</v>
      </c>
      <c r="S346" s="125" t="n">
        <v>1736</v>
      </c>
      <c r="T346" s="125">
        <f>(((E346*D346*D346)/4)-(((E346-G346)*(D346-F346-F346)*(D346-F346-F346))/4)+(4*(H346*H346*(D346/2-F346-(H346/2))-((PI()*H346*H346)/4*((D346/2)-F346-(H346-((4*H346)/(3*PI()))))))))/1000</f>
        <v/>
      </c>
      <c r="U346" s="125">
        <f>(((D346*E346*E346)/4)-(2*((D346-F346-F346)*(E346/2-(G346/2))*(((E346/2-(G346/2))/2)+(G346/2))))+(4*(((H346*H346)-(((PI()*H346*H346)/4)))*((H346-((4*H346)/(3*PI())))+(G346/2)))))/1000</f>
        <v/>
      </c>
      <c r="V346" s="125" t="n">
        <v>23413</v>
      </c>
      <c r="W346" s="125" t="n">
        <v>2818</v>
      </c>
      <c r="Y346">
        <f>SQRT((((VLOOKUP($X$4,$A$4:$D$1021,4,FALSE))-D346)^2)+(((VLOOKUP($X$4,$A$4:$E$1021,5,FALSE))-E346)^2))</f>
        <v/>
      </c>
    </row>
    <row r="347">
      <c r="A347" s="125" t="inlineStr">
        <is>
          <t>W40X359</t>
        </is>
      </c>
      <c r="B347" s="129" t="inlineStr">
        <is>
          <t>AISC</t>
        </is>
      </c>
      <c r="C347" s="125" t="n">
        <v>535</v>
      </c>
      <c r="D347" s="125" t="n">
        <v>1046</v>
      </c>
      <c r="E347" s="125" t="n">
        <v>311.4</v>
      </c>
      <c r="F347" s="125" t="n">
        <v>58.9</v>
      </c>
      <c r="G347" s="125" t="n">
        <v>33</v>
      </c>
      <c r="H347" s="125" t="n">
        <v>30</v>
      </c>
      <c r="I347" s="125" t="n">
        <v>868.2</v>
      </c>
      <c r="J347" s="125" t="n">
        <v>681</v>
      </c>
      <c r="K347" s="125" t="n">
        <v>2.64</v>
      </c>
      <c r="L347" s="125" t="n">
        <v>26.3</v>
      </c>
      <c r="M347" s="125" t="n">
        <v>3.22</v>
      </c>
      <c r="N347" s="125" t="n">
        <v>1131000</v>
      </c>
      <c r="O347" s="125" t="n">
        <v>29970</v>
      </c>
      <c r="P347" s="125" t="n">
        <v>40.8</v>
      </c>
      <c r="Q347" s="125" t="n">
        <v>6.63</v>
      </c>
      <c r="R347" s="125" t="n">
        <v>21620</v>
      </c>
      <c r="S347" s="125" t="n">
        <v>1925</v>
      </c>
      <c r="T347" s="125">
        <f>(((E347*D347*D347)/4)-(((E347-G347)*(D347-F347-F347)*(D347-F347-F347))/4)+(4*(H347*H347*(D347/2-F347-(H347/2))-((PI()*H347*H347)/4*((D347/2)-F347-(H347-((4*H347)/(3*PI()))))))))/1000</f>
        <v/>
      </c>
      <c r="U347" s="125">
        <f>(((D347*E347*E347)/4)-(2*((D347-F347-F347)*(E347/2-(G347/2))*(((E347/2-(G347/2))/2)+(G347/2))))+(4*(((H347*H347)-(((PI()*H347*H347)/4)))*((H347-((4*H347)/(3*PI())))+(G347/2)))))/1000</f>
        <v/>
      </c>
      <c r="V347" s="125" t="n">
        <v>25570</v>
      </c>
      <c r="W347" s="125" t="n">
        <v>3126</v>
      </c>
      <c r="Y347">
        <f>SQRT((((VLOOKUP($X$4,$A$4:$D$1021,4,FALSE))-D347)^2)+(((VLOOKUP($X$4,$A$4:$E$1021,5,FALSE))-E347)^2))</f>
        <v/>
      </c>
    </row>
    <row r="348">
      <c r="A348" s="125" t="inlineStr">
        <is>
          <t>W40X392</t>
        </is>
      </c>
      <c r="B348" s="129" t="inlineStr">
        <is>
          <t>AISC</t>
        </is>
      </c>
      <c r="C348" s="125" t="n">
        <v>584</v>
      </c>
      <c r="D348" s="125" t="n">
        <v>1056</v>
      </c>
      <c r="E348" s="125" t="n">
        <v>314</v>
      </c>
      <c r="F348" s="125" t="n">
        <v>64</v>
      </c>
      <c r="G348" s="125" t="n">
        <v>36</v>
      </c>
      <c r="H348" s="125" t="n">
        <v>30</v>
      </c>
      <c r="I348" s="125" t="n">
        <v>868</v>
      </c>
      <c r="J348" s="125" t="n">
        <v>744</v>
      </c>
      <c r="K348" s="125" t="n">
        <v>2.45</v>
      </c>
      <c r="L348" s="125" t="n">
        <v>24.1</v>
      </c>
      <c r="M348" s="125" t="n">
        <v>3.24</v>
      </c>
      <c r="N348" s="125" t="n">
        <v>1246100</v>
      </c>
      <c r="O348" s="125" t="n">
        <v>33430</v>
      </c>
      <c r="P348" s="125" t="n">
        <v>40.9</v>
      </c>
      <c r="Q348" s="125" t="n">
        <v>6.7</v>
      </c>
      <c r="R348" s="125" t="n">
        <v>23600</v>
      </c>
      <c r="S348" s="125" t="n">
        <v>2130</v>
      </c>
      <c r="T348" s="125">
        <f>(((E348*D348*D348)/4)-(((E348-G348)*(D348-F348-F348)*(D348-F348-F348))/4)+(4*(H348*H348*(D348/2-F348-(H348/2))-((PI()*H348*H348)/4*((D348/2)-F348-(H348-((4*H348)/(3*PI()))))))))/1000</f>
        <v/>
      </c>
      <c r="U348" s="125">
        <f>(((D348*E348*E348)/4)-(2*((D348-F348-F348)*(E348/2-(G348/2))*(((E348/2-(G348/2))/2)+(G348/2))))+(4*(((H348*H348)-(((PI()*H348*H348)/4)))*((H348-((4*H348)/(3*PI())))+(G348/2)))))/1000</f>
        <v/>
      </c>
      <c r="V348" s="125" t="n">
        <v>28039</v>
      </c>
      <c r="W348" s="125" t="n">
        <v>3475</v>
      </c>
      <c r="Y348">
        <f>SQRT((((VLOOKUP($X$4,$A$4:$D$1021,4,FALSE))-D348)^2)+(((VLOOKUP($X$4,$A$4:$E$1021,5,FALSE))-E348)^2))</f>
        <v/>
      </c>
    </row>
    <row r="349">
      <c r="A349" s="125" t="inlineStr">
        <is>
          <t>W40X199</t>
        </is>
      </c>
      <c r="B349" s="129" t="inlineStr">
        <is>
          <t>AISC</t>
        </is>
      </c>
      <c r="C349" s="125" t="n">
        <v>296</v>
      </c>
      <c r="D349" s="125" t="n">
        <v>982</v>
      </c>
      <c r="E349" s="125" t="n">
        <v>400</v>
      </c>
      <c r="F349" s="125" t="n">
        <v>27.1</v>
      </c>
      <c r="G349" s="125" t="n">
        <v>16.5</v>
      </c>
      <c r="H349" s="125" t="n">
        <v>30</v>
      </c>
      <c r="I349" s="125" t="n">
        <v>868</v>
      </c>
      <c r="J349" s="125" t="n">
        <v>377</v>
      </c>
      <c r="K349" s="125" t="n">
        <v>12.12</v>
      </c>
      <c r="L349" s="125" t="n">
        <v>32</v>
      </c>
      <c r="M349" s="125" t="n">
        <v>3.48</v>
      </c>
      <c r="N349" s="125" t="n">
        <v>618700</v>
      </c>
      <c r="O349" s="125" t="n">
        <v>28850</v>
      </c>
      <c r="P349" s="125" t="n">
        <v>40.5</v>
      </c>
      <c r="Q349" s="125" t="n">
        <v>8.75</v>
      </c>
      <c r="R349" s="125" t="n">
        <v>12600</v>
      </c>
      <c r="S349" s="125" t="n">
        <v>1443</v>
      </c>
      <c r="T349" s="125">
        <f>(((E349*D349*D349)/4)-(((E349-G349)*(D349-F349-F349)*(D349-F349-F349))/4)+(4*(H349*H349*(D349/2-F349-(H349/2))-((PI()*H349*H349)/4*((D349/2)-F349-(H349-((4*H349)/(3*PI()))))))))/1000</f>
        <v/>
      </c>
      <c r="U349" s="125">
        <f>(((D349*E349*E349)/4)-(2*((D349-F349-F349)*(E349/2-(G349/2))*(((E349/2-(G349/2))/2)+(G349/2))))+(4*(((H349*H349)-(((PI()*H349*H349)/4)))*((H349-((4*H349)/(3*PI())))+(G349/2)))))/1000</f>
        <v/>
      </c>
      <c r="V349" s="125" t="n">
        <v>14220</v>
      </c>
      <c r="W349" s="125" t="n">
        <v>2235</v>
      </c>
      <c r="Y349">
        <f>SQRT((((VLOOKUP($X$4,$A$4:$D$1021,4,FALSE))-D349)^2)+(((VLOOKUP($X$4,$A$4:$E$1021,5,FALSE))-E349)^2))</f>
        <v/>
      </c>
    </row>
    <row r="350">
      <c r="A350" s="125" t="inlineStr">
        <is>
          <t>W40X215</t>
        </is>
      </c>
      <c r="B350" s="129" t="inlineStr">
        <is>
          <t>AISC</t>
        </is>
      </c>
      <c r="C350" s="125" t="n">
        <v>321</v>
      </c>
      <c r="D350" s="125" t="n">
        <v>990</v>
      </c>
      <c r="E350" s="125" t="n">
        <v>400</v>
      </c>
      <c r="F350" s="125" t="n">
        <v>31</v>
      </c>
      <c r="G350" s="125" t="n">
        <v>16.5</v>
      </c>
      <c r="H350" s="125" t="n">
        <v>30</v>
      </c>
      <c r="I350" s="125" t="n">
        <v>868</v>
      </c>
      <c r="J350" s="125" t="n">
        <v>409</v>
      </c>
      <c r="K350" s="125" t="n">
        <v>12.12</v>
      </c>
      <c r="L350" s="125" t="n">
        <v>28</v>
      </c>
      <c r="M350" s="125" t="n">
        <v>3.5</v>
      </c>
      <c r="N350" s="125" t="n">
        <v>696400</v>
      </c>
      <c r="O350" s="125" t="n">
        <v>33120</v>
      </c>
      <c r="P350" s="125" t="n">
        <v>41.3</v>
      </c>
      <c r="Q350" s="125" t="n">
        <v>9</v>
      </c>
      <c r="R350" s="125" t="n">
        <v>14070</v>
      </c>
      <c r="S350" s="125" t="n">
        <v>1656</v>
      </c>
      <c r="T350" s="125">
        <f>(((E350*D350*D350)/4)-(((E350-G350)*(D350-F350-F350)*(D350-F350-F350))/4)+(4*(H350*H350*(D350/2-F350-(H350/2))-((PI()*H350*H350)/4*((D350/2)-F350-(H350-((4*H350)/(3*PI()))))))))/1000</f>
        <v/>
      </c>
      <c r="U350" s="125">
        <f>(((D350*E350*E350)/4)-(2*((D350-F350-F350)*(E350/2-(G350/2))*(((E350/2-(G350/2))/2)+(G350/2))))+(4*(((H350*H350)-(((PI()*H350*H350)/4)))*((H350-((4*H350)/(3*PI())))+(G350/2)))))/1000</f>
        <v/>
      </c>
      <c r="V350" s="125" t="n">
        <v>15800</v>
      </c>
      <c r="W350" s="125" t="n">
        <v>2555</v>
      </c>
      <c r="Y350">
        <f>SQRT((((VLOOKUP($X$4,$A$4:$D$1021,4,FALSE))-D350)^2)+(((VLOOKUP($X$4,$A$4:$E$1021,5,FALSE))-E350)^2))</f>
        <v/>
      </c>
    </row>
    <row r="351">
      <c r="A351" s="125" t="inlineStr">
        <is>
          <t>W40X249</t>
        </is>
      </c>
      <c r="B351" s="129" t="inlineStr">
        <is>
          <t>AISC</t>
        </is>
      </c>
      <c r="C351" s="125" t="n">
        <v>371</v>
      </c>
      <c r="D351" s="125" t="n">
        <v>1000</v>
      </c>
      <c r="E351" s="125" t="n">
        <v>400</v>
      </c>
      <c r="F351" s="125" t="n">
        <v>36.1</v>
      </c>
      <c r="G351" s="125" t="n">
        <v>19</v>
      </c>
      <c r="H351" s="125" t="n">
        <v>30</v>
      </c>
      <c r="I351" s="125" t="n">
        <v>868</v>
      </c>
      <c r="J351" s="125" t="n">
        <v>472</v>
      </c>
      <c r="K351" s="125" t="n">
        <v>10.53</v>
      </c>
      <c r="L351" s="125" t="n">
        <v>24</v>
      </c>
      <c r="M351" s="125" t="n">
        <v>3.51</v>
      </c>
      <c r="N351" s="125" t="n">
        <v>812100</v>
      </c>
      <c r="O351" s="125" t="n">
        <v>38480</v>
      </c>
      <c r="P351" s="125" t="n">
        <v>41.5</v>
      </c>
      <c r="Q351" s="125" t="n">
        <v>9.029999999999999</v>
      </c>
      <c r="R351" s="125" t="n">
        <v>16240</v>
      </c>
      <c r="S351" s="125" t="n">
        <v>1924</v>
      </c>
      <c r="T351" s="125">
        <f>(((E351*D351*D351)/4)-(((E351-G351)*(D351-F351-F351)*(D351-F351-F351))/4)+(4*(H351*H351*(D351/2-F351-(H351/2))-((PI()*H351*H351)/4*((D351/2)-F351-(H351-((4*H351)/(3*PI()))))))))/1000</f>
        <v/>
      </c>
      <c r="U351" s="125">
        <f>(((D351*E351*E351)/4)-(2*((D351-F351-F351)*(E351/2-(G351/2))*(((E351/2-(G351/2))/2)+(G351/2))))+(4*(((H351*H351)-(((PI()*H351*H351)/4)))*((H351-((4*H351)/(3*PI())))+(G351/2)))))/1000</f>
        <v/>
      </c>
      <c r="V351" s="125" t="n">
        <v>18330</v>
      </c>
      <c r="W351" s="125" t="n">
        <v>2976</v>
      </c>
      <c r="Y351">
        <f>SQRT((((VLOOKUP($X$4,$A$4:$D$1021,4,FALSE))-D351)^2)+(((VLOOKUP($X$4,$A$4:$E$1021,5,FALSE))-E351)^2))</f>
        <v/>
      </c>
    </row>
    <row r="352">
      <c r="A352" s="125" t="inlineStr">
        <is>
          <t>W40X277</t>
        </is>
      </c>
      <c r="B352" s="129" t="inlineStr">
        <is>
          <t>AISC</t>
        </is>
      </c>
      <c r="C352" s="125" t="n">
        <v>412</v>
      </c>
      <c r="D352" s="125" t="n">
        <v>1008</v>
      </c>
      <c r="E352" s="125" t="n">
        <v>402</v>
      </c>
      <c r="F352" s="125" t="n">
        <v>40</v>
      </c>
      <c r="G352" s="125" t="n">
        <v>21.1</v>
      </c>
      <c r="H352" s="125" t="n">
        <v>30</v>
      </c>
      <c r="I352" s="125" t="n">
        <v>868</v>
      </c>
      <c r="J352" s="125" t="n">
        <v>524</v>
      </c>
      <c r="K352" s="125" t="n">
        <v>9.529999999999999</v>
      </c>
      <c r="L352" s="125" t="n">
        <v>21.7</v>
      </c>
      <c r="M352" s="125" t="n">
        <v>3.53</v>
      </c>
      <c r="N352" s="125" t="n">
        <v>909800</v>
      </c>
      <c r="O352" s="125" t="n">
        <v>43410</v>
      </c>
      <c r="P352" s="125" t="n">
        <v>41.7</v>
      </c>
      <c r="Q352" s="125" t="n">
        <v>9.1</v>
      </c>
      <c r="R352" s="125" t="n">
        <v>18050</v>
      </c>
      <c r="S352" s="125" t="n">
        <v>2160</v>
      </c>
      <c r="T352" s="125">
        <f>(((E352*D352*D352)/4)-(((E352-G352)*(D352-F352-F352)*(D352-F352-F352))/4)+(4*(H352*H352*(D352/2-F352-(H352/2))-((PI()*H352*H352)/4*((D352/2)-F352-(H352-((4*H352)/(3*PI()))))))))/1000</f>
        <v/>
      </c>
      <c r="U352" s="125">
        <f>(((D352*E352*E352)/4)-(2*((D352-F352-F352)*(E352/2-(G352/2))*(((E352/2-(G352/2))/2)+(G352/2))))+(4*(((H352*H352)-(((PI()*H352*H352)/4)))*((H352-((4*H352)/(3*PI())))+(G352/2)))))/1000</f>
        <v/>
      </c>
      <c r="V352" s="125" t="n">
        <v>20440</v>
      </c>
      <c r="W352" s="125" t="n">
        <v>3348</v>
      </c>
      <c r="Y352">
        <f>SQRT((((VLOOKUP($X$4,$A$4:$D$1021,4,FALSE))-D352)^2)+(((VLOOKUP($X$4,$A$4:$E$1021,5,FALSE))-E352)^2))</f>
        <v/>
      </c>
    </row>
    <row r="353">
      <c r="A353" s="125" t="inlineStr">
        <is>
          <t>W40X297</t>
        </is>
      </c>
      <c r="B353" s="129" t="inlineStr">
        <is>
          <t>AISC</t>
        </is>
      </c>
      <c r="C353" s="125" t="n">
        <v>443</v>
      </c>
      <c r="D353" s="125" t="n">
        <v>1012</v>
      </c>
      <c r="E353" s="125" t="n">
        <v>402</v>
      </c>
      <c r="F353" s="125" t="n">
        <v>41.9</v>
      </c>
      <c r="G353" s="125" t="n">
        <v>23.6</v>
      </c>
      <c r="H353" s="125" t="n">
        <v>30</v>
      </c>
      <c r="I353" s="125" t="n">
        <v>868.2</v>
      </c>
      <c r="J353" s="125" t="n">
        <v>564</v>
      </c>
      <c r="K353" s="125" t="n">
        <v>8.52</v>
      </c>
      <c r="L353" s="125" t="n">
        <v>20.7</v>
      </c>
      <c r="M353" s="125" t="n">
        <v>3.53</v>
      </c>
      <c r="N353" s="125" t="n">
        <v>966510</v>
      </c>
      <c r="O353" s="125" t="n">
        <v>45500</v>
      </c>
      <c r="P353" s="125" t="n">
        <v>41.4</v>
      </c>
      <c r="Q353" s="125" t="n">
        <v>8.98</v>
      </c>
      <c r="R353" s="125" t="n">
        <v>19101</v>
      </c>
      <c r="S353" s="125" t="n">
        <v>2264</v>
      </c>
      <c r="T353" s="125">
        <f>(((E353*D353*D353)/4)-(((E353-G353)*(D353-F353-F353)*(D353-F353-F353))/4)+(4*(H353*H353*(D353/2-F353-(H353/2))-((PI()*H353*H353)/4*((D353/2)-F353-(H353-((4*H353)/(3*PI()))))))))/1000</f>
        <v/>
      </c>
      <c r="U353" s="125">
        <f>(((D353*E353*E353)/4)-(2*((D353-F353-F353)*(E353/2-(G353/2))*(((E353/2-(G353/2))/2)+(G353/2))))+(4*(((H353*H353)-(((PI()*H353*H353)/4)))*((H353-((4*H353)/(3*PI())))+(G353/2)))))/1000</f>
        <v/>
      </c>
      <c r="V353" s="125" t="n">
        <v>21777</v>
      </c>
      <c r="W353" s="125" t="n">
        <v>3529</v>
      </c>
      <c r="Y353">
        <f>SQRT((((VLOOKUP($X$4,$A$4:$D$1021,4,FALSE))-D353)^2)+(((VLOOKUP($X$4,$A$4:$E$1021,5,FALSE))-E353)^2))</f>
        <v/>
      </c>
    </row>
    <row r="354">
      <c r="A354" s="125" t="inlineStr">
        <is>
          <t>W40X324</t>
        </is>
      </c>
      <c r="B354" s="129" t="inlineStr">
        <is>
          <t>AISC</t>
        </is>
      </c>
      <c r="C354" s="125" t="n">
        <v>483</v>
      </c>
      <c r="D354" s="125" t="n">
        <v>1020</v>
      </c>
      <c r="E354" s="125" t="n">
        <v>404</v>
      </c>
      <c r="F354" s="125" t="n">
        <v>46</v>
      </c>
      <c r="G354" s="125" t="n">
        <v>25.4</v>
      </c>
      <c r="H354" s="125" t="n">
        <v>30</v>
      </c>
      <c r="I354" s="125" t="n">
        <v>868</v>
      </c>
      <c r="J354" s="125" t="n">
        <v>615</v>
      </c>
      <c r="K354" s="125" t="n">
        <v>7.95</v>
      </c>
      <c r="L354" s="125" t="n">
        <v>18.9</v>
      </c>
      <c r="M354" s="125" t="n">
        <v>3.55</v>
      </c>
      <c r="N354" s="125" t="n">
        <v>1067480</v>
      </c>
      <c r="O354" s="125" t="n">
        <v>50710</v>
      </c>
      <c r="P354" s="125" t="n">
        <v>41.7</v>
      </c>
      <c r="Q354" s="125" t="n">
        <v>9.08</v>
      </c>
      <c r="R354" s="125" t="n">
        <v>20931</v>
      </c>
      <c r="S354" s="125" t="n">
        <v>2510</v>
      </c>
      <c r="T354" s="125">
        <f>(((E354*D354*D354)/4)-(((E354-G354)*(D354-F354-F354)*(D354-F354-F354))/4)+(4*(H354*H354*(D354/2-F354-(H354/2))-((PI()*H354*H354)/4*((D354/2)-F354-(H354-((4*H354)/(3*PI()))))))))/1000</f>
        <v/>
      </c>
      <c r="U354" s="125">
        <f>(((D354*E354*E354)/4)-(2*((D354-F354-F354)*(E354/2-(G354/2))*(((E354/2-(G354/2))/2)+(G354/2))))+(4*(((H354*H354)-(((PI()*H354*H354)/4)))*((H354-((4*H354)/(3*PI())))+(G354/2)))))/1000</f>
        <v/>
      </c>
      <c r="V354" s="125" t="n">
        <v>23923</v>
      </c>
      <c r="W354" s="125" t="n">
        <v>3919</v>
      </c>
      <c r="Y354">
        <f>SQRT((((VLOOKUP($X$4,$A$4:$D$1021,4,FALSE))-D354)^2)+(((VLOOKUP($X$4,$A$4:$E$1021,5,FALSE))-E354)^2))</f>
        <v/>
      </c>
    </row>
    <row r="355">
      <c r="A355" s="125" t="inlineStr">
        <is>
          <t>W40X362</t>
        </is>
      </c>
      <c r="B355" s="129" t="inlineStr">
        <is>
          <t>AISC</t>
        </is>
      </c>
      <c r="C355" s="125" t="n">
        <v>539</v>
      </c>
      <c r="D355" s="125" t="n">
        <v>1030</v>
      </c>
      <c r="E355" s="125" t="n">
        <v>407</v>
      </c>
      <c r="F355" s="125" t="n">
        <v>51.1</v>
      </c>
      <c r="G355" s="125" t="n">
        <v>28.4</v>
      </c>
      <c r="H355" s="125" t="n">
        <v>30</v>
      </c>
      <c r="I355" s="125" t="n">
        <v>867.8</v>
      </c>
      <c r="J355" s="125" t="n">
        <v>687</v>
      </c>
      <c r="K355" s="125" t="n">
        <v>7.17</v>
      </c>
      <c r="L355" s="125" t="n">
        <v>17</v>
      </c>
      <c r="M355" s="125" t="n">
        <v>3.58</v>
      </c>
      <c r="N355" s="125" t="n">
        <v>1202540</v>
      </c>
      <c r="O355" s="125" t="n">
        <v>57630</v>
      </c>
      <c r="P355" s="125" t="n">
        <v>41.8</v>
      </c>
      <c r="Q355" s="125" t="n">
        <v>9.16</v>
      </c>
      <c r="R355" s="125" t="n">
        <v>23350</v>
      </c>
      <c r="S355" s="125" t="n">
        <v>2832</v>
      </c>
      <c r="T355" s="125">
        <f>(((E355*D355*D355)/4)-(((E355-G355)*(D355-F355-F355)*(D355-F355-F355))/4)+(4*(H355*H355*(D355/2-F355-(H355/2))-((PI()*H355*H355)/4*((D355/2)-F355-(H355-((4*H355)/(3*PI()))))))))/1000</f>
        <v/>
      </c>
      <c r="U355" s="125">
        <f>(((D355*E355*E355)/4)-(2*((D355-F355-F355)*(E355/2-(G355/2))*(((E355/2-(G355/2))/2)+(G355/2))))+(4*(((H355*H355)-(((PI()*H355*H355)/4)))*((H355-((4*H355)/(3*PI())))+(G355/2)))))/1000</f>
        <v/>
      </c>
      <c r="V355" s="125" t="n">
        <v>26824</v>
      </c>
      <c r="W355" s="125" t="n">
        <v>4436</v>
      </c>
      <c r="Y355">
        <f>SQRT((((VLOOKUP($X$4,$A$4:$D$1021,4,FALSE))-D355)^2)+(((VLOOKUP($X$4,$A$4:$E$1021,5,FALSE))-E355)^2))</f>
        <v/>
      </c>
    </row>
    <row r="356">
      <c r="A356" s="125" t="inlineStr">
        <is>
          <t>W40X397</t>
        </is>
      </c>
      <c r="B356" s="129" t="inlineStr">
        <is>
          <t>AISC</t>
        </is>
      </c>
      <c r="C356" s="125" t="n">
        <v>591</v>
      </c>
      <c r="D356" s="125" t="n">
        <v>1040</v>
      </c>
      <c r="E356" s="125" t="n">
        <v>409</v>
      </c>
      <c r="F356" s="125" t="n">
        <v>55.9</v>
      </c>
      <c r="G356" s="125" t="n">
        <v>31</v>
      </c>
      <c r="H356" s="125" t="n">
        <v>30</v>
      </c>
      <c r="I356" s="125" t="n">
        <v>868.2</v>
      </c>
      <c r="J356" s="125" t="n">
        <v>753</v>
      </c>
      <c r="K356" s="125" t="n">
        <v>6.6</v>
      </c>
      <c r="L356" s="125" t="n">
        <v>15.5</v>
      </c>
      <c r="M356" s="125" t="n">
        <v>3.6</v>
      </c>
      <c r="N356" s="125" t="n">
        <v>1331040</v>
      </c>
      <c r="O356" s="125" t="n">
        <v>64010</v>
      </c>
      <c r="P356" s="125" t="n">
        <v>42.1</v>
      </c>
      <c r="Q356" s="125" t="n">
        <v>9.220000000000001</v>
      </c>
      <c r="R356" s="125" t="n">
        <v>25597</v>
      </c>
      <c r="S356" s="125" t="n">
        <v>3130</v>
      </c>
      <c r="T356" s="125">
        <f>(((E356*D356*D356)/4)-(((E356-G356)*(D356-F356-F356)*(D356-F356-F356))/4)+(4*(H356*H356*(D356/2-F356-(H356/2))-((PI()*H356*H356)/4*((D356/2)-F356-(H356-((4*H356)/(3*PI()))))))))/1000</f>
        <v/>
      </c>
      <c r="U356" s="125">
        <f>(((D356*E356*E356)/4)-(2*((D356-F356-F356)*(E356/2-(G356/2))*(((E356/2-(G356/2))/2)+(G356/2))))+(4*(((H356*H356)-(((PI()*H356*H356)/4)))*((H356-((4*H356)/(3*PI())))+(G356/2)))))/1000</f>
        <v/>
      </c>
      <c r="V356" s="125" t="n">
        <v>29530</v>
      </c>
      <c r="W356" s="125" t="n">
        <v>4916</v>
      </c>
      <c r="Y356">
        <f>SQRT((((VLOOKUP($X$4,$A$4:$D$1021,4,FALSE))-D356)^2)+(((VLOOKUP($X$4,$A$4:$E$1021,5,FALSE))-E356)^2))</f>
        <v/>
      </c>
    </row>
    <row r="357">
      <c r="A357" s="125" t="inlineStr">
        <is>
          <t>W40X431</t>
        </is>
      </c>
      <c r="B357" s="129" t="inlineStr">
        <is>
          <t>AISC</t>
        </is>
      </c>
      <c r="C357" s="125" t="n">
        <v>642</v>
      </c>
      <c r="D357" s="125" t="n">
        <v>1048</v>
      </c>
      <c r="E357" s="125" t="n">
        <v>412</v>
      </c>
      <c r="F357" s="125" t="n">
        <v>60</v>
      </c>
      <c r="G357" s="125" t="n">
        <v>34</v>
      </c>
      <c r="H357" s="125" t="n">
        <v>30</v>
      </c>
      <c r="I357" s="125" t="n">
        <v>868</v>
      </c>
      <c r="J357" s="125" t="n">
        <v>818</v>
      </c>
      <c r="K357" s="125" t="n">
        <v>6.06</v>
      </c>
      <c r="L357" s="125" t="n">
        <v>14.5</v>
      </c>
      <c r="M357" s="125" t="n">
        <v>3.62</v>
      </c>
      <c r="N357" s="125" t="n">
        <v>1450590</v>
      </c>
      <c r="O357" s="125" t="n">
        <v>70280</v>
      </c>
      <c r="P357" s="125" t="n">
        <v>42.1</v>
      </c>
      <c r="Q357" s="125" t="n">
        <v>9.27</v>
      </c>
      <c r="R357" s="125" t="n">
        <v>27683</v>
      </c>
      <c r="S357" s="125" t="n">
        <v>3412</v>
      </c>
      <c r="T357" s="125">
        <f>(((E357*D357*D357)/4)-(((E357-G357)*(D357-F357-F357)*(D357-F357-F357))/4)+(4*(H357*H357*(D357/2-F357-(H357/2))-((PI()*H357*H357)/4*((D357/2)-F357-(H357-((4*H357)/(3*PI()))))))))/1000</f>
        <v/>
      </c>
      <c r="U357" s="125">
        <f>(((D357*E357*E357)/4)-(2*((D357-F357-F357)*(E357/2-(G357/2))*(((E357/2-(G357/2))/2)+(G357/2))))+(4*(((H357*H357)-(((PI()*H357*H357)/4)))*((H357-((4*H357)/(3*PI())))+(G357/2)))))/1000</f>
        <v/>
      </c>
      <c r="V357" s="125" t="n">
        <v>32097</v>
      </c>
      <c r="W357" s="125" t="n">
        <v>5379</v>
      </c>
      <c r="Y357">
        <f>SQRT((((VLOOKUP($X$4,$A$4:$D$1021,4,FALSE))-D357)^2)+(((VLOOKUP($X$4,$A$4:$E$1021,5,FALSE))-E357)^2))</f>
        <v/>
      </c>
    </row>
    <row r="358">
      <c r="A358" s="125" t="inlineStr">
        <is>
          <t>W40X503</t>
        </is>
      </c>
      <c r="B358" s="129" t="inlineStr">
        <is>
          <t>AISC</t>
        </is>
      </c>
      <c r="C358" s="125" t="n">
        <v>748</v>
      </c>
      <c r="D358" s="125" t="n">
        <v>1068</v>
      </c>
      <c r="E358" s="125" t="n">
        <v>417</v>
      </c>
      <c r="F358" s="125" t="n">
        <v>70</v>
      </c>
      <c r="G358" s="125" t="n">
        <v>39</v>
      </c>
      <c r="H358" s="125" t="n">
        <v>30</v>
      </c>
      <c r="I358" s="125" t="n">
        <v>868</v>
      </c>
      <c r="J358" s="125" t="n">
        <v>953</v>
      </c>
      <c r="K358" s="125" t="n">
        <v>5.35</v>
      </c>
      <c r="L358" s="125" t="n">
        <v>12.4</v>
      </c>
      <c r="M358" s="125" t="n">
        <v>3.67</v>
      </c>
      <c r="N358" s="125" t="n">
        <v>1731940</v>
      </c>
      <c r="O358" s="125" t="n">
        <v>85110</v>
      </c>
      <c r="P358" s="125" t="n">
        <v>42.6</v>
      </c>
      <c r="Q358" s="125" t="n">
        <v>9.449999999999999</v>
      </c>
      <c r="R358" s="125" t="n">
        <v>32433</v>
      </c>
      <c r="S358" s="125" t="n">
        <v>4082</v>
      </c>
      <c r="T358" s="125">
        <f>(((E358*D358*D358)/4)-(((E358-G358)*(D358-F358-F358)*(D358-F358-F358))/4)+(4*(H358*H358*(D358/2-F358-(H358/2))-((PI()*H358*H358)/4*((D358/2)-F358-(H358-((4*H358)/(3*PI()))))))))/1000</f>
        <v/>
      </c>
      <c r="U358" s="125">
        <f>(((D358*E358*E358)/4)-(2*((D358-F358-F358)*(E358/2-(G358/2))*(((E358/2-(G358/2))/2)+(G358/2))))+(4*(((H358*H358)-(((PI()*H358*H358)/4)))*((H358-((4*H358)/(3*PI())))+(G358/2)))))/1000</f>
        <v/>
      </c>
      <c r="V358" s="125" t="n">
        <v>37881</v>
      </c>
      <c r="W358" s="125" t="n">
        <v>6459</v>
      </c>
      <c r="Y358">
        <f>SQRT((((VLOOKUP($X$4,$A$4:$D$1021,4,FALSE))-D358)^2)+(((VLOOKUP($X$4,$A$4:$E$1021,5,FALSE))-E358)^2))</f>
        <v/>
      </c>
    </row>
    <row r="359">
      <c r="A359" s="125" t="inlineStr">
        <is>
          <t>W40X593</t>
        </is>
      </c>
      <c r="B359" s="129" t="inlineStr">
        <is>
          <t>AISC</t>
        </is>
      </c>
      <c r="C359" s="125" t="n">
        <v>883</v>
      </c>
      <c r="D359" s="125" t="n">
        <v>1092</v>
      </c>
      <c r="E359" s="125" t="n">
        <v>424</v>
      </c>
      <c r="F359" s="125" t="n">
        <v>82</v>
      </c>
      <c r="G359" s="125" t="n">
        <v>45.5</v>
      </c>
      <c r="H359" s="125" t="n">
        <v>30</v>
      </c>
      <c r="I359" s="125" t="n">
        <v>868</v>
      </c>
      <c r="J359" s="125" t="n">
        <v>1125</v>
      </c>
      <c r="K359" s="125" t="n">
        <v>4.66</v>
      </c>
      <c r="L359" s="125" t="n">
        <v>10.6</v>
      </c>
      <c r="M359" s="125" t="n">
        <v>3.74</v>
      </c>
      <c r="N359" s="125" t="n">
        <v>2096420</v>
      </c>
      <c r="O359" s="125" t="n">
        <v>104970</v>
      </c>
      <c r="P359" s="125" t="n">
        <v>43.2</v>
      </c>
      <c r="Q359" s="125" t="n">
        <v>9.66</v>
      </c>
      <c r="R359" s="125" t="n">
        <v>38396</v>
      </c>
      <c r="S359" s="125" t="n">
        <v>4952</v>
      </c>
      <c r="T359" s="125">
        <f>(((E359*D359*D359)/4)-(((E359-G359)*(D359-F359-F359)*(D359-F359-F359))/4)+(4*(H359*H359*(D359/2-F359-(H359/2))-((PI()*H359*H359)/4*((D359/2)-F359-(H359-((4*H359)/(3*PI()))))))))/1000</f>
        <v/>
      </c>
      <c r="U359" s="125">
        <f>(((D359*E359*E359)/4)-(2*((D359-F359-F359)*(E359/2-(G359/2))*(((E359/2-(G359/2))/2)+(G359/2))))+(4*(((H359*H359)-(((PI()*H359*H359)/4)))*((H359-((4*H359)/(3*PI())))+(G359/2)))))/1000</f>
        <v/>
      </c>
      <c r="V359" s="125" t="n">
        <v>45265</v>
      </c>
      <c r="W359" s="125" t="n">
        <v>7874</v>
      </c>
      <c r="Y359">
        <f>SQRT((((VLOOKUP($X$4,$A$4:$D$1021,4,FALSE))-D359)^2)+(((VLOOKUP($X$4,$A$4:$E$1021,5,FALSE))-E359)^2))</f>
        <v/>
      </c>
    </row>
    <row r="360">
      <c r="A360" s="125" t="inlineStr">
        <is>
          <t>W44X230</t>
        </is>
      </c>
      <c r="B360" s="129" t="inlineStr">
        <is>
          <t>AISC</t>
        </is>
      </c>
      <c r="C360" s="125" t="n">
        <v>343</v>
      </c>
      <c r="D360" s="125" t="n">
        <v>1090</v>
      </c>
      <c r="E360" s="125" t="n">
        <v>400</v>
      </c>
      <c r="F360" s="125" t="n">
        <v>31</v>
      </c>
      <c r="G360" s="125" t="n">
        <v>18</v>
      </c>
      <c r="H360" s="125" t="n">
        <v>20</v>
      </c>
      <c r="I360" s="125" t="n">
        <v>988</v>
      </c>
      <c r="J360" s="125" t="n">
        <v>437</v>
      </c>
      <c r="K360" s="125" t="n">
        <v>11.11</v>
      </c>
      <c r="L360" s="125" t="n">
        <v>31.9</v>
      </c>
      <c r="M360" s="125" t="n">
        <v>3.71</v>
      </c>
      <c r="N360" s="125" t="n">
        <v>867400</v>
      </c>
      <c r="O360" s="125" t="n">
        <v>33120</v>
      </c>
      <c r="P360" s="125" t="n">
        <v>44.6</v>
      </c>
      <c r="Q360" s="125" t="n">
        <v>8.710000000000001</v>
      </c>
      <c r="R360" s="125" t="n">
        <v>15920</v>
      </c>
      <c r="S360" s="125" t="n">
        <v>1656</v>
      </c>
      <c r="T360" s="125">
        <f>(((E360*D360*D360)/4)-(((E360-G360)*(D360-F360-F360)*(D360-F360-F360))/4)+(4*(H360*H360*(D360/2-F360-(H360/2))-((PI()*H360*H360)/4*((D360/2)-F360-(H360-((4*H360)/(3*PI()))))))))/1000</f>
        <v/>
      </c>
      <c r="U360" s="125">
        <f>(((D360*E360*E360)/4)-(2*((D360-F360-F360)*(E360/2-(G360/2))*(((E360/2-(G360/2))/2)+(G360/2))))+(4*(((H360*H360)-(((PI()*H360*H360)/4)))*((H360-((4*H360)/(3*PI())))+(G360/2)))))/1000</f>
        <v/>
      </c>
      <c r="V360" s="125" t="n">
        <v>18060</v>
      </c>
      <c r="W360" s="125" t="n">
        <v>2568</v>
      </c>
      <c r="Y360">
        <f>SQRT((((VLOOKUP($X$4,$A$4:$D$1021,4,FALSE))-D360)^2)+(((VLOOKUP($X$4,$A$4:$E$1021,5,FALSE))-E360)^2))</f>
        <v/>
      </c>
    </row>
    <row r="361">
      <c r="A361" s="125" t="inlineStr">
        <is>
          <t>W44X262</t>
        </is>
      </c>
      <c r="B361" s="129" t="inlineStr">
        <is>
          <t>AISC</t>
        </is>
      </c>
      <c r="C361" s="125" t="n">
        <v>390</v>
      </c>
      <c r="D361" s="125" t="n">
        <v>1100</v>
      </c>
      <c r="E361" s="125" t="n">
        <v>400</v>
      </c>
      <c r="F361" s="125" t="n">
        <v>36</v>
      </c>
      <c r="G361" s="125" t="n">
        <v>20</v>
      </c>
      <c r="H361" s="125" t="n">
        <v>20</v>
      </c>
      <c r="I361" s="125" t="n">
        <v>988</v>
      </c>
      <c r="J361" s="125" t="n">
        <v>497</v>
      </c>
      <c r="K361" s="125" t="n">
        <v>10</v>
      </c>
      <c r="L361" s="125" t="n">
        <v>27.4</v>
      </c>
      <c r="M361" s="125" t="n">
        <v>3.73</v>
      </c>
      <c r="N361" s="125" t="n">
        <v>1005000</v>
      </c>
      <c r="O361" s="125" t="n">
        <v>38480</v>
      </c>
      <c r="P361" s="125" t="n">
        <v>45</v>
      </c>
      <c r="Q361" s="125" t="n">
        <v>8.800000000000001</v>
      </c>
      <c r="R361" s="125" t="n">
        <v>18280</v>
      </c>
      <c r="S361" s="125" t="n">
        <v>1924</v>
      </c>
      <c r="T361" s="125">
        <f>(((E361*D361*D361)/4)-(((E361-G361)*(D361-F361-F361)*(D361-F361-F361))/4)+(4*(H361*H361*(D361/2-F361-(H361/2))-((PI()*H361*H361)/4*((D361/2)-F361-(H361-((4*H361)/(3*PI()))))))))/1000</f>
        <v/>
      </c>
      <c r="U361" s="125">
        <f>(((D361*E361*E361)/4)-(2*((D361-F361-F361)*(E361/2-(G361/2))*(((E361/2-(G361/2))/2)+(G361/2))))+(4*(((H361*H361)-(((PI()*H361*H361)/4)))*((H361-((4*H361)/(3*PI())))+(G361/2)))))/1000</f>
        <v/>
      </c>
      <c r="V361" s="125" t="n">
        <v>20780</v>
      </c>
      <c r="W361" s="125" t="n">
        <v>2988</v>
      </c>
      <c r="Y361">
        <f>SQRT((((VLOOKUP($X$4,$A$4:$D$1021,4,FALSE))-D361)^2)+(((VLOOKUP($X$4,$A$4:$E$1021,5,FALSE))-E361)^2))</f>
        <v/>
      </c>
    </row>
    <row r="362">
      <c r="A362" s="125" t="inlineStr">
        <is>
          <t>W44X290</t>
        </is>
      </c>
      <c r="B362" s="129" t="inlineStr">
        <is>
          <t>AISC</t>
        </is>
      </c>
      <c r="C362" s="125" t="n">
        <v>433</v>
      </c>
      <c r="D362" s="125" t="n">
        <v>1108</v>
      </c>
      <c r="E362" s="125" t="n">
        <v>402</v>
      </c>
      <c r="F362" s="125" t="n">
        <v>40</v>
      </c>
      <c r="G362" s="125" t="n">
        <v>22</v>
      </c>
      <c r="H362" s="125" t="n">
        <v>20</v>
      </c>
      <c r="I362" s="125" t="n">
        <v>988</v>
      </c>
      <c r="J362" s="125" t="n">
        <v>551</v>
      </c>
      <c r="K362" s="125" t="n">
        <v>9.140000000000001</v>
      </c>
      <c r="L362" s="125" t="n">
        <v>24.7</v>
      </c>
      <c r="M362" s="125" t="n">
        <v>3.75</v>
      </c>
      <c r="N362" s="125" t="n">
        <v>1126000</v>
      </c>
      <c r="O362" s="125" t="n">
        <v>43410</v>
      </c>
      <c r="P362" s="125" t="n">
        <v>45.2</v>
      </c>
      <c r="Q362" s="125" t="n">
        <v>8.869999999999999</v>
      </c>
      <c r="R362" s="125" t="n">
        <v>20320</v>
      </c>
      <c r="S362" s="125" t="n">
        <v>2160</v>
      </c>
      <c r="T362" s="125">
        <f>(((E362*D362*D362)/4)-(((E362-G362)*(D362-F362-F362)*(D362-F362-F362))/4)+(4*(H362*H362*(D362/2-F362-(H362/2))-((PI()*H362*H362)/4*((D362/2)-F362-(H362-((4*H362)/(3*PI()))))))))/1000</f>
        <v/>
      </c>
      <c r="U362" s="125">
        <f>(((D362*E362*E362)/4)-(2*((D362-F362-F362)*(E362/2-(G362/2))*(((E362/2-(G362/2))/2)+(G362/2))))+(4*(((H362*H362)-(((PI()*H362*H362)/4)))*((H362-((4*H362)/(3*PI())))+(G362/2)))))/1000</f>
        <v/>
      </c>
      <c r="V362" s="125" t="n">
        <v>23160</v>
      </c>
      <c r="W362" s="125" t="n">
        <v>3362</v>
      </c>
      <c r="Y362">
        <f>SQRT((((VLOOKUP($X$4,$A$4:$D$1021,4,FALSE))-D362)^2)+(((VLOOKUP($X$4,$A$4:$E$1021,5,FALSE))-E362)^2))</f>
        <v/>
      </c>
    </row>
    <row r="363">
      <c r="A363" s="125" t="inlineStr">
        <is>
          <t>W44X335</t>
        </is>
      </c>
      <c r="B363" s="129" t="inlineStr">
        <is>
          <t>AISC</t>
        </is>
      </c>
      <c r="C363" s="125" t="n">
        <v>499</v>
      </c>
      <c r="D363" s="125" t="n">
        <v>1118</v>
      </c>
      <c r="E363" s="125" t="n">
        <v>405</v>
      </c>
      <c r="F363" s="125" t="n">
        <v>45</v>
      </c>
      <c r="G363" s="125" t="n">
        <v>26</v>
      </c>
      <c r="H363" s="125" t="n">
        <v>20</v>
      </c>
      <c r="I363" s="125" t="n">
        <v>988</v>
      </c>
      <c r="J363" s="125" t="n">
        <v>635</v>
      </c>
      <c r="K363" s="125" t="n">
        <v>7.79</v>
      </c>
      <c r="L363" s="125" t="n">
        <v>22</v>
      </c>
      <c r="M363" s="125" t="n">
        <v>3.77</v>
      </c>
      <c r="N363" s="125" t="n">
        <v>1294000</v>
      </c>
      <c r="O363" s="125" t="n">
        <v>49980</v>
      </c>
      <c r="P363" s="125" t="n">
        <v>45.1</v>
      </c>
      <c r="Q363" s="125" t="n">
        <v>8.869999999999999</v>
      </c>
      <c r="R363" s="125" t="n">
        <v>23150</v>
      </c>
      <c r="S363" s="125" t="n">
        <v>2468</v>
      </c>
      <c r="T363" s="125">
        <f>(((E363*D363*D363)/4)-(((E363-G363)*(D363-F363-F363)*(D363-F363-F363))/4)+(4*(H363*H363*(D363/2-F363-(H363/2))-((PI()*H363*H363)/4*((D363/2)-F363-(H363-((4*H363)/(3*PI()))))))))/1000</f>
        <v/>
      </c>
      <c r="U363" s="125">
        <f>(((D363*E363*E363)/4)-(2*((D363-F363-F363)*(E363/2-(G363/2))*(((E363/2-(G363/2))/2)+(G363/2))))+(4*(((H363*H363)-(((PI()*H363*H363)/4)))*((H363-((4*H363)/(3*PI())))+(G363/2)))))/1000</f>
        <v/>
      </c>
      <c r="V363" s="125" t="n">
        <v>26600</v>
      </c>
      <c r="W363" s="125" t="n">
        <v>3870</v>
      </c>
      <c r="Y363">
        <f>SQRT((((VLOOKUP($X$4,$A$4:$D$1021,4,FALSE))-D363)^2)+(((VLOOKUP($X$4,$A$4:$E$1021,5,FALSE))-E363)^2))</f>
        <v/>
      </c>
    </row>
    <row r="364">
      <c r="A364" s="125" t="inlineStr">
        <is>
          <t>HW100X16.9</t>
        </is>
      </c>
      <c r="B364" s="129" t="inlineStr">
        <is>
          <t>GB</t>
        </is>
      </c>
      <c r="C364" s="125">
        <f>_xlfn.TEXTAFTER(A364,"X")</f>
        <v/>
      </c>
      <c r="D364" s="125" t="n">
        <v>100</v>
      </c>
      <c r="E364" s="125" t="n">
        <v>100</v>
      </c>
      <c r="F364" s="125" t="n">
        <v>8</v>
      </c>
      <c r="G364" s="125" t="n">
        <v>6</v>
      </c>
      <c r="H364" s="125" t="n">
        <v>8</v>
      </c>
      <c r="I364" s="125">
        <f>D364-(2*(H364+F364))</f>
        <v/>
      </c>
      <c r="J364" s="125" t="n">
        <v>21.59</v>
      </c>
      <c r="K364" s="125">
        <f>(E364/2)/F364</f>
        <v/>
      </c>
      <c r="L364" s="125">
        <f>I364/G364</f>
        <v/>
      </c>
      <c r="M364" s="125">
        <f>(E364*2+F364*4+((E364-G364)/2-H364)*4+2*PI()*H364+(D364-2*F364-2*H364)*2)/1000</f>
        <v/>
      </c>
      <c r="N364" s="125" t="n">
        <v>386</v>
      </c>
      <c r="O364" s="125" t="n">
        <v>134</v>
      </c>
      <c r="P364" s="125" t="n">
        <v>4.23</v>
      </c>
      <c r="Q364" s="125" t="n">
        <v>2.49</v>
      </c>
      <c r="R364" s="125" t="n">
        <v>77.09999999999999</v>
      </c>
      <c r="S364" s="125" t="n">
        <v>26.7</v>
      </c>
      <c r="T364" s="125">
        <f>(((E364*D364*D364)/4)-(((E364-G364)*(D364-F364-F364)*(D364-F364-F364))/4)+(4*(H364*H364*(D364/2-F364-(H364/2))-((PI()*H364*H364)/4*((D364/2)-F364-(H364-((4*H364)/(3*PI()))))))))/1000</f>
        <v/>
      </c>
      <c r="U364" s="125">
        <f>(((D364*E364*E364)/4)-(2*((D364-F364-F364)*(E364/2-(G364/2))*(((E364/2-(G364/2))/2)+(G364/2))))+(4*(((H364*H364)-(((PI()*H364*H364)/4)))*((H364-((4*H364)/(3*PI())))+(G364/2)))))/1000</f>
        <v/>
      </c>
      <c r="Y364">
        <f>SQRT((((VLOOKUP($X$4,$A$4:$D$1021,4,FALSE))-D364)^2)+(((VLOOKUP($X$4,$A$4:$E$1021,5,FALSE))-E364)^2))</f>
        <v/>
      </c>
    </row>
    <row r="365">
      <c r="A365" s="125" t="inlineStr">
        <is>
          <t>HW125X23.6</t>
        </is>
      </c>
      <c r="B365" s="129" t="inlineStr">
        <is>
          <t>GB</t>
        </is>
      </c>
      <c r="C365" s="125">
        <f>_xlfn.TEXTAFTER(A365,"X")</f>
        <v/>
      </c>
      <c r="D365" s="125" t="n">
        <v>125</v>
      </c>
      <c r="E365" s="125" t="n">
        <v>125</v>
      </c>
      <c r="F365" s="125" t="n">
        <v>9</v>
      </c>
      <c r="G365" s="125" t="n">
        <v>6.5</v>
      </c>
      <c r="H365" s="125" t="n">
        <v>8</v>
      </c>
      <c r="I365" s="125">
        <f>D365-(2*(H365+F365))</f>
        <v/>
      </c>
      <c r="J365" s="125" t="n">
        <v>30</v>
      </c>
      <c r="K365" s="125">
        <f>(E365/2)/F365</f>
        <v/>
      </c>
      <c r="L365" s="125">
        <f>I365/G365</f>
        <v/>
      </c>
      <c r="M365" s="125">
        <f>(E365*2+F365*4+((E365-G365)/2-H365)*4+2*PI()*H365+(D365-2*F365-2*H365)*2)/1000</f>
        <v/>
      </c>
      <c r="N365" s="125" t="n">
        <v>843</v>
      </c>
      <c r="O365" s="125" t="n">
        <v>293</v>
      </c>
      <c r="P365" s="125" t="n">
        <v>5.3</v>
      </c>
      <c r="Q365" s="125" t="n">
        <v>3.13</v>
      </c>
      <c r="R365" s="125" t="n">
        <v>135</v>
      </c>
      <c r="S365" s="125" t="n">
        <v>46.9</v>
      </c>
      <c r="T365" s="125">
        <f>(((E365*D365*D365)/4)-(((E365-G365)*(D365-F365-F365)*(D365-F365-F365))/4)+(4*(H365*H365*(D365/2-F365-(H365/2))-((PI()*H365*H365)/4*((D365/2)-F365-(H365-((4*H365)/(3*PI()))))))))/1000</f>
        <v/>
      </c>
      <c r="U365" s="125">
        <f>(((D365*E365*E365)/4)-(2*((D365-F365-F365)*(E365/2-(G365/2))*(((E365/2-(G365/2))/2)+(G365/2))))+(4*(((H365*H365)-(((PI()*H365*H365)/4)))*((H365-((4*H365)/(3*PI())))+(G365/2)))))/1000</f>
        <v/>
      </c>
      <c r="Y365">
        <f>SQRT((((VLOOKUP($X$4,$A$4:$D$1021,4,FALSE))-D365)^2)+(((VLOOKUP($X$4,$A$4:$E$1021,5,FALSE))-E365)^2))</f>
        <v/>
      </c>
    </row>
    <row r="366">
      <c r="A366" s="125" t="inlineStr">
        <is>
          <t>HW150X31.1</t>
        </is>
      </c>
      <c r="B366" s="129" t="inlineStr">
        <is>
          <t>GB</t>
        </is>
      </c>
      <c r="C366" s="125">
        <f>_xlfn.TEXTAFTER(A366,"X")</f>
        <v/>
      </c>
      <c r="D366" s="125" t="n">
        <v>150</v>
      </c>
      <c r="E366" s="125" t="n">
        <v>150</v>
      </c>
      <c r="F366" s="125" t="n">
        <v>10</v>
      </c>
      <c r="G366" s="125" t="n">
        <v>7</v>
      </c>
      <c r="H366" s="125" t="n">
        <v>8</v>
      </c>
      <c r="I366" s="125">
        <f>D366-(2*(H366+F366))</f>
        <v/>
      </c>
      <c r="J366" s="125" t="n">
        <v>39.65</v>
      </c>
      <c r="K366" s="125">
        <f>(E366/2)/F366</f>
        <v/>
      </c>
      <c r="L366" s="125">
        <f>I366/G366</f>
        <v/>
      </c>
      <c r="M366" s="125">
        <f>(E366*2+F366*4+((E366-G366)/2-H366)*4+2*PI()*H366+(D366-2*F366-2*H366)*2)/1000</f>
        <v/>
      </c>
      <c r="N366" s="5" t="n">
        <v>1620</v>
      </c>
      <c r="O366" s="125" t="n">
        <v>563</v>
      </c>
      <c r="P366" s="125" t="n">
        <v>6.39</v>
      </c>
      <c r="Q366" s="125" t="n">
        <v>3.77</v>
      </c>
      <c r="R366" s="125" t="n">
        <v>216</v>
      </c>
      <c r="S366" s="125" t="n">
        <v>75.09999999999999</v>
      </c>
      <c r="T366" s="125">
        <f>(((E366*D366*D366)/4)-(((E366-G366)*(D366-F366-F366)*(D366-F366-F366))/4)+(4*(H366*H366*(D366/2-F366-(H366/2))-((PI()*H366*H366)/4*((D366/2)-F366-(H366-((4*H366)/(3*PI()))))))))/1000</f>
        <v/>
      </c>
      <c r="U366" s="125">
        <f>(((D366*E366*E366)/4)-(2*((D366-F366-F366)*(E366/2-(G366/2))*(((E366/2-(G366/2))/2)+(G366/2))))+(4*(((H366*H366)-(((PI()*H366*H366)/4)))*((H366-((4*H366)/(3*PI())))+(G366/2)))))/1000</f>
        <v/>
      </c>
      <c r="Y366">
        <f>SQRT((((VLOOKUP($X$4,$A$4:$D$1021,4,FALSE))-D366)^2)+(((VLOOKUP($X$4,$A$4:$E$1021,5,FALSE))-E366)^2))</f>
        <v/>
      </c>
    </row>
    <row r="367">
      <c r="A367" s="125" t="inlineStr">
        <is>
          <t>HW175X40.4</t>
        </is>
      </c>
      <c r="B367" s="129" t="inlineStr">
        <is>
          <t>GB</t>
        </is>
      </c>
      <c r="C367" s="125">
        <f>_xlfn.TEXTAFTER(A367,"X")</f>
        <v/>
      </c>
      <c r="D367" s="125" t="n">
        <v>175</v>
      </c>
      <c r="E367" s="125" t="n">
        <v>175</v>
      </c>
      <c r="F367" s="125" t="n">
        <v>11</v>
      </c>
      <c r="G367" s="125" t="n">
        <v>7.5</v>
      </c>
      <c r="H367" s="125" t="n">
        <v>13</v>
      </c>
      <c r="I367" s="125">
        <f>D367-(2*(H367+F367))</f>
        <v/>
      </c>
      <c r="J367" s="125" t="n">
        <v>51.43</v>
      </c>
      <c r="K367" s="125">
        <f>(E367/2)/F367</f>
        <v/>
      </c>
      <c r="L367" s="125">
        <f>I367/G367</f>
        <v/>
      </c>
      <c r="M367" s="125">
        <f>(E367*2+F367*4+((E367-G367)/2-H367)*4+2*PI()*H367+(D367-2*F367-2*H367)*2)/1000</f>
        <v/>
      </c>
      <c r="N367" s="5" t="n">
        <v>2918</v>
      </c>
      <c r="O367" s="125" t="n">
        <v>983</v>
      </c>
      <c r="P367" s="125" t="n">
        <v>7.53</v>
      </c>
      <c r="Q367" s="125" t="n">
        <v>4.37</v>
      </c>
      <c r="R367" s="125" t="n">
        <v>334</v>
      </c>
      <c r="S367" s="125" t="n">
        <v>112</v>
      </c>
      <c r="T367" s="125">
        <f>(((E367*D367*D367)/4)-(((E367-G367)*(D367-F367-F367)*(D367-F367-F367))/4)+(4*(H367*H367*(D367/2-F367-(H367/2))-((PI()*H367*H367)/4*((D367/2)-F367-(H367-((4*H367)/(3*PI()))))))))/1000</f>
        <v/>
      </c>
      <c r="U367" s="125">
        <f>(((D367*E367*E367)/4)-(2*((D367-F367-F367)*(E367/2-(G367/2))*(((E367/2-(G367/2))/2)+(G367/2))))+(4*(((H367*H367)-(((PI()*H367*H367)/4)))*((H367-((4*H367)/(3*PI())))+(G367/2)))))/1000</f>
        <v/>
      </c>
      <c r="Y367">
        <f>SQRT((((VLOOKUP($X$4,$A$4:$D$1021,4,FALSE))-D367)^2)+(((VLOOKUP($X$4,$A$4:$E$1021,5,FALSE))-E367)^2))</f>
        <v/>
      </c>
    </row>
    <row r="368">
      <c r="A368" s="125" t="inlineStr">
        <is>
          <t>HW200X49.9</t>
        </is>
      </c>
      <c r="B368" s="129" t="inlineStr">
        <is>
          <t>GB</t>
        </is>
      </c>
      <c r="C368" s="125">
        <f>_xlfn.TEXTAFTER(A368,"X")</f>
        <v/>
      </c>
      <c r="D368" s="125" t="n">
        <v>200</v>
      </c>
      <c r="E368" s="125" t="n">
        <v>200</v>
      </c>
      <c r="F368" s="125" t="n">
        <v>12</v>
      </c>
      <c r="G368" s="125" t="n">
        <v>8</v>
      </c>
      <c r="H368" s="125" t="n">
        <v>13</v>
      </c>
      <c r="I368" s="125">
        <f>D368-(2*(H368+F368))</f>
        <v/>
      </c>
      <c r="J368" s="125" t="n">
        <v>63.53</v>
      </c>
      <c r="K368" s="125">
        <f>(E368/2)/F368</f>
        <v/>
      </c>
      <c r="L368" s="125">
        <f>I368/G368</f>
        <v/>
      </c>
      <c r="M368" s="125">
        <f>(E368*2+F368*4+((E368-G368)/2-H368)*4+2*PI()*H368+(D368-2*F368-2*H368)*2)/1000</f>
        <v/>
      </c>
      <c r="N368" s="5" t="n">
        <v>4717</v>
      </c>
      <c r="O368" s="5" t="n">
        <v>1601</v>
      </c>
      <c r="P368" s="125" t="n">
        <v>8.619999999999999</v>
      </c>
      <c r="Q368" s="125" t="n">
        <v>5.02</v>
      </c>
      <c r="R368" s="125" t="n">
        <v>472</v>
      </c>
      <c r="S368" s="125" t="n">
        <v>160</v>
      </c>
      <c r="T368" s="125">
        <f>(((E368*D368*D368)/4)-(((E368-G368)*(D368-F368-F368)*(D368-F368-F368))/4)+(4*(H368*H368*(D368/2-F368-(H368/2))-((PI()*H368*H368)/4*((D368/2)-F368-(H368-((4*H368)/(3*PI()))))))))/1000</f>
        <v/>
      </c>
      <c r="U368" s="125">
        <f>(((D368*E368*E368)/4)-(2*((D368-F368-F368)*(E368/2-(G368/2))*(((E368/2-(G368/2))/2)+(G368/2))))+(4*(((H368*H368)-(((PI()*H368*H368)/4)))*((H368-((4*H368)/(3*PI())))+(G368/2)))))/1000</f>
        <v/>
      </c>
      <c r="Y368">
        <f>SQRT((((VLOOKUP($X$4,$A$4:$D$1021,4,FALSE))-D368)^2)+(((VLOOKUP($X$4,$A$4:$E$1021,5,FALSE))-E368)^2))</f>
        <v/>
      </c>
    </row>
    <row r="369">
      <c r="A369" s="125" t="inlineStr">
        <is>
          <t>HW200X56.2</t>
        </is>
      </c>
      <c r="B369" s="129" t="inlineStr">
        <is>
          <t>GB</t>
        </is>
      </c>
      <c r="C369" s="125">
        <f>_xlfn.TEXTAFTER(A369,"X")</f>
        <v/>
      </c>
      <c r="D369" s="125" t="n">
        <v>200</v>
      </c>
      <c r="E369" s="125" t="n">
        <v>204</v>
      </c>
      <c r="F369" s="125" t="n">
        <v>12</v>
      </c>
      <c r="G369" s="125" t="n">
        <v>12</v>
      </c>
      <c r="H369" s="125" t="n">
        <v>13</v>
      </c>
      <c r="I369" s="125">
        <f>D369-(2*(H369+F369))</f>
        <v/>
      </c>
      <c r="J369" s="125" t="n">
        <v>71.53</v>
      </c>
      <c r="K369" s="125">
        <f>(E369/2)/F369</f>
        <v/>
      </c>
      <c r="L369" s="125">
        <f>I369/G369</f>
        <v/>
      </c>
      <c r="M369" s="125">
        <f>(E369*2+F369*4+((E369-G369)/2-H369)*4+2*PI()*H369+(D369-2*F369-2*H369)*2)/1000</f>
        <v/>
      </c>
      <c r="N369" s="5" t="n">
        <v>4984</v>
      </c>
      <c r="O369" s="5" t="n">
        <v>1701</v>
      </c>
      <c r="P369" s="125" t="n">
        <v>8.35</v>
      </c>
      <c r="Q369" s="125" t="n">
        <v>4.88</v>
      </c>
      <c r="R369" s="125" t="n">
        <v>498</v>
      </c>
      <c r="S369" s="125" t="n">
        <v>167</v>
      </c>
      <c r="T369" s="125">
        <f>(((E369*D369*D369)/4)-(((E369-G369)*(D369-F369-F369)*(D369-F369-F369))/4)+(4*(H369*H369*(D369/2-F369-(H369/2))-((PI()*H369*H369)/4*((D369/2)-F369-(H369-((4*H369)/(3*PI()))))))))/1000</f>
        <v/>
      </c>
      <c r="U369" s="125">
        <f>(((D369*E369*E369)/4)-(2*((D369-F369-F369)*(E369/2-(G369/2))*(((E369/2-(G369/2))/2)+(G369/2))))+(4*(((H369*H369)-(((PI()*H369*H369)/4)))*((H369-((4*H369)/(3*PI())))+(G369/2)))))/1000</f>
        <v/>
      </c>
      <c r="Y369">
        <f>SQRT((((VLOOKUP($X$4,$A$4:$D$1021,4,FALSE))-D369)^2)+(((VLOOKUP($X$4,$A$4:$E$1021,5,FALSE))-E369)^2))</f>
        <v/>
      </c>
    </row>
    <row r="370">
      <c r="A370" s="125" t="inlineStr">
        <is>
          <t>HW250X63.8</t>
        </is>
      </c>
      <c r="B370" s="129" t="inlineStr">
        <is>
          <t>GB</t>
        </is>
      </c>
      <c r="C370" s="125">
        <f>_xlfn.TEXTAFTER(A370,"X")</f>
        <v/>
      </c>
      <c r="D370" s="125" t="n">
        <v>244</v>
      </c>
      <c r="E370" s="125" t="n">
        <v>252</v>
      </c>
      <c r="F370" s="125" t="n">
        <v>11</v>
      </c>
      <c r="G370" s="125" t="n">
        <v>11</v>
      </c>
      <c r="H370" s="125" t="n">
        <v>13</v>
      </c>
      <c r="I370" s="125">
        <f>D370-(2*(H370+F370))</f>
        <v/>
      </c>
      <c r="J370" s="125" t="n">
        <v>81.31</v>
      </c>
      <c r="K370" s="125">
        <f>(E370/2)/F370</f>
        <v/>
      </c>
      <c r="L370" s="125">
        <f>I370/G370</f>
        <v/>
      </c>
      <c r="M370" s="125">
        <f>(E370*2+F370*4+((E370-G370)/2-H370)*4+2*PI()*H370+(D370-2*F370-2*H370)*2)/1000</f>
        <v/>
      </c>
      <c r="N370" s="5" t="n">
        <v>8573</v>
      </c>
      <c r="O370" s="5" t="n">
        <v>2937</v>
      </c>
      <c r="P370" s="125" t="n">
        <v>10.27</v>
      </c>
      <c r="Q370" s="125" t="n">
        <v>6.01</v>
      </c>
      <c r="R370" s="125" t="n">
        <v>703</v>
      </c>
      <c r="S370" s="125" t="n">
        <v>233</v>
      </c>
      <c r="T370" s="125">
        <f>(((E370*D370*D370)/4)-(((E370-G370)*(D370-F370-F370)*(D370-F370-F370))/4)+(4*(H370*H370*(D370/2-F370-(H370/2))-((PI()*H370*H370)/4*((D370/2)-F370-(H370-((4*H370)/(3*PI()))))))))/1000</f>
        <v/>
      </c>
      <c r="U370" s="125">
        <f>(((D370*E370*E370)/4)-(2*((D370-F370-F370)*(E370/2-(G370/2))*(((E370/2-(G370/2))/2)+(G370/2))))+(4*(((H370*H370)-(((PI()*H370*H370)/4)))*((H370-((4*H370)/(3*PI())))+(G370/2)))))/1000</f>
        <v/>
      </c>
      <c r="Y370">
        <f>SQRT((((VLOOKUP($X$4,$A$4:$D$1021,4,FALSE))-D370)^2)+(((VLOOKUP($X$4,$A$4:$E$1021,5,FALSE))-E370)^2))</f>
        <v/>
      </c>
    </row>
    <row r="371">
      <c r="A371" s="125" t="inlineStr">
        <is>
          <t>HW250X71.8</t>
        </is>
      </c>
      <c r="B371" s="129" t="inlineStr">
        <is>
          <t>GB</t>
        </is>
      </c>
      <c r="C371" s="125">
        <f>_xlfn.TEXTAFTER(A371,"X")</f>
        <v/>
      </c>
      <c r="D371" s="125" t="n">
        <v>250</v>
      </c>
      <c r="E371" s="125" t="n">
        <v>250</v>
      </c>
      <c r="F371" s="125" t="n">
        <v>14</v>
      </c>
      <c r="G371" s="125" t="n">
        <v>9</v>
      </c>
      <c r="H371" s="125" t="n">
        <v>13</v>
      </c>
      <c r="I371" s="125">
        <f>D371-(2*(H371+F371))</f>
        <v/>
      </c>
      <c r="J371" s="125" t="n">
        <v>91.43000000000001</v>
      </c>
      <c r="K371" s="125">
        <f>(E371/2)/F371</f>
        <v/>
      </c>
      <c r="L371" s="125">
        <f>I371/G371</f>
        <v/>
      </c>
      <c r="M371" s="125">
        <f>(E371*2+F371*4+((E371-G371)/2-H371)*4+2*PI()*H371+(D371-2*F371-2*H371)*2)/1000</f>
        <v/>
      </c>
      <c r="N371" s="5" t="n">
        <v>10689</v>
      </c>
      <c r="O371" s="5" t="n">
        <v>3648</v>
      </c>
      <c r="P371" s="125" t="n">
        <v>10.81</v>
      </c>
      <c r="Q371" s="125" t="n">
        <v>6.32</v>
      </c>
      <c r="R371" s="125" t="n">
        <v>855</v>
      </c>
      <c r="S371" s="125" t="n">
        <v>292</v>
      </c>
      <c r="T371" s="125">
        <f>(((E371*D371*D371)/4)-(((E371-G371)*(D371-F371-F371)*(D371-F371-F371))/4)+(4*(H371*H371*(D371/2-F371-(H371/2))-((PI()*H371*H371)/4*((D371/2)-F371-(H371-((4*H371)/(3*PI()))))))))/1000</f>
        <v/>
      </c>
      <c r="U371" s="125">
        <f>(((D371*E371*E371)/4)-(2*((D371-F371-F371)*(E371/2-(G371/2))*(((E371/2-(G371/2))/2)+(G371/2))))+(4*(((H371*H371)-(((PI()*H371*H371)/4)))*((H371-((4*H371)/(3*PI())))+(G371/2)))))/1000</f>
        <v/>
      </c>
      <c r="Y371">
        <f>SQRT((((VLOOKUP($X$4,$A$4:$D$1021,4,FALSE))-D371)^2)+(((VLOOKUP($X$4,$A$4:$E$1021,5,FALSE))-E371)^2))</f>
        <v/>
      </c>
    </row>
    <row r="372">
      <c r="A372" s="125" t="inlineStr">
        <is>
          <t>HW250X81.6</t>
        </is>
      </c>
      <c r="B372" s="129" t="inlineStr">
        <is>
          <t>GB</t>
        </is>
      </c>
      <c r="C372" s="125">
        <f>_xlfn.TEXTAFTER(A372,"X")</f>
        <v/>
      </c>
      <c r="D372" s="125" t="n">
        <v>250</v>
      </c>
      <c r="E372" s="125" t="n">
        <v>255</v>
      </c>
      <c r="F372" s="125" t="n">
        <v>14</v>
      </c>
      <c r="G372" s="125" t="n">
        <v>14</v>
      </c>
      <c r="H372" s="125" t="n">
        <v>13</v>
      </c>
      <c r="I372" s="125">
        <f>D372-(2*(H372+F372))</f>
        <v/>
      </c>
      <c r="J372" s="125" t="n">
        <v>103.93</v>
      </c>
      <c r="K372" s="125">
        <f>(E372/2)/F372</f>
        <v/>
      </c>
      <c r="L372" s="125">
        <f>I372/G372</f>
        <v/>
      </c>
      <c r="M372" s="125">
        <f>(E372*2+F372*4+((E372-G372)/2-H372)*4+2*PI()*H372+(D372-2*F372-2*H372)*2)/1000</f>
        <v/>
      </c>
      <c r="N372" s="5" t="n">
        <v>11340</v>
      </c>
      <c r="O372" s="5" t="n">
        <v>3875</v>
      </c>
      <c r="P372" s="125" t="n">
        <v>10.45</v>
      </c>
      <c r="Q372" s="125" t="n">
        <v>6.11</v>
      </c>
      <c r="R372" s="125" t="n">
        <v>907</v>
      </c>
      <c r="S372" s="125" t="n">
        <v>304</v>
      </c>
      <c r="T372" s="125">
        <f>(((E372*D372*D372)/4)-(((E372-G372)*(D372-F372-F372)*(D372-F372-F372))/4)+(4*(H372*H372*(D372/2-F372-(H372/2))-((PI()*H372*H372)/4*((D372/2)-F372-(H372-((4*H372)/(3*PI()))))))))/1000</f>
        <v/>
      </c>
      <c r="U372" s="125">
        <f>(((D372*E372*E372)/4)-(2*((D372-F372-F372)*(E372/2-(G372/2))*(((E372/2-(G372/2))/2)+(G372/2))))+(4*(((H372*H372)-(((PI()*H372*H372)/4)))*((H372-((4*H372)/(3*PI())))+(G372/2)))))/1000</f>
        <v/>
      </c>
      <c r="Y372">
        <f>SQRT((((VLOOKUP($X$4,$A$4:$D$1021,4,FALSE))-D372)^2)+(((VLOOKUP($X$4,$A$4:$E$1021,5,FALSE))-E372)^2))</f>
        <v/>
      </c>
    </row>
    <row r="373">
      <c r="A373" s="125" t="inlineStr">
        <is>
          <t>HW300X83.5</t>
        </is>
      </c>
      <c r="B373" s="129" t="inlineStr">
        <is>
          <t>GB</t>
        </is>
      </c>
      <c r="C373" s="125">
        <f>_xlfn.TEXTAFTER(A373,"X")</f>
        <v/>
      </c>
      <c r="D373" s="125" t="n">
        <v>294</v>
      </c>
      <c r="E373" s="125" t="n">
        <v>302</v>
      </c>
      <c r="F373" s="125" t="n">
        <v>12</v>
      </c>
      <c r="G373" s="125" t="n">
        <v>12</v>
      </c>
      <c r="H373" s="125" t="n">
        <v>13</v>
      </c>
      <c r="I373" s="125">
        <f>D373-(2*(H373+F373))</f>
        <v/>
      </c>
      <c r="J373" s="125" t="n">
        <v>106.33</v>
      </c>
      <c r="K373" s="125">
        <f>(E373/2)/F373</f>
        <v/>
      </c>
      <c r="L373" s="125">
        <f>I373/G373</f>
        <v/>
      </c>
      <c r="M373" s="125">
        <f>(E373*2+F373*4+((E373-G373)/2-H373)*4+2*PI()*H373+(D373-2*F373-2*H373)*2)/1000</f>
        <v/>
      </c>
      <c r="N373" s="5" t="n">
        <v>16384</v>
      </c>
      <c r="O373" s="5" t="n">
        <v>5513</v>
      </c>
      <c r="P373" s="125" t="n">
        <v>12.41</v>
      </c>
      <c r="Q373" s="125" t="n">
        <v>7.2</v>
      </c>
      <c r="R373" s="5" t="n">
        <v>1115</v>
      </c>
      <c r="S373" s="125" t="n">
        <v>365</v>
      </c>
      <c r="T373" s="125">
        <f>(((E373*D373*D373)/4)-(((E373-G373)*(D373-F373-F373)*(D373-F373-F373))/4)+(4*(H373*H373*(D373/2-F373-(H373/2))-((PI()*H373*H373)/4*((D373/2)-F373-(H373-((4*H373)/(3*PI()))))))))/1000</f>
        <v/>
      </c>
      <c r="U373" s="125">
        <f>(((D373*E373*E373)/4)-(2*((D373-F373-F373)*(E373/2-(G373/2))*(((E373/2-(G373/2))/2)+(G373/2))))+(4*(((H373*H373)-(((PI()*H373*H373)/4)))*((H373-((4*H373)/(3*PI())))+(G373/2)))))/1000</f>
        <v/>
      </c>
      <c r="Y373">
        <f>SQRT((((VLOOKUP($X$4,$A$4:$D$1021,4,FALSE))-D373)^2)+(((VLOOKUP($X$4,$A$4:$E$1021,5,FALSE))-E373)^2))</f>
        <v/>
      </c>
    </row>
    <row r="374">
      <c r="A374" s="125" t="inlineStr">
        <is>
          <t>HW300X93</t>
        </is>
      </c>
      <c r="B374" s="129" t="inlineStr">
        <is>
          <t>GB</t>
        </is>
      </c>
      <c r="C374" s="125">
        <f>_xlfn.TEXTAFTER(A374,"X")</f>
        <v/>
      </c>
      <c r="D374" s="125" t="n">
        <v>300</v>
      </c>
      <c r="E374" s="125" t="n">
        <v>300</v>
      </c>
      <c r="F374" s="125" t="n">
        <v>15</v>
      </c>
      <c r="G374" s="125" t="n">
        <v>10</v>
      </c>
      <c r="H374" s="125" t="n">
        <v>13</v>
      </c>
      <c r="I374" s="125">
        <f>D374-(2*(H374+F374))</f>
        <v/>
      </c>
      <c r="J374" s="125" t="n">
        <v>118.45</v>
      </c>
      <c r="K374" s="125">
        <f>(E374/2)/F374</f>
        <v/>
      </c>
      <c r="L374" s="125">
        <f>I374/G374</f>
        <v/>
      </c>
      <c r="M374" s="125">
        <f>(E374*2+F374*4+((E374-G374)/2-H374)*4+2*PI()*H374+(D374-2*F374-2*H374)*2)/1000</f>
        <v/>
      </c>
      <c r="N374" s="5" t="n">
        <v>20010</v>
      </c>
      <c r="O374" s="5" t="n">
        <v>6753</v>
      </c>
      <c r="P374" s="125" t="n">
        <v>13</v>
      </c>
      <c r="Q374" s="125" t="n">
        <v>7.55</v>
      </c>
      <c r="R374" s="5" t="n">
        <v>1334</v>
      </c>
      <c r="S374" s="125" t="n">
        <v>450</v>
      </c>
      <c r="T374" s="125">
        <f>(((E374*D374*D374)/4)-(((E374-G374)*(D374-F374-F374)*(D374-F374-F374))/4)+(4*(H374*H374*(D374/2-F374-(H374/2))-((PI()*H374*H374)/4*((D374/2)-F374-(H374-((4*H374)/(3*PI()))))))))/1000</f>
        <v/>
      </c>
      <c r="U374" s="125">
        <f>(((D374*E374*E374)/4)-(2*((D374-F374-F374)*(E374/2-(G374/2))*(((E374/2-(G374/2))/2)+(G374/2))))+(4*(((H374*H374)-(((PI()*H374*H374)/4)))*((H374-((4*H374)/(3*PI())))+(G374/2)))))/1000</f>
        <v/>
      </c>
      <c r="Y374">
        <f>SQRT((((VLOOKUP($X$4,$A$4:$D$1021,4,FALSE))-D374)^2)+(((VLOOKUP($X$4,$A$4:$E$1021,5,FALSE))-E374)^2))</f>
        <v/>
      </c>
    </row>
    <row r="375">
      <c r="A375" s="125" t="inlineStr">
        <is>
          <t>HW300X104.8</t>
        </is>
      </c>
      <c r="B375" s="129" t="inlineStr">
        <is>
          <t>GB</t>
        </is>
      </c>
      <c r="C375" s="125">
        <f>_xlfn.TEXTAFTER(A375,"X")</f>
        <v/>
      </c>
      <c r="D375" s="125" t="n">
        <v>300</v>
      </c>
      <c r="E375" s="125" t="n">
        <v>305</v>
      </c>
      <c r="F375" s="125" t="n">
        <v>15</v>
      </c>
      <c r="G375" s="125" t="n">
        <v>15</v>
      </c>
      <c r="H375" s="125" t="n">
        <v>13</v>
      </c>
      <c r="I375" s="125">
        <f>D375-(2*(H375+F375))</f>
        <v/>
      </c>
      <c r="J375" s="125" t="n">
        <v>133.45</v>
      </c>
      <c r="K375" s="125">
        <f>(E375/2)/F375</f>
        <v/>
      </c>
      <c r="L375" s="125">
        <f>I375/G375</f>
        <v/>
      </c>
      <c r="M375" s="125">
        <f>(E375*2+F375*4+((E375-G375)/2-H375)*4+2*PI()*H375+(D375-2*F375-2*H375)*2)/1000</f>
        <v/>
      </c>
      <c r="N375" s="5" t="n">
        <v>21135</v>
      </c>
      <c r="O375" s="5" t="n">
        <v>7102</v>
      </c>
      <c r="P375" s="125" t="n">
        <v>12.58</v>
      </c>
      <c r="Q375" s="125" t="n">
        <v>7.29</v>
      </c>
      <c r="R375" s="5" t="n">
        <v>1409</v>
      </c>
      <c r="S375" s="125" t="n">
        <v>466</v>
      </c>
      <c r="T375" s="125">
        <f>(((E375*D375*D375)/4)-(((E375-G375)*(D375-F375-F375)*(D375-F375-F375))/4)+(4*(H375*H375*(D375/2-F375-(H375/2))-((PI()*H375*H375)/4*((D375/2)-F375-(H375-((4*H375)/(3*PI()))))))))/1000</f>
        <v/>
      </c>
      <c r="U375" s="125">
        <f>(((D375*E375*E375)/4)-(2*((D375-F375-F375)*(E375/2-(G375/2))*(((E375/2-(G375/2))/2)+(G375/2))))+(4*(((H375*H375)-(((PI()*H375*H375)/4)))*((H375-((4*H375)/(3*PI())))+(G375/2)))))/1000</f>
        <v/>
      </c>
      <c r="Y375">
        <f>SQRT((((VLOOKUP($X$4,$A$4:$D$1021,4,FALSE))-D375)^2)+(((VLOOKUP($X$4,$A$4:$E$1021,5,FALSE))-E375)^2))</f>
        <v/>
      </c>
    </row>
    <row r="376">
      <c r="A376" s="125" t="inlineStr">
        <is>
          <t>HW350X104.6</t>
        </is>
      </c>
      <c r="B376" s="129" t="inlineStr">
        <is>
          <t>GB</t>
        </is>
      </c>
      <c r="C376" s="125">
        <f>_xlfn.TEXTAFTER(A376,"X")</f>
        <v/>
      </c>
      <c r="D376" s="125" t="n">
        <v>338</v>
      </c>
      <c r="E376" s="125" t="n">
        <v>351</v>
      </c>
      <c r="F376" s="125" t="n">
        <v>13</v>
      </c>
      <c r="G376" s="125" t="n">
        <v>13</v>
      </c>
      <c r="H376" s="125" t="n">
        <v>13</v>
      </c>
      <c r="I376" s="125">
        <f>D376-(2*(H376+F376))</f>
        <v/>
      </c>
      <c r="J376" s="125" t="n">
        <v>133.27</v>
      </c>
      <c r="K376" s="125">
        <f>(E376/2)/F376</f>
        <v/>
      </c>
      <c r="L376" s="125">
        <f>I376/G376</f>
        <v/>
      </c>
      <c r="M376" s="125">
        <f>(E376*2+F376*4+((E376-G376)/2-H376)*4+2*PI()*H376+(D376-2*F376-2*H376)*2)/1000</f>
        <v/>
      </c>
      <c r="N376" s="5" t="n">
        <v>27352</v>
      </c>
      <c r="O376" s="5" t="n">
        <v>9376</v>
      </c>
      <c r="P376" s="125" t="n">
        <v>14.33</v>
      </c>
      <c r="Q376" s="125" t="n">
        <v>8.390000000000001</v>
      </c>
      <c r="R376" s="5" t="n">
        <v>1618</v>
      </c>
      <c r="S376" s="125" t="n">
        <v>534</v>
      </c>
      <c r="T376" s="125">
        <f>(((E376*D376*D376)/4)-(((E376-G376)*(D376-F376-F376)*(D376-F376-F376))/4)+(4*(H376*H376*(D376/2-F376-(H376/2))-((PI()*H376*H376)/4*((D376/2)-F376-(H376-((4*H376)/(3*PI()))))))))/1000</f>
        <v/>
      </c>
      <c r="U376" s="125">
        <f>(((D376*E376*E376)/4)-(2*((D376-F376-F376)*(E376/2-(G376/2))*(((E376/2-(G376/2))/2)+(G376/2))))+(4*(((H376*H376)-(((PI()*H376*H376)/4)))*((H376-((4*H376)/(3*PI())))+(G376/2)))))/1000</f>
        <v/>
      </c>
      <c r="Y376">
        <f>SQRT((((VLOOKUP($X$4,$A$4:$D$1021,4,FALSE))-D376)^2)+(((VLOOKUP($X$4,$A$4:$E$1021,5,FALSE))-E376)^2))</f>
        <v/>
      </c>
    </row>
    <row r="377">
      <c r="A377" s="125" t="inlineStr">
        <is>
          <t>HW350X113</t>
        </is>
      </c>
      <c r="B377" s="129" t="inlineStr">
        <is>
          <t>GB</t>
        </is>
      </c>
      <c r="C377" s="125">
        <f>_xlfn.TEXTAFTER(A377,"X")</f>
        <v/>
      </c>
      <c r="D377" s="125" t="n">
        <v>344</v>
      </c>
      <c r="E377" s="125" t="n">
        <v>348</v>
      </c>
      <c r="F377" s="125" t="n">
        <v>16</v>
      </c>
      <c r="G377" s="125" t="n">
        <v>10</v>
      </c>
      <c r="H377" s="125" t="n">
        <v>13</v>
      </c>
      <c r="I377" s="125">
        <f>D377-(2*(H377+F377))</f>
        <v/>
      </c>
      <c r="J377" s="125" t="n">
        <v>144.01</v>
      </c>
      <c r="K377" s="125">
        <f>(E377/2)/F377</f>
        <v/>
      </c>
      <c r="L377" s="125">
        <f>I377/G377</f>
        <v/>
      </c>
      <c r="M377" s="125">
        <f>(E377*2+F377*4+((E377-G377)/2-H377)*4+2*PI()*H377+(D377-2*F377-2*H377)*2)/1000</f>
        <v/>
      </c>
      <c r="N377" s="5" t="n">
        <v>32545</v>
      </c>
      <c r="O377" s="5" t="n">
        <v>11242</v>
      </c>
      <c r="P377" s="125" t="n">
        <v>15.03</v>
      </c>
      <c r="Q377" s="125" t="n">
        <v>8.84</v>
      </c>
      <c r="R377" s="5" t="n">
        <v>1892</v>
      </c>
      <c r="S377" s="125" t="n">
        <v>646</v>
      </c>
      <c r="T377" s="125">
        <f>(((E377*D377*D377)/4)-(((E377-G377)*(D377-F377-F377)*(D377-F377-F377))/4)+(4*(H377*H377*(D377/2-F377-(H377/2))-((PI()*H377*H377)/4*((D377/2)-F377-(H377-((4*H377)/(3*PI()))))))))/1000</f>
        <v/>
      </c>
      <c r="U377" s="125">
        <f>(((D377*E377*E377)/4)-(2*((D377-F377-F377)*(E377/2-(G377/2))*(((E377/2-(G377/2))/2)+(G377/2))))+(4*(((H377*H377)-(((PI()*H377*H377)/4)))*((H377-((4*H377)/(3*PI())))+(G377/2)))))/1000</f>
        <v/>
      </c>
      <c r="Y377">
        <f>SQRT((((VLOOKUP($X$4,$A$4:$D$1021,4,FALSE))-D377)^2)+(((VLOOKUP($X$4,$A$4:$E$1021,5,FALSE))-E377)^2))</f>
        <v/>
      </c>
    </row>
    <row r="378">
      <c r="A378" s="125" t="inlineStr">
        <is>
          <t>HW350X129.3</t>
        </is>
      </c>
      <c r="B378" s="129" t="inlineStr">
        <is>
          <t>GB</t>
        </is>
      </c>
      <c r="C378" s="125">
        <f>_xlfn.TEXTAFTER(A378,"X")</f>
        <v/>
      </c>
      <c r="D378" s="125" t="n">
        <v>344</v>
      </c>
      <c r="E378" s="125" t="n">
        <v>354</v>
      </c>
      <c r="F378" s="125" t="n">
        <v>16</v>
      </c>
      <c r="G378" s="125" t="n">
        <v>16</v>
      </c>
      <c r="H378" s="125" t="n">
        <v>13</v>
      </c>
      <c r="I378" s="125">
        <f>D378-(2*(H378+F378))</f>
        <v/>
      </c>
      <c r="J378" s="125" t="n">
        <v>164.65</v>
      </c>
      <c r="K378" s="125">
        <f>(E378/2)/F378</f>
        <v/>
      </c>
      <c r="L378" s="125">
        <f>I378/G378</f>
        <v/>
      </c>
      <c r="M378" s="125">
        <f>(E378*2+F378*4+((E378-G378)/2-H378)*4+2*PI()*H378+(D378-2*F378-2*H378)*2)/1000</f>
        <v/>
      </c>
      <c r="N378" s="5" t="n">
        <v>34581</v>
      </c>
      <c r="O378" s="5" t="n">
        <v>11841</v>
      </c>
      <c r="P378" s="125" t="n">
        <v>14.49</v>
      </c>
      <c r="Q378" s="125" t="n">
        <v>8.48</v>
      </c>
      <c r="R378" s="5" t="n">
        <v>2011</v>
      </c>
      <c r="S378" s="125" t="n">
        <v>669</v>
      </c>
      <c r="T378" s="125">
        <f>(((E378*D378*D378)/4)-(((E378-G378)*(D378-F378-F378)*(D378-F378-F378))/4)+(4*(H378*H378*(D378/2-F378-(H378/2))-((PI()*H378*H378)/4*((D378/2)-F378-(H378-((4*H378)/(3*PI()))))))))/1000</f>
        <v/>
      </c>
      <c r="U378" s="125">
        <f>(((D378*E378*E378)/4)-(2*((D378-F378-F378)*(E378/2-(G378/2))*(((E378/2-(G378/2))/2)+(G378/2))))+(4*(((H378*H378)-(((PI()*H378*H378)/4)))*((H378-((4*H378)/(3*PI())))+(G378/2)))))/1000</f>
        <v/>
      </c>
      <c r="Y378">
        <f>SQRT((((VLOOKUP($X$4,$A$4:$D$1021,4,FALSE))-D378)^2)+(((VLOOKUP($X$4,$A$4:$E$1021,5,FALSE))-E378)^2))</f>
        <v/>
      </c>
    </row>
    <row r="379">
      <c r="A379" s="125" t="inlineStr">
        <is>
          <t>HW350X134.9</t>
        </is>
      </c>
      <c r="B379" s="129" t="inlineStr">
        <is>
          <t>GB</t>
        </is>
      </c>
      <c r="C379" s="125">
        <f>_xlfn.TEXTAFTER(A379,"X")</f>
        <v/>
      </c>
      <c r="D379" s="125" t="n">
        <v>350</v>
      </c>
      <c r="E379" s="125" t="n">
        <v>350</v>
      </c>
      <c r="F379" s="125" t="n">
        <v>19</v>
      </c>
      <c r="G379" s="125" t="n">
        <v>12</v>
      </c>
      <c r="H379" s="125" t="n">
        <v>13</v>
      </c>
      <c r="I379" s="125">
        <f>D379-(2*(H379+F379))</f>
        <v/>
      </c>
      <c r="J379" s="125" t="n">
        <v>171.89</v>
      </c>
      <c r="K379" s="125">
        <f>(E379/2)/F379</f>
        <v/>
      </c>
      <c r="L379" s="125">
        <f>I379/G379</f>
        <v/>
      </c>
      <c r="M379" s="125">
        <f>(E379*2+F379*4+((E379-G379)/2-H379)*4+2*PI()*H379+(D379-2*F379-2*H379)*2)/1000</f>
        <v/>
      </c>
      <c r="N379" s="5" t="n">
        <v>39637</v>
      </c>
      <c r="O379" s="5" t="n">
        <v>13582</v>
      </c>
      <c r="P379" s="125" t="n">
        <v>15.19</v>
      </c>
      <c r="Q379" s="125" t="n">
        <v>8.890000000000001</v>
      </c>
      <c r="R379" s="5" t="n">
        <v>2265</v>
      </c>
      <c r="S379" s="125" t="n">
        <v>776</v>
      </c>
      <c r="T379" s="125">
        <f>(((E379*D379*D379)/4)-(((E379-G379)*(D379-F379-F379)*(D379-F379-F379))/4)+(4*(H379*H379*(D379/2-F379-(H379/2))-((PI()*H379*H379)/4*((D379/2)-F379-(H379-((4*H379)/(3*PI()))))))))/1000</f>
        <v/>
      </c>
      <c r="U379" s="125">
        <f>(((D379*E379*E379)/4)-(2*((D379-F379-F379)*(E379/2-(G379/2))*(((E379/2-(G379/2))/2)+(G379/2))))+(4*(((H379*H379)-(((PI()*H379*H379)/4)))*((H379-((4*H379)/(3*PI())))+(G379/2)))))/1000</f>
        <v/>
      </c>
      <c r="Y379">
        <f>SQRT((((VLOOKUP($X$4,$A$4:$D$1021,4,FALSE))-D379)^2)+(((VLOOKUP($X$4,$A$4:$E$1021,5,FALSE))-E379)^2))</f>
        <v/>
      </c>
    </row>
    <row r="380">
      <c r="A380" s="125" t="inlineStr">
        <is>
          <t>HW350X154.2</t>
        </is>
      </c>
      <c r="B380" s="129" t="inlineStr">
        <is>
          <t>GB</t>
        </is>
      </c>
      <c r="C380" s="125">
        <f>_xlfn.TEXTAFTER(A380,"X")</f>
        <v/>
      </c>
      <c r="D380" s="125" t="n">
        <v>350</v>
      </c>
      <c r="E380" s="125" t="n">
        <v>357</v>
      </c>
      <c r="F380" s="125" t="n">
        <v>19</v>
      </c>
      <c r="G380" s="125" t="n">
        <v>19</v>
      </c>
      <c r="H380" s="125" t="n">
        <v>13</v>
      </c>
      <c r="I380" s="125">
        <f>D380-(2*(H380+F380))</f>
        <v/>
      </c>
      <c r="J380" s="125" t="n">
        <v>196.39</v>
      </c>
      <c r="K380" s="125">
        <f>(E380/2)/F380</f>
        <v/>
      </c>
      <c r="L380" s="125">
        <f>I380/G380</f>
        <v/>
      </c>
      <c r="M380" s="125">
        <f>(E380*2+F380*4+((E380-G380)/2-H380)*4+2*PI()*H380+(D380-2*F380-2*H380)*2)/1000</f>
        <v/>
      </c>
      <c r="N380" s="5" t="n">
        <v>42138</v>
      </c>
      <c r="O380" s="5" t="n">
        <v>14427</v>
      </c>
      <c r="P380" s="125" t="n">
        <v>14.65</v>
      </c>
      <c r="Q380" s="125" t="n">
        <v>8.57</v>
      </c>
      <c r="R380" s="5" t="n">
        <v>2408</v>
      </c>
      <c r="S380" s="125" t="n">
        <v>808</v>
      </c>
      <c r="T380" s="125">
        <f>(((E380*D380*D380)/4)-(((E380-G380)*(D380-F380-F380)*(D380-F380-F380))/4)+(4*(H380*H380*(D380/2-F380-(H380/2))-((PI()*H380*H380)/4*((D380/2)-F380-(H380-((4*H380)/(3*PI()))))))))/1000</f>
        <v/>
      </c>
      <c r="U380" s="125">
        <f>(((D380*E380*E380)/4)-(2*((D380-F380-F380)*(E380/2-(G380/2))*(((E380/2-(G380/2))/2)+(G380/2))))+(4*(((H380*H380)-(((PI()*H380*H380)/4)))*((H380-((4*H380)/(3*PI())))+(G380/2)))))/1000</f>
        <v/>
      </c>
      <c r="Y380">
        <f>SQRT((((VLOOKUP($X$4,$A$4:$D$1021,4,FALSE))-D380)^2)+(((VLOOKUP($X$4,$A$4:$E$1021,5,FALSE))-E380)^2))</f>
        <v/>
      </c>
    </row>
    <row r="381">
      <c r="A381" s="125" t="inlineStr">
        <is>
          <t>HW400X140.1</t>
        </is>
      </c>
      <c r="B381" s="129" t="inlineStr">
        <is>
          <t>GB</t>
        </is>
      </c>
      <c r="C381" s="125">
        <f>_xlfn.TEXTAFTER(A381,"X")</f>
        <v/>
      </c>
      <c r="D381" s="125" t="n">
        <v>388</v>
      </c>
      <c r="E381" s="125" t="n">
        <v>402</v>
      </c>
      <c r="F381" s="125" t="n">
        <v>15</v>
      </c>
      <c r="G381" s="125" t="n">
        <v>15</v>
      </c>
      <c r="H381" s="125" t="n">
        <v>22</v>
      </c>
      <c r="I381" s="125">
        <f>D381-(2*(H381+F381))</f>
        <v/>
      </c>
      <c r="J381" s="125" t="n">
        <v>178.45</v>
      </c>
      <c r="K381" s="125">
        <f>(E381/2)/F381</f>
        <v/>
      </c>
      <c r="L381" s="125">
        <f>I381/G381</f>
        <v/>
      </c>
      <c r="M381" s="125">
        <f>(E381*2+F381*4+((E381-G381)/2-H381)*4+2*PI()*H381+(D381-2*F381-2*H381)*2)/1000</f>
        <v/>
      </c>
      <c r="N381" s="5" t="n">
        <v>48040</v>
      </c>
      <c r="O381" s="5" t="n">
        <v>16255</v>
      </c>
      <c r="P381" s="125" t="n">
        <v>16.41</v>
      </c>
      <c r="Q381" s="125" t="n">
        <v>9.539999999999999</v>
      </c>
      <c r="R381" s="5" t="n">
        <v>2476</v>
      </c>
      <c r="S381" s="125" t="n">
        <v>809</v>
      </c>
      <c r="T381" s="125">
        <f>(((E381*D381*D381)/4)-(((E381-G381)*(D381-F381-F381)*(D381-F381-F381))/4)+(4*(H381*H381*(D381/2-F381-(H381/2))-((PI()*H381*H381)/4*((D381/2)-F381-(H381-((4*H381)/(3*PI()))))))))/1000</f>
        <v/>
      </c>
      <c r="U381" s="125">
        <f>(((D381*E381*E381)/4)-(2*((D381-F381-F381)*(E381/2-(G381/2))*(((E381/2-(G381/2))/2)+(G381/2))))+(4*(((H381*H381)-(((PI()*H381*H381)/4)))*((H381-((4*H381)/(3*PI())))+(G381/2)))))/1000</f>
        <v/>
      </c>
      <c r="Y381">
        <f>SQRT((((VLOOKUP($X$4,$A$4:$D$1021,4,FALSE))-D381)^2)+(((VLOOKUP($X$4,$A$4:$E$1021,5,FALSE))-E381)^2))</f>
        <v/>
      </c>
    </row>
    <row r="382">
      <c r="A382" s="125" t="inlineStr">
        <is>
          <t>HW400X146.6</t>
        </is>
      </c>
      <c r="B382" s="129" t="inlineStr">
        <is>
          <t>GB</t>
        </is>
      </c>
      <c r="C382" s="125">
        <f>_xlfn.TEXTAFTER(A382,"X")</f>
        <v/>
      </c>
      <c r="D382" s="125" t="n">
        <v>394</v>
      </c>
      <c r="E382" s="125" t="n">
        <v>398</v>
      </c>
      <c r="F382" s="125" t="n">
        <v>18</v>
      </c>
      <c r="G382" s="125" t="n">
        <v>11</v>
      </c>
      <c r="H382" s="125" t="n">
        <v>22</v>
      </c>
      <c r="I382" s="125">
        <f>D382-(2*(H382+F382))</f>
        <v/>
      </c>
      <c r="J382" s="125" t="n">
        <v>186.81</v>
      </c>
      <c r="K382" s="125">
        <f>(E382/2)/F382</f>
        <v/>
      </c>
      <c r="L382" s="125">
        <f>I382/G382</f>
        <v/>
      </c>
      <c r="M382" s="125">
        <f>(E382*2+F382*4+((E382-G382)/2-H382)*4+2*PI()*H382+(D382-2*F382-2*H382)*2)/1000</f>
        <v/>
      </c>
      <c r="N382" s="5" t="n">
        <v>55597</v>
      </c>
      <c r="O382" s="5" t="n">
        <v>18920</v>
      </c>
      <c r="P382" s="125" t="n">
        <v>17.25</v>
      </c>
      <c r="Q382" s="125" t="n">
        <v>10.06</v>
      </c>
      <c r="R382" s="5" t="n">
        <v>2822</v>
      </c>
      <c r="S382" s="125" t="n">
        <v>951</v>
      </c>
      <c r="T382" s="125">
        <f>(((E382*D382*D382)/4)-(((E382-G382)*(D382-F382-F382)*(D382-F382-F382))/4)+(4*(H382*H382*(D382/2-F382-(H382/2))-((PI()*H382*H382)/4*((D382/2)-F382-(H382-((4*H382)/(3*PI()))))))))/1000</f>
        <v/>
      </c>
      <c r="U382" s="125">
        <f>(((D382*E382*E382)/4)-(2*((D382-F382-F382)*(E382/2-(G382/2))*(((E382/2-(G382/2))/2)+(G382/2))))+(4*(((H382*H382)-(((PI()*H382*H382)/4)))*((H382-((4*H382)/(3*PI())))+(G382/2)))))/1000</f>
        <v/>
      </c>
      <c r="Y382">
        <f>SQRT((((VLOOKUP($X$4,$A$4:$D$1021,4,FALSE))-D382)^2)+(((VLOOKUP($X$4,$A$4:$E$1021,5,FALSE))-E382)^2))</f>
        <v/>
      </c>
    </row>
    <row r="383">
      <c r="A383" s="125" t="inlineStr">
        <is>
          <t>HW400X168.3</t>
        </is>
      </c>
      <c r="B383" s="129" t="inlineStr">
        <is>
          <t>GB</t>
        </is>
      </c>
      <c r="C383" s="125">
        <f>_xlfn.TEXTAFTER(A383,"X")</f>
        <v/>
      </c>
      <c r="D383" s="125" t="n">
        <v>394</v>
      </c>
      <c r="E383" s="125" t="n">
        <v>405</v>
      </c>
      <c r="F383" s="125" t="n">
        <v>18</v>
      </c>
      <c r="G383" s="125" t="n">
        <v>18</v>
      </c>
      <c r="H383" s="125" t="n">
        <v>22</v>
      </c>
      <c r="I383" s="125">
        <f>D383-(2*(H383+F383))</f>
        <v/>
      </c>
      <c r="J383" s="125" t="n">
        <v>214.39</v>
      </c>
      <c r="K383" s="125">
        <f>(E383/2)/F383</f>
        <v/>
      </c>
      <c r="L383" s="125">
        <f>I383/G383</f>
        <v/>
      </c>
      <c r="M383" s="125">
        <f>(E383*2+F383*4+((E383-G383)/2-H383)*4+2*PI()*H383+(D383-2*F383-2*H383)*2)/1000</f>
        <v/>
      </c>
      <c r="N383" s="5" t="n">
        <v>59165</v>
      </c>
      <c r="O383" s="5" t="n">
        <v>19951</v>
      </c>
      <c r="P383" s="125" t="n">
        <v>16.61</v>
      </c>
      <c r="Q383" s="125" t="n">
        <v>9.65</v>
      </c>
      <c r="R383" s="5" t="n">
        <v>3003</v>
      </c>
      <c r="S383" s="125" t="n">
        <v>985</v>
      </c>
      <c r="T383" s="125">
        <f>(((E383*D383*D383)/4)-(((E383-G383)*(D383-F383-F383)*(D383-F383-F383))/4)+(4*(H383*H383*(D383/2-F383-(H383/2))-((PI()*H383*H383)/4*((D383/2)-F383-(H383-((4*H383)/(3*PI()))))))))/1000</f>
        <v/>
      </c>
      <c r="U383" s="125">
        <f>(((D383*E383*E383)/4)-(2*((D383-F383-F383)*(E383/2-(G383/2))*(((E383/2-(G383/2))/2)+(G383/2))))+(4*(((H383*H383)-(((PI()*H383*H383)/4)))*((H383-((4*H383)/(3*PI())))+(G383/2)))))/1000</f>
        <v/>
      </c>
      <c r="Y383">
        <f>SQRT((((VLOOKUP($X$4,$A$4:$D$1021,4,FALSE))-D383)^2)+(((VLOOKUP($X$4,$A$4:$E$1021,5,FALSE))-E383)^2))</f>
        <v/>
      </c>
    </row>
    <row r="384">
      <c r="A384" s="125" t="inlineStr">
        <is>
          <t>HW400X171.7</t>
        </is>
      </c>
      <c r="B384" s="129" t="inlineStr">
        <is>
          <t>GB</t>
        </is>
      </c>
      <c r="C384" s="125">
        <f>_xlfn.TEXTAFTER(A384,"X")</f>
        <v/>
      </c>
      <c r="D384" s="125" t="n">
        <v>400</v>
      </c>
      <c r="E384" s="125" t="n">
        <v>400</v>
      </c>
      <c r="F384" s="125" t="n">
        <v>21</v>
      </c>
      <c r="G384" s="125" t="n">
        <v>13</v>
      </c>
      <c r="H384" s="125" t="n">
        <v>22</v>
      </c>
      <c r="I384" s="125">
        <f>D384-(2*(H384+F384))</f>
        <v/>
      </c>
      <c r="J384" s="125" t="n">
        <v>218.69</v>
      </c>
      <c r="K384" s="125">
        <f>(E384/2)/F384</f>
        <v/>
      </c>
      <c r="L384" s="125">
        <f>I384/G384</f>
        <v/>
      </c>
      <c r="M384" s="125">
        <f>(E384*2+F384*4+((E384-G384)/2-H384)*4+2*PI()*H384+(D384-2*F384-2*H384)*2)/1000</f>
        <v/>
      </c>
      <c r="N384" s="5" t="n">
        <v>66455</v>
      </c>
      <c r="O384" s="5" t="n">
        <v>22410</v>
      </c>
      <c r="P384" s="125" t="n">
        <v>17.43</v>
      </c>
      <c r="Q384" s="125" t="n">
        <v>10.12</v>
      </c>
      <c r="R384" s="5" t="n">
        <v>3323</v>
      </c>
      <c r="S384" s="5" t="n">
        <v>1120</v>
      </c>
      <c r="T384" s="125">
        <f>(((E384*D384*D384)/4)-(((E384-G384)*(D384-F384-F384)*(D384-F384-F384))/4)+(4*(H384*H384*(D384/2-F384-(H384/2))-((PI()*H384*H384)/4*((D384/2)-F384-(H384-((4*H384)/(3*PI()))))))))/1000</f>
        <v/>
      </c>
      <c r="U384" s="125">
        <f>(((D384*E384*E384)/4)-(2*((D384-F384-F384)*(E384/2-(G384/2))*(((E384/2-(G384/2))/2)+(G384/2))))+(4*(((H384*H384)-(((PI()*H384*H384)/4)))*((H384-((4*H384)/(3*PI())))+(G384/2)))))/1000</f>
        <v/>
      </c>
      <c r="Y384">
        <f>SQRT((((VLOOKUP($X$4,$A$4:$D$1021,4,FALSE))-D384)^2)+(((VLOOKUP($X$4,$A$4:$E$1021,5,FALSE))-E384)^2))</f>
        <v/>
      </c>
    </row>
    <row r="385">
      <c r="A385" s="125" t="inlineStr">
        <is>
          <t>HW400X196.8</t>
        </is>
      </c>
      <c r="B385" s="129" t="inlineStr">
        <is>
          <t>GB</t>
        </is>
      </c>
      <c r="C385" s="125">
        <f>_xlfn.TEXTAFTER(A385,"X")</f>
        <v/>
      </c>
      <c r="D385" s="125" t="n">
        <v>400</v>
      </c>
      <c r="E385" s="125" t="n">
        <v>408</v>
      </c>
      <c r="F385" s="125" t="n">
        <v>21</v>
      </c>
      <c r="G385" s="125" t="n">
        <v>21</v>
      </c>
      <c r="H385" s="125" t="n">
        <v>22</v>
      </c>
      <c r="I385" s="125">
        <f>D385-(2*(H385+F385))</f>
        <v/>
      </c>
      <c r="J385" s="125" t="n">
        <v>250.69</v>
      </c>
      <c r="K385" s="125">
        <f>(E385/2)/F385</f>
        <v/>
      </c>
      <c r="L385" s="125">
        <f>I385/G385</f>
        <v/>
      </c>
      <c r="M385" s="125">
        <f>(E385*2+F385*4+((E385-G385)/2-H385)*4+2*PI()*H385+(D385-2*F385-2*H385)*2)/1000</f>
        <v/>
      </c>
      <c r="N385" s="5" t="n">
        <v>70722</v>
      </c>
      <c r="O385" s="5" t="n">
        <v>23804</v>
      </c>
      <c r="P385" s="125" t="n">
        <v>16.8</v>
      </c>
      <c r="Q385" s="125" t="n">
        <v>9.74</v>
      </c>
      <c r="R385" s="5" t="n">
        <v>3536</v>
      </c>
      <c r="S385" s="5" t="n">
        <v>1167</v>
      </c>
      <c r="T385" s="125">
        <f>(((E385*D385*D385)/4)-(((E385-G385)*(D385-F385-F385)*(D385-F385-F385))/4)+(4*(H385*H385*(D385/2-F385-(H385/2))-((PI()*H385*H385)/4*((D385/2)-F385-(H385-((4*H385)/(3*PI()))))))))/1000</f>
        <v/>
      </c>
      <c r="U385" s="125">
        <f>(((D385*E385*E385)/4)-(2*((D385-F385-F385)*(E385/2-(G385/2))*(((E385/2-(G385/2))/2)+(G385/2))))+(4*(((H385*H385)-(((PI()*H385*H385)/4)))*((H385-((4*H385)/(3*PI())))+(G385/2)))))/1000</f>
        <v/>
      </c>
      <c r="Y385">
        <f>SQRT((((VLOOKUP($X$4,$A$4:$D$1021,4,FALSE))-D385)^2)+(((VLOOKUP($X$4,$A$4:$E$1021,5,FALSE))-E385)^2))</f>
        <v/>
      </c>
    </row>
    <row r="386">
      <c r="A386" s="125" t="inlineStr">
        <is>
          <t>HW400X231.9</t>
        </is>
      </c>
      <c r="B386" s="129" t="inlineStr">
        <is>
          <t>GB</t>
        </is>
      </c>
      <c r="C386" s="125">
        <f>_xlfn.TEXTAFTER(A386,"X")</f>
        <v/>
      </c>
      <c r="D386" s="125" t="n">
        <v>414</v>
      </c>
      <c r="E386" s="125" t="n">
        <v>405</v>
      </c>
      <c r="F386" s="125" t="n">
        <v>28</v>
      </c>
      <c r="G386" s="125" t="n">
        <v>18</v>
      </c>
      <c r="H386" s="125" t="n">
        <v>22</v>
      </c>
      <c r="I386" s="125">
        <f>D386-(2*(H386+F386))</f>
        <v/>
      </c>
      <c r="J386" s="125" t="n">
        <v>295.39</v>
      </c>
      <c r="K386" s="125">
        <f>(E386/2)/F386</f>
        <v/>
      </c>
      <c r="L386" s="125">
        <f>I386/G386</f>
        <v/>
      </c>
      <c r="M386" s="125">
        <f>(E386*2+F386*4+((E386-G386)/2-H386)*4+2*PI()*H386+(D386-2*F386-2*H386)*2)/1000</f>
        <v/>
      </c>
      <c r="N386" s="5" t="n">
        <v>93518</v>
      </c>
      <c r="O386" s="5" t="n">
        <v>31022</v>
      </c>
      <c r="P386" s="125" t="n">
        <v>17.79</v>
      </c>
      <c r="Q386" s="125" t="n">
        <v>10.25</v>
      </c>
      <c r="R386" s="5" t="n">
        <v>4518</v>
      </c>
      <c r="S386" s="5" t="n">
        <v>1532</v>
      </c>
      <c r="T386" s="125">
        <f>(((E386*D386*D386)/4)-(((E386-G386)*(D386-F386-F386)*(D386-F386-F386))/4)+(4*(H386*H386*(D386/2-F386-(H386/2))-((PI()*H386*H386)/4*((D386/2)-F386-(H386-((4*H386)/(3*PI()))))))))/1000</f>
        <v/>
      </c>
      <c r="U386" s="125">
        <f>(((D386*E386*E386)/4)-(2*((D386-F386-F386)*(E386/2-(G386/2))*(((E386/2-(G386/2))/2)+(G386/2))))+(4*(((H386*H386)-(((PI()*H386*H386)/4)))*((H386-((4*H386)/(3*PI())))+(G386/2)))))/1000</f>
        <v/>
      </c>
      <c r="Y386">
        <f>SQRT((((VLOOKUP($X$4,$A$4:$D$1021,4,FALSE))-D386)^2)+(((VLOOKUP($X$4,$A$4:$E$1021,5,FALSE))-E386)^2))</f>
        <v/>
      </c>
    </row>
    <row r="387">
      <c r="A387" s="125" t="inlineStr">
        <is>
          <t>HW400X283.1</t>
        </is>
      </c>
      <c r="B387" s="129" t="inlineStr">
        <is>
          <t>GB</t>
        </is>
      </c>
      <c r="C387" s="125">
        <f>_xlfn.TEXTAFTER(A387,"X")</f>
        <v/>
      </c>
      <c r="D387" s="125" t="n">
        <v>428</v>
      </c>
      <c r="E387" s="125" t="n">
        <v>407</v>
      </c>
      <c r="F387" s="125" t="n">
        <v>35</v>
      </c>
      <c r="G387" s="125" t="n">
        <v>20</v>
      </c>
      <c r="H387" s="125" t="n">
        <v>22</v>
      </c>
      <c r="I387" s="125">
        <f>D387-(2*(H387+F387))</f>
        <v/>
      </c>
      <c r="J387" s="125" t="n">
        <v>360.65</v>
      </c>
      <c r="K387" s="125">
        <f>(E387/2)/F387</f>
        <v/>
      </c>
      <c r="L387" s="125">
        <f>I387/G387</f>
        <v/>
      </c>
      <c r="M387" s="125">
        <f>(E387*2+F387*4+((E387-G387)/2-H387)*4+2*PI()*H387+(D387-2*F387-2*H387)*2)/1000</f>
        <v/>
      </c>
      <c r="N387" s="5" t="n">
        <v>12089</v>
      </c>
      <c r="O387" s="5" t="n">
        <v>39357</v>
      </c>
      <c r="P387" s="125" t="n">
        <v>18.31</v>
      </c>
      <c r="Q387" s="125" t="n">
        <v>10.45</v>
      </c>
      <c r="R387" s="5" t="n">
        <v>5649</v>
      </c>
      <c r="S387" s="125" t="n">
        <v>1934</v>
      </c>
      <c r="T387" s="125">
        <f>(((E387*D387*D387)/4)-(((E387-G387)*(D387-F387-F387)*(D387-F387-F387))/4)+(4*(H387*H387*(D387/2-F387-(H387/2))-((PI()*H387*H387)/4*((D387/2)-F387-(H387-((4*H387)/(3*PI()))))))))/1000</f>
        <v/>
      </c>
      <c r="U387" s="125">
        <f>(((D387*E387*E387)/4)-(2*((D387-F387-F387)*(E387/2-(G387/2))*(((E387/2-(G387/2))/2)+(G387/2))))+(4*(((H387*H387)-(((PI()*H387*H387)/4)))*((H387-((4*H387)/(3*PI())))+(G387/2)))))/1000</f>
        <v/>
      </c>
      <c r="Y387">
        <f>SQRT((((VLOOKUP($X$4,$A$4:$D$1021,4,FALSE))-D387)^2)+(((VLOOKUP($X$4,$A$4:$E$1021,5,FALSE))-E387)^2))</f>
        <v/>
      </c>
    </row>
    <row r="388">
      <c r="A388" s="125" t="inlineStr">
        <is>
          <t>HW400X414.9</t>
        </is>
      </c>
      <c r="B388" s="129" t="inlineStr">
        <is>
          <t>GB</t>
        </is>
      </c>
      <c r="C388" s="125">
        <f>_xlfn.TEXTAFTER(A388,"X")</f>
        <v/>
      </c>
      <c r="D388" s="125" t="n">
        <v>458</v>
      </c>
      <c r="E388" s="125" t="n">
        <v>417</v>
      </c>
      <c r="F388" s="125" t="n">
        <v>50</v>
      </c>
      <c r="G388" s="125" t="n">
        <v>30</v>
      </c>
      <c r="H388" s="125" t="n">
        <v>22</v>
      </c>
      <c r="I388" s="125">
        <f>D388-(2*(H388+F388))</f>
        <v/>
      </c>
      <c r="J388" s="125" t="n">
        <v>528.55</v>
      </c>
      <c r="K388" s="125">
        <f>(E388/2)/F388</f>
        <v/>
      </c>
      <c r="L388" s="125">
        <f>I388/G388</f>
        <v/>
      </c>
      <c r="M388" s="125">
        <f>(E388*2+F388*4+((E388-G388)/2-H388)*4+2*PI()*H388+(D388-2*F388-2*H388)*2)/1000</f>
        <v/>
      </c>
      <c r="N388" s="5" t="n">
        <v>19093</v>
      </c>
      <c r="O388" s="5" t="n">
        <v>60516</v>
      </c>
      <c r="P388" s="125" t="n">
        <v>19.01</v>
      </c>
      <c r="Q388" s="125" t="n">
        <v>10.7</v>
      </c>
      <c r="R388" s="5" t="n">
        <v>8338</v>
      </c>
      <c r="S388" s="125" t="n">
        <v>2902</v>
      </c>
      <c r="T388" s="125">
        <f>(((E388*D388*D388)/4)-(((E388-G388)*(D388-F388-F388)*(D388-F388-F388))/4)+(4*(H388*H388*(D388/2-F388-(H388/2))-((PI()*H388*H388)/4*((D388/2)-F388-(H388-((4*H388)/(3*PI()))))))))/1000</f>
        <v/>
      </c>
      <c r="U388" s="125">
        <f>(((D388*E388*E388)/4)-(2*((D388-F388-F388)*(E388/2-(G388/2))*(((E388/2-(G388/2))/2)+(G388/2))))+(4*(((H388*H388)-(((PI()*H388*H388)/4)))*((H388-((4*H388)/(3*PI())))+(G388/2)))))/1000</f>
        <v/>
      </c>
      <c r="Y388">
        <f>SQRT((((VLOOKUP($X$4,$A$4:$D$1021,4,FALSE))-D388)^2)+(((VLOOKUP($X$4,$A$4:$E$1021,5,FALSE))-E388)^2))</f>
        <v/>
      </c>
    </row>
    <row r="389">
      <c r="A389" s="125" t="inlineStr">
        <is>
          <t>HW400X604.5</t>
        </is>
      </c>
      <c r="B389" s="129" t="inlineStr">
        <is>
          <t>GB</t>
        </is>
      </c>
      <c r="C389" s="125">
        <f>_xlfn.TEXTAFTER(A389,"X")</f>
        <v/>
      </c>
      <c r="D389" s="125" t="n">
        <v>498</v>
      </c>
      <c r="E389" s="125" t="n">
        <v>432</v>
      </c>
      <c r="F389" s="125" t="n">
        <v>70</v>
      </c>
      <c r="G389" s="125" t="n">
        <v>45</v>
      </c>
      <c r="H389" s="125" t="n">
        <v>22</v>
      </c>
      <c r="I389" s="125">
        <f>D389-(2*(H389+F389))</f>
        <v/>
      </c>
      <c r="J389" s="125" t="n">
        <v>770.05</v>
      </c>
      <c r="K389" s="125">
        <f>(E389/2)/F389</f>
        <v/>
      </c>
      <c r="L389" s="125">
        <f>I389/G389</f>
        <v/>
      </c>
      <c r="M389" s="125">
        <f>(E389*2+F389*4+((E389-G389)/2-H389)*4+2*PI()*H389+(D389-2*F389-2*H389)*2)/1000</f>
        <v/>
      </c>
      <c r="N389" s="5" t="n">
        <v>30473</v>
      </c>
      <c r="O389" s="5" t="n">
        <v>94346</v>
      </c>
      <c r="P389" s="125" t="n">
        <v>19.89</v>
      </c>
      <c r="Q389" s="125" t="n">
        <v>11.07</v>
      </c>
      <c r="R389" s="5" t="n">
        <v>12238</v>
      </c>
      <c r="S389" s="125" t="n">
        <v>4368</v>
      </c>
      <c r="T389" s="125">
        <f>(((E389*D389*D389)/4)-(((E389-G389)*(D389-F389-F389)*(D389-F389-F389))/4)+(4*(H389*H389*(D389/2-F389-(H389/2))-((PI()*H389*H389)/4*((D389/2)-F389-(H389-((4*H389)/(3*PI()))))))))/1000</f>
        <v/>
      </c>
      <c r="U389" s="125">
        <f>(((D389*E389*E389)/4)-(2*((D389-F389-F389)*(E389/2-(G389/2))*(((E389/2-(G389/2))/2)+(G389/2))))+(4*(((H389*H389)-(((PI()*H389*H389)/4)))*((H389-((4*H389)/(3*PI())))+(G389/2)))))/1000</f>
        <v/>
      </c>
      <c r="Y389">
        <f>SQRT((((VLOOKUP($X$4,$A$4:$D$1021,4,FALSE))-D389)^2)+(((VLOOKUP($X$4,$A$4:$E$1021,5,FALSE))-E389)^2))</f>
        <v/>
      </c>
    </row>
    <row r="390">
      <c r="A390" s="125" t="inlineStr">
        <is>
          <t>HW500X202.5</t>
        </is>
      </c>
      <c r="B390" s="129" t="inlineStr">
        <is>
          <t>GB</t>
        </is>
      </c>
      <c r="C390" s="125">
        <f>_xlfn.TEXTAFTER(A390,"X")</f>
        <v/>
      </c>
      <c r="D390" s="125" t="n">
        <v>492</v>
      </c>
      <c r="E390" s="125" t="n">
        <v>465</v>
      </c>
      <c r="F390" s="125" t="n">
        <v>20</v>
      </c>
      <c r="G390" s="125" t="n">
        <v>15</v>
      </c>
      <c r="H390" s="125" t="n">
        <v>22</v>
      </c>
      <c r="I390" s="125">
        <f>D390-(2*(H390+F390))</f>
        <v/>
      </c>
      <c r="J390" s="125" t="n">
        <v>257.95</v>
      </c>
      <c r="K390" s="125">
        <f>(E390/2)/F390</f>
        <v/>
      </c>
      <c r="L390" s="125">
        <f>I390/G390</f>
        <v/>
      </c>
      <c r="M390" s="125">
        <f>(E390*2+F390*4+((E390-G390)/2-H390)*4+2*PI()*H390+(D390-2*F390-2*H390)*2)/1000</f>
        <v/>
      </c>
      <c r="N390" s="5" t="n">
        <v>115559</v>
      </c>
      <c r="O390" s="5" t="n">
        <v>33531</v>
      </c>
      <c r="P390" s="125" t="n">
        <v>21.17</v>
      </c>
      <c r="Q390" s="125" t="n">
        <v>11.4</v>
      </c>
      <c r="R390" s="5" t="n">
        <v>4698</v>
      </c>
      <c r="S390" s="125" t="n">
        <v>1442</v>
      </c>
      <c r="T390" s="125">
        <f>(((E390*D390*D390)/4)-(((E390-G390)*(D390-F390-F390)*(D390-F390-F390))/4)+(4*(H390*H390*(D390/2-F390-(H390/2))-((PI()*H390*H390)/4*((D390/2)-F390-(H390-((4*H390)/(3*PI()))))))))/1000</f>
        <v/>
      </c>
      <c r="U390" s="125">
        <f>(((D390*E390*E390)/4)-(2*((D390-F390-F390)*(E390/2-(G390/2))*(((E390/2-(G390/2))/2)+(G390/2))))+(4*(((H390*H390)-(((PI()*H390*H390)/4)))*((H390-((4*H390)/(3*PI())))+(G390/2)))))/1000</f>
        <v/>
      </c>
      <c r="Y390">
        <f>SQRT((((VLOOKUP($X$4,$A$4:$D$1021,4,FALSE))-D390)^2)+(((VLOOKUP($X$4,$A$4:$E$1021,5,FALSE))-E390)^2))</f>
        <v/>
      </c>
    </row>
    <row r="391">
      <c r="A391" s="125" t="inlineStr">
        <is>
          <t>HW500X239</t>
        </is>
      </c>
      <c r="B391" s="129" t="inlineStr">
        <is>
          <t>GB</t>
        </is>
      </c>
      <c r="C391" s="125">
        <f>_xlfn.TEXTAFTER(A391,"X")</f>
        <v/>
      </c>
      <c r="D391" s="125" t="n">
        <v>502</v>
      </c>
      <c r="E391" s="125" t="n">
        <v>465</v>
      </c>
      <c r="F391" s="125" t="n">
        <v>25</v>
      </c>
      <c r="G391" s="125" t="n">
        <v>15</v>
      </c>
      <c r="H391" s="125" t="n">
        <v>22</v>
      </c>
      <c r="I391" s="125">
        <f>D391-(2*(H391+F391))</f>
        <v/>
      </c>
      <c r="J391" s="125" t="n">
        <v>304.45</v>
      </c>
      <c r="K391" s="125">
        <f>(E391/2)/F391</f>
        <v/>
      </c>
      <c r="L391" s="125">
        <f>I391/G391</f>
        <v/>
      </c>
      <c r="M391" s="125">
        <f>(E391*2+F391*4+((E391-G391)/2-H391)*4+2*PI()*H391+(D391-2*F391-2*H391)*2)/1000</f>
        <v/>
      </c>
      <c r="N391" s="5" t="n">
        <v>145012</v>
      </c>
      <c r="O391" s="5" t="n">
        <v>41910</v>
      </c>
      <c r="P391" s="125" t="n">
        <v>21.82</v>
      </c>
      <c r="Q391" s="125" t="n">
        <v>11.73</v>
      </c>
      <c r="R391" s="5" t="n">
        <v>5777</v>
      </c>
      <c r="S391" s="125" t="n">
        <v>1803</v>
      </c>
      <c r="T391" s="125">
        <f>(((E391*D391*D391)/4)-(((E391-G391)*(D391-F391-F391)*(D391-F391-F391))/4)+(4*(H391*H391*(D391/2-F391-(H391/2))-((PI()*H391*H391)/4*((D391/2)-F391-(H391-((4*H391)/(3*PI()))))))))/1000</f>
        <v/>
      </c>
      <c r="U391" s="125">
        <f>(((D391*E391*E391)/4)-(2*((D391-F391-F391)*(E391/2-(G391/2))*(((E391/2-(G391/2))/2)+(G391/2))))+(4*(((H391*H391)-(((PI()*H391*H391)/4)))*((H391-((4*H391)/(3*PI())))+(G391/2)))))/1000</f>
        <v/>
      </c>
      <c r="Y391">
        <f>SQRT((((VLOOKUP($X$4,$A$4:$D$1021,4,FALSE))-D391)^2)+(((VLOOKUP($X$4,$A$4:$E$1021,5,FALSE))-E391)^2))</f>
        <v/>
      </c>
    </row>
    <row r="392">
      <c r="A392" s="125" t="inlineStr">
        <is>
          <t>HW500X258.7</t>
        </is>
      </c>
      <c r="B392" s="129" t="inlineStr">
        <is>
          <t>GB</t>
        </is>
      </c>
      <c r="C392" s="125">
        <f>_xlfn.TEXTAFTER(A392,"X")</f>
        <v/>
      </c>
      <c r="D392" s="125" t="n">
        <v>502</v>
      </c>
      <c r="E392" s="125" t="n">
        <v>470</v>
      </c>
      <c r="F392" s="125" t="n">
        <v>25</v>
      </c>
      <c r="G392" s="125" t="n">
        <v>20</v>
      </c>
      <c r="H392" s="125" t="n">
        <v>22</v>
      </c>
      <c r="I392" s="125">
        <f>D392-(2*(H392+F392))</f>
        <v/>
      </c>
      <c r="J392" s="125" t="n">
        <v>329.55</v>
      </c>
      <c r="K392" s="125">
        <f>(E392/2)/F392</f>
        <v/>
      </c>
      <c r="L392" s="125">
        <f>I392/G392</f>
        <v/>
      </c>
      <c r="M392" s="125">
        <f>(E392*2+F392*4+((E392-G392)/2-H392)*4+2*PI()*H392+(D392-2*F392-2*H392)*2)/1000</f>
        <v/>
      </c>
      <c r="N392" s="5" t="n">
        <v>150283</v>
      </c>
      <c r="O392" s="5" t="n">
        <v>43295</v>
      </c>
      <c r="P392" s="125" t="n">
        <v>21.35</v>
      </c>
      <c r="Q392" s="125" t="n">
        <v>11.46</v>
      </c>
      <c r="R392" s="5" t="n">
        <v>5987</v>
      </c>
      <c r="S392" s="125" t="n">
        <v>1842</v>
      </c>
      <c r="T392" s="125">
        <f>(((E392*D392*D392)/4)-(((E392-G392)*(D392-F392-F392)*(D392-F392-F392))/4)+(4*(H392*H392*(D392/2-F392-(H392/2))-((PI()*H392*H392)/4*((D392/2)-F392-(H392-((4*H392)/(3*PI()))))))))/1000</f>
        <v/>
      </c>
      <c r="U392" s="125">
        <f>(((D392*E392*E392)/4)-(2*((D392-F392-F392)*(E392/2-(G392/2))*(((E392/2-(G392/2))/2)+(G392/2))))+(4*(((H392*H392)-(((PI()*H392*H392)/4)))*((H392-((4*H392)/(3*PI())))+(G392/2)))))/1000</f>
        <v/>
      </c>
      <c r="Y392">
        <f>SQRT((((VLOOKUP($X$4,$A$4:$D$1021,4,FALSE))-D392)^2)+(((VLOOKUP($X$4,$A$4:$E$1021,5,FALSE))-E392)^2))</f>
        <v/>
      </c>
    </row>
    <row r="393">
      <c r="A393" s="125" t="inlineStr">
        <is>
          <t>HM150X20.7</t>
        </is>
      </c>
      <c r="B393" s="129" t="inlineStr">
        <is>
          <t>GB</t>
        </is>
      </c>
      <c r="C393" s="125">
        <f>_xlfn.TEXTAFTER(A393,"X")</f>
        <v/>
      </c>
      <c r="D393" s="125" t="n">
        <v>148</v>
      </c>
      <c r="E393" s="125" t="n">
        <v>100</v>
      </c>
      <c r="F393" s="125" t="n">
        <v>9</v>
      </c>
      <c r="G393" s="125" t="n">
        <v>6</v>
      </c>
      <c r="H393" s="125" t="n">
        <v>8</v>
      </c>
      <c r="I393" s="125">
        <f>D393-(2*(H393+F393))</f>
        <v/>
      </c>
      <c r="J393" s="125" t="n">
        <v>26.35</v>
      </c>
      <c r="K393" s="125">
        <f>(E393/2)/F393</f>
        <v/>
      </c>
      <c r="L393" s="125">
        <f>I393/G393</f>
        <v/>
      </c>
      <c r="M393" s="125">
        <f>(E393*2+F393*4+((E393-G393)/2-H393)*4+2*PI()*H393+(D393-2*F393-2*H393)*2)/1000</f>
        <v/>
      </c>
      <c r="N393" s="125" t="n">
        <v>995.3</v>
      </c>
      <c r="O393" s="125" t="n">
        <v>150.3</v>
      </c>
      <c r="P393" s="125" t="n">
        <v>6.15</v>
      </c>
      <c r="Q393" s="125" t="n">
        <v>2.39</v>
      </c>
      <c r="R393" s="125" t="n">
        <v>134.5</v>
      </c>
      <c r="S393" s="125" t="n">
        <v>30.1</v>
      </c>
      <c r="T393" s="125">
        <f>(((E393*D393*D393)/4)-(((E393-G393)*(D393-F393-F393)*(D393-F393-F393))/4)+(4*(H393*H393*(D393/2-F393-(H393/2))-((PI()*H393*H393)/4*((D393/2)-F393-(H393-((4*H393)/(3*PI()))))))))/1000</f>
        <v/>
      </c>
      <c r="U393" s="125">
        <f>(((D393*E393*E393)/4)-(2*((D393-F393-F393)*(E393/2-(G393/2))*(((E393/2-(G393/2))/2)+(G393/2))))+(4*(((H393*H393)-(((PI()*H393*H393)/4)))*((H393-((4*H393)/(3*PI())))+(G393/2)))))/1000</f>
        <v/>
      </c>
      <c r="Y393">
        <f>SQRT((((VLOOKUP($X$4,$A$4:$D$1021,4,FALSE))-D393)^2)+(((VLOOKUP($X$4,$A$4:$E$1021,5,FALSE))-E393)^2))</f>
        <v/>
      </c>
    </row>
    <row r="394">
      <c r="A394" s="125" t="inlineStr">
        <is>
          <t>HM200X29.9</t>
        </is>
      </c>
      <c r="B394" s="129" t="inlineStr">
        <is>
          <t>GB</t>
        </is>
      </c>
      <c r="C394" s="125">
        <f>_xlfn.TEXTAFTER(A394,"X")</f>
        <v/>
      </c>
      <c r="D394" s="125" t="n">
        <v>194</v>
      </c>
      <c r="E394" s="125" t="n">
        <v>150</v>
      </c>
      <c r="F394" s="125" t="n">
        <v>9</v>
      </c>
      <c r="G394" s="125" t="n">
        <v>6</v>
      </c>
      <c r="H394" s="125" t="n">
        <v>8</v>
      </c>
      <c r="I394" s="125">
        <f>D394-(2*(H394+F394))</f>
        <v/>
      </c>
      <c r="J394" s="125" t="n">
        <v>38.11</v>
      </c>
      <c r="K394" s="125">
        <f>(E394/2)/F394</f>
        <v/>
      </c>
      <c r="L394" s="125">
        <f>I394/G394</f>
        <v/>
      </c>
      <c r="M394" s="125">
        <f>(E394*2+F394*4+((E394-G394)/2-H394)*4+2*PI()*H394+(D394-2*F394-2*H394)*2)/1000</f>
        <v/>
      </c>
      <c r="N394" s="5" t="n">
        <v>2586</v>
      </c>
      <c r="O394" s="125" t="n">
        <v>506.6</v>
      </c>
      <c r="P394" s="125" t="n">
        <v>8.24</v>
      </c>
      <c r="Q394" s="125" t="n">
        <v>3.65</v>
      </c>
      <c r="R394" s="125" t="n">
        <v>266.6</v>
      </c>
      <c r="S394" s="125" t="n">
        <v>67.59999999999999</v>
      </c>
      <c r="T394" s="125">
        <f>(((E394*D394*D394)/4)-(((E394-G394)*(D394-F394-F394)*(D394-F394-F394))/4)+(4*(H394*H394*(D394/2-F394-(H394/2))-((PI()*H394*H394)/4*((D394/2)-F394-(H394-((4*H394)/(3*PI()))))))))/1000</f>
        <v/>
      </c>
      <c r="U394" s="125">
        <f>(((D394*E394*E394)/4)-(2*((D394-F394-F394)*(E394/2-(G394/2))*(((E394/2-(G394/2))/2)+(G394/2))))+(4*(((H394*H394)-(((PI()*H394*H394)/4)))*((H394-((4*H394)/(3*PI())))+(G394/2)))))/1000</f>
        <v/>
      </c>
      <c r="Y394">
        <f>SQRT((((VLOOKUP($X$4,$A$4:$D$1021,4,FALSE))-D394)^2)+(((VLOOKUP($X$4,$A$4:$E$1021,5,FALSE))-E394)^2))</f>
        <v/>
      </c>
    </row>
    <row r="395">
      <c r="A395" s="125" t="inlineStr">
        <is>
          <t>HM250X43.6</t>
        </is>
      </c>
      <c r="B395" s="129" t="inlineStr">
        <is>
          <t>GB</t>
        </is>
      </c>
      <c r="C395" s="125">
        <f>_xlfn.TEXTAFTER(A395,"X")</f>
        <v/>
      </c>
      <c r="D395" s="125" t="n">
        <v>244</v>
      </c>
      <c r="E395" s="125" t="n">
        <v>175</v>
      </c>
      <c r="F395" s="125" t="n">
        <v>11</v>
      </c>
      <c r="G395" s="125" t="n">
        <v>7</v>
      </c>
      <c r="H395" s="125" t="n">
        <v>13</v>
      </c>
      <c r="I395" s="125">
        <f>D395-(2*(H395+F395))</f>
        <v/>
      </c>
      <c r="J395" s="125" t="n">
        <v>55.49</v>
      </c>
      <c r="K395" s="125">
        <f>(E395/2)/F395</f>
        <v/>
      </c>
      <c r="L395" s="125">
        <f>I395/G395</f>
        <v/>
      </c>
      <c r="M395" s="125">
        <f>(E395*2+F395*4+((E395-G395)/2-H395)*4+2*PI()*H395+(D395-2*F395-2*H395)*2)/1000</f>
        <v/>
      </c>
      <c r="N395" s="5" t="n">
        <v>5908</v>
      </c>
      <c r="O395" s="125" t="n">
        <v>983.5</v>
      </c>
      <c r="P395" s="125" t="n">
        <v>10.32</v>
      </c>
      <c r="Q395" s="125" t="n">
        <v>4.21</v>
      </c>
      <c r="R395" s="125" t="n">
        <v>484.3</v>
      </c>
      <c r="S395" s="125" t="n">
        <v>112.4</v>
      </c>
      <c r="T395" s="125">
        <f>(((E395*D395*D395)/4)-(((E395-G395)*(D395-F395-F395)*(D395-F395-F395))/4)+(4*(H395*H395*(D395/2-F395-(H395/2))-((PI()*H395*H395)/4*((D395/2)-F395-(H395-((4*H395)/(3*PI()))))))))/1000</f>
        <v/>
      </c>
      <c r="U395" s="125">
        <f>(((D395*E395*E395)/4)-(2*((D395-F395-F395)*(E395/2-(G395/2))*(((E395/2-(G395/2))/2)+(G395/2))))+(4*(((H395*H395)-(((PI()*H395*H395)/4)))*((H395-((4*H395)/(3*PI())))+(G395/2)))))/1000</f>
        <v/>
      </c>
      <c r="Y395">
        <f>SQRT((((VLOOKUP($X$4,$A$4:$D$1021,4,FALSE))-D395)^2)+(((VLOOKUP($X$4,$A$4:$E$1021,5,FALSE))-E395)^2))</f>
        <v/>
      </c>
    </row>
    <row r="396">
      <c r="A396" s="125" t="inlineStr">
        <is>
          <t>HM300X55.8</t>
        </is>
      </c>
      <c r="B396" s="129" t="inlineStr">
        <is>
          <t>GB</t>
        </is>
      </c>
      <c r="C396" s="125">
        <f>_xlfn.TEXTAFTER(A396,"X")</f>
        <v/>
      </c>
      <c r="D396" s="125" t="n">
        <v>294</v>
      </c>
      <c r="E396" s="125" t="n">
        <v>200</v>
      </c>
      <c r="F396" s="125" t="n">
        <v>12</v>
      </c>
      <c r="G396" s="125" t="n">
        <v>8</v>
      </c>
      <c r="H396" s="125" t="n">
        <v>13</v>
      </c>
      <c r="I396" s="125">
        <f>D396-(2*(H396+F396))</f>
        <v/>
      </c>
      <c r="J396" s="125" t="n">
        <v>71.05</v>
      </c>
      <c r="K396" s="125">
        <f>(E396/2)/F396</f>
        <v/>
      </c>
      <c r="L396" s="125">
        <f>I396/G396</f>
        <v/>
      </c>
      <c r="M396" s="125">
        <f>(E396*2+F396*4+((E396-G396)/2-H396)*4+2*PI()*H396+(D396-2*F396-2*H396)*2)/1000</f>
        <v/>
      </c>
      <c r="N396" s="5" t="n">
        <v>10858</v>
      </c>
      <c r="O396" s="5" t="n">
        <v>1602</v>
      </c>
      <c r="P396" s="125" t="n">
        <v>12.36</v>
      </c>
      <c r="Q396" s="125" t="n">
        <v>4.75</v>
      </c>
      <c r="R396" s="125" t="n">
        <v>738.6</v>
      </c>
      <c r="S396" s="125" t="n">
        <v>160.2</v>
      </c>
      <c r="T396" s="125">
        <f>(((E396*D396*D396)/4)-(((E396-G396)*(D396-F396-F396)*(D396-F396-F396))/4)+(4*(H396*H396*(D396/2-F396-(H396/2))-((PI()*H396*H396)/4*((D396/2)-F396-(H396-((4*H396)/(3*PI()))))))))/1000</f>
        <v/>
      </c>
      <c r="U396" s="125">
        <f>(((D396*E396*E396)/4)-(2*((D396-F396-F396)*(E396/2-(G396/2))*(((E396/2-(G396/2))/2)+(G396/2))))+(4*(((H396*H396)-(((PI()*H396*H396)/4)))*((H396-((4*H396)/(3*PI())))+(G396/2)))))/1000</f>
        <v/>
      </c>
      <c r="Y396">
        <f>SQRT((((VLOOKUP($X$4,$A$4:$D$1021,4,FALSE))-D396)^2)+(((VLOOKUP($X$4,$A$4:$E$1021,5,FALSE))-E396)^2))</f>
        <v/>
      </c>
    </row>
    <row r="397">
      <c r="A397" s="125" t="inlineStr">
        <is>
          <t>HM350X78.1</t>
        </is>
      </c>
      <c r="B397" s="129" t="inlineStr">
        <is>
          <t>GB</t>
        </is>
      </c>
      <c r="C397" s="125">
        <f>_xlfn.TEXTAFTER(A397,"X")</f>
        <v/>
      </c>
      <c r="D397" s="125" t="n">
        <v>340</v>
      </c>
      <c r="E397" s="125" t="n">
        <v>250</v>
      </c>
      <c r="F397" s="125" t="n">
        <v>14</v>
      </c>
      <c r="G397" s="125" t="n">
        <v>9</v>
      </c>
      <c r="H397" s="125" t="n">
        <v>13</v>
      </c>
      <c r="I397" s="125">
        <f>D397-(2*(H397+F397))</f>
        <v/>
      </c>
      <c r="J397" s="125" t="n">
        <v>99.53</v>
      </c>
      <c r="K397" s="125">
        <f>(E397/2)/F397</f>
        <v/>
      </c>
      <c r="L397" s="125">
        <f>I397/G397</f>
        <v/>
      </c>
      <c r="M397" s="125">
        <f>(E397*2+F397*4+((E397-G397)/2-H397)*4+2*PI()*H397+(D397-2*F397-2*H397)*2)/1000</f>
        <v/>
      </c>
      <c r="N397" s="5" t="n">
        <v>20867</v>
      </c>
      <c r="O397" s="5" t="n">
        <v>3648</v>
      </c>
      <c r="P397" s="125" t="n">
        <v>14.48</v>
      </c>
      <c r="Q397" s="125" t="n">
        <v>6.05</v>
      </c>
      <c r="R397" s="5" t="n">
        <v>1227</v>
      </c>
      <c r="S397" s="125" t="n">
        <v>291.9</v>
      </c>
      <c r="T397" s="125">
        <f>(((E397*D397*D397)/4)-(((E397-G397)*(D397-F397-F397)*(D397-F397-F397))/4)+(4*(H397*H397*(D397/2-F397-(H397/2))-((PI()*H397*H397)/4*((D397/2)-F397-(H397-((4*H397)/(3*PI()))))))))/1000</f>
        <v/>
      </c>
      <c r="U397" s="125">
        <f>(((D397*E397*E397)/4)-(2*((D397-F397-F397)*(E397/2-(G397/2))*(((E397/2-(G397/2))/2)+(G397/2))))+(4*(((H397*H397)-(((PI()*H397*H397)/4)))*((H397-((4*H397)/(3*PI())))+(G397/2)))))/1000</f>
        <v/>
      </c>
      <c r="Y397">
        <f>SQRT((((VLOOKUP($X$4,$A$4:$D$1021,4,FALSE))-D397)^2)+(((VLOOKUP($X$4,$A$4:$E$1021,5,FALSE))-E397)^2))</f>
        <v/>
      </c>
    </row>
    <row r="398">
      <c r="A398" s="125" t="inlineStr">
        <is>
          <t>HM400X104.6</t>
        </is>
      </c>
      <c r="B398" s="129" t="inlineStr">
        <is>
          <t>GB</t>
        </is>
      </c>
      <c r="C398" s="125">
        <f>_xlfn.TEXTAFTER(A398,"X")</f>
        <v/>
      </c>
      <c r="D398" s="125" t="n">
        <v>390</v>
      </c>
      <c r="E398" s="125" t="n">
        <v>300</v>
      </c>
      <c r="F398" s="125" t="n">
        <v>16</v>
      </c>
      <c r="G398" s="125" t="n">
        <v>10</v>
      </c>
      <c r="H398" s="125" t="n">
        <v>13</v>
      </c>
      <c r="I398" s="125">
        <f>D398-(2*(H398+F398))</f>
        <v/>
      </c>
      <c r="J398" s="125" t="n">
        <v>133.25</v>
      </c>
      <c r="K398" s="125">
        <f>(E398/2)/F398</f>
        <v/>
      </c>
      <c r="L398" s="125">
        <f>I398/G398</f>
        <v/>
      </c>
      <c r="M398" s="125">
        <f>(E398*2+F398*4+((E398-G398)/2-H398)*4+2*PI()*H398+(D398-2*F398-2*H398)*2)/1000</f>
        <v/>
      </c>
      <c r="N398" s="5" t="n">
        <v>37363</v>
      </c>
      <c r="O398" s="5" t="n">
        <v>7203</v>
      </c>
      <c r="P398" s="125" t="n">
        <v>16.75</v>
      </c>
      <c r="Q398" s="125" t="n">
        <v>7.35</v>
      </c>
      <c r="R398" s="5" t="n">
        <v>1916</v>
      </c>
      <c r="S398" s="125" t="n">
        <v>480.2</v>
      </c>
      <c r="T398" s="125">
        <f>(((E398*D398*D398)/4)-(((E398-G398)*(D398-F398-F398)*(D398-F398-F398))/4)+(4*(H398*H398*(D398/2-F398-(H398/2))-((PI()*H398*H398)/4*((D398/2)-F398-(H398-((4*H398)/(3*PI()))))))))/1000</f>
        <v/>
      </c>
      <c r="U398" s="125">
        <f>(((D398*E398*E398)/4)-(2*((D398-F398-F398)*(E398/2-(G398/2))*(((E398/2-(G398/2))/2)+(G398/2))))+(4*(((H398*H398)-(((PI()*H398*H398)/4)))*((H398-((4*H398)/(3*PI())))+(G398/2)))))/1000</f>
        <v/>
      </c>
      <c r="Y398">
        <f>SQRT((((VLOOKUP($X$4,$A$4:$D$1021,4,FALSE))-D398)^2)+(((VLOOKUP($X$4,$A$4:$E$1021,5,FALSE))-E398)^2))</f>
        <v/>
      </c>
    </row>
    <row r="399">
      <c r="A399" s="125" t="inlineStr">
        <is>
          <t>HM450X120.8</t>
        </is>
      </c>
      <c r="B399" s="129" t="inlineStr">
        <is>
          <t>GB</t>
        </is>
      </c>
      <c r="C399" s="125">
        <f>_xlfn.TEXTAFTER(A399,"X")</f>
        <v/>
      </c>
      <c r="D399" s="125" t="n">
        <v>440</v>
      </c>
      <c r="E399" s="125" t="n">
        <v>300</v>
      </c>
      <c r="F399" s="125" t="n">
        <v>18</v>
      </c>
      <c r="G399" s="125" t="n">
        <v>11</v>
      </c>
      <c r="H399" s="125" t="n">
        <v>13</v>
      </c>
      <c r="I399" s="125">
        <f>D399-(2*(H399+F399))</f>
        <v/>
      </c>
      <c r="J399" s="125" t="n">
        <v>153.89</v>
      </c>
      <c r="K399" s="125">
        <f>(E399/2)/F399</f>
        <v/>
      </c>
      <c r="L399" s="125">
        <f>I399/G399</f>
        <v/>
      </c>
      <c r="M399" s="125">
        <f>(E399*2+F399*4+((E399-G399)/2-H399)*4+2*PI()*H399+(D399-2*F399-2*H399)*2)/1000</f>
        <v/>
      </c>
      <c r="N399" s="5" t="n">
        <v>54067</v>
      </c>
      <c r="O399" s="5" t="n">
        <v>8105</v>
      </c>
      <c r="P399" s="125" t="n">
        <v>18.74</v>
      </c>
      <c r="Q399" s="125" t="n">
        <v>7.26</v>
      </c>
      <c r="R399" s="5" t="n">
        <v>2458</v>
      </c>
      <c r="S399" s="125" t="n">
        <v>540.3</v>
      </c>
      <c r="T399" s="125">
        <f>(((E399*D399*D399)/4)-(((E399-G399)*(D399-F399-F399)*(D399-F399-F399))/4)+(4*(H399*H399*(D399/2-F399-(H399/2))-((PI()*H399*H399)/4*((D399/2)-F399-(H399-((4*H399)/(3*PI()))))))))/1000</f>
        <v/>
      </c>
      <c r="U399" s="125">
        <f>(((D399*E399*E399)/4)-(2*((D399-F399-F399)*(E399/2-(G399/2))*(((E399/2-(G399/2))/2)+(G399/2))))+(4*(((H399*H399)-(((PI()*H399*H399)/4)))*((H399-((4*H399)/(3*PI())))+(G399/2)))))/1000</f>
        <v/>
      </c>
      <c r="Y399">
        <f>SQRT((((VLOOKUP($X$4,$A$4:$D$1021,4,FALSE))-D399)^2)+(((VLOOKUP($X$4,$A$4:$E$1021,5,FALSE))-E399)^2))</f>
        <v/>
      </c>
    </row>
    <row r="400">
      <c r="A400" s="125" t="inlineStr">
        <is>
          <t>HM500X110.8</t>
        </is>
      </c>
      <c r="B400" s="129" t="inlineStr">
        <is>
          <t>GB</t>
        </is>
      </c>
      <c r="C400" s="125">
        <f>_xlfn.TEXTAFTER(A400,"X")</f>
        <v/>
      </c>
      <c r="D400" s="125" t="n">
        <v>482</v>
      </c>
      <c r="E400" s="125" t="n">
        <v>300</v>
      </c>
      <c r="F400" s="125" t="n">
        <v>15</v>
      </c>
      <c r="G400" s="125" t="n">
        <v>11</v>
      </c>
      <c r="H400" s="125" t="n">
        <v>13</v>
      </c>
      <c r="I400" s="125">
        <f>D400-(2*(H400+F400))</f>
        <v/>
      </c>
      <c r="J400" s="125" t="n">
        <v>141.17</v>
      </c>
      <c r="K400" s="125">
        <f>(E400/2)/F400</f>
        <v/>
      </c>
      <c r="L400" s="125">
        <f>I400/G400</f>
        <v/>
      </c>
      <c r="M400" s="125">
        <f>(E400*2+F400*4+((E400-G400)/2-H400)*4+2*PI()*H400+(D400-2*F400-2*H400)*2)/1000</f>
        <v/>
      </c>
      <c r="N400" s="5" t="n">
        <v>57212</v>
      </c>
      <c r="O400" s="5" t="n">
        <v>6756</v>
      </c>
      <c r="P400" s="125" t="n">
        <v>20.13</v>
      </c>
      <c r="Q400" s="125" t="n">
        <v>6.92</v>
      </c>
      <c r="R400" s="5" t="n">
        <v>2374</v>
      </c>
      <c r="S400" s="125" t="n">
        <v>450.4</v>
      </c>
      <c r="T400" s="125">
        <f>(((E400*D400*D400)/4)-(((E400-G400)*(D400-F400-F400)*(D400-F400-F400))/4)+(4*(H400*H400*(D400/2-F400-(H400/2))-((PI()*H400*H400)/4*((D400/2)-F400-(H400-((4*H400)/(3*PI()))))))))/1000</f>
        <v/>
      </c>
      <c r="U400" s="125">
        <f>(((D400*E400*E400)/4)-(2*((D400-F400-F400)*(E400/2-(G400/2))*(((E400/2-(G400/2))/2)+(G400/2))))+(4*(((H400*H400)-(((PI()*H400*H400)/4)))*((H400-((4*H400)/(3*PI())))+(G400/2)))))/1000</f>
        <v/>
      </c>
      <c r="Y400">
        <f>SQRT((((VLOOKUP($X$4,$A$4:$D$1021,4,FALSE))-D400)^2)+(((VLOOKUP($X$4,$A$4:$E$1021,5,FALSE))-E400)^2))</f>
        <v/>
      </c>
    </row>
    <row r="401">
      <c r="A401" s="125" t="inlineStr">
        <is>
          <t>HM500X124.9</t>
        </is>
      </c>
      <c r="B401" s="129" t="inlineStr">
        <is>
          <t>GB</t>
        </is>
      </c>
      <c r="C401" s="125">
        <f>_xlfn.TEXTAFTER(A401,"X")</f>
        <v/>
      </c>
      <c r="D401" s="125" t="n">
        <v>488</v>
      </c>
      <c r="E401" s="125" t="n">
        <v>300</v>
      </c>
      <c r="F401" s="125" t="n">
        <v>18</v>
      </c>
      <c r="G401" s="125" t="n">
        <v>11</v>
      </c>
      <c r="H401" s="125" t="n">
        <v>13</v>
      </c>
      <c r="I401" s="125">
        <f>D401-(2*(H401+F401))</f>
        <v/>
      </c>
      <c r="J401" s="125" t="n">
        <v>159.17</v>
      </c>
      <c r="K401" s="125">
        <f>(E401/2)/F401</f>
        <v/>
      </c>
      <c r="L401" s="125">
        <f>I401/G401</f>
        <v/>
      </c>
      <c r="M401" s="125">
        <f>(E401*2+F401*4+((E401-G401)/2-H401)*4+2*PI()*H401+(D401-2*F401-2*H401)*2)/1000</f>
        <v/>
      </c>
      <c r="N401" s="5" t="n">
        <v>67916</v>
      </c>
      <c r="O401" s="5" t="n">
        <v>8106</v>
      </c>
      <c r="P401" s="125" t="n">
        <v>20.66</v>
      </c>
      <c r="Q401" s="125" t="n">
        <v>7.14</v>
      </c>
      <c r="R401" s="5" t="n">
        <v>2783</v>
      </c>
      <c r="S401" s="125" t="n">
        <v>540.4</v>
      </c>
      <c r="T401" s="125">
        <f>(((E401*D401*D401)/4)-(((E401-G401)*(D401-F401-F401)*(D401-F401-F401))/4)+(4*(H401*H401*(D401/2-F401-(H401/2))-((PI()*H401*H401)/4*((D401/2)-F401-(H401-((4*H401)/(3*PI()))))))))/1000</f>
        <v/>
      </c>
      <c r="U401" s="125">
        <f>(((D401*E401*E401)/4)-(2*((D401-F401-F401)*(E401/2-(G401/2))*(((E401/2-(G401/2))/2)+(G401/2))))+(4*(((H401*H401)-(((PI()*H401*H401)/4)))*((H401-((4*H401)/(3*PI())))+(G401/2)))))/1000</f>
        <v/>
      </c>
      <c r="Y401">
        <f>SQRT((((VLOOKUP($X$4,$A$4:$D$1021,4,FALSE))-D401)^2)+(((VLOOKUP($X$4,$A$4:$E$1021,5,FALSE))-E401)^2))</f>
        <v/>
      </c>
    </row>
    <row r="402">
      <c r="A402" s="125" t="inlineStr">
        <is>
          <t>HM550X116.2</t>
        </is>
      </c>
      <c r="B402" s="129" t="inlineStr">
        <is>
          <t>GB</t>
        </is>
      </c>
      <c r="C402" s="125">
        <f>_xlfn.TEXTAFTER(A402,"X")</f>
        <v/>
      </c>
      <c r="D402" s="125" t="n">
        <v>544</v>
      </c>
      <c r="E402" s="125" t="n">
        <v>300</v>
      </c>
      <c r="F402" s="125" t="n">
        <v>15</v>
      </c>
      <c r="G402" s="125" t="n">
        <v>11</v>
      </c>
      <c r="H402" s="125" t="n">
        <v>13</v>
      </c>
      <c r="I402" s="125">
        <f>D402-(2*(H402+F402))</f>
        <v/>
      </c>
      <c r="J402" s="125" t="n">
        <v>147.99</v>
      </c>
      <c r="K402" s="125">
        <f>(E402/2)/F402</f>
        <v/>
      </c>
      <c r="L402" s="125">
        <f>I402/G402</f>
        <v/>
      </c>
      <c r="M402" s="125">
        <f>(E402*2+F402*4+((E402-G402)/2-H402)*4+2*PI()*H402+(D402-2*F402-2*H402)*2)/1000</f>
        <v/>
      </c>
      <c r="N402" s="5" t="n">
        <v>74874</v>
      </c>
      <c r="O402" s="5" t="n">
        <v>6756</v>
      </c>
      <c r="P402" s="125" t="n">
        <v>22.49</v>
      </c>
      <c r="Q402" s="125" t="n">
        <v>6.76</v>
      </c>
      <c r="R402" s="5" t="n">
        <v>2753</v>
      </c>
      <c r="S402" s="125" t="n">
        <v>450.4</v>
      </c>
      <c r="T402" s="125">
        <f>(((E402*D402*D402)/4)-(((E402-G402)*(D402-F402-F402)*(D402-F402-F402))/4)+(4*(H402*H402*(D402/2-F402-(H402/2))-((PI()*H402*H402)/4*((D402/2)-F402-(H402-((4*H402)/(3*PI()))))))))/1000</f>
        <v/>
      </c>
      <c r="U402" s="125">
        <f>(((D402*E402*E402)/4)-(2*((D402-F402-F402)*(E402/2-(G402/2))*(((E402/2-(G402/2))/2)+(G402/2))))+(4*(((H402*H402)-(((PI()*H402*H402)/4)))*((H402-((4*H402)/(3*PI())))+(G402/2)))))/1000</f>
        <v/>
      </c>
      <c r="Y402">
        <f>SQRT((((VLOOKUP($X$4,$A$4:$D$1021,4,FALSE))-D402)^2)+(((VLOOKUP($X$4,$A$4:$E$1021,5,FALSE))-E402)^2))</f>
        <v/>
      </c>
    </row>
    <row r="403">
      <c r="A403" s="125" t="inlineStr">
        <is>
          <t>HM550X130.3</t>
        </is>
      </c>
      <c r="B403" s="129" t="inlineStr">
        <is>
          <t>GB</t>
        </is>
      </c>
      <c r="C403" s="125">
        <f>_xlfn.TEXTAFTER(A403,"X")</f>
        <v/>
      </c>
      <c r="D403" s="125" t="n">
        <v>550</v>
      </c>
      <c r="E403" s="125" t="n">
        <v>300</v>
      </c>
      <c r="F403" s="125" t="n">
        <v>18</v>
      </c>
      <c r="G403" s="125" t="n">
        <v>11</v>
      </c>
      <c r="H403" s="125" t="n">
        <v>13</v>
      </c>
      <c r="I403" s="125">
        <f>D403-(2*(H403+F403))</f>
        <v/>
      </c>
      <c r="J403" s="125" t="n">
        <v>165.99</v>
      </c>
      <c r="K403" s="125">
        <f>(E403/2)/F403</f>
        <v/>
      </c>
      <c r="L403" s="125">
        <f>I403/G403</f>
        <v/>
      </c>
      <c r="M403" s="125">
        <f>(E403*2+F403*4+((E403-G403)/2-H403)*4+2*PI()*H403+(D403-2*F403-2*H403)*2)/1000</f>
        <v/>
      </c>
      <c r="N403" s="5" t="n">
        <v>88470</v>
      </c>
      <c r="O403" s="5" t="n">
        <v>8106</v>
      </c>
      <c r="P403" s="125" t="n">
        <v>23.09</v>
      </c>
      <c r="Q403" s="125" t="n">
        <v>6.99</v>
      </c>
      <c r="R403" s="5" t="n">
        <v>3217</v>
      </c>
      <c r="S403" s="125" t="n">
        <v>540.4</v>
      </c>
      <c r="T403" s="125">
        <f>(((E403*D403*D403)/4)-(((E403-G403)*(D403-F403-F403)*(D403-F403-F403))/4)+(4*(H403*H403*(D403/2-F403-(H403/2))-((PI()*H403*H403)/4*((D403/2)-F403-(H403-((4*H403)/(3*PI()))))))))/1000</f>
        <v/>
      </c>
      <c r="U403" s="125">
        <f>(((D403*E403*E403)/4)-(2*((D403-F403-F403)*(E403/2-(G403/2))*(((E403/2-(G403/2))/2)+(G403/2))))+(4*(((H403*H403)-(((PI()*H403*H403)/4)))*((H403-((4*H403)/(3*PI())))+(G403/2)))))/1000</f>
        <v/>
      </c>
      <c r="Y403">
        <f>SQRT((((VLOOKUP($X$4,$A$4:$D$1021,4,FALSE))-D403)^2)+(((VLOOKUP($X$4,$A$4:$E$1021,5,FALSE))-E403)^2))</f>
        <v/>
      </c>
    </row>
    <row r="404">
      <c r="A404" s="125" t="inlineStr">
        <is>
          <t>HM600X132.8</t>
        </is>
      </c>
      <c r="B404" s="129" t="inlineStr">
        <is>
          <t>GB</t>
        </is>
      </c>
      <c r="C404" s="125">
        <f>_xlfn.TEXTAFTER(A404,"X")</f>
        <v/>
      </c>
      <c r="D404" s="125" t="n">
        <v>582</v>
      </c>
      <c r="E404" s="125" t="n">
        <v>300</v>
      </c>
      <c r="F404" s="125" t="n">
        <v>17</v>
      </c>
      <c r="G404" s="125" t="n">
        <v>12</v>
      </c>
      <c r="H404" s="125" t="n">
        <v>13</v>
      </c>
      <c r="I404" s="125">
        <f>D404-(2*(H404+F404))</f>
        <v/>
      </c>
      <c r="J404" s="125" t="n">
        <v>169.21</v>
      </c>
      <c r="K404" s="125">
        <f>(E404/2)/F404</f>
        <v/>
      </c>
      <c r="L404" s="125">
        <f>I404/G404</f>
        <v/>
      </c>
      <c r="M404" s="125">
        <f>(E404*2+F404*4+((E404-G404)/2-H404)*4+2*PI()*H404+(D404-2*F404-2*H404)*2)/1000</f>
        <v/>
      </c>
      <c r="N404" s="5" t="n">
        <v>97287</v>
      </c>
      <c r="O404" s="5" t="n">
        <v>7659</v>
      </c>
      <c r="P404" s="125" t="n">
        <v>23.98</v>
      </c>
      <c r="Q404" s="125" t="n">
        <v>6.73</v>
      </c>
      <c r="R404" s="5" t="n">
        <v>3343</v>
      </c>
      <c r="S404" s="125" t="n">
        <v>510.6</v>
      </c>
      <c r="T404" s="125">
        <f>(((E404*D404*D404)/4)-(((E404-G404)*(D404-F404-F404)*(D404-F404-F404))/4)+(4*(H404*H404*(D404/2-F404-(H404/2))-((PI()*H404*H404)/4*((D404/2)-F404-(H404-((4*H404)/(3*PI()))))))))/1000</f>
        <v/>
      </c>
      <c r="U404" s="125">
        <f>(((D404*E404*E404)/4)-(2*((D404-F404-F404)*(E404/2-(G404/2))*(((E404/2-(G404/2))/2)+(G404/2))))+(4*(((H404*H404)-(((PI()*H404*H404)/4)))*((H404-((4*H404)/(3*PI())))+(G404/2)))))/1000</f>
        <v/>
      </c>
      <c r="Y404">
        <f>SQRT((((VLOOKUP($X$4,$A$4:$D$1021,4,FALSE))-D404)^2)+(((VLOOKUP($X$4,$A$4:$E$1021,5,FALSE))-E404)^2))</f>
        <v/>
      </c>
    </row>
    <row r="405">
      <c r="A405" s="125" t="inlineStr">
        <is>
          <t>HM600X147</t>
        </is>
      </c>
      <c r="B405" s="129" t="inlineStr">
        <is>
          <t>GB</t>
        </is>
      </c>
      <c r="C405" s="125">
        <f>_xlfn.TEXTAFTER(A405,"X")</f>
        <v/>
      </c>
      <c r="D405" s="125" t="n">
        <v>588</v>
      </c>
      <c r="E405" s="125" t="n">
        <v>300</v>
      </c>
      <c r="F405" s="125" t="n">
        <v>20</v>
      </c>
      <c r="G405" s="125" t="n">
        <v>12</v>
      </c>
      <c r="H405" s="125" t="n">
        <v>13</v>
      </c>
      <c r="I405" s="125">
        <f>D405-(2*(H405+F405))</f>
        <v/>
      </c>
      <c r="J405" s="125" t="n">
        <v>187.21</v>
      </c>
      <c r="K405" s="125">
        <f>(E405/2)/F405</f>
        <v/>
      </c>
      <c r="L405" s="125">
        <f>I405/G405</f>
        <v/>
      </c>
      <c r="M405" s="125">
        <f>(E405*2+F405*4+((E405-G405)/2-H405)*4+2*PI()*H405+(D405-2*F405-2*H405)*2)/1000</f>
        <v/>
      </c>
      <c r="N405" s="5" t="n">
        <v>112827</v>
      </c>
      <c r="O405" s="5" t="n">
        <v>9009</v>
      </c>
      <c r="P405" s="125" t="n">
        <v>24.55</v>
      </c>
      <c r="Q405" s="125" t="n">
        <v>6.94</v>
      </c>
      <c r="R405" s="5" t="n">
        <v>3838</v>
      </c>
      <c r="S405" s="125" t="n">
        <v>600.6</v>
      </c>
      <c r="T405" s="125">
        <f>(((E405*D405*D405)/4)-(((E405-G405)*(D405-F405-F405)*(D405-F405-F405))/4)+(4*(H405*H405*(D405/2-F405-(H405/2))-((PI()*H405*H405)/4*((D405/2)-F405-(H405-((4*H405)/(3*PI()))))))))/1000</f>
        <v/>
      </c>
      <c r="U405" s="125">
        <f>(((D405*E405*E405)/4)-(2*((D405-F405-F405)*(E405/2-(G405/2))*(((E405/2-(G405/2))/2)+(G405/2))))+(4*(((H405*H405)-(((PI()*H405*H405)/4)))*((H405-((4*H405)/(3*PI())))+(G405/2)))))/1000</f>
        <v/>
      </c>
      <c r="Y405">
        <f>SQRT((((VLOOKUP($X$4,$A$4:$D$1021,4,FALSE))-D405)^2)+(((VLOOKUP($X$4,$A$4:$E$1021,5,FALSE))-E405)^2))</f>
        <v/>
      </c>
    </row>
    <row r="406">
      <c r="A406" s="125" t="inlineStr">
        <is>
          <t>HM600X170.4</t>
        </is>
      </c>
      <c r="B406" s="129" t="inlineStr">
        <is>
          <t>GB</t>
        </is>
      </c>
      <c r="C406" s="125">
        <f>_xlfn.TEXTAFTER(A406,"X")</f>
        <v/>
      </c>
      <c r="D406" s="125" t="n">
        <v>594</v>
      </c>
      <c r="E406" s="125" t="n">
        <v>302</v>
      </c>
      <c r="F406" s="125" t="n">
        <v>23</v>
      </c>
      <c r="G406" s="125" t="n">
        <v>14</v>
      </c>
      <c r="H406" s="125" t="n">
        <v>13</v>
      </c>
      <c r="I406" s="125">
        <f>D406-(2*(H406+F406))</f>
        <v/>
      </c>
      <c r="J406" s="125" t="n">
        <v>217.09</v>
      </c>
      <c r="K406" s="125">
        <f>(E406/2)/F406</f>
        <v/>
      </c>
      <c r="L406" s="125">
        <f>I406/G406</f>
        <v/>
      </c>
      <c r="M406" s="125">
        <f>(E406*2+F406*4+((E406-G406)/2-H406)*4+2*PI()*H406+(D406-2*F406-2*H406)*2)/1000</f>
        <v/>
      </c>
      <c r="N406" s="5" t="n">
        <v>132179</v>
      </c>
      <c r="O406" s="5" t="n">
        <v>10572</v>
      </c>
      <c r="P406" s="125" t="n">
        <v>24.68</v>
      </c>
      <c r="Q406" s="125" t="n">
        <v>6.98</v>
      </c>
      <c r="R406" s="5" t="n">
        <v>4450</v>
      </c>
      <c r="S406" s="125" t="n">
        <v>700.1</v>
      </c>
      <c r="T406" s="125">
        <f>(((E406*D406*D406)/4)-(((E406-G406)*(D406-F406-F406)*(D406-F406-F406))/4)+(4*(H406*H406*(D406/2-F406-(H406/2))-((PI()*H406*H406)/4*((D406/2)-F406-(H406-((4*H406)/(3*PI()))))))))/1000</f>
        <v/>
      </c>
      <c r="U406" s="125">
        <f>(((D406*E406*E406)/4)-(2*((D406-F406-F406)*(E406/2-(G406/2))*(((E406/2-(G406/2))/2)+(G406/2))))+(4*(((H406*H406)-(((PI()*H406*H406)/4)))*((H406-((4*H406)/(3*PI())))+(G406/2)))))/1000</f>
        <v/>
      </c>
      <c r="Y406">
        <f>SQRT((((VLOOKUP($X$4,$A$4:$D$1021,4,FALSE))-D406)^2)+(((VLOOKUP($X$4,$A$4:$E$1021,5,FALSE))-E406)^2))</f>
        <v/>
      </c>
    </row>
    <row r="407">
      <c r="A407" s="125" t="inlineStr">
        <is>
          <t>HN100X9.3</t>
        </is>
      </c>
      <c r="B407" s="129" t="inlineStr">
        <is>
          <t>GB</t>
        </is>
      </c>
      <c r="C407" s="125">
        <f>_xlfn.TEXTAFTER(A407,"X")</f>
        <v/>
      </c>
      <c r="D407" s="125" t="n">
        <v>100</v>
      </c>
      <c r="E407" s="125" t="n">
        <v>50</v>
      </c>
      <c r="F407" s="125" t="n">
        <v>7</v>
      </c>
      <c r="G407" s="125" t="n">
        <v>5</v>
      </c>
      <c r="H407" s="125" t="n">
        <v>8</v>
      </c>
      <c r="I407" s="125">
        <f>D407-(2*(H407+F407))</f>
        <v/>
      </c>
      <c r="J407" s="125" t="n">
        <v>11.85</v>
      </c>
      <c r="K407" s="125">
        <f>(E407/2)/F407</f>
        <v/>
      </c>
      <c r="L407" s="125">
        <f>I407/G407</f>
        <v/>
      </c>
      <c r="M407" s="125">
        <f>(E407*2+F407*4+((E407-G407)/2-H407)*4+2*PI()*H407+(D407-2*F407-2*H407)*2)/1000</f>
        <v/>
      </c>
      <c r="N407" s="125" t="n">
        <v>191</v>
      </c>
      <c r="O407" s="125" t="n">
        <v>14.7</v>
      </c>
      <c r="P407" s="125" t="n">
        <v>4.02</v>
      </c>
      <c r="Q407" s="125" t="n">
        <v>1.11</v>
      </c>
      <c r="R407" s="125" t="n">
        <v>38.2</v>
      </c>
      <c r="S407" s="125" t="n">
        <v>5.9</v>
      </c>
      <c r="T407" s="125">
        <f>(((E407*D407*D407)/4)-(((E407-G407)*(D407-F407-F407)*(D407-F407-F407))/4)+(4*(H407*H407*(D407/2-F407-(H407/2))-((PI()*H407*H407)/4*((D407/2)-F407-(H407-((4*H407)/(3*PI()))))))))/1000</f>
        <v/>
      </c>
      <c r="U407" s="125">
        <f>(((D407*E407*E407)/4)-(2*((D407-F407-F407)*(E407/2-(G407/2))*(((E407/2-(G407/2))/2)+(G407/2))))+(4*(((H407*H407)-(((PI()*H407*H407)/4)))*((H407-((4*H407)/(3*PI())))+(G407/2)))))/1000</f>
        <v/>
      </c>
      <c r="Y407">
        <f>SQRT((((VLOOKUP($X$4,$A$4:$D$1021,4,FALSE))-D407)^2)+(((VLOOKUP($X$4,$A$4:$E$1021,5,FALSE))-E407)^2))</f>
        <v/>
      </c>
    </row>
    <row r="408">
      <c r="A408" s="125" t="inlineStr">
        <is>
          <t>HN125X13.1</t>
        </is>
      </c>
      <c r="B408" s="129" t="inlineStr">
        <is>
          <t>GB</t>
        </is>
      </c>
      <c r="C408" s="125">
        <f>_xlfn.TEXTAFTER(A408,"X")</f>
        <v/>
      </c>
      <c r="D408" s="125" t="n">
        <v>125</v>
      </c>
      <c r="E408" s="125" t="n">
        <v>60</v>
      </c>
      <c r="F408" s="125" t="n">
        <v>8</v>
      </c>
      <c r="G408" s="125" t="n">
        <v>6</v>
      </c>
      <c r="H408" s="125" t="n">
        <v>8</v>
      </c>
      <c r="I408" s="125">
        <f>D408-(2*(H408+F408))</f>
        <v/>
      </c>
      <c r="J408" s="125" t="n">
        <v>16.69</v>
      </c>
      <c r="K408" s="125">
        <f>(E408/2)/F408</f>
        <v/>
      </c>
      <c r="L408" s="125">
        <f>I408/G408</f>
        <v/>
      </c>
      <c r="M408" s="125">
        <f>(E408*2+F408*4+((E408-G408)/2-H408)*4+2*PI()*H408+(D408-2*F408-2*H408)*2)/1000</f>
        <v/>
      </c>
      <c r="N408" s="125" t="n">
        <v>407.7</v>
      </c>
      <c r="O408" s="125" t="n">
        <v>29.1</v>
      </c>
      <c r="P408" s="125" t="n">
        <v>4.94</v>
      </c>
      <c r="Q408" s="125" t="n">
        <v>1.32</v>
      </c>
      <c r="R408" s="125" t="n">
        <v>65.2</v>
      </c>
      <c r="S408" s="125" t="n">
        <v>9.699999999999999</v>
      </c>
      <c r="T408" s="125">
        <f>(((E408*D408*D408)/4)-(((E408-G408)*(D408-F408-F408)*(D408-F408-F408))/4)+(4*(H408*H408*(D408/2-F408-(H408/2))-((PI()*H408*H408)/4*((D408/2)-F408-(H408-((4*H408)/(3*PI()))))))))/1000</f>
        <v/>
      </c>
      <c r="U408" s="125">
        <f>(((D408*E408*E408)/4)-(2*((D408-F408-F408)*(E408/2-(G408/2))*(((E408/2-(G408/2))/2)+(G408/2))))+(4*(((H408*H408)-(((PI()*H408*H408)/4)))*((H408-((4*H408)/(3*PI())))+(G408/2)))))/1000</f>
        <v/>
      </c>
      <c r="Y408">
        <f>SQRT((((VLOOKUP($X$4,$A$4:$D$1021,4,FALSE))-D408)^2)+(((VLOOKUP($X$4,$A$4:$E$1021,5,FALSE))-E408)^2))</f>
        <v/>
      </c>
    </row>
    <row r="409">
      <c r="A409" s="125" t="inlineStr">
        <is>
          <t>HN150X14</t>
        </is>
      </c>
      <c r="B409" s="129" t="inlineStr">
        <is>
          <t>GB</t>
        </is>
      </c>
      <c r="C409" s="125">
        <f>_xlfn.TEXTAFTER(A409,"X")</f>
        <v/>
      </c>
      <c r="D409" s="125" t="n">
        <v>150</v>
      </c>
      <c r="E409" s="125" t="n">
        <v>75</v>
      </c>
      <c r="F409" s="125" t="n">
        <v>7</v>
      </c>
      <c r="G409" s="125" t="n">
        <v>5</v>
      </c>
      <c r="H409" s="125" t="n">
        <v>8</v>
      </c>
      <c r="I409" s="125">
        <f>D409-(2*(H409+F409))</f>
        <v/>
      </c>
      <c r="J409" s="125" t="n">
        <v>17.85</v>
      </c>
      <c r="K409" s="125">
        <f>(E409/2)/F409</f>
        <v/>
      </c>
      <c r="L409" s="125">
        <f>I409/G409</f>
        <v/>
      </c>
      <c r="M409" s="125">
        <f>(E409*2+F409*4+((E409-G409)/2-H409)*4+2*PI()*H409+(D409-2*F409-2*H409)*2)/1000</f>
        <v/>
      </c>
      <c r="N409" s="125" t="n">
        <v>645.7</v>
      </c>
      <c r="O409" s="125" t="n">
        <v>49.4</v>
      </c>
      <c r="P409" s="125" t="n">
        <v>6.01</v>
      </c>
      <c r="Q409" s="125" t="n">
        <v>1.66</v>
      </c>
      <c r="R409" s="125" t="n">
        <v>86.09999999999999</v>
      </c>
      <c r="S409" s="125" t="n">
        <v>13.2</v>
      </c>
      <c r="T409" s="125">
        <f>(((E409*D409*D409)/4)-(((E409-G409)*(D409-F409-F409)*(D409-F409-F409))/4)+(4*(H409*H409*(D409/2-F409-(H409/2))-((PI()*H409*H409)/4*((D409/2)-F409-(H409-((4*H409)/(3*PI()))))))))/1000</f>
        <v/>
      </c>
      <c r="U409" s="125">
        <f>(((D409*E409*E409)/4)-(2*((D409-F409-F409)*(E409/2-(G409/2))*(((E409/2-(G409/2))/2)+(G409/2))))+(4*(((H409*H409)-(((PI()*H409*H409)/4)))*((H409-((4*H409)/(3*PI())))+(G409/2)))))/1000</f>
        <v/>
      </c>
      <c r="Y409">
        <f>SQRT((((VLOOKUP($X$4,$A$4:$D$1021,4,FALSE))-D409)^2)+(((VLOOKUP($X$4,$A$4:$E$1021,5,FALSE))-E409)^2))</f>
        <v/>
      </c>
    </row>
    <row r="410">
      <c r="A410" s="125" t="inlineStr">
        <is>
          <t>HN175X18</t>
        </is>
      </c>
      <c r="B410" s="129" t="inlineStr">
        <is>
          <t>GB</t>
        </is>
      </c>
      <c r="C410" s="125">
        <f>_xlfn.TEXTAFTER(A410,"X")</f>
        <v/>
      </c>
      <c r="D410" s="125" t="n">
        <v>175</v>
      </c>
      <c r="E410" s="125" t="n">
        <v>90</v>
      </c>
      <c r="F410" s="125" t="n">
        <v>8</v>
      </c>
      <c r="G410" s="125" t="n">
        <v>5</v>
      </c>
      <c r="H410" s="125" t="n">
        <v>8</v>
      </c>
      <c r="I410" s="125">
        <f>D410-(2*(H410+F410))</f>
        <v/>
      </c>
      <c r="J410" s="125" t="n">
        <v>22.9</v>
      </c>
      <c r="K410" s="125">
        <f>(E410/2)/F410</f>
        <v/>
      </c>
      <c r="L410" s="125">
        <f>I410/G410</f>
        <v/>
      </c>
      <c r="M410" s="125">
        <f>(E410*2+F410*4+((E410-G410)/2-H410)*4+2*PI()*H410+(D410-2*F410-2*H410)*2)/1000</f>
        <v/>
      </c>
      <c r="N410" s="5" t="n">
        <v>1174</v>
      </c>
      <c r="O410" s="125" t="n">
        <v>97.40000000000001</v>
      </c>
      <c r="P410" s="125" t="n">
        <v>7.16</v>
      </c>
      <c r="Q410" s="125" t="n">
        <v>2.06</v>
      </c>
      <c r="R410" s="125" t="n">
        <v>134.2</v>
      </c>
      <c r="S410" s="125" t="n">
        <v>21.6</v>
      </c>
      <c r="T410" s="125">
        <f>(((E410*D410*D410)/4)-(((E410-G410)*(D410-F410-F410)*(D410-F410-F410))/4)+(4*(H410*H410*(D410/2-F410-(H410/2))-((PI()*H410*H410)/4*((D410/2)-F410-(H410-((4*H410)/(3*PI()))))))))/1000</f>
        <v/>
      </c>
      <c r="U410" s="125">
        <f>(((D410*E410*E410)/4)-(2*((D410-F410-F410)*(E410/2-(G410/2))*(((E410/2-(G410/2))/2)+(G410/2))))+(4*(((H410*H410)-(((PI()*H410*H410)/4)))*((H410-((4*H410)/(3*PI())))+(G410/2)))))/1000</f>
        <v/>
      </c>
      <c r="Y410">
        <f>SQRT((((VLOOKUP($X$4,$A$4:$D$1021,4,FALSE))-D410)^2)+(((VLOOKUP($X$4,$A$4:$E$1021,5,FALSE))-E410)^2))</f>
        <v/>
      </c>
    </row>
    <row r="411">
      <c r="A411" s="125" t="inlineStr">
        <is>
          <t>HN200X17.8</t>
        </is>
      </c>
      <c r="B411" s="129" t="inlineStr">
        <is>
          <t>GB</t>
        </is>
      </c>
      <c r="C411" s="125">
        <f>_xlfn.TEXTAFTER(A411,"X")</f>
        <v/>
      </c>
      <c r="D411" s="125" t="n">
        <v>198</v>
      </c>
      <c r="E411" s="125" t="n">
        <v>99</v>
      </c>
      <c r="F411" s="125" t="n">
        <v>7</v>
      </c>
      <c r="G411" s="125" t="n">
        <v>4.5</v>
      </c>
      <c r="H411" s="125" t="n">
        <v>8</v>
      </c>
      <c r="I411" s="125">
        <f>D411-(2*(H411+F411))</f>
        <v/>
      </c>
      <c r="J411" s="125" t="n">
        <v>22.69</v>
      </c>
      <c r="K411" s="125">
        <f>(E411/2)/F411</f>
        <v/>
      </c>
      <c r="L411" s="125">
        <f>I411/G411</f>
        <v/>
      </c>
      <c r="M411" s="125">
        <f>(E411*2+F411*4+((E411-G411)/2-H411)*4+2*PI()*H411+(D411-2*F411-2*H411)*2)/1000</f>
        <v/>
      </c>
      <c r="N411" s="5" t="n">
        <v>1484</v>
      </c>
      <c r="O411" s="125" t="n">
        <v>113.4</v>
      </c>
      <c r="P411" s="125" t="n">
        <v>8.09</v>
      </c>
      <c r="Q411" s="125" t="n">
        <v>2.24</v>
      </c>
      <c r="R411" s="125" t="n">
        <v>149.9</v>
      </c>
      <c r="S411" s="125" t="n">
        <v>22.9</v>
      </c>
      <c r="T411" s="125">
        <f>(((E411*D411*D411)/4)-(((E411-G411)*(D411-F411-F411)*(D411-F411-F411))/4)+(4*(H411*H411*(D411/2-F411-(H411/2))-((PI()*H411*H411)/4*((D411/2)-F411-(H411-((4*H411)/(3*PI()))))))))/1000</f>
        <v/>
      </c>
      <c r="U411" s="125">
        <f>(((D411*E411*E411)/4)-(2*((D411-F411-F411)*(E411/2-(G411/2))*(((E411/2-(G411/2))/2)+(G411/2))))+(4*(((H411*H411)-(((PI()*H411*H411)/4)))*((H411-((4*H411)/(3*PI())))+(G411/2)))))/1000</f>
        <v/>
      </c>
      <c r="Y411">
        <f>SQRT((((VLOOKUP($X$4,$A$4:$D$1021,4,FALSE))-D411)^2)+(((VLOOKUP($X$4,$A$4:$E$1021,5,FALSE))-E411)^2))</f>
        <v/>
      </c>
    </row>
    <row r="412">
      <c r="A412" s="125" t="inlineStr">
        <is>
          <t>HN200X20.9</t>
        </is>
      </c>
      <c r="B412" s="129" t="inlineStr">
        <is>
          <t>GB</t>
        </is>
      </c>
      <c r="C412" s="125">
        <f>_xlfn.TEXTAFTER(A412,"X")</f>
        <v/>
      </c>
      <c r="D412" s="125" t="n">
        <v>200</v>
      </c>
      <c r="E412" s="125" t="n">
        <v>100</v>
      </c>
      <c r="F412" s="125" t="n">
        <v>8</v>
      </c>
      <c r="G412" s="125" t="n">
        <v>5.5</v>
      </c>
      <c r="H412" s="125" t="n">
        <v>8</v>
      </c>
      <c r="I412" s="125">
        <f>D412-(2*(H412+F412))</f>
        <v/>
      </c>
      <c r="J412" s="125" t="n">
        <v>26.67</v>
      </c>
      <c r="K412" s="125">
        <f>(E412/2)/F412</f>
        <v/>
      </c>
      <c r="L412" s="125">
        <f>I412/G412</f>
        <v/>
      </c>
      <c r="M412" s="125">
        <f>(E412*2+F412*4+((E412-G412)/2-H412)*4+2*PI()*H412+(D412-2*F412-2*H412)*2)/1000</f>
        <v/>
      </c>
      <c r="N412" s="5" t="n">
        <v>1753</v>
      </c>
      <c r="O412" s="125" t="n">
        <v>133.7</v>
      </c>
      <c r="P412" s="125" t="n">
        <v>8.109999999999999</v>
      </c>
      <c r="Q412" s="125" t="n">
        <v>2.24</v>
      </c>
      <c r="R412" s="125" t="n">
        <v>175.3</v>
      </c>
      <c r="S412" s="125" t="n">
        <v>26.7</v>
      </c>
      <c r="T412" s="125">
        <f>(((E412*D412*D412)/4)-(((E412-G412)*(D412-F412-F412)*(D412-F412-F412))/4)+(4*(H412*H412*(D412/2-F412-(H412/2))-((PI()*H412*H412)/4*((D412/2)-F412-(H412-((4*H412)/(3*PI()))))))))/1000</f>
        <v/>
      </c>
      <c r="U412" s="125">
        <f>(((D412*E412*E412)/4)-(2*((D412-F412-F412)*(E412/2-(G412/2))*(((E412/2-(G412/2))/2)+(G412/2))))+(4*(((H412*H412)-(((PI()*H412*H412)/4)))*((H412-((4*H412)/(3*PI())))+(G412/2)))))/1000</f>
        <v/>
      </c>
      <c r="Y412">
        <f>SQRT((((VLOOKUP($X$4,$A$4:$D$1021,4,FALSE))-D412)^2)+(((VLOOKUP($X$4,$A$4:$E$1021,5,FALSE))-E412)^2))</f>
        <v/>
      </c>
    </row>
    <row r="413">
      <c r="A413" s="125" t="inlineStr">
        <is>
          <t>HN250X25.1</t>
        </is>
      </c>
      <c r="B413" s="129" t="inlineStr">
        <is>
          <t>GB</t>
        </is>
      </c>
      <c r="C413" s="125">
        <f>_xlfn.TEXTAFTER(A413,"X")</f>
        <v/>
      </c>
      <c r="D413" s="125" t="n">
        <v>248</v>
      </c>
      <c r="E413" s="125" t="n">
        <v>124</v>
      </c>
      <c r="F413" s="125" t="n">
        <v>8</v>
      </c>
      <c r="G413" s="125" t="n">
        <v>5</v>
      </c>
      <c r="H413" s="125" t="n">
        <v>8</v>
      </c>
      <c r="I413" s="125">
        <f>D413-(2*(H413+F413))</f>
        <v/>
      </c>
      <c r="J413" s="125" t="n">
        <v>31.99</v>
      </c>
      <c r="K413" s="125">
        <f>(E413/2)/F413</f>
        <v/>
      </c>
      <c r="L413" s="125">
        <f>I413/G413</f>
        <v/>
      </c>
      <c r="M413" s="125">
        <f>(E413*2+F413*4+((E413-G413)/2-H413)*4+2*PI()*H413+(D413-2*F413-2*H413)*2)/1000</f>
        <v/>
      </c>
      <c r="N413" s="5" t="n">
        <v>3346</v>
      </c>
      <c r="O413" s="125" t="n">
        <v>254.5</v>
      </c>
      <c r="P413" s="125" t="n">
        <v>10.23</v>
      </c>
      <c r="Q413" s="125" t="n">
        <v>2.82</v>
      </c>
      <c r="R413" s="125" t="n">
        <v>269.8</v>
      </c>
      <c r="S413" s="125" t="n">
        <v>41.1</v>
      </c>
      <c r="T413" s="125">
        <f>(((E413*D413*D413)/4)-(((E413-G413)*(D413-F413-F413)*(D413-F413-F413))/4)+(4*(H413*H413*(D413/2-F413-(H413/2))-((PI()*H413*H413)/4*((D413/2)-F413-(H413-((4*H413)/(3*PI()))))))))/1000</f>
        <v/>
      </c>
      <c r="U413" s="125">
        <f>(((D413*E413*E413)/4)-(2*((D413-F413-F413)*(E413/2-(G413/2))*(((E413/2-(G413/2))/2)+(G413/2))))+(4*(((H413*H413)-(((PI()*H413*H413)/4)))*((H413-((4*H413)/(3*PI())))+(G413/2)))))/1000</f>
        <v/>
      </c>
      <c r="Y413">
        <f>SQRT((((VLOOKUP($X$4,$A$4:$D$1021,4,FALSE))-D413)^2)+(((VLOOKUP($X$4,$A$4:$E$1021,5,FALSE))-E413)^2))</f>
        <v/>
      </c>
    </row>
    <row r="414">
      <c r="A414" s="125" t="inlineStr">
        <is>
          <t>HN250X29</t>
        </is>
      </c>
      <c r="B414" s="129" t="inlineStr">
        <is>
          <t>GB</t>
        </is>
      </c>
      <c r="C414" s="125">
        <f>_xlfn.TEXTAFTER(A414,"X")</f>
        <v/>
      </c>
      <c r="D414" s="125" t="n">
        <v>250</v>
      </c>
      <c r="E414" s="125" t="n">
        <v>125</v>
      </c>
      <c r="F414" s="125" t="n">
        <v>9</v>
      </c>
      <c r="G414" s="125" t="n">
        <v>6</v>
      </c>
      <c r="H414" s="125" t="n">
        <v>8</v>
      </c>
      <c r="I414" s="125">
        <f>D414-(2*(H414+F414))</f>
        <v/>
      </c>
      <c r="J414" s="125" t="n">
        <v>36.97</v>
      </c>
      <c r="K414" s="125">
        <f>(E414/2)/F414</f>
        <v/>
      </c>
      <c r="L414" s="125">
        <f>I414/G414</f>
        <v/>
      </c>
      <c r="M414" s="125">
        <f>(E414*2+F414*4+((E414-G414)/2-H414)*4+2*PI()*H414+(D414-2*F414-2*H414)*2)/1000</f>
        <v/>
      </c>
      <c r="N414" s="5" t="n">
        <v>3868</v>
      </c>
      <c r="O414" s="125" t="n">
        <v>293.5</v>
      </c>
      <c r="P414" s="125" t="n">
        <v>10.23</v>
      </c>
      <c r="Q414" s="125" t="n">
        <v>2.82</v>
      </c>
      <c r="R414" s="125" t="n">
        <v>309.4</v>
      </c>
      <c r="S414" s="125" t="n">
        <v>47</v>
      </c>
      <c r="T414" s="125">
        <f>(((E414*D414*D414)/4)-(((E414-G414)*(D414-F414-F414)*(D414-F414-F414))/4)+(4*(H414*H414*(D414/2-F414-(H414/2))-((PI()*H414*H414)/4*((D414/2)-F414-(H414-((4*H414)/(3*PI()))))))))/1000</f>
        <v/>
      </c>
      <c r="U414" s="125">
        <f>(((D414*E414*E414)/4)-(2*((D414-F414-F414)*(E414/2-(G414/2))*(((E414/2-(G414/2))/2)+(G414/2))))+(4*(((H414*H414)-(((PI()*H414*H414)/4)))*((H414-((4*H414)/(3*PI())))+(G414/2)))))/1000</f>
        <v/>
      </c>
      <c r="Y414">
        <f>SQRT((((VLOOKUP($X$4,$A$4:$D$1021,4,FALSE))-D414)^2)+(((VLOOKUP($X$4,$A$4:$E$1021,5,FALSE))-E414)^2))</f>
        <v/>
      </c>
    </row>
    <row r="415">
      <c r="A415" s="125" t="inlineStr">
        <is>
          <t>HN300X32</t>
        </is>
      </c>
      <c r="B415" s="129" t="inlineStr">
        <is>
          <t>GB</t>
        </is>
      </c>
      <c r="C415" s="125">
        <f>_xlfn.TEXTAFTER(A415,"X")</f>
        <v/>
      </c>
      <c r="D415" s="125" t="n">
        <v>298</v>
      </c>
      <c r="E415" s="125" t="n">
        <v>149</v>
      </c>
      <c r="F415" s="125" t="n">
        <v>8</v>
      </c>
      <c r="G415" s="125" t="n">
        <v>5.5</v>
      </c>
      <c r="H415" s="125" t="n">
        <v>13</v>
      </c>
      <c r="I415" s="125">
        <f>D415-(2*(H415+F415))</f>
        <v/>
      </c>
      <c r="J415" s="125" t="n">
        <v>40.8</v>
      </c>
      <c r="K415" s="125">
        <f>(E415/2)/F415</f>
        <v/>
      </c>
      <c r="L415" s="125">
        <f>I415/G415</f>
        <v/>
      </c>
      <c r="M415" s="125">
        <f>(E415*2+F415*4+((E415-G415)/2-H415)*4+2*PI()*H415+(D415-2*F415-2*H415)*2)/1000</f>
        <v/>
      </c>
      <c r="N415" s="5" t="n">
        <v>5911</v>
      </c>
      <c r="O415" s="125" t="n">
        <v>441.7</v>
      </c>
      <c r="P415" s="125" t="n">
        <v>12.04</v>
      </c>
      <c r="Q415" s="125" t="n">
        <v>3.29</v>
      </c>
      <c r="R415" s="125" t="n">
        <v>396.7</v>
      </c>
      <c r="S415" s="125" t="n">
        <v>59.3</v>
      </c>
      <c r="T415" s="125">
        <f>(((E415*D415*D415)/4)-(((E415-G415)*(D415-F415-F415)*(D415-F415-F415))/4)+(4*(H415*H415*(D415/2-F415-(H415/2))-((PI()*H415*H415)/4*((D415/2)-F415-(H415-((4*H415)/(3*PI()))))))))/1000</f>
        <v/>
      </c>
      <c r="U415" s="125">
        <f>(((D415*E415*E415)/4)-(2*((D415-F415-F415)*(E415/2-(G415/2))*(((E415/2-(G415/2))/2)+(G415/2))))+(4*(((H415*H415)-(((PI()*H415*H415)/4)))*((H415-((4*H415)/(3*PI())))+(G415/2)))))/1000</f>
        <v/>
      </c>
      <c r="Y415">
        <f>SQRT((((VLOOKUP($X$4,$A$4:$D$1021,4,FALSE))-D415)^2)+(((VLOOKUP($X$4,$A$4:$E$1021,5,FALSE))-E415)^2))</f>
        <v/>
      </c>
    </row>
    <row r="416">
      <c r="A416" s="125" t="inlineStr">
        <is>
          <t>HN300X36.7</t>
        </is>
      </c>
      <c r="B416" s="129" t="inlineStr">
        <is>
          <t>GB</t>
        </is>
      </c>
      <c r="C416" s="125">
        <f>_xlfn.TEXTAFTER(A416,"X")</f>
        <v/>
      </c>
      <c r="D416" s="125" t="n">
        <v>300</v>
      </c>
      <c r="E416" s="125" t="n">
        <v>150</v>
      </c>
      <c r="F416" s="125" t="n">
        <v>9</v>
      </c>
      <c r="G416" s="125" t="n">
        <v>6.5</v>
      </c>
      <c r="H416" s="125" t="n">
        <v>13</v>
      </c>
      <c r="I416" s="125">
        <f>D416-(2*(H416+F416))</f>
        <v/>
      </c>
      <c r="J416" s="125" t="n">
        <v>46.78</v>
      </c>
      <c r="K416" s="125">
        <f>(E416/2)/F416</f>
        <v/>
      </c>
      <c r="L416" s="125">
        <f>I416/G416</f>
        <v/>
      </c>
      <c r="M416" s="125">
        <f>(E416*2+F416*4+((E416-G416)/2-H416)*4+2*PI()*H416+(D416-2*F416-2*H416)*2)/1000</f>
        <v/>
      </c>
      <c r="N416" s="5" t="n">
        <v>6829</v>
      </c>
      <c r="O416" s="125" t="n">
        <v>507.2</v>
      </c>
      <c r="P416" s="125" t="n">
        <v>12.08</v>
      </c>
      <c r="Q416" s="125" t="n">
        <v>3.29</v>
      </c>
      <c r="R416" s="125" t="n">
        <v>455.3</v>
      </c>
      <c r="S416" s="125" t="n">
        <v>67.59999999999999</v>
      </c>
      <c r="T416" s="125">
        <f>(((E416*D416*D416)/4)-(((E416-G416)*(D416-F416-F416)*(D416-F416-F416))/4)+(4*(H416*H416*(D416/2-F416-(H416/2))-((PI()*H416*H416)/4*((D416/2)-F416-(H416-((4*H416)/(3*PI()))))))))/1000</f>
        <v/>
      </c>
      <c r="U416" s="125">
        <f>(((D416*E416*E416)/4)-(2*((D416-F416-F416)*(E416/2-(G416/2))*(((E416/2-(G416/2))/2)+(G416/2))))+(4*(((H416*H416)-(((PI()*H416*H416)/4)))*((H416-((4*H416)/(3*PI())))+(G416/2)))))/1000</f>
        <v/>
      </c>
      <c r="Y416">
        <f>SQRT((((VLOOKUP($X$4,$A$4:$D$1021,4,FALSE))-D416)^2)+(((VLOOKUP($X$4,$A$4:$E$1021,5,FALSE))-E416)^2))</f>
        <v/>
      </c>
    </row>
    <row r="417">
      <c r="A417" s="125" t="inlineStr">
        <is>
          <t>HN350X41.2</t>
        </is>
      </c>
      <c r="B417" s="129" t="inlineStr">
        <is>
          <t>GB</t>
        </is>
      </c>
      <c r="C417" s="125">
        <f>_xlfn.TEXTAFTER(A417,"X")</f>
        <v/>
      </c>
      <c r="D417" s="125" t="n">
        <v>346</v>
      </c>
      <c r="E417" s="125" t="n">
        <v>174</v>
      </c>
      <c r="F417" s="125" t="n">
        <v>9</v>
      </c>
      <c r="G417" s="125" t="n">
        <v>6</v>
      </c>
      <c r="H417" s="125" t="n">
        <v>13</v>
      </c>
      <c r="I417" s="125">
        <f>D417-(2*(H417+F417))</f>
        <v/>
      </c>
      <c r="J417" s="125" t="n">
        <v>52.45</v>
      </c>
      <c r="K417" s="125">
        <f>(E417/2)/F417</f>
        <v/>
      </c>
      <c r="L417" s="125">
        <f>I417/G417</f>
        <v/>
      </c>
      <c r="M417" s="125">
        <f>(E417*2+F417*4+((E417-G417)/2-H417)*4+2*PI()*H417+(D417-2*F417-2*H417)*2)/1000</f>
        <v/>
      </c>
      <c r="N417" s="5" t="n">
        <v>10456</v>
      </c>
      <c r="O417" s="125" t="n">
        <v>791.1</v>
      </c>
      <c r="P417" s="125" t="n">
        <v>14.12</v>
      </c>
      <c r="Q417" s="125" t="n">
        <v>3.88</v>
      </c>
      <c r="R417" s="125" t="n">
        <v>604.4</v>
      </c>
      <c r="S417" s="125" t="n">
        <v>90.90000000000001</v>
      </c>
      <c r="T417" s="125">
        <f>(((E417*D417*D417)/4)-(((E417-G417)*(D417-F417-F417)*(D417-F417-F417))/4)+(4*(H417*H417*(D417/2-F417-(H417/2))-((PI()*H417*H417)/4*((D417/2)-F417-(H417-((4*H417)/(3*PI()))))))))/1000</f>
        <v/>
      </c>
      <c r="U417" s="125">
        <f>(((D417*E417*E417)/4)-(2*((D417-F417-F417)*(E417/2-(G417/2))*(((E417/2-(G417/2))/2)+(G417/2))))+(4*(((H417*H417)-(((PI()*H417*H417)/4)))*((H417-((4*H417)/(3*PI())))+(G417/2)))))/1000</f>
        <v/>
      </c>
      <c r="Y417">
        <f>SQRT((((VLOOKUP($X$4,$A$4:$D$1021,4,FALSE))-D417)^2)+(((VLOOKUP($X$4,$A$4:$E$1021,5,FALSE))-E417)^2))</f>
        <v/>
      </c>
    </row>
    <row r="418">
      <c r="A418" s="125" t="inlineStr">
        <is>
          <t>HN350X49.4</t>
        </is>
      </c>
      <c r="B418" s="129" t="inlineStr">
        <is>
          <t>GB</t>
        </is>
      </c>
      <c r="C418" s="125">
        <f>_xlfn.TEXTAFTER(A418,"X")</f>
        <v/>
      </c>
      <c r="D418" s="125" t="n">
        <v>350</v>
      </c>
      <c r="E418" s="125" t="n">
        <v>175</v>
      </c>
      <c r="F418" s="125" t="n">
        <v>11</v>
      </c>
      <c r="G418" s="125" t="n">
        <v>7</v>
      </c>
      <c r="H418" s="125" t="n">
        <v>13</v>
      </c>
      <c r="I418" s="125">
        <f>D418-(2*(H418+F418))</f>
        <v/>
      </c>
      <c r="J418" s="125" t="n">
        <v>62.91</v>
      </c>
      <c r="K418" s="125">
        <f>(E418/2)/F418</f>
        <v/>
      </c>
      <c r="L418" s="125">
        <f>I418/G418</f>
        <v/>
      </c>
      <c r="M418" s="125">
        <f>(E418*2+F418*4+((E418-G418)/2-H418)*4+2*PI()*H418+(D418-2*F418-2*H418)*2)/1000</f>
        <v/>
      </c>
      <c r="N418" s="5" t="n">
        <v>12980</v>
      </c>
      <c r="O418" s="125" t="n">
        <v>983.8</v>
      </c>
      <c r="P418" s="125" t="n">
        <v>14.36</v>
      </c>
      <c r="Q418" s="125" t="n">
        <v>3.95</v>
      </c>
      <c r="R418" s="125" t="n">
        <v>741.7</v>
      </c>
      <c r="S418" s="125" t="n">
        <v>112.4</v>
      </c>
      <c r="T418" s="125">
        <f>(((E418*D418*D418)/4)-(((E418-G418)*(D418-F418-F418)*(D418-F418-F418))/4)+(4*(H418*H418*(D418/2-F418-(H418/2))-((PI()*H418*H418)/4*((D418/2)-F418-(H418-((4*H418)/(3*PI()))))))))/1000</f>
        <v/>
      </c>
      <c r="U418" s="125">
        <f>(((D418*E418*E418)/4)-(2*((D418-F418-F418)*(E418/2-(G418/2))*(((E418/2-(G418/2))/2)+(G418/2))))+(4*(((H418*H418)-(((PI()*H418*H418)/4)))*((H418-((4*H418)/(3*PI())))+(G418/2)))))/1000</f>
        <v/>
      </c>
      <c r="Y418">
        <f>SQRT((((VLOOKUP($X$4,$A$4:$D$1021,4,FALSE))-D418)^2)+(((VLOOKUP($X$4,$A$4:$E$1021,5,FALSE))-E418)^2))</f>
        <v/>
      </c>
    </row>
    <row r="419">
      <c r="A419" s="125" t="inlineStr">
        <is>
          <t>HN400X55.2</t>
        </is>
      </c>
      <c r="B419" s="129" t="inlineStr">
        <is>
          <t>GB</t>
        </is>
      </c>
      <c r="C419" s="125">
        <f>_xlfn.TEXTAFTER(A419,"X")</f>
        <v/>
      </c>
      <c r="D419" s="125" t="n">
        <v>400</v>
      </c>
      <c r="E419" s="125" t="n">
        <v>150</v>
      </c>
      <c r="F419" s="125" t="n">
        <v>13</v>
      </c>
      <c r="G419" s="125" t="n">
        <v>8</v>
      </c>
      <c r="H419" s="125" t="n">
        <v>13</v>
      </c>
      <c r="I419" s="125">
        <f>D419-(2*(H419+F419))</f>
        <v/>
      </c>
      <c r="J419" s="125" t="n">
        <v>70.37</v>
      </c>
      <c r="K419" s="125">
        <f>(E419/2)/F419</f>
        <v/>
      </c>
      <c r="L419" s="125">
        <f>I419/G419</f>
        <v/>
      </c>
      <c r="M419" s="125">
        <f>(E419*2+F419*4+((E419-G419)/2-H419)*4+2*PI()*H419+(D419-2*F419-2*H419)*2)/1000</f>
        <v/>
      </c>
      <c r="N419" s="5" t="n">
        <v>17906</v>
      </c>
      <c r="O419" s="125" t="n">
        <v>733.2</v>
      </c>
      <c r="P419" s="125" t="n">
        <v>15.95</v>
      </c>
      <c r="Q419" s="125" t="n">
        <v>3.23</v>
      </c>
      <c r="R419" s="125" t="n">
        <v>895.3</v>
      </c>
      <c r="S419" s="125" t="n">
        <v>97.8</v>
      </c>
      <c r="T419" s="125">
        <f>(((E419*D419*D419)/4)-(((E419-G419)*(D419-F419-F419)*(D419-F419-F419))/4)+(4*(H419*H419*(D419/2-F419-(H419/2))-((PI()*H419*H419)/4*((D419/2)-F419-(H419-((4*H419)/(3*PI()))))))))/1000</f>
        <v/>
      </c>
      <c r="U419" s="125">
        <f>(((D419*E419*E419)/4)-(2*((D419-F419-F419)*(E419/2-(G419/2))*(((E419/2-(G419/2))/2)+(G419/2))))+(4*(((H419*H419)-(((PI()*H419*H419)/4)))*((H419-((4*H419)/(3*PI())))+(G419/2)))))/1000</f>
        <v/>
      </c>
      <c r="Y419">
        <f>SQRT((((VLOOKUP($X$4,$A$4:$D$1021,4,FALSE))-D419)^2)+(((VLOOKUP($X$4,$A$4:$E$1021,5,FALSE))-E419)^2))</f>
        <v/>
      </c>
    </row>
    <row r="420">
      <c r="A420" s="125" t="inlineStr">
        <is>
          <t>HN400X56.1</t>
        </is>
      </c>
      <c r="B420" s="129" t="inlineStr">
        <is>
          <t>GB</t>
        </is>
      </c>
      <c r="C420" s="125">
        <f>_xlfn.TEXTAFTER(A420,"X")</f>
        <v/>
      </c>
      <c r="D420" s="125" t="n">
        <v>396</v>
      </c>
      <c r="E420" s="125" t="n">
        <v>199</v>
      </c>
      <c r="F420" s="125" t="n">
        <v>11</v>
      </c>
      <c r="G420" s="125" t="n">
        <v>7</v>
      </c>
      <c r="H420" s="125" t="n">
        <v>13</v>
      </c>
      <c r="I420" s="125">
        <f>D420-(2*(H420+F420))</f>
        <v/>
      </c>
      <c r="J420" s="125" t="n">
        <v>71.41</v>
      </c>
      <c r="K420" s="125">
        <f>(E420/2)/F420</f>
        <v/>
      </c>
      <c r="L420" s="125">
        <f>I420/G420</f>
        <v/>
      </c>
      <c r="M420" s="125">
        <f>(E420*2+F420*4+((E420-G420)/2-H420)*4+2*PI()*H420+(D420-2*F420-2*H420)*2)/1000</f>
        <v/>
      </c>
      <c r="N420" s="5" t="n">
        <v>19023</v>
      </c>
      <c r="O420" s="5" t="n">
        <v>1446</v>
      </c>
      <c r="P420" s="125" t="n">
        <v>16.32</v>
      </c>
      <c r="Q420" s="125" t="n">
        <v>4.5</v>
      </c>
      <c r="R420" s="125" t="n">
        <v>960.8</v>
      </c>
      <c r="S420" s="125" t="n">
        <v>145.3</v>
      </c>
      <c r="T420" s="125">
        <f>(((E420*D420*D420)/4)-(((E420-G420)*(D420-F420-F420)*(D420-F420-F420))/4)+(4*(H420*H420*(D420/2-F420-(H420/2))-((PI()*H420*H420)/4*((D420/2)-F420-(H420-((4*H420)/(3*PI()))))))))/1000</f>
        <v/>
      </c>
      <c r="U420" s="125">
        <f>(((D420*E420*E420)/4)-(2*((D420-F420-F420)*(E420/2-(G420/2))*(((E420/2-(G420/2))/2)+(G420/2))))+(4*(((H420*H420)-(((PI()*H420*H420)/4)))*((H420-((4*H420)/(3*PI())))+(G420/2)))))/1000</f>
        <v/>
      </c>
      <c r="Y420">
        <f>SQRT((((VLOOKUP($X$4,$A$4:$D$1021,4,FALSE))-D420)^2)+(((VLOOKUP($X$4,$A$4:$E$1021,5,FALSE))-E420)^2))</f>
        <v/>
      </c>
    </row>
    <row r="421">
      <c r="A421" s="125" t="inlineStr">
        <is>
          <t>HN400X65.4</t>
        </is>
      </c>
      <c r="B421" s="129" t="inlineStr">
        <is>
          <t>GB</t>
        </is>
      </c>
      <c r="C421" s="125">
        <f>_xlfn.TEXTAFTER(A421,"X")</f>
        <v/>
      </c>
      <c r="D421" s="125" t="n">
        <v>400</v>
      </c>
      <c r="E421" s="125" t="n">
        <v>200</v>
      </c>
      <c r="F421" s="125" t="n">
        <v>13</v>
      </c>
      <c r="G421" s="125" t="n">
        <v>8</v>
      </c>
      <c r="H421" s="125" t="n">
        <v>13</v>
      </c>
      <c r="I421" s="125">
        <f>D421-(2*(H421+F421))</f>
        <v/>
      </c>
      <c r="J421" s="125" t="n">
        <v>83.37</v>
      </c>
      <c r="K421" s="125">
        <f>(E421/2)/F421</f>
        <v/>
      </c>
      <c r="L421" s="125">
        <f>I421/G421</f>
        <v/>
      </c>
      <c r="M421" s="125">
        <f>(E421*2+F421*4+((E421-G421)/2-H421)*4+2*PI()*H421+(D421-2*F421-2*H421)*2)/1000</f>
        <v/>
      </c>
      <c r="N421" s="5" t="n">
        <v>22775</v>
      </c>
      <c r="O421" s="5" t="n">
        <v>1735</v>
      </c>
      <c r="P421" s="125" t="n">
        <v>16.53</v>
      </c>
      <c r="Q421" s="125" t="n">
        <v>4.56</v>
      </c>
      <c r="R421" s="5" t="n">
        <v>1139</v>
      </c>
      <c r="S421" s="125" t="n">
        <v>173.5</v>
      </c>
      <c r="T421" s="125">
        <f>(((E421*D421*D421)/4)-(((E421-G421)*(D421-F421-F421)*(D421-F421-F421))/4)+(4*(H421*H421*(D421/2-F421-(H421/2))-((PI()*H421*H421)/4*((D421/2)-F421-(H421-((4*H421)/(3*PI()))))))))/1000</f>
        <v/>
      </c>
      <c r="U421" s="125">
        <f>(((D421*E421*E421)/4)-(2*((D421-F421-F421)*(E421/2-(G421/2))*(((E421/2-(G421/2))/2)+(G421/2))))+(4*(((H421*H421)-(((PI()*H421*H421)/4)))*((H421-((4*H421)/(3*PI())))+(G421/2)))))/1000</f>
        <v/>
      </c>
      <c r="Y421">
        <f>SQRT((((VLOOKUP($X$4,$A$4:$D$1021,4,FALSE))-D421)^2)+(((VLOOKUP($X$4,$A$4:$E$1021,5,FALSE))-E421)^2))</f>
        <v/>
      </c>
    </row>
    <row r="422">
      <c r="A422" s="125" t="inlineStr">
        <is>
          <t>HN450X65.1</t>
        </is>
      </c>
      <c r="B422" s="129" t="inlineStr">
        <is>
          <t>GB</t>
        </is>
      </c>
      <c r="C422" s="125">
        <f>_xlfn.TEXTAFTER(A422,"X")</f>
        <v/>
      </c>
      <c r="D422" s="125" t="n">
        <v>446</v>
      </c>
      <c r="E422" s="125" t="n">
        <v>199</v>
      </c>
      <c r="F422" s="125" t="n">
        <v>12</v>
      </c>
      <c r="G422" s="125" t="n">
        <v>8</v>
      </c>
      <c r="H422" s="125" t="n">
        <v>13</v>
      </c>
      <c r="I422" s="125">
        <f>D422-(2*(H422+F422))</f>
        <v/>
      </c>
      <c r="J422" s="125" t="n">
        <v>82.97</v>
      </c>
      <c r="K422" s="125">
        <f>(E422/2)/F422</f>
        <v/>
      </c>
      <c r="L422" s="125">
        <f>I422/G422</f>
        <v/>
      </c>
      <c r="M422" s="125">
        <f>(E422*2+F422*4+((E422-G422)/2-H422)*4+2*PI()*H422+(D422-2*F422-2*H422)*2)/1000</f>
        <v/>
      </c>
      <c r="N422" s="5" t="n">
        <v>27146</v>
      </c>
      <c r="O422" s="5" t="n">
        <v>1578</v>
      </c>
      <c r="P422" s="125" t="n">
        <v>18.09</v>
      </c>
      <c r="Q422" s="125" t="n">
        <v>4.36</v>
      </c>
      <c r="R422" s="5" t="n">
        <v>1217</v>
      </c>
      <c r="S422" s="125" t="n">
        <v>158.6</v>
      </c>
      <c r="T422" s="125">
        <f>(((E422*D422*D422)/4)-(((E422-G422)*(D422-F422-F422)*(D422-F422-F422))/4)+(4*(H422*H422*(D422/2-F422-(H422/2))-((PI()*H422*H422)/4*((D422/2)-F422-(H422-((4*H422)/(3*PI()))))))))/1000</f>
        <v/>
      </c>
      <c r="U422" s="125">
        <f>(((D422*E422*E422)/4)-(2*((D422-F422-F422)*(E422/2-(G422/2))*(((E422/2-(G422/2))/2)+(G422/2))))+(4*(((H422*H422)-(((PI()*H422*H422)/4)))*((H422-((4*H422)/(3*PI())))+(G422/2)))))/1000</f>
        <v/>
      </c>
      <c r="Y422">
        <f>SQRT((((VLOOKUP($X$4,$A$4:$D$1021,4,FALSE))-D422)^2)+(((VLOOKUP($X$4,$A$4:$E$1021,5,FALSE))-E422)^2))</f>
        <v/>
      </c>
    </row>
    <row r="423">
      <c r="A423" s="125" t="inlineStr">
        <is>
          <t>HN450X74.9</t>
        </is>
      </c>
      <c r="B423" s="129" t="inlineStr">
        <is>
          <t>GB</t>
        </is>
      </c>
      <c r="C423" s="125">
        <f>_xlfn.TEXTAFTER(A423,"X")</f>
        <v/>
      </c>
      <c r="D423" s="125" t="n">
        <v>450</v>
      </c>
      <c r="E423" s="125" t="n">
        <v>200</v>
      </c>
      <c r="F423" s="125" t="n">
        <v>14</v>
      </c>
      <c r="G423" s="125" t="n">
        <v>9</v>
      </c>
      <c r="H423" s="125" t="n">
        <v>13</v>
      </c>
      <c r="I423" s="125">
        <f>D423-(2*(H423+F423))</f>
        <v/>
      </c>
      <c r="J423" s="125" t="n">
        <v>95.43000000000001</v>
      </c>
      <c r="K423" s="125">
        <f>(E423/2)/F423</f>
        <v/>
      </c>
      <c r="L423" s="125">
        <f>I423/G423</f>
        <v/>
      </c>
      <c r="M423" s="125">
        <f>(E423*2+F423*4+((E423-G423)/2-H423)*4+2*PI()*H423+(D423-2*F423-2*H423)*2)/1000</f>
        <v/>
      </c>
      <c r="N423" s="5" t="n">
        <v>31973</v>
      </c>
      <c r="O423" s="5" t="n">
        <v>1870</v>
      </c>
      <c r="P423" s="125" t="n">
        <v>18.3</v>
      </c>
      <c r="Q423" s="125" t="n">
        <v>4.43</v>
      </c>
      <c r="R423" s="5" t="n">
        <v>1421</v>
      </c>
      <c r="S423" s="125" t="n">
        <v>187</v>
      </c>
      <c r="T423" s="125">
        <f>(((E423*D423*D423)/4)-(((E423-G423)*(D423-F423-F423)*(D423-F423-F423))/4)+(4*(H423*H423*(D423/2-F423-(H423/2))-((PI()*H423*H423)/4*((D423/2)-F423-(H423-((4*H423)/(3*PI()))))))))/1000</f>
        <v/>
      </c>
      <c r="U423" s="125">
        <f>(((D423*E423*E423)/4)-(2*((D423-F423-F423)*(E423/2-(G423/2))*(((E423/2-(G423/2))/2)+(G423/2))))+(4*(((H423*H423)-(((PI()*H423*H423)/4)))*((H423-((4*H423)/(3*PI())))+(G423/2)))))/1000</f>
        <v/>
      </c>
      <c r="Y423">
        <f>SQRT((((VLOOKUP($X$4,$A$4:$D$1021,4,FALSE))-D423)^2)+(((VLOOKUP($X$4,$A$4:$E$1021,5,FALSE))-E423)^2))</f>
        <v/>
      </c>
    </row>
    <row r="424">
      <c r="A424" s="125" t="inlineStr">
        <is>
          <t>HN500X77.9</t>
        </is>
      </c>
      <c r="B424" s="129" t="inlineStr">
        <is>
          <t>GB</t>
        </is>
      </c>
      <c r="C424" s="125">
        <f>_xlfn.TEXTAFTER(A424,"X")</f>
        <v/>
      </c>
      <c r="D424" s="125" t="n">
        <v>496</v>
      </c>
      <c r="E424" s="125" t="n">
        <v>199</v>
      </c>
      <c r="F424" s="125" t="n">
        <v>14</v>
      </c>
      <c r="G424" s="125" t="n">
        <v>9</v>
      </c>
      <c r="H424" s="125" t="n">
        <v>13</v>
      </c>
      <c r="I424" s="125">
        <f>D424-(2*(H424+F424))</f>
        <v/>
      </c>
      <c r="J424" s="125" t="n">
        <v>99.29000000000001</v>
      </c>
      <c r="K424" s="125">
        <f>(E424/2)/F424</f>
        <v/>
      </c>
      <c r="L424" s="125">
        <f>I424/G424</f>
        <v/>
      </c>
      <c r="M424" s="125">
        <f>(E424*2+F424*4+((E424-G424)/2-H424)*4+2*PI()*H424+(D424-2*F424-2*H424)*2)/1000</f>
        <v/>
      </c>
      <c r="N424" s="5" t="n">
        <v>39628</v>
      </c>
      <c r="O424" s="5" t="n">
        <v>1842</v>
      </c>
      <c r="P424" s="125" t="n">
        <v>19.98</v>
      </c>
      <c r="Q424" s="125" t="n">
        <v>4.31</v>
      </c>
      <c r="R424" s="5" t="n">
        <v>1598</v>
      </c>
      <c r="S424" s="125" t="n">
        <v>185.1</v>
      </c>
      <c r="T424" s="125">
        <f>(((E424*D424*D424)/4)-(((E424-G424)*(D424-F424-F424)*(D424-F424-F424))/4)+(4*(H424*H424*(D424/2-F424-(H424/2))-((PI()*H424*H424)/4*((D424/2)-F424-(H424-((4*H424)/(3*PI()))))))))/1000</f>
        <v/>
      </c>
      <c r="U424" s="125">
        <f>(((D424*E424*E424)/4)-(2*((D424-F424-F424)*(E424/2-(G424/2))*(((E424/2-(G424/2))/2)+(G424/2))))+(4*(((H424*H424)-(((PI()*H424*H424)/4)))*((H424-((4*H424)/(3*PI())))+(G424/2)))))/1000</f>
        <v/>
      </c>
      <c r="Y424">
        <f>SQRT((((VLOOKUP($X$4,$A$4:$D$1021,4,FALSE))-D424)^2)+(((VLOOKUP($X$4,$A$4:$E$1021,5,FALSE))-E424)^2))</f>
        <v/>
      </c>
    </row>
    <row r="425">
      <c r="A425" s="125" t="inlineStr">
        <is>
          <t>HN500X88.1</t>
        </is>
      </c>
      <c r="B425" s="129" t="inlineStr">
        <is>
          <t>GB</t>
        </is>
      </c>
      <c r="C425" s="125">
        <f>_xlfn.TEXTAFTER(A425,"X")</f>
        <v/>
      </c>
      <c r="D425" s="125" t="n">
        <v>500</v>
      </c>
      <c r="E425" s="125" t="n">
        <v>200</v>
      </c>
      <c r="F425" s="125" t="n">
        <v>16</v>
      </c>
      <c r="G425" s="125" t="n">
        <v>10</v>
      </c>
      <c r="H425" s="125" t="n">
        <v>13</v>
      </c>
      <c r="I425" s="125">
        <f>D425-(2*(H425+F425))</f>
        <v/>
      </c>
      <c r="J425" s="125" t="n">
        <v>112.25</v>
      </c>
      <c r="K425" s="125">
        <f>(E425/2)/F425</f>
        <v/>
      </c>
      <c r="L425" s="125">
        <f>I425/G425</f>
        <v/>
      </c>
      <c r="M425" s="125">
        <f>(E425*2+F425*4+((E425-G425)/2-H425)*4+2*PI()*H425+(D425-2*F425-2*H425)*2)/1000</f>
        <v/>
      </c>
      <c r="N425" s="5" t="n">
        <v>45685</v>
      </c>
      <c r="O425" s="5" t="n">
        <v>2138</v>
      </c>
      <c r="P425" s="125" t="n">
        <v>20.17</v>
      </c>
      <c r="Q425" s="125" t="n">
        <v>4.36</v>
      </c>
      <c r="R425" s="5" t="n">
        <v>1827</v>
      </c>
      <c r="S425" s="125" t="n">
        <v>213.8</v>
      </c>
      <c r="T425" s="125">
        <f>(((E425*D425*D425)/4)-(((E425-G425)*(D425-F425-F425)*(D425-F425-F425))/4)+(4*(H425*H425*(D425/2-F425-(H425/2))-((PI()*H425*H425)/4*((D425/2)-F425-(H425-((4*H425)/(3*PI()))))))))/1000</f>
        <v/>
      </c>
      <c r="U425" s="125">
        <f>(((D425*E425*E425)/4)-(2*((D425-F425-F425)*(E425/2-(G425/2))*(((E425/2-(G425/2))/2)+(G425/2))))+(4*(((H425*H425)-(((PI()*H425*H425)/4)))*((H425-((4*H425)/(3*PI())))+(G425/2)))))/1000</f>
        <v/>
      </c>
      <c r="Y425">
        <f>SQRT((((VLOOKUP($X$4,$A$4:$D$1021,4,FALSE))-D425)^2)+(((VLOOKUP($X$4,$A$4:$E$1021,5,FALSE))-E425)^2))</f>
        <v/>
      </c>
    </row>
    <row r="426">
      <c r="A426" s="125" t="inlineStr">
        <is>
          <t>HN500X101.5</t>
        </is>
      </c>
      <c r="B426" s="129" t="inlineStr">
        <is>
          <t>GB</t>
        </is>
      </c>
      <c r="C426" s="125">
        <f>_xlfn.TEXTAFTER(A426,"X")</f>
        <v/>
      </c>
      <c r="D426" s="125" t="n">
        <v>506</v>
      </c>
      <c r="E426" s="125" t="n">
        <v>201</v>
      </c>
      <c r="F426" s="125" t="n">
        <v>19</v>
      </c>
      <c r="G426" s="125" t="n">
        <v>11</v>
      </c>
      <c r="H426" s="125" t="n">
        <v>13</v>
      </c>
      <c r="I426" s="125">
        <f>D426-(2*(H426+F426))</f>
        <v/>
      </c>
      <c r="J426" s="125" t="n">
        <v>129.31</v>
      </c>
      <c r="K426" s="125">
        <f>(E426/2)/F426</f>
        <v/>
      </c>
      <c r="L426" s="125">
        <f>I426/G426</f>
        <v/>
      </c>
      <c r="M426" s="125">
        <f>(E426*2+F426*4+((E426-G426)/2-H426)*4+2*PI()*H426+(D426-2*F426-2*H426)*2)/1000</f>
        <v/>
      </c>
      <c r="N426" s="5" t="n">
        <v>54478</v>
      </c>
      <c r="O426" s="5" t="n">
        <v>2577</v>
      </c>
      <c r="P426" s="125" t="n">
        <v>20.53</v>
      </c>
      <c r="Q426" s="125" t="n">
        <v>4.46</v>
      </c>
      <c r="R426" s="5" t="n">
        <v>2153</v>
      </c>
      <c r="S426" s="125" t="n">
        <v>256.4</v>
      </c>
      <c r="T426" s="125">
        <f>(((E426*D426*D426)/4)-(((E426-G426)*(D426-F426-F426)*(D426-F426-F426))/4)+(4*(H426*H426*(D426/2-F426-(H426/2))-((PI()*H426*H426)/4*((D426/2)-F426-(H426-((4*H426)/(3*PI()))))))))/1000</f>
        <v/>
      </c>
      <c r="U426" s="125">
        <f>(((D426*E426*E426)/4)-(2*((D426-F426-F426)*(E426/2-(G426/2))*(((E426/2-(G426/2))/2)+(G426/2))))+(4*(((H426*H426)-(((PI()*H426*H426)/4)))*((H426-((4*H426)/(3*PI())))+(G426/2)))))/1000</f>
        <v/>
      </c>
      <c r="Y426">
        <f>SQRT((((VLOOKUP($X$4,$A$4:$D$1021,4,FALSE))-D426)^2)+(((VLOOKUP($X$4,$A$4:$E$1021,5,FALSE))-E426)^2))</f>
        <v/>
      </c>
    </row>
    <row r="427">
      <c r="A427" s="125" t="inlineStr">
        <is>
          <t>HN550X81.5</t>
        </is>
      </c>
      <c r="B427" s="129" t="inlineStr">
        <is>
          <t>GB</t>
        </is>
      </c>
      <c r="C427" s="125">
        <f>_xlfn.TEXTAFTER(A427,"X")</f>
        <v/>
      </c>
      <c r="D427" s="125" t="n">
        <v>546</v>
      </c>
      <c r="E427" s="125" t="n">
        <v>199</v>
      </c>
      <c r="F427" s="125" t="n">
        <v>14</v>
      </c>
      <c r="G427" s="125" t="n">
        <v>9</v>
      </c>
      <c r="H427" s="125" t="n">
        <v>13</v>
      </c>
      <c r="I427" s="125">
        <f>D427-(2*(H427+F427))</f>
        <v/>
      </c>
      <c r="J427" s="125" t="n">
        <v>103.79</v>
      </c>
      <c r="K427" s="125">
        <f>(E427/2)/F427</f>
        <v/>
      </c>
      <c r="L427" s="125">
        <f>I427/G427</f>
        <v/>
      </c>
      <c r="M427" s="125">
        <f>(E427*2+F427*4+((E427-G427)/2-H427)*4+2*PI()*H427+(D427-2*F427-2*H427)*2)/1000</f>
        <v/>
      </c>
      <c r="N427" s="5" t="n">
        <v>49245</v>
      </c>
      <c r="O427" s="5" t="n">
        <v>1842</v>
      </c>
      <c r="P427" s="125" t="n">
        <v>21.78</v>
      </c>
      <c r="Q427" s="125" t="n">
        <v>4.21</v>
      </c>
      <c r="R427" s="5" t="n">
        <v>1804</v>
      </c>
      <c r="S427" s="125" t="n">
        <v>185.2</v>
      </c>
      <c r="T427" s="125">
        <f>(((E427*D427*D427)/4)-(((E427-G427)*(D427-F427-F427)*(D427-F427-F427))/4)+(4*(H427*H427*(D427/2-F427-(H427/2))-((PI()*H427*H427)/4*((D427/2)-F427-(H427-((4*H427)/(3*PI()))))))))/1000</f>
        <v/>
      </c>
      <c r="U427" s="125">
        <f>(((D427*E427*E427)/4)-(2*((D427-F427-F427)*(E427/2-(G427/2))*(((E427/2-(G427/2))/2)+(G427/2))))+(4*(((H427*H427)-(((PI()*H427*H427)/4)))*((H427-((4*H427)/(3*PI())))+(G427/2)))))/1000</f>
        <v/>
      </c>
      <c r="Y427">
        <f>SQRT((((VLOOKUP($X$4,$A$4:$D$1021,4,FALSE))-D427)^2)+(((VLOOKUP($X$4,$A$4:$E$1021,5,FALSE))-E427)^2))</f>
        <v/>
      </c>
    </row>
    <row r="428">
      <c r="A428" s="125" t="inlineStr">
        <is>
          <t>HN550X117.2</t>
        </is>
      </c>
      <c r="B428" s="129" t="inlineStr">
        <is>
          <t>GB</t>
        </is>
      </c>
      <c r="C428" s="125">
        <f>_xlfn.TEXTAFTER(A428,"X")</f>
        <v/>
      </c>
      <c r="D428" s="125" t="n">
        <v>550</v>
      </c>
      <c r="E428" s="125" t="n">
        <v>200</v>
      </c>
      <c r="F428" s="125" t="n">
        <v>16</v>
      </c>
      <c r="G428" s="125" t="n">
        <v>10</v>
      </c>
      <c r="H428" s="125" t="n">
        <v>13</v>
      </c>
      <c r="I428" s="125">
        <f>D428-(2*(H428+F428))</f>
        <v/>
      </c>
      <c r="J428" s="125" t="n">
        <v>149.25</v>
      </c>
      <c r="K428" s="125">
        <f>(E428/2)/F428</f>
        <v/>
      </c>
      <c r="L428" s="125">
        <f>I428/G428</f>
        <v/>
      </c>
      <c r="M428" s="125">
        <f>(E428*2+F428*4+((E428-G428)/2-H428)*4+2*PI()*H428+(D428-2*F428-2*H428)*2)/1000</f>
        <v/>
      </c>
      <c r="N428" s="5" t="n">
        <v>79515</v>
      </c>
      <c r="O428" s="5" t="n">
        <v>7205</v>
      </c>
      <c r="P428" s="125" t="n">
        <v>23.08</v>
      </c>
      <c r="Q428" s="125" t="n">
        <v>6.95</v>
      </c>
      <c r="R428" s="5" t="n">
        <v>2891</v>
      </c>
      <c r="S428" s="125" t="n">
        <v>480.3</v>
      </c>
      <c r="T428" s="125">
        <f>(((E428*D428*D428)/4)-(((E428-G428)*(D428-F428-F428)*(D428-F428-F428))/4)+(4*(H428*H428*(D428/2-F428-(H428/2))-((PI()*H428*H428)/4*((D428/2)-F428-(H428-((4*H428)/(3*PI()))))))))/1000</f>
        <v/>
      </c>
      <c r="U428" s="125">
        <f>(((D428*E428*E428)/4)-(2*((D428-F428-F428)*(E428/2-(G428/2))*(((E428/2-(G428/2))/2)+(G428/2))))+(4*(((H428*H428)-(((PI()*H428*H428)/4)))*((H428-((4*H428)/(3*PI())))+(G428/2)))))/1000</f>
        <v/>
      </c>
      <c r="Y428">
        <f>SQRT((((VLOOKUP($X$4,$A$4:$D$1021,4,FALSE))-D428)^2)+(((VLOOKUP($X$4,$A$4:$E$1021,5,FALSE))-E428)^2))</f>
        <v/>
      </c>
    </row>
    <row r="429">
      <c r="A429" s="125" t="inlineStr">
        <is>
          <t>HN600X92.4</t>
        </is>
      </c>
      <c r="B429" s="129" t="inlineStr">
        <is>
          <t>GB</t>
        </is>
      </c>
      <c r="C429" s="125">
        <f>_xlfn.TEXTAFTER(A429,"X")</f>
        <v/>
      </c>
      <c r="D429" s="125" t="n">
        <v>596</v>
      </c>
      <c r="E429" s="125" t="n">
        <v>199</v>
      </c>
      <c r="F429" s="125" t="n">
        <v>15</v>
      </c>
      <c r="G429" s="125" t="n">
        <v>10</v>
      </c>
      <c r="H429" s="125" t="n">
        <v>13</v>
      </c>
      <c r="I429" s="125">
        <f>D429-(2*(H429+F429))</f>
        <v/>
      </c>
      <c r="J429" s="125" t="n">
        <v>117.75</v>
      </c>
      <c r="K429" s="125">
        <f>(E429/2)/F429</f>
        <v/>
      </c>
      <c r="L429" s="125">
        <f>I429/G429</f>
        <v/>
      </c>
      <c r="M429" s="125">
        <f>(E429*2+F429*4+((E429-G429)/2-H429)*4+2*PI()*H429+(D429-2*F429-2*H429)*2)/1000</f>
        <v/>
      </c>
      <c r="N429" s="5" t="n">
        <v>64739</v>
      </c>
      <c r="O429" s="5" t="n">
        <v>1975</v>
      </c>
      <c r="P429" s="125" t="n">
        <v>23.45</v>
      </c>
      <c r="Q429" s="125" t="n">
        <v>4.1</v>
      </c>
      <c r="R429" s="5" t="n">
        <v>2172</v>
      </c>
      <c r="S429" s="125" t="n">
        <v>198.5</v>
      </c>
      <c r="T429" s="125">
        <f>(((E429*D429*D429)/4)-(((E429-G429)*(D429-F429-F429)*(D429-F429-F429))/4)+(4*(H429*H429*(D429/2-F429-(H429/2))-((PI()*H429*H429)/4*((D429/2)-F429-(H429-((4*H429)/(3*PI()))))))))/1000</f>
        <v/>
      </c>
      <c r="U429" s="125">
        <f>(((D429*E429*E429)/4)-(2*((D429-F429-F429)*(E429/2-(G429/2))*(((E429/2-(G429/2))/2)+(G429/2))))+(4*(((H429*H429)-(((PI()*H429*H429)/4)))*((H429-((4*H429)/(3*PI())))+(G429/2)))))/1000</f>
        <v/>
      </c>
      <c r="Y429">
        <f>SQRT((((VLOOKUP($X$4,$A$4:$D$1021,4,FALSE))-D429)^2)+(((VLOOKUP($X$4,$A$4:$E$1021,5,FALSE))-E429)^2))</f>
        <v/>
      </c>
    </row>
    <row r="430">
      <c r="A430" s="125" t="inlineStr">
        <is>
          <t>HN600X103.4</t>
        </is>
      </c>
      <c r="B430" s="129" t="inlineStr">
        <is>
          <t>GB</t>
        </is>
      </c>
      <c r="C430" s="125">
        <f>_xlfn.TEXTAFTER(A430,"X")</f>
        <v/>
      </c>
      <c r="D430" s="125" t="n">
        <v>600</v>
      </c>
      <c r="E430" s="125" t="n">
        <v>200</v>
      </c>
      <c r="F430" s="125" t="n">
        <v>17</v>
      </c>
      <c r="G430" s="125" t="n">
        <v>11</v>
      </c>
      <c r="H430" s="125" t="n">
        <v>13</v>
      </c>
      <c r="I430" s="125">
        <f>D430-(2*(H430+F430))</f>
        <v/>
      </c>
      <c r="J430" s="125" t="n">
        <v>131.71</v>
      </c>
      <c r="K430" s="125">
        <f>(E430/2)/F430</f>
        <v/>
      </c>
      <c r="L430" s="125">
        <f>I430/G430</f>
        <v/>
      </c>
      <c r="M430" s="125">
        <f>(E430*2+F430*4+((E430-G430)/2-H430)*4+2*PI()*H430+(D430-2*F430-2*H430)*2)/1000</f>
        <v/>
      </c>
      <c r="N430" s="5" t="n">
        <v>73749</v>
      </c>
      <c r="O430" s="5" t="n">
        <v>2273</v>
      </c>
      <c r="P430" s="125" t="n">
        <v>23.66</v>
      </c>
      <c r="Q430" s="125" t="n">
        <v>4.15</v>
      </c>
      <c r="R430" s="5" t="n">
        <v>2458</v>
      </c>
      <c r="S430" s="125" t="n">
        <v>227.3</v>
      </c>
      <c r="T430" s="125">
        <f>(((E430*D430*D430)/4)-(((E430-G430)*(D430-F430-F430)*(D430-F430-F430))/4)+(4*(H430*H430*(D430/2-F430-(H430/2))-((PI()*H430*H430)/4*((D430/2)-F430-(H430-((4*H430)/(3*PI()))))))))/1000</f>
        <v/>
      </c>
      <c r="U430" s="125">
        <f>(((D430*E430*E430)/4)-(2*((D430-F430-F430)*(E430/2-(G430/2))*(((E430/2-(G430/2))/2)+(G430/2))))+(4*(((H430*H430)-(((PI()*H430*H430)/4)))*((H430-((4*H430)/(3*PI())))+(G430/2)))))/1000</f>
        <v/>
      </c>
      <c r="Y430">
        <f>SQRT((((VLOOKUP($X$4,$A$4:$D$1021,4,FALSE))-D430)^2)+(((VLOOKUP($X$4,$A$4:$E$1021,5,FALSE))-E430)^2))</f>
        <v/>
      </c>
    </row>
    <row r="431">
      <c r="A431" s="125" t="inlineStr">
        <is>
          <t>HN600X117.6</t>
        </is>
      </c>
      <c r="B431" s="129" t="inlineStr">
        <is>
          <t>GB</t>
        </is>
      </c>
      <c r="C431" s="125">
        <f>_xlfn.TEXTAFTER(A431,"X")</f>
        <v/>
      </c>
      <c r="D431" s="125" t="n">
        <v>606</v>
      </c>
      <c r="E431" s="125" t="n">
        <v>201</v>
      </c>
      <c r="F431" s="125" t="n">
        <v>20</v>
      </c>
      <c r="G431" s="125" t="n">
        <v>12</v>
      </c>
      <c r="H431" s="125" t="n">
        <v>13</v>
      </c>
      <c r="I431" s="125">
        <f>D431-(2*(H431+F431))</f>
        <v/>
      </c>
      <c r="J431" s="125" t="n">
        <v>149.77</v>
      </c>
      <c r="K431" s="125">
        <f>(E431/2)/F431</f>
        <v/>
      </c>
      <c r="L431" s="125">
        <f>I431/G431</f>
        <v/>
      </c>
      <c r="M431" s="125">
        <f>(E431*2+F431*4+((E431-G431)/2-H431)*4+2*PI()*H431+(D431-2*F431-2*H431)*2)/1000</f>
        <v/>
      </c>
      <c r="N431" s="5" t="n">
        <v>86656</v>
      </c>
      <c r="O431" s="5" t="n">
        <v>2716</v>
      </c>
      <c r="P431" s="125" t="n">
        <v>24.05</v>
      </c>
      <c r="Q431" s="125" t="n">
        <v>4.26</v>
      </c>
      <c r="R431" s="5" t="n">
        <v>2860</v>
      </c>
      <c r="S431" s="125" t="n">
        <v>270.2</v>
      </c>
      <c r="T431" s="125">
        <f>(((E431*D431*D431)/4)-(((E431-G431)*(D431-F431-F431)*(D431-F431-F431))/4)+(4*(H431*H431*(D431/2-F431-(H431/2))-((PI()*H431*H431)/4*((D431/2)-F431-(H431-((4*H431)/(3*PI()))))))))/1000</f>
        <v/>
      </c>
      <c r="U431" s="125">
        <f>(((D431*E431*E431)/4)-(2*((D431-F431-F431)*(E431/2-(G431/2))*(((E431/2-(G431/2))/2)+(G431/2))))+(4*(((H431*H431)-(((PI()*H431*H431)/4)))*((H431-((4*H431)/(3*PI())))+(G431/2)))))/1000</f>
        <v/>
      </c>
      <c r="Y431">
        <f>SQRT((((VLOOKUP($X$4,$A$4:$D$1021,4,FALSE))-D431)^2)+(((VLOOKUP($X$4,$A$4:$E$1021,5,FALSE))-E431)^2))</f>
        <v/>
      </c>
    </row>
    <row r="432">
      <c r="A432" s="125" t="inlineStr">
        <is>
          <t>HN650X119.9</t>
        </is>
      </c>
      <c r="B432" s="129" t="inlineStr">
        <is>
          <t>GB</t>
        </is>
      </c>
      <c r="C432" s="125">
        <f>_xlfn.TEXTAFTER(A432,"X")</f>
        <v/>
      </c>
      <c r="D432" s="125" t="n">
        <v>646</v>
      </c>
      <c r="E432" s="125" t="n">
        <v>299</v>
      </c>
      <c r="F432" s="125" t="n">
        <v>15</v>
      </c>
      <c r="G432" s="125" t="n">
        <v>10</v>
      </c>
      <c r="H432" s="125" t="n">
        <v>13</v>
      </c>
      <c r="I432" s="125">
        <f>D432-(2*(H432+F432))</f>
        <v/>
      </c>
      <c r="J432" s="125" t="n">
        <v>152.75</v>
      </c>
      <c r="K432" s="125">
        <f>(E432/2)/F432</f>
        <v/>
      </c>
      <c r="L432" s="125">
        <f>I432/G432</f>
        <v/>
      </c>
      <c r="M432" s="125">
        <f>(E432*2+F432*4+((E432-G432)/2-H432)*4+2*PI()*H432+(D432-2*F432-2*H432)*2)/1000</f>
        <v/>
      </c>
      <c r="N432" s="5" t="n">
        <v>107794</v>
      </c>
      <c r="O432" s="5" t="n">
        <v>6688</v>
      </c>
      <c r="P432" s="125" t="n">
        <v>26.56</v>
      </c>
      <c r="Q432" s="125" t="n">
        <v>6.62</v>
      </c>
      <c r="R432" s="5" t="n">
        <v>3337</v>
      </c>
      <c r="S432" s="125" t="n">
        <v>447.4</v>
      </c>
      <c r="T432" s="125">
        <f>(((E432*D432*D432)/4)-(((E432-G432)*(D432-F432-F432)*(D432-F432-F432))/4)+(4*(H432*H432*(D432/2-F432-(H432/2))-((PI()*H432*H432)/4*((D432/2)-F432-(H432-((4*H432)/(3*PI()))))))))/1000</f>
        <v/>
      </c>
      <c r="U432" s="125">
        <f>(((D432*E432*E432)/4)-(2*((D432-F432-F432)*(E432/2-(G432/2))*(((E432/2-(G432/2))/2)+(G432/2))))+(4*(((H432*H432)-(((PI()*H432*H432)/4)))*((H432-((4*H432)/(3*PI())))+(G432/2)))))/1000</f>
        <v/>
      </c>
      <c r="Y432">
        <f>SQRT((((VLOOKUP($X$4,$A$4:$D$1021,4,FALSE))-D432)^2)+(((VLOOKUP($X$4,$A$4:$E$1021,5,FALSE))-E432)^2))</f>
        <v/>
      </c>
    </row>
    <row r="433">
      <c r="A433" s="125" t="inlineStr">
        <is>
          <t>HN650X134.4</t>
        </is>
      </c>
      <c r="B433" s="129" t="inlineStr">
        <is>
          <t>GB</t>
        </is>
      </c>
      <c r="C433" s="125">
        <f>_xlfn.TEXTAFTER(A433,"X")</f>
        <v/>
      </c>
      <c r="D433" s="125" t="n">
        <v>650</v>
      </c>
      <c r="E433" s="125" t="n">
        <v>300</v>
      </c>
      <c r="F433" s="125" t="n">
        <v>17</v>
      </c>
      <c r="G433" s="125" t="n">
        <v>11</v>
      </c>
      <c r="H433" s="125" t="n">
        <v>13</v>
      </c>
      <c r="I433" s="125">
        <f>D433-(2*(H433+F433))</f>
        <v/>
      </c>
      <c r="J433" s="125" t="n">
        <v>171.21</v>
      </c>
      <c r="K433" s="125">
        <f>(E433/2)/F433</f>
        <v/>
      </c>
      <c r="L433" s="125">
        <f>I433/G433</f>
        <v/>
      </c>
      <c r="M433" s="125">
        <f>(E433*2+F433*4+((E433-G433)/2-H433)*4+2*PI()*H433+(D433-2*F433-2*H433)*2)/1000</f>
        <v/>
      </c>
      <c r="N433" s="5" t="n">
        <v>122739</v>
      </c>
      <c r="O433" s="5" t="n">
        <v>7657</v>
      </c>
      <c r="P433" s="125" t="n">
        <v>26.77</v>
      </c>
      <c r="Q433" s="125" t="n">
        <v>6.69</v>
      </c>
      <c r="R433" s="5" t="n">
        <v>3777</v>
      </c>
      <c r="S433" s="125" t="n">
        <v>510.5</v>
      </c>
      <c r="T433" s="125">
        <f>(((E433*D433*D433)/4)-(((E433-G433)*(D433-F433-F433)*(D433-F433-F433))/4)+(4*(H433*H433*(D433/2-F433-(H433/2))-((PI()*H433*H433)/4*((D433/2)-F433-(H433-((4*H433)/(3*PI()))))))))/1000</f>
        <v/>
      </c>
      <c r="U433" s="125">
        <f>(((D433*E433*E433)/4)-(2*((D433-F433-F433)*(E433/2-(G433/2))*(((E433/2-(G433/2))/2)+(G433/2))))+(4*(((H433*H433)-(((PI()*H433*H433)/4)))*((H433-((4*H433)/(3*PI())))+(G433/2)))))/1000</f>
        <v/>
      </c>
      <c r="Y433">
        <f>SQRT((((VLOOKUP($X$4,$A$4:$D$1021,4,FALSE))-D433)^2)+(((VLOOKUP($X$4,$A$4:$E$1021,5,FALSE))-E433)^2))</f>
        <v/>
      </c>
    </row>
    <row r="434">
      <c r="A434" s="125" t="inlineStr">
        <is>
          <t>HN650X153.7</t>
        </is>
      </c>
      <c r="B434" s="129" t="inlineStr">
        <is>
          <t>GB</t>
        </is>
      </c>
      <c r="C434" s="125">
        <f>_xlfn.TEXTAFTER(A434,"X")</f>
        <v/>
      </c>
      <c r="D434" s="125" t="n">
        <v>656</v>
      </c>
      <c r="E434" s="125" t="n">
        <v>301</v>
      </c>
      <c r="F434" s="125" t="n">
        <v>20</v>
      </c>
      <c r="G434" s="125" t="n">
        <v>12</v>
      </c>
      <c r="H434" s="125" t="n">
        <v>13</v>
      </c>
      <c r="I434" s="125">
        <f>D434-(2*(H434+F434))</f>
        <v/>
      </c>
      <c r="J434" s="125" t="n">
        <v>195.77</v>
      </c>
      <c r="K434" s="125">
        <f>(E434/2)/F434</f>
        <v/>
      </c>
      <c r="L434" s="125">
        <f>I434/G434</f>
        <v/>
      </c>
      <c r="M434" s="125">
        <f>(E434*2+F434*4+((E434-G434)/2-H434)*4+2*PI()*H434+(D434-2*F434-2*H434)*2)/1000</f>
        <v/>
      </c>
      <c r="N434" s="5" t="n">
        <v>144433</v>
      </c>
      <c r="O434" s="5" t="n">
        <v>9100</v>
      </c>
      <c r="P434" s="125" t="n">
        <v>27.16</v>
      </c>
      <c r="Q434" s="125" t="n">
        <v>6.82</v>
      </c>
      <c r="R434" s="5" t="n">
        <v>4403</v>
      </c>
      <c r="S434" s="125" t="n">
        <v>604.6</v>
      </c>
      <c r="T434" s="125">
        <f>(((E434*D434*D434)/4)-(((E434-G434)*(D434-F434-F434)*(D434-F434-F434))/4)+(4*(H434*H434*(D434/2-F434-(H434/2))-((PI()*H434*H434)/4*((D434/2)-F434-(H434-((4*H434)/(3*PI()))))))))/1000</f>
        <v/>
      </c>
      <c r="U434" s="125">
        <f>(((D434*E434*E434)/4)-(2*((D434-F434-F434)*(E434/2-(G434/2))*(((E434/2-(G434/2))/2)+(G434/2))))+(4*(((H434*H434)-(((PI()*H434*H434)/4)))*((H434-((4*H434)/(3*PI())))+(G434/2)))))/1000</f>
        <v/>
      </c>
      <c r="Y434">
        <f>SQRT((((VLOOKUP($X$4,$A$4:$D$1021,4,FALSE))-D434)^2)+(((VLOOKUP($X$4,$A$4:$E$1021,5,FALSE))-E434)^2))</f>
        <v/>
      </c>
    </row>
    <row r="435">
      <c r="A435" s="125" t="inlineStr">
        <is>
          <t>HN700X162.9</t>
        </is>
      </c>
      <c r="B435" s="129" t="inlineStr">
        <is>
          <t>GB</t>
        </is>
      </c>
      <c r="C435" s="125">
        <f>_xlfn.TEXTAFTER(A435,"X")</f>
        <v/>
      </c>
      <c r="D435" s="125" t="n">
        <v>692</v>
      </c>
      <c r="E435" s="125" t="n">
        <v>300</v>
      </c>
      <c r="F435" s="125" t="n">
        <v>20</v>
      </c>
      <c r="G435" s="125" t="n">
        <v>13</v>
      </c>
      <c r="H435" s="125" t="n">
        <v>18</v>
      </c>
      <c r="I435" s="125">
        <f>D435-(2*(H435+F435))</f>
        <v/>
      </c>
      <c r="J435" s="125" t="n">
        <v>207.54</v>
      </c>
      <c r="K435" s="125">
        <f>(E435/2)/F435</f>
        <v/>
      </c>
      <c r="L435" s="125">
        <f>I435/G435</f>
        <v/>
      </c>
      <c r="M435" s="125">
        <f>(E435*2+F435*4+((E435-G435)/2-H435)*4+2*PI()*H435+(D435-2*F435-2*H435)*2)/1000</f>
        <v/>
      </c>
      <c r="N435" s="5" t="n">
        <v>164101</v>
      </c>
      <c r="O435" s="5" t="n">
        <v>9014</v>
      </c>
      <c r="P435" s="125" t="n">
        <v>28.12</v>
      </c>
      <c r="Q435" s="125" t="n">
        <v>6.59</v>
      </c>
      <c r="R435" s="5" t="n">
        <v>4743</v>
      </c>
      <c r="S435" s="125" t="n">
        <v>600.9</v>
      </c>
      <c r="T435" s="125">
        <f>(((E435*D435*D435)/4)-(((E435-G435)*(D435-F435-F435)*(D435-F435-F435))/4)+(4*(H435*H435*(D435/2-F435-(H435/2))-((PI()*H435*H435)/4*((D435/2)-F435-(H435-((4*H435)/(3*PI()))))))))/1000</f>
        <v/>
      </c>
      <c r="U435" s="125">
        <f>(((D435*E435*E435)/4)-(2*((D435-F435-F435)*(E435/2-(G435/2))*(((E435/2-(G435/2))/2)+(G435/2))))+(4*(((H435*H435)-(((PI()*H435*H435)/4)))*((H435-((4*H435)/(3*PI())))+(G435/2)))))/1000</f>
        <v/>
      </c>
      <c r="Y435">
        <f>SQRT((((VLOOKUP($X$4,$A$4:$D$1021,4,FALSE))-D435)^2)+(((VLOOKUP($X$4,$A$4:$E$1021,5,FALSE))-E435)^2))</f>
        <v/>
      </c>
    </row>
    <row r="436">
      <c r="A436" s="125" t="inlineStr">
        <is>
          <t>HN700X181.8</t>
        </is>
      </c>
      <c r="B436" s="129" t="inlineStr">
        <is>
          <t>GB</t>
        </is>
      </c>
      <c r="C436" s="125">
        <f>_xlfn.TEXTAFTER(A436,"X")</f>
        <v/>
      </c>
      <c r="D436" s="125" t="n">
        <v>700</v>
      </c>
      <c r="E436" s="125" t="n">
        <v>300</v>
      </c>
      <c r="F436" s="125" t="n">
        <v>24</v>
      </c>
      <c r="G436" s="125" t="n">
        <v>13</v>
      </c>
      <c r="H436" s="125" t="n">
        <v>18</v>
      </c>
      <c r="I436" s="125">
        <f>D436-(2*(H436+F436))</f>
        <v/>
      </c>
      <c r="J436" s="125" t="n">
        <v>231.54</v>
      </c>
      <c r="K436" s="125">
        <f>(E436/2)/F436</f>
        <v/>
      </c>
      <c r="L436" s="125">
        <f>I436/G436</f>
        <v/>
      </c>
      <c r="M436" s="125">
        <f>(E436*2+F436*4+((E436-G436)/2-H436)*4+2*PI()*H436+(D436-2*F436-2*H436)*2)/1000</f>
        <v/>
      </c>
      <c r="N436" s="5" t="n">
        <v>193622</v>
      </c>
      <c r="O436" s="5" t="n">
        <v>10814</v>
      </c>
      <c r="P436" s="125" t="n">
        <v>28.92</v>
      </c>
      <c r="Q436" s="125" t="n">
        <v>6.83</v>
      </c>
      <c r="R436" s="5" t="n">
        <v>5532</v>
      </c>
      <c r="S436" s="125" t="n">
        <v>720.9</v>
      </c>
      <c r="T436" s="125">
        <f>(((E436*D436*D436)/4)-(((E436-G436)*(D436-F436-F436)*(D436-F436-F436))/4)+(4*(H436*H436*(D436/2-F436-(H436/2))-((PI()*H436*H436)/4*((D436/2)-F436-(H436-((4*H436)/(3*PI()))))))))/1000</f>
        <v/>
      </c>
      <c r="U436" s="125">
        <f>(((D436*E436*E436)/4)-(2*((D436-F436-F436)*(E436/2-(G436/2))*(((E436/2-(G436/2))/2)+(G436/2))))+(4*(((H436*H436)-(((PI()*H436*H436)/4)))*((H436-((4*H436)/(3*PI())))+(G436/2)))))/1000</f>
        <v/>
      </c>
      <c r="Y436">
        <f>SQRT((((VLOOKUP($X$4,$A$4:$D$1021,4,FALSE))-D436)^2)+(((VLOOKUP($X$4,$A$4:$E$1021,5,FALSE))-E436)^2))</f>
        <v/>
      </c>
    </row>
    <row r="437">
      <c r="A437" s="125" t="inlineStr">
        <is>
          <t>HN750X143.4</t>
        </is>
      </c>
      <c r="B437" s="129" t="inlineStr">
        <is>
          <t>GB</t>
        </is>
      </c>
      <c r="C437" s="125">
        <f>_xlfn.TEXTAFTER(A437,"X")</f>
        <v/>
      </c>
      <c r="D437" s="125" t="n">
        <v>734</v>
      </c>
      <c r="E437" s="125" t="n">
        <v>299</v>
      </c>
      <c r="F437" s="125" t="n">
        <v>16</v>
      </c>
      <c r="G437" s="125" t="n">
        <v>12</v>
      </c>
      <c r="H437" s="125" t="n">
        <v>18</v>
      </c>
      <c r="I437" s="125">
        <f>D437-(2*(H437+F437))</f>
        <v/>
      </c>
      <c r="J437" s="125" t="n">
        <v>182.7</v>
      </c>
      <c r="K437" s="125">
        <f>(E437/2)/F437</f>
        <v/>
      </c>
      <c r="L437" s="125">
        <f>I437/G437</f>
        <v/>
      </c>
      <c r="M437" s="125">
        <f>(E437*2+F437*4+((E437-G437)/2-H437)*4+2*PI()*H437+(D437-2*F437-2*H437)*2)/1000</f>
        <v/>
      </c>
      <c r="N437" s="5" t="n">
        <v>155539</v>
      </c>
      <c r="O437" s="5" t="n">
        <v>7140</v>
      </c>
      <c r="P437" s="125" t="n">
        <v>29.18</v>
      </c>
      <c r="Q437" s="125" t="n">
        <v>6.25</v>
      </c>
      <c r="R437" s="5" t="n">
        <v>4238</v>
      </c>
      <c r="S437" s="125" t="n">
        <v>477.6</v>
      </c>
      <c r="T437" s="125">
        <f>(((E437*D437*D437)/4)-(((E437-G437)*(D437-F437-F437)*(D437-F437-F437))/4)+(4*(H437*H437*(D437/2-F437-(H437/2))-((PI()*H437*H437)/4*((D437/2)-F437-(H437-((4*H437)/(3*PI()))))))))/1000</f>
        <v/>
      </c>
      <c r="U437" s="125">
        <f>(((D437*E437*E437)/4)-(2*((D437-F437-F437)*(E437/2-(G437/2))*(((E437/2-(G437/2))/2)+(G437/2))))+(4*(((H437*H437)-(((PI()*H437*H437)/4)))*((H437-((4*H437)/(3*PI())))+(G437/2)))))/1000</f>
        <v/>
      </c>
      <c r="Y437">
        <f>SQRT((((VLOOKUP($X$4,$A$4:$D$1021,4,FALSE))-D437)^2)+(((VLOOKUP($X$4,$A$4:$E$1021,5,FALSE))-E437)^2))</f>
        <v/>
      </c>
    </row>
    <row r="438">
      <c r="A438" s="125" t="inlineStr">
        <is>
          <t>HN750X168</t>
        </is>
      </c>
      <c r="B438" s="129" t="inlineStr">
        <is>
          <t>GB</t>
        </is>
      </c>
      <c r="C438" s="125">
        <f>_xlfn.TEXTAFTER(A438,"X")</f>
        <v/>
      </c>
      <c r="D438" s="125" t="n">
        <v>742</v>
      </c>
      <c r="E438" s="125" t="n">
        <v>300</v>
      </c>
      <c r="F438" s="125" t="n">
        <v>20</v>
      </c>
      <c r="G438" s="125" t="n">
        <v>13</v>
      </c>
      <c r="H438" s="125" t="n">
        <v>18</v>
      </c>
      <c r="I438" s="125">
        <f>D438-(2*(H438+F438))</f>
        <v/>
      </c>
      <c r="J438" s="125" t="n">
        <v>214.04</v>
      </c>
      <c r="K438" s="125">
        <f>(E438/2)/F438</f>
        <v/>
      </c>
      <c r="L438" s="125">
        <f>I438/G438</f>
        <v/>
      </c>
      <c r="M438" s="125">
        <f>(E438*2+F438*4+((E438-G438)/2-H438)*4+2*PI()*H438+(D438-2*F438-2*H438)*2)/1000</f>
        <v/>
      </c>
      <c r="N438" s="5" t="n">
        <v>191989</v>
      </c>
      <c r="O438" s="5" t="n">
        <v>9015</v>
      </c>
      <c r="P438" s="125" t="n">
        <v>29.95</v>
      </c>
      <c r="Q438" s="125" t="n">
        <v>6.49</v>
      </c>
      <c r="R438" s="5" t="n">
        <v>5175</v>
      </c>
      <c r="S438" s="125" t="n">
        <v>601</v>
      </c>
      <c r="T438" s="125">
        <f>(((E438*D438*D438)/4)-(((E438-G438)*(D438-F438-F438)*(D438-F438-F438))/4)+(4*(H438*H438*(D438/2-F438-(H438/2))-((PI()*H438*H438)/4*((D438/2)-F438-(H438-((4*H438)/(3*PI()))))))))/1000</f>
        <v/>
      </c>
      <c r="U438" s="125">
        <f>(((D438*E438*E438)/4)-(2*((D438-F438-F438)*(E438/2-(G438/2))*(((E438/2-(G438/2))/2)+(G438/2))))+(4*(((H438*H438)-(((PI()*H438*H438)/4)))*((H438-((4*H438)/(3*PI())))+(G438/2)))))/1000</f>
        <v/>
      </c>
      <c r="Y438">
        <f>SQRT((((VLOOKUP($X$4,$A$4:$D$1021,4,FALSE))-D438)^2)+(((VLOOKUP($X$4,$A$4:$E$1021,5,FALSE))-E438)^2))</f>
        <v/>
      </c>
    </row>
    <row r="439">
      <c r="A439" s="125" t="inlineStr">
        <is>
          <t>HN750X186.9</t>
        </is>
      </c>
      <c r="B439" s="129" t="inlineStr">
        <is>
          <t>GB</t>
        </is>
      </c>
      <c r="C439" s="125">
        <f>_xlfn.TEXTAFTER(A439,"X")</f>
        <v/>
      </c>
      <c r="D439" s="125" t="n">
        <v>750</v>
      </c>
      <c r="E439" s="125" t="n">
        <v>300</v>
      </c>
      <c r="F439" s="125" t="n">
        <v>24</v>
      </c>
      <c r="G439" s="125" t="n">
        <v>13</v>
      </c>
      <c r="H439" s="125" t="n">
        <v>18</v>
      </c>
      <c r="I439" s="125">
        <f>D439-(2*(H439+F439))</f>
        <v/>
      </c>
      <c r="J439" s="125" t="n">
        <v>238.04</v>
      </c>
      <c r="K439" s="125">
        <f>(E439/2)/F439</f>
        <v/>
      </c>
      <c r="L439" s="125">
        <f>I439/G439</f>
        <v/>
      </c>
      <c r="M439" s="125">
        <f>(E439*2+F439*4+((E439-G439)/2-H439)*4+2*PI()*H439+(D439-2*F439-2*H439)*2)/1000</f>
        <v/>
      </c>
      <c r="N439" s="5" t="n">
        <v>225863</v>
      </c>
      <c r="O439" s="5" t="n">
        <v>10815</v>
      </c>
      <c r="P439" s="125" t="n">
        <v>30.8</v>
      </c>
      <c r="Q439" s="125" t="n">
        <v>6.74</v>
      </c>
      <c r="R439" s="5" t="n">
        <v>6023</v>
      </c>
      <c r="S439" s="125" t="n">
        <v>721</v>
      </c>
      <c r="T439" s="125">
        <f>(((E439*D439*D439)/4)-(((E439-G439)*(D439-F439-F439)*(D439-F439-F439))/4)+(4*(H439*H439*(D439/2-F439-(H439/2))-((PI()*H439*H439)/4*((D439/2)-F439-(H439-((4*H439)/(3*PI()))))))))/1000</f>
        <v/>
      </c>
      <c r="U439" s="125">
        <f>(((D439*E439*E439)/4)-(2*((D439-F439-F439)*(E439/2-(G439/2))*(((E439/2-(G439/2))/2)+(G439/2))))+(4*(((H439*H439)-(((PI()*H439*H439)/4)))*((H439-((4*H439)/(3*PI())))+(G439/2)))))/1000</f>
        <v/>
      </c>
      <c r="Y439">
        <f>SQRT((((VLOOKUP($X$4,$A$4:$D$1021,4,FALSE))-D439)^2)+(((VLOOKUP($X$4,$A$4:$E$1021,5,FALSE))-E439)^2))</f>
        <v/>
      </c>
    </row>
    <row r="440">
      <c r="A440" s="125" t="inlineStr">
        <is>
          <t>HN750X223.6</t>
        </is>
      </c>
      <c r="B440" s="129" t="inlineStr">
        <is>
          <t>GB</t>
        </is>
      </c>
      <c r="C440" s="125">
        <f>_xlfn.TEXTAFTER(A440,"X")</f>
        <v/>
      </c>
      <c r="D440" s="125" t="n">
        <v>758</v>
      </c>
      <c r="E440" s="125" t="n">
        <v>303</v>
      </c>
      <c r="F440" s="125" t="n">
        <v>28</v>
      </c>
      <c r="G440" s="125" t="n">
        <v>16</v>
      </c>
      <c r="H440" s="125" t="n">
        <v>18</v>
      </c>
      <c r="I440" s="125">
        <f>D440-(2*(H440+F440))</f>
        <v/>
      </c>
      <c r="J440" s="125" t="n">
        <v>284.78</v>
      </c>
      <c r="K440" s="125">
        <f>(E440/2)/F440</f>
        <v/>
      </c>
      <c r="L440" s="125">
        <f>I440/G440</f>
        <v/>
      </c>
      <c r="M440" s="125">
        <f>(E440*2+F440*4+((E440-G440)/2-H440)*4+2*PI()*H440+(D440-2*F440-2*H440)*2)/1000</f>
        <v/>
      </c>
      <c r="N440" s="5" t="n">
        <v>271350</v>
      </c>
      <c r="O440" s="5" t="n">
        <v>13008</v>
      </c>
      <c r="P440" s="125" t="n">
        <v>30.87</v>
      </c>
      <c r="Q440" s="125" t="n">
        <v>6.76</v>
      </c>
      <c r="R440" s="5" t="n">
        <v>7160</v>
      </c>
      <c r="S440" s="125" t="n">
        <v>858.6</v>
      </c>
      <c r="T440" s="125">
        <f>(((E440*D440*D440)/4)-(((E440-G440)*(D440-F440-F440)*(D440-F440-F440))/4)+(4*(H440*H440*(D440/2-F440-(H440/2))-((PI()*H440*H440)/4*((D440/2)-F440-(H440-((4*H440)/(3*PI()))))))))/1000</f>
        <v/>
      </c>
      <c r="U440" s="125">
        <f>(((D440*E440*E440)/4)-(2*((D440-F440-F440)*(E440/2-(G440/2))*(((E440/2-(G440/2))/2)+(G440/2))))+(4*(((H440*H440)-(((PI()*H440*H440)/4)))*((H440-((4*H440)/(3*PI())))+(G440/2)))))/1000</f>
        <v/>
      </c>
      <c r="Y440">
        <f>SQRT((((VLOOKUP($X$4,$A$4:$D$1021,4,FALSE))-D440)^2)+(((VLOOKUP($X$4,$A$4:$E$1021,5,FALSE))-E440)^2))</f>
        <v/>
      </c>
    </row>
    <row r="441">
      <c r="A441" s="125" t="inlineStr">
        <is>
          <t>HN800X188</t>
        </is>
      </c>
      <c r="B441" s="129" t="inlineStr">
        <is>
          <t>GB</t>
        </is>
      </c>
      <c r="C441" s="125">
        <f>_xlfn.TEXTAFTER(A441,"X")</f>
        <v/>
      </c>
      <c r="D441" s="125" t="n">
        <v>792</v>
      </c>
      <c r="E441" s="125" t="n">
        <v>300</v>
      </c>
      <c r="F441" s="125" t="n">
        <v>22</v>
      </c>
      <c r="G441" s="125" t="n">
        <v>14</v>
      </c>
      <c r="H441" s="125" t="n">
        <v>18</v>
      </c>
      <c r="I441" s="125">
        <f>D441-(2*(H441+F441))</f>
        <v/>
      </c>
      <c r="J441" s="125" t="n">
        <v>239.5</v>
      </c>
      <c r="K441" s="125">
        <f>(E441/2)/F441</f>
        <v/>
      </c>
      <c r="L441" s="125">
        <f>I441/G441</f>
        <v/>
      </c>
      <c r="M441" s="125">
        <f>(E441*2+F441*4+((E441-G441)/2-H441)*4+2*PI()*H441+(D441-2*F441-2*H441)*2)/1000</f>
        <v/>
      </c>
      <c r="N441" s="5" t="n">
        <v>242399</v>
      </c>
      <c r="O441" s="5" t="n">
        <v>9919</v>
      </c>
      <c r="P441" s="125" t="n">
        <v>31.81</v>
      </c>
      <c r="Q441" s="125" t="n">
        <v>6.44</v>
      </c>
      <c r="R441" s="5" t="n">
        <v>6121</v>
      </c>
      <c r="S441" s="125" t="n">
        <v>661.3</v>
      </c>
      <c r="T441" s="125">
        <f>(((E441*D441*D441)/4)-(((E441-G441)*(D441-F441-F441)*(D441-F441-F441))/4)+(4*(H441*H441*(D441/2-F441-(H441/2))-((PI()*H441*H441)/4*((D441/2)-F441-(H441-((4*H441)/(3*PI()))))))))/1000</f>
        <v/>
      </c>
      <c r="U441" s="125">
        <f>(((D441*E441*E441)/4)-(2*((D441-F441-F441)*(E441/2-(G441/2))*(((E441/2-(G441/2))/2)+(G441/2))))+(4*(((H441*H441)-(((PI()*H441*H441)/4)))*((H441-((4*H441)/(3*PI())))+(G441/2)))))/1000</f>
        <v/>
      </c>
      <c r="Y441">
        <f>SQRT((((VLOOKUP($X$4,$A$4:$D$1021,4,FALSE))-D441)^2)+(((VLOOKUP($X$4,$A$4:$E$1021,5,FALSE))-E441)^2))</f>
        <v/>
      </c>
    </row>
    <row r="442">
      <c r="A442" s="125" t="inlineStr">
        <is>
          <t>HN800X206.8</t>
        </is>
      </c>
      <c r="B442" s="129" t="inlineStr">
        <is>
          <t>GB</t>
        </is>
      </c>
      <c r="C442" s="125">
        <f>_xlfn.TEXTAFTER(A442,"X")</f>
        <v/>
      </c>
      <c r="D442" s="125" t="n">
        <v>800</v>
      </c>
      <c r="E442" s="125" t="n">
        <v>300</v>
      </c>
      <c r="F442" s="125" t="n">
        <v>26</v>
      </c>
      <c r="G442" s="125" t="n">
        <v>14</v>
      </c>
      <c r="H442" s="125" t="n">
        <v>18</v>
      </c>
      <c r="I442" s="125">
        <f>D442-(2*(H442+F442))</f>
        <v/>
      </c>
      <c r="J442" s="125" t="n">
        <v>263.5</v>
      </c>
      <c r="K442" s="125">
        <f>(E442/2)/F442</f>
        <v/>
      </c>
      <c r="L442" s="125">
        <f>I442/G442</f>
        <v/>
      </c>
      <c r="M442" s="125">
        <f>(E442*2+F442*4+((E442-G442)/2-H442)*4+2*PI()*H442+(D442-2*F442-2*H442)*2)/1000</f>
        <v/>
      </c>
      <c r="N442" s="5" t="n">
        <v>280925</v>
      </c>
      <c r="O442" s="5" t="n">
        <v>11719</v>
      </c>
      <c r="P442" s="125" t="n">
        <v>32.65</v>
      </c>
      <c r="Q442" s="125" t="n">
        <v>6.67</v>
      </c>
      <c r="R442" s="5" t="n">
        <v>7023</v>
      </c>
      <c r="S442" s="125" t="n">
        <v>781.3</v>
      </c>
      <c r="T442" s="125">
        <f>(((E442*D442*D442)/4)-(((E442-G442)*(D442-F442-F442)*(D442-F442-F442))/4)+(4*(H442*H442*(D442/2-F442-(H442/2))-((PI()*H442*H442)/4*((D442/2)-F442-(H442-((4*H442)/(3*PI()))))))))/1000</f>
        <v/>
      </c>
      <c r="U442" s="125">
        <f>(((D442*E442*E442)/4)-(2*((D442-F442-F442)*(E442/2-(G442/2))*(((E442/2-(G442/2))/2)+(G442/2))))+(4*(((H442*H442)-(((PI()*H442*H442)/4)))*((H442-((4*H442)/(3*PI())))+(G442/2)))))/1000</f>
        <v/>
      </c>
      <c r="Y442">
        <f>SQRT((((VLOOKUP($X$4,$A$4:$D$1021,4,FALSE))-D442)^2)+(((VLOOKUP($X$4,$A$4:$E$1021,5,FALSE))-E442)^2))</f>
        <v/>
      </c>
    </row>
    <row r="443">
      <c r="A443" s="125" t="inlineStr">
        <is>
          <t>HN850X178.6</t>
        </is>
      </c>
      <c r="B443" s="129" t="inlineStr">
        <is>
          <t>GB</t>
        </is>
      </c>
      <c r="C443" s="125">
        <f>_xlfn.TEXTAFTER(A443,"X")</f>
        <v/>
      </c>
      <c r="D443" s="125" t="n">
        <v>834</v>
      </c>
      <c r="E443" s="125" t="n">
        <v>298</v>
      </c>
      <c r="F443" s="125" t="n">
        <v>19</v>
      </c>
      <c r="G443" s="125" t="n">
        <v>14</v>
      </c>
      <c r="H443" s="125" t="n">
        <v>18</v>
      </c>
      <c r="I443" s="125">
        <f>D443-(2*(H443+F443))</f>
        <v/>
      </c>
      <c r="J443" s="125" t="n">
        <v>227.46</v>
      </c>
      <c r="K443" s="125">
        <f>(E443/2)/F443</f>
        <v/>
      </c>
      <c r="L443" s="125">
        <f>I443/G443</f>
        <v/>
      </c>
      <c r="M443" s="125">
        <f>(E443*2+F443*4+((E443-G443)/2-H443)*4+2*PI()*H443+(D443-2*F443-2*H443)*2)/1000</f>
        <v/>
      </c>
      <c r="N443" s="5" t="n">
        <v>243858</v>
      </c>
      <c r="O443" s="5" t="n">
        <v>8400</v>
      </c>
      <c r="P443" s="125" t="n">
        <v>32.74</v>
      </c>
      <c r="Q443" s="125" t="n">
        <v>6.08</v>
      </c>
      <c r="R443" s="5" t="n">
        <v>5848</v>
      </c>
      <c r="S443" s="125" t="n">
        <v>563.8</v>
      </c>
      <c r="T443" s="125">
        <f>(((E443*D443*D443)/4)-(((E443-G443)*(D443-F443-F443)*(D443-F443-F443))/4)+(4*(H443*H443*(D443/2-F443-(H443/2))-((PI()*H443*H443)/4*((D443/2)-F443-(H443-((4*H443)/(3*PI()))))))))/1000</f>
        <v/>
      </c>
      <c r="U443" s="125">
        <f>(((D443*E443*E443)/4)-(2*((D443-F443-F443)*(E443/2-(G443/2))*(((E443/2-(G443/2))/2)+(G443/2))))+(4*(((H443*H443)-(((PI()*H443*H443)/4)))*((H443-((4*H443)/(3*PI())))+(G443/2)))))/1000</f>
        <v/>
      </c>
      <c r="Y443">
        <f>SQRT((((VLOOKUP($X$4,$A$4:$D$1021,4,FALSE))-D443)^2)+(((VLOOKUP($X$4,$A$4:$E$1021,5,FALSE))-E443)^2))</f>
        <v/>
      </c>
    </row>
    <row r="444">
      <c r="A444" s="125" t="inlineStr">
        <is>
          <t>HN850X203.9</t>
        </is>
      </c>
      <c r="B444" s="129" t="inlineStr">
        <is>
          <t>GB</t>
        </is>
      </c>
      <c r="C444" s="125">
        <f>_xlfn.TEXTAFTER(A444,"X")</f>
        <v/>
      </c>
      <c r="D444" s="125" t="n">
        <v>842</v>
      </c>
      <c r="E444" s="125" t="n">
        <v>299</v>
      </c>
      <c r="F444" s="125" t="n">
        <v>23</v>
      </c>
      <c r="G444" s="125" t="n">
        <v>15</v>
      </c>
      <c r="H444" s="125" t="n">
        <v>18</v>
      </c>
      <c r="I444" s="125">
        <f>D444-(2*(H444+F444))</f>
        <v/>
      </c>
      <c r="J444" s="125" t="n">
        <v>259.72</v>
      </c>
      <c r="K444" s="125">
        <f>(E444/2)/F444</f>
        <v/>
      </c>
      <c r="L444" s="125">
        <f>I444/G444</f>
        <v/>
      </c>
      <c r="M444" s="125">
        <f>(E444*2+F444*4+((E444-G444)/2-H444)*4+2*PI()*H444+(D444-2*F444-2*H444)*2)/1000</f>
        <v/>
      </c>
      <c r="N444" s="5" t="n">
        <v>291216</v>
      </c>
      <c r="O444" s="5" t="n">
        <v>10271</v>
      </c>
      <c r="P444" s="125" t="n">
        <v>33.49</v>
      </c>
      <c r="Q444" s="125" t="n">
        <v>6.29</v>
      </c>
      <c r="R444" s="5" t="n">
        <v>6917</v>
      </c>
      <c r="S444" s="125" t="n">
        <v>687</v>
      </c>
      <c r="T444" s="125">
        <f>(((E444*D444*D444)/4)-(((E444-G444)*(D444-F444-F444)*(D444-F444-F444))/4)+(4*(H444*H444*(D444/2-F444-(H444/2))-((PI()*H444*H444)/4*((D444/2)-F444-(H444-((4*H444)/(3*PI()))))))))/1000</f>
        <v/>
      </c>
      <c r="U444" s="125">
        <f>(((D444*E444*E444)/4)-(2*((D444-F444-F444)*(E444/2-(G444/2))*(((E444/2-(G444/2))/2)+(G444/2))))+(4*(((H444*H444)-(((PI()*H444*H444)/4)))*((H444-((4*H444)/(3*PI())))+(G444/2)))))/1000</f>
        <v/>
      </c>
      <c r="Y444">
        <f>SQRT((((VLOOKUP($X$4,$A$4:$D$1021,4,FALSE))-D444)^2)+(((VLOOKUP($X$4,$A$4:$E$1021,5,FALSE))-E444)^2))</f>
        <v/>
      </c>
    </row>
    <row r="445">
      <c r="A445" s="125" t="inlineStr">
        <is>
          <t>HN850X229.3</t>
        </is>
      </c>
      <c r="B445" s="129" t="inlineStr">
        <is>
          <t>GB</t>
        </is>
      </c>
      <c r="C445" s="125">
        <f>_xlfn.TEXTAFTER(A445,"X")</f>
        <v/>
      </c>
      <c r="D445" s="125" t="n">
        <v>850</v>
      </c>
      <c r="E445" s="125" t="n">
        <v>300</v>
      </c>
      <c r="F445" s="125" t="n">
        <v>27</v>
      </c>
      <c r="G445" s="125" t="n">
        <v>16</v>
      </c>
      <c r="H445" s="125" t="n">
        <v>18</v>
      </c>
      <c r="I445" s="125">
        <f>D445-(2*(H445+F445))</f>
        <v/>
      </c>
      <c r="J445" s="125" t="n">
        <v>292.14</v>
      </c>
      <c r="K445" s="125">
        <f>(E445/2)/F445</f>
        <v/>
      </c>
      <c r="L445" s="125">
        <f>I445/G445</f>
        <v/>
      </c>
      <c r="M445" s="125">
        <f>(E445*2+F445*4+((E445-G445)/2-H445)*4+2*PI()*H445+(D445-2*F445-2*H445)*2)/1000</f>
        <v/>
      </c>
      <c r="N445" s="5" t="n">
        <v>339670</v>
      </c>
      <c r="O445" s="5" t="n">
        <v>12179</v>
      </c>
      <c r="P445" s="125" t="n">
        <v>34.1</v>
      </c>
      <c r="Q445" s="125" t="n">
        <v>6.46</v>
      </c>
      <c r="R445" s="5" t="n">
        <v>7992</v>
      </c>
      <c r="S445" s="125" t="n">
        <v>812</v>
      </c>
      <c r="T445" s="125">
        <f>(((E445*D445*D445)/4)-(((E445-G445)*(D445-F445-F445)*(D445-F445-F445))/4)+(4*(H445*H445*(D445/2-F445-(H445/2))-((PI()*H445*H445)/4*((D445/2)-F445-(H445-((4*H445)/(3*PI()))))))))/1000</f>
        <v/>
      </c>
      <c r="U445" s="125">
        <f>(((D445*E445*E445)/4)-(2*((D445-F445-F445)*(E445/2-(G445/2))*(((E445/2-(G445/2))/2)+(G445/2))))+(4*(((H445*H445)-(((PI()*H445*H445)/4)))*((H445-((4*H445)/(3*PI())))+(G445/2)))))/1000</f>
        <v/>
      </c>
      <c r="Y445">
        <f>SQRT((((VLOOKUP($X$4,$A$4:$D$1021,4,FALSE))-D445)^2)+(((VLOOKUP($X$4,$A$4:$E$1021,5,FALSE))-E445)^2))</f>
        <v/>
      </c>
    </row>
    <row r="446">
      <c r="A446" s="125" t="inlineStr">
        <is>
          <t>HN850X254.9</t>
        </is>
      </c>
      <c r="B446" s="129" t="inlineStr">
        <is>
          <t>GB</t>
        </is>
      </c>
      <c r="C446" s="125">
        <f>_xlfn.TEXTAFTER(A446,"X")</f>
        <v/>
      </c>
      <c r="D446" s="125" t="n">
        <v>858</v>
      </c>
      <c r="E446" s="125" t="n">
        <v>301</v>
      </c>
      <c r="F446" s="125" t="n">
        <v>31</v>
      </c>
      <c r="G446" s="125" t="n">
        <v>17</v>
      </c>
      <c r="H446" s="125" t="n">
        <v>18</v>
      </c>
      <c r="I446" s="125">
        <f>D446-(2*(H446+F446))</f>
        <v/>
      </c>
      <c r="J446" s="125" t="n">
        <v>324.72</v>
      </c>
      <c r="K446" s="125">
        <f>(E446/2)/F446</f>
        <v/>
      </c>
      <c r="L446" s="125">
        <f>I446/G446</f>
        <v/>
      </c>
      <c r="M446" s="125">
        <f>(E446*2+F446*4+((E446-G446)/2-H446)*4+2*PI()*H446+(D446-2*F446-2*H446)*2)/1000</f>
        <v/>
      </c>
      <c r="N446" s="5" t="n">
        <v>389234</v>
      </c>
      <c r="O446" s="5" t="n">
        <v>14125</v>
      </c>
      <c r="P446" s="125" t="n">
        <v>34.62</v>
      </c>
      <c r="Q446" s="125" t="n">
        <v>6.6</v>
      </c>
      <c r="R446" s="5" t="n">
        <v>9073</v>
      </c>
      <c r="S446" s="125" t="n">
        <v>938.5</v>
      </c>
      <c r="T446" s="125">
        <f>(((E446*D446*D446)/4)-(((E446-G446)*(D446-F446-F446)*(D446-F446-F446))/4)+(4*(H446*H446*(D446/2-F446-(H446/2))-((PI()*H446*H446)/4*((D446/2)-F446-(H446-((4*H446)/(3*PI()))))))))/1000</f>
        <v/>
      </c>
      <c r="U446" s="125">
        <f>(((D446*E446*E446)/4)-(2*((D446-F446-F446)*(E446/2-(G446/2))*(((E446/2-(G446/2))/2)+(G446/2))))+(4*(((H446*H446)-(((PI()*H446*H446)/4)))*((H446-((4*H446)/(3*PI())))+(G446/2)))))/1000</f>
        <v/>
      </c>
      <c r="Y446">
        <f>SQRT((((VLOOKUP($X$4,$A$4:$D$1021,4,FALSE))-D446)^2)+(((VLOOKUP($X$4,$A$4:$E$1021,5,FALSE))-E446)^2))</f>
        <v/>
      </c>
    </row>
    <row r="447">
      <c r="A447" s="125" t="inlineStr">
        <is>
          <t>HN900X209.5</t>
        </is>
      </c>
      <c r="B447" s="129" t="inlineStr">
        <is>
          <t>GB</t>
        </is>
      </c>
      <c r="C447" s="125">
        <f>_xlfn.TEXTAFTER(A447,"X")</f>
        <v/>
      </c>
      <c r="D447" s="125" t="n">
        <v>890</v>
      </c>
      <c r="E447" s="125" t="n">
        <v>299</v>
      </c>
      <c r="F447" s="125" t="n">
        <v>23</v>
      </c>
      <c r="G447" s="125" t="n">
        <v>15</v>
      </c>
      <c r="H447" s="125" t="n">
        <v>18</v>
      </c>
      <c r="I447" s="125">
        <f>D447-(2*(H447+F447))</f>
        <v/>
      </c>
      <c r="J447" s="125" t="n">
        <v>266.92</v>
      </c>
      <c r="K447" s="125">
        <f>(E447/2)/F447</f>
        <v/>
      </c>
      <c r="L447" s="125">
        <f>I447/G447</f>
        <v/>
      </c>
      <c r="M447" s="125">
        <f>(E447*2+F447*4+((E447-G447)/2-H447)*4+2*PI()*H447+(D447-2*F447-2*H447)*2)/1000</f>
        <v/>
      </c>
      <c r="N447" s="5" t="n">
        <v>330588</v>
      </c>
      <c r="O447" s="5" t="n">
        <v>10273</v>
      </c>
      <c r="P447" s="125" t="n">
        <v>35.19</v>
      </c>
      <c r="Q447" s="125" t="n">
        <v>6.2</v>
      </c>
      <c r="R447" s="5" t="n">
        <v>7429</v>
      </c>
      <c r="S447" s="125" t="n">
        <v>687.1</v>
      </c>
      <c r="T447" s="125">
        <f>(((E447*D447*D447)/4)-(((E447-G447)*(D447-F447-F447)*(D447-F447-F447))/4)+(4*(H447*H447*(D447/2-F447-(H447/2))-((PI()*H447*H447)/4*((D447/2)-F447-(H447-((4*H447)/(3*PI()))))))))/1000</f>
        <v/>
      </c>
      <c r="U447" s="125">
        <f>(((D447*E447*E447)/4)-(2*((D447-F447-F447)*(E447/2-(G447/2))*(((E447/2-(G447/2))/2)+(G447/2))))+(4*(((H447*H447)-(((PI()*H447*H447)/4)))*((H447-((4*H447)/(3*PI())))+(G447/2)))))/1000</f>
        <v/>
      </c>
      <c r="Y447">
        <f>SQRT((((VLOOKUP($X$4,$A$4:$D$1021,4,FALSE))-D447)^2)+(((VLOOKUP($X$4,$A$4:$E$1021,5,FALSE))-E447)^2))</f>
        <v/>
      </c>
    </row>
    <row r="448">
      <c r="A448" s="125" t="inlineStr">
        <is>
          <t>HN900X240.1</t>
        </is>
      </c>
      <c r="B448" s="129" t="inlineStr">
        <is>
          <t>GB</t>
        </is>
      </c>
      <c r="C448" s="125">
        <f>_xlfn.TEXTAFTER(A448,"X")</f>
        <v/>
      </c>
      <c r="D448" s="125" t="n">
        <v>900</v>
      </c>
      <c r="E448" s="125" t="n">
        <v>300</v>
      </c>
      <c r="F448" s="125" t="n">
        <v>28</v>
      </c>
      <c r="G448" s="125" t="n">
        <v>16</v>
      </c>
      <c r="H448" s="125" t="n">
        <v>18</v>
      </c>
      <c r="I448" s="125">
        <f>D448-(2*(H448+F448))</f>
        <v/>
      </c>
      <c r="J448" s="125" t="n">
        <v>305.82</v>
      </c>
      <c r="K448" s="125">
        <f>(E448/2)/F448</f>
        <v/>
      </c>
      <c r="L448" s="125">
        <f>I448/G448</f>
        <v/>
      </c>
      <c r="M448" s="125">
        <f>(E448*2+F448*4+((E448-G448)/2-H448)*4+2*PI()*H448+(D448-2*F448-2*H448)*2)/1000</f>
        <v/>
      </c>
      <c r="N448" s="5" t="n">
        <v>397241</v>
      </c>
      <c r="O448" s="5" t="n">
        <v>12631</v>
      </c>
      <c r="P448" s="125" t="n">
        <v>36.04</v>
      </c>
      <c r="Q448" s="125" t="n">
        <v>6.43</v>
      </c>
      <c r="R448" s="5" t="n">
        <v>8828</v>
      </c>
      <c r="S448" s="125" t="n">
        <v>842.1</v>
      </c>
      <c r="T448" s="125">
        <f>(((E448*D448*D448)/4)-(((E448-G448)*(D448-F448-F448)*(D448-F448-F448))/4)+(4*(H448*H448*(D448/2-F448-(H448/2))-((PI()*H448*H448)/4*((D448/2)-F448-(H448-((4*H448)/(3*PI()))))))))/1000</f>
        <v/>
      </c>
      <c r="U448" s="125">
        <f>(((D448*E448*E448)/4)-(2*((D448-F448-F448)*(E448/2-(G448/2))*(((E448/2-(G448/2))/2)+(G448/2))))+(4*(((H448*H448)-(((PI()*H448*H448)/4)))*((H448-((4*H448)/(3*PI())))+(G448/2)))))/1000</f>
        <v/>
      </c>
      <c r="Y448">
        <f>SQRT((((VLOOKUP($X$4,$A$4:$D$1021,4,FALSE))-D448)^2)+(((VLOOKUP($X$4,$A$4:$E$1021,5,FALSE))-E448)^2))</f>
        <v/>
      </c>
    </row>
    <row r="449">
      <c r="A449" s="125" t="inlineStr">
        <is>
          <t>HN900X282.6</t>
        </is>
      </c>
      <c r="B449" s="129" t="inlineStr">
        <is>
          <t>GB</t>
        </is>
      </c>
      <c r="C449" s="125">
        <f>_xlfn.TEXTAFTER(A449,"X")</f>
        <v/>
      </c>
      <c r="D449" s="125" t="n">
        <v>912</v>
      </c>
      <c r="E449" s="125" t="n">
        <v>302</v>
      </c>
      <c r="F449" s="125" t="n">
        <v>34</v>
      </c>
      <c r="G449" s="125" t="n">
        <v>18</v>
      </c>
      <c r="H449" s="125" t="n">
        <v>18</v>
      </c>
      <c r="I449" s="125">
        <f>D449-(2*(H449+F449))</f>
        <v/>
      </c>
      <c r="J449" s="125" t="n">
        <v>360.06</v>
      </c>
      <c r="K449" s="125">
        <f>(E449/2)/F449</f>
        <v/>
      </c>
      <c r="L449" s="125">
        <f>I449/G449</f>
        <v/>
      </c>
      <c r="M449" s="125">
        <f>(E449*2+F449*4+((E449-G449)/2-H449)*4+2*PI()*H449+(D449-2*F449-2*H449)*2)/1000</f>
        <v/>
      </c>
      <c r="N449" s="5" t="n">
        <v>484615</v>
      </c>
      <c r="O449" s="5" t="n">
        <v>15652</v>
      </c>
      <c r="P449" s="125" t="n">
        <v>36.69</v>
      </c>
      <c r="Q449" s="125" t="n">
        <v>6.59</v>
      </c>
      <c r="R449" s="5" t="n">
        <v>10628</v>
      </c>
      <c r="S449" s="5" t="n">
        <v>1037</v>
      </c>
      <c r="T449" s="125">
        <f>(((E449*D449*D449)/4)-(((E449-G449)*(D449-F449-F449)*(D449-F449-F449))/4)+(4*(H449*H449*(D449/2-F449-(H449/2))-((PI()*H449*H449)/4*((D449/2)-F449-(H449-((4*H449)/(3*PI()))))))))/1000</f>
        <v/>
      </c>
      <c r="U449" s="125">
        <f>(((D449*E449*E449)/4)-(2*((D449-F449-F449)*(E449/2-(G449/2))*(((E449/2-(G449/2))/2)+(G449/2))))+(4*(((H449*H449)-(((PI()*H449*H449)/4)))*((H449-((4*H449)/(3*PI())))+(G449/2)))))/1000</f>
        <v/>
      </c>
      <c r="Y449">
        <f>SQRT((((VLOOKUP($X$4,$A$4:$D$1021,4,FALSE))-D449)^2)+(((VLOOKUP($X$4,$A$4:$E$1021,5,FALSE))-E449)^2))</f>
        <v/>
      </c>
    </row>
    <row r="450">
      <c r="A450" s="125" t="inlineStr">
        <is>
          <t>HN1000X216.7</t>
        </is>
      </c>
      <c r="B450" s="129" t="inlineStr">
        <is>
          <t>GB</t>
        </is>
      </c>
      <c r="C450" s="125">
        <f>_xlfn.TEXTAFTER(A450,"X")</f>
        <v/>
      </c>
      <c r="D450" s="125" t="n">
        <v>970</v>
      </c>
      <c r="E450" s="125" t="n">
        <v>297</v>
      </c>
      <c r="F450" s="125" t="n">
        <v>21</v>
      </c>
      <c r="G450" s="125" t="n">
        <v>16</v>
      </c>
      <c r="H450" s="125" t="n">
        <v>18</v>
      </c>
      <c r="I450" s="125">
        <f>D450-(2*(H450+F450))</f>
        <v/>
      </c>
      <c r="J450" s="125" t="n">
        <v>276</v>
      </c>
      <c r="K450" s="125">
        <f>(E450/2)/F450</f>
        <v/>
      </c>
      <c r="L450" s="125">
        <f>I450/G450</f>
        <v/>
      </c>
      <c r="M450" s="125">
        <f>(E450*2+F450*4+((E450-G450)/2-H450)*4+2*PI()*H450+(D450-2*F450-2*H450)*2)/1000</f>
        <v/>
      </c>
      <c r="N450" s="5" t="n">
        <v>382977</v>
      </c>
      <c r="O450" s="5" t="n">
        <v>9203</v>
      </c>
      <c r="P450" s="125" t="n">
        <v>37.25</v>
      </c>
      <c r="Q450" s="125" t="n">
        <v>5.77</v>
      </c>
      <c r="R450" s="5" t="n">
        <v>7896</v>
      </c>
      <c r="S450" s="125" t="n">
        <v>619.7</v>
      </c>
      <c r="T450" s="125">
        <f>(((E450*D450*D450)/4)-(((E450-G450)*(D450-F450-F450)*(D450-F450-F450))/4)+(4*(H450*H450*(D450/2-F450-(H450/2))-((PI()*H450*H450)/4*((D450/2)-F450-(H450-((4*H450)/(3*PI()))))))))/1000</f>
        <v/>
      </c>
      <c r="U450" s="125">
        <f>(((D450*E450*E450)/4)-(2*((D450-F450-F450)*(E450/2-(G450/2))*(((E450/2-(G450/2))/2)+(G450/2))))+(4*(((H450*H450)-(((PI()*H450*H450)/4)))*((H450-((4*H450)/(3*PI())))+(G450/2)))))/1000</f>
        <v/>
      </c>
      <c r="Y450">
        <f>SQRT((((VLOOKUP($X$4,$A$4:$D$1021,4,FALSE))-D450)^2)+(((VLOOKUP($X$4,$A$4:$E$1021,5,FALSE))-E450)^2))</f>
        <v/>
      </c>
    </row>
    <row r="451">
      <c r="A451" s="125" t="inlineStr">
        <is>
          <t>HN1000X247.7</t>
        </is>
      </c>
      <c r="B451" s="129" t="inlineStr">
        <is>
          <t>GB</t>
        </is>
      </c>
      <c r="C451" s="125">
        <f>_xlfn.TEXTAFTER(A451,"X")</f>
        <v/>
      </c>
      <c r="D451" s="125" t="n">
        <v>980</v>
      </c>
      <c r="E451" s="125" t="n">
        <v>298</v>
      </c>
      <c r="F451" s="125" t="n">
        <v>26</v>
      </c>
      <c r="G451" s="125" t="n">
        <v>17</v>
      </c>
      <c r="H451" s="125" t="n">
        <v>18</v>
      </c>
      <c r="I451" s="125">
        <f>D451-(2*(H451+F451))</f>
        <v/>
      </c>
      <c r="J451" s="125" t="n">
        <v>315.5</v>
      </c>
      <c r="K451" s="125">
        <f>(E451/2)/F451</f>
        <v/>
      </c>
      <c r="L451" s="125">
        <f>I451/G451</f>
        <v/>
      </c>
      <c r="M451" s="125">
        <f>(E451*2+F451*4+((E451-G451)/2-H451)*4+2*PI()*H451+(D451-2*F451-2*H451)*2)/1000</f>
        <v/>
      </c>
      <c r="N451" s="5" t="n">
        <v>462157</v>
      </c>
      <c r="O451" s="5" t="n">
        <v>11508</v>
      </c>
      <c r="P451" s="125" t="n">
        <v>38.27</v>
      </c>
      <c r="Q451" s="125" t="n">
        <v>6.04</v>
      </c>
      <c r="R451" s="5" t="n">
        <v>9432</v>
      </c>
      <c r="S451" s="125" t="n">
        <v>772.3</v>
      </c>
      <c r="T451" s="125">
        <f>(((E451*D451*D451)/4)-(((E451-G451)*(D451-F451-F451)*(D451-F451-F451))/4)+(4*(H451*H451*(D451/2-F451-(H451/2))-((PI()*H451*H451)/4*((D451/2)-F451-(H451-((4*H451)/(3*PI()))))))))/1000</f>
        <v/>
      </c>
      <c r="U451" s="125">
        <f>(((D451*E451*E451)/4)-(2*((D451-F451-F451)*(E451/2-(G451/2))*(((E451/2-(G451/2))/2)+(G451/2))))+(4*(((H451*H451)-(((PI()*H451*H451)/4)))*((H451-((4*H451)/(3*PI())))+(G451/2)))))/1000</f>
        <v/>
      </c>
      <c r="Y451">
        <f>SQRT((((VLOOKUP($X$4,$A$4:$D$1021,4,FALSE))-D451)^2)+(((VLOOKUP($X$4,$A$4:$E$1021,5,FALSE))-E451)^2))</f>
        <v/>
      </c>
    </row>
    <row r="452">
      <c r="A452" s="125" t="inlineStr">
        <is>
          <t>HN1000X271.1</t>
        </is>
      </c>
      <c r="B452" s="129" t="inlineStr">
        <is>
          <t>GB</t>
        </is>
      </c>
      <c r="C452" s="125">
        <f>_xlfn.TEXTAFTER(A452,"X")</f>
        <v/>
      </c>
      <c r="D452" s="125" t="n">
        <v>990</v>
      </c>
      <c r="E452" s="125" t="n">
        <v>298</v>
      </c>
      <c r="F452" s="125" t="n">
        <v>31</v>
      </c>
      <c r="G452" s="125" t="n">
        <v>17</v>
      </c>
      <c r="H452" s="125" t="n">
        <v>18</v>
      </c>
      <c r="I452" s="125">
        <f>D452-(2*(H452+F452))</f>
        <v/>
      </c>
      <c r="J452" s="125" t="n">
        <v>345.3</v>
      </c>
      <c r="K452" s="125">
        <f>(E452/2)/F452</f>
        <v/>
      </c>
      <c r="L452" s="125">
        <f>I452/G452</f>
        <v/>
      </c>
      <c r="M452" s="125">
        <f>(E452*2+F452*4+((E452-G452)/2-H452)*4+2*PI()*H452+(D452-2*F452-2*H452)*2)/1000</f>
        <v/>
      </c>
      <c r="N452" s="5" t="n">
        <v>535201</v>
      </c>
      <c r="O452" s="5" t="n">
        <v>13713</v>
      </c>
      <c r="P452" s="125" t="n">
        <v>39.37</v>
      </c>
      <c r="Q452" s="125" t="n">
        <v>6.3</v>
      </c>
      <c r="R452" s="5" t="n">
        <v>10812</v>
      </c>
      <c r="S452" s="125" t="n">
        <v>920.3</v>
      </c>
      <c r="T452" s="125">
        <f>(((E452*D452*D452)/4)-(((E452-G452)*(D452-F452-F452)*(D452-F452-F452))/4)+(4*(H452*H452*(D452/2-F452-(H452/2))-((PI()*H452*H452)/4*((D452/2)-F452-(H452-((4*H452)/(3*PI()))))))))/1000</f>
        <v/>
      </c>
      <c r="U452" s="125">
        <f>(((D452*E452*E452)/4)-(2*((D452-F452-F452)*(E452/2-(G452/2))*(((E452/2-(G452/2))/2)+(G452/2))))+(4*(((H452*H452)-(((PI()*H452*H452)/4)))*((H452-((4*H452)/(3*PI())))+(G452/2)))))/1000</f>
        <v/>
      </c>
      <c r="Y452">
        <f>SQRT((((VLOOKUP($X$4,$A$4:$D$1021,4,FALSE))-D452)^2)+(((VLOOKUP($X$4,$A$4:$E$1021,5,FALSE))-E452)^2))</f>
        <v/>
      </c>
    </row>
    <row r="453">
      <c r="A453" s="125" t="inlineStr">
        <is>
          <t>HN1000X310.2</t>
        </is>
      </c>
      <c r="B453" s="129" t="inlineStr">
        <is>
          <t>GB</t>
        </is>
      </c>
      <c r="C453" s="125">
        <f>_xlfn.TEXTAFTER(A453,"X")</f>
        <v/>
      </c>
      <c r="D453" s="5" t="n">
        <v>1000</v>
      </c>
      <c r="E453" s="125" t="n">
        <v>300</v>
      </c>
      <c r="F453" s="125" t="n">
        <v>36</v>
      </c>
      <c r="G453" s="125" t="n">
        <v>19</v>
      </c>
      <c r="H453" s="125" t="n">
        <v>18</v>
      </c>
      <c r="I453" s="125">
        <f>D453-(2*(H453+F453))</f>
        <v/>
      </c>
      <c r="J453" s="125" t="n">
        <v>395.1</v>
      </c>
      <c r="K453" s="125">
        <f>(E453/2)/F453</f>
        <v/>
      </c>
      <c r="L453" s="125">
        <f>I453/G453</f>
        <v/>
      </c>
      <c r="M453" s="125">
        <f>(E453*2+F453*4+((E453-G453)/2-H453)*4+2*PI()*H453+(D453-2*F453-2*H453)*2)/1000</f>
        <v/>
      </c>
      <c r="N453" s="5" t="n">
        <v>626396</v>
      </c>
      <c r="O453" s="5" t="n">
        <v>16256</v>
      </c>
      <c r="P453" s="125" t="n">
        <v>39.82</v>
      </c>
      <c r="Q453" s="125" t="n">
        <v>6.41</v>
      </c>
      <c r="R453" s="5" t="n">
        <v>12528</v>
      </c>
      <c r="S453" s="5" t="n">
        <v>1084</v>
      </c>
      <c r="T453" s="125">
        <f>(((E453*D453*D453)/4)-(((E453-G453)*(D453-F453-F453)*(D453-F453-F453))/4)+(4*(H453*H453*(D453/2-F453-(H453/2))-((PI()*H453*H453)/4*((D453/2)-F453-(H453-((4*H453)/(3*PI()))))))))/1000</f>
        <v/>
      </c>
      <c r="U453" s="125">
        <f>(((D453*E453*E453)/4)-(2*((D453-F453-F453)*(E453/2-(G453/2))*(((E453/2-(G453/2))/2)+(G453/2))))+(4*(((H453*H453)-(((PI()*H453*H453)/4)))*((H453-((4*H453)/(3*PI())))+(G453/2)))))/1000</f>
        <v/>
      </c>
      <c r="Y453">
        <f>SQRT((((VLOOKUP($X$4,$A$4:$D$1021,4,FALSE))-D453)^2)+(((VLOOKUP($X$4,$A$4:$E$1021,5,FALSE))-E453)^2))</f>
        <v/>
      </c>
    </row>
    <row r="454">
      <c r="A454" s="125" t="inlineStr">
        <is>
          <t>HN1000X344.8</t>
        </is>
      </c>
      <c r="B454" s="129" t="inlineStr">
        <is>
          <t>GB</t>
        </is>
      </c>
      <c r="C454" s="125">
        <f>_xlfn.TEXTAFTER(A454,"X")</f>
        <v/>
      </c>
      <c r="D454" s="5" t="n">
        <v>1008</v>
      </c>
      <c r="E454" s="125" t="n">
        <v>302</v>
      </c>
      <c r="F454" s="125" t="n">
        <v>40</v>
      </c>
      <c r="G454" s="125" t="n">
        <v>21</v>
      </c>
      <c r="H454" s="125" t="n">
        <v>18</v>
      </c>
      <c r="I454" s="125">
        <f>D454-(2*(H454+F454))</f>
        <v/>
      </c>
      <c r="J454" s="125" t="n">
        <v>439.26</v>
      </c>
      <c r="K454" s="125">
        <f>(E454/2)/F454</f>
        <v/>
      </c>
      <c r="L454" s="125">
        <f>I454/G454</f>
        <v/>
      </c>
      <c r="M454" s="125">
        <f>(E454*2+F454*4+((E454-G454)/2-H454)*4+2*PI()*H454+(D454-2*F454-2*H454)*2)/1000</f>
        <v/>
      </c>
      <c r="N454" s="5" t="n">
        <v>704572</v>
      </c>
      <c r="O454" s="5" t="n">
        <v>18437</v>
      </c>
      <c r="P454" s="125" t="n">
        <v>40.05</v>
      </c>
      <c r="Q454" s="125" t="n">
        <v>6.48</v>
      </c>
      <c r="R454" s="5" t="n">
        <v>13980</v>
      </c>
      <c r="S454" s="5" t="n">
        <v>1221</v>
      </c>
      <c r="T454" s="125">
        <f>(((E454*D454*D454)/4)-(((E454-G454)*(D454-F454-F454)*(D454-F454-F454))/4)+(4*(H454*H454*(D454/2-F454-(H454/2))-((PI()*H454*H454)/4*((D454/2)-F454-(H454-((4*H454)/(3*PI()))))))))/1000</f>
        <v/>
      </c>
      <c r="U454" s="125">
        <f>(((D454*E454*E454)/4)-(2*((D454-F454-F454)*(E454/2-(G454/2))*(((E454/2-(G454/2))/2)+(G454/2))))+(4*(((H454*H454)-(((PI()*H454*H454)/4)))*((H454-((4*H454)/(3*PI())))+(G454/2)))))/1000</f>
        <v/>
      </c>
      <c r="Y454">
        <f>SQRT((((VLOOKUP($X$4,$A$4:$D$1021,4,FALSE))-D454)^2)+(((VLOOKUP($X$4,$A$4:$E$1021,5,FALSE))-E454)^2))</f>
        <v/>
      </c>
    </row>
    <row r="455">
      <c r="A455" s="125" t="inlineStr">
        <is>
          <t>HY1000X412</t>
        </is>
      </c>
      <c r="B455" s="129" t="inlineStr">
        <is>
          <t>HY</t>
        </is>
      </c>
      <c r="C455" s="125" t="n">
        <v>412</v>
      </c>
      <c r="D455" s="125" t="n">
        <v>1000</v>
      </c>
      <c r="E455" s="125" t="n">
        <v>400</v>
      </c>
      <c r="F455" s="125" t="n">
        <v>40</v>
      </c>
      <c r="G455" s="125" t="n">
        <v>22</v>
      </c>
      <c r="H455" s="125" t="n">
        <v>18</v>
      </c>
      <c r="I455" s="125">
        <f>D455-(2*(H455+F455))</f>
        <v/>
      </c>
      <c r="J455" s="125">
        <f>D455/10 * F455/10 + 2*(E455/10 * G455/10)</f>
        <v/>
      </c>
      <c r="K455" s="125">
        <f>(E455/2)/F455</f>
        <v/>
      </c>
      <c r="L455" s="125">
        <f>I455/G455</f>
        <v/>
      </c>
      <c r="M455" s="125">
        <f>(E455*2+F455*4+((E455-G455)/2-H455)*4+2*PI()*H455+(D455-2*F455-2*H455)*2)/1000</f>
        <v/>
      </c>
      <c r="N455" s="5" t="n">
        <v>886000</v>
      </c>
      <c r="O455" s="5" t="n">
        <v>42800</v>
      </c>
      <c r="P455" s="125" t="n">
        <v>41.1</v>
      </c>
      <c r="Q455" s="125" t="n">
        <v>9</v>
      </c>
      <c r="R455" s="5" t="n">
        <v>17700</v>
      </c>
      <c r="S455" s="5" t="n">
        <v>2140</v>
      </c>
      <c r="T455" s="5" t="n">
        <v>20100</v>
      </c>
      <c r="U455" s="5" t="n">
        <v>3320</v>
      </c>
      <c r="Y455">
        <f>SQRT((((VLOOKUP($X$4,$A$4:$D$1021,4,FALSE))-D455)^2)+(((VLOOKUP($X$4,$A$4:$E$1021,5,FALSE))-E455)^2))</f>
        <v/>
      </c>
    </row>
    <row r="456">
      <c r="A456" s="125" t="inlineStr">
        <is>
          <t>HY1000X389</t>
        </is>
      </c>
      <c r="B456" s="129" t="inlineStr">
        <is>
          <t>HY</t>
        </is>
      </c>
      <c r="C456" s="125" t="n">
        <v>389</v>
      </c>
      <c r="D456" s="125" t="n">
        <v>1000</v>
      </c>
      <c r="E456" s="125" t="n">
        <v>400</v>
      </c>
      <c r="F456" s="125" t="n">
        <v>36</v>
      </c>
      <c r="G456" s="125" t="n">
        <v>22</v>
      </c>
      <c r="H456" s="125" t="n">
        <v>18</v>
      </c>
      <c r="I456" s="125">
        <f>D456-(2*(H456+F456))</f>
        <v/>
      </c>
      <c r="J456" s="125">
        <f>D456/10 * F456/10 + 2*(E456/10 * G456/10)</f>
        <v/>
      </c>
      <c r="K456" s="125">
        <f>(E456/2)/F456</f>
        <v/>
      </c>
      <c r="L456" s="125">
        <f>I456/G456</f>
        <v/>
      </c>
      <c r="M456" s="125">
        <f>(E456*2+F456*4+((E456-G456)/2-H456)*4+2*PI()*H456+(D456-2*F456-2*H456)*2)/1000</f>
        <v/>
      </c>
      <c r="N456" s="5" t="n">
        <v>822000</v>
      </c>
      <c r="O456" s="5" t="n">
        <v>38500</v>
      </c>
      <c r="P456" s="125" t="n">
        <v>40.7</v>
      </c>
      <c r="Q456" s="125" t="n">
        <v>8.800000000000001</v>
      </c>
      <c r="R456" s="5" t="n">
        <v>16400</v>
      </c>
      <c r="S456" s="5" t="n">
        <v>1920</v>
      </c>
      <c r="T456" s="5" t="n">
        <v>18700</v>
      </c>
      <c r="U456" s="5" t="n">
        <v>3000</v>
      </c>
      <c r="Y456">
        <f>SQRT((((VLOOKUP($X$4,$A$4:$D$1021,4,FALSE))-D456)^2)+(((VLOOKUP($X$4,$A$4:$E$1021,5,FALSE))-E456)^2))</f>
        <v/>
      </c>
    </row>
    <row r="457">
      <c r="A457" s="125" t="inlineStr">
        <is>
          <t>HY1000X365</t>
        </is>
      </c>
      <c r="B457" s="129" t="inlineStr">
        <is>
          <t>HY</t>
        </is>
      </c>
      <c r="C457" s="125" t="n">
        <v>365</v>
      </c>
      <c r="D457" s="125" t="n">
        <v>1000</v>
      </c>
      <c r="E457" s="125" t="n">
        <v>400</v>
      </c>
      <c r="F457" s="125" t="n">
        <v>32</v>
      </c>
      <c r="G457" s="125" t="n">
        <v>22</v>
      </c>
      <c r="H457" s="125" t="n">
        <v>18</v>
      </c>
      <c r="I457" s="125">
        <f>D457-(2*(H457+F457))</f>
        <v/>
      </c>
      <c r="J457" s="125">
        <f>D457/10 * F457/10 + 2*(E457/10 * G457/10)</f>
        <v/>
      </c>
      <c r="K457" s="125">
        <f>(E457/2)/F457</f>
        <v/>
      </c>
      <c r="L457" s="125">
        <f>I457/G457</f>
        <v/>
      </c>
      <c r="M457" s="125">
        <f>(E457*2+F457*4+((E457-G457)/2-H457)*4+2*PI()*H457+(D457-2*F457-2*H457)*2)/1000</f>
        <v/>
      </c>
      <c r="N457" s="5" t="n">
        <v>756000</v>
      </c>
      <c r="O457" s="5" t="n">
        <v>34200</v>
      </c>
      <c r="P457" s="125" t="n">
        <v>40.3</v>
      </c>
      <c r="Q457" s="125" t="n">
        <v>8.6</v>
      </c>
      <c r="R457" s="5" t="n">
        <v>15100</v>
      </c>
      <c r="S457" s="5" t="n">
        <v>1710</v>
      </c>
      <c r="T457" s="5" t="n">
        <v>17300</v>
      </c>
      <c r="U457" s="5" t="n">
        <v>2680</v>
      </c>
      <c r="Y457">
        <f>SQRT((((VLOOKUP($X$4,$A$4:$D$1021,4,FALSE))-D457)^2)+(((VLOOKUP($X$4,$A$4:$E$1021,5,FALSE))-E457)^2))</f>
        <v/>
      </c>
    </row>
    <row r="458">
      <c r="A458" s="125" t="inlineStr">
        <is>
          <t>HY1000X341</t>
        </is>
      </c>
      <c r="B458" s="129" t="inlineStr">
        <is>
          <t>HY</t>
        </is>
      </c>
      <c r="C458" s="125" t="n">
        <v>341</v>
      </c>
      <c r="D458" s="125" t="n">
        <v>1000</v>
      </c>
      <c r="E458" s="125" t="n">
        <v>400</v>
      </c>
      <c r="F458" s="125" t="n">
        <v>28</v>
      </c>
      <c r="G458" s="125" t="n">
        <v>22</v>
      </c>
      <c r="H458" s="125" t="n">
        <v>18</v>
      </c>
      <c r="I458" s="125">
        <f>D458-(2*(H458+F458))</f>
        <v/>
      </c>
      <c r="J458" s="125">
        <f>D458/10 * F458/10 + 2*(E458/10 * G458/10)</f>
        <v/>
      </c>
      <c r="K458" s="125">
        <f>(E458/2)/F458</f>
        <v/>
      </c>
      <c r="L458" s="125">
        <f>I458/G458</f>
        <v/>
      </c>
      <c r="M458" s="125">
        <f>(E458*2+F458*4+((E458-G458)/2-H458)*4+2*PI()*H458+(D458-2*F458-2*H458)*2)/1000</f>
        <v/>
      </c>
      <c r="N458" s="5" t="n">
        <v>690000</v>
      </c>
      <c r="O458" s="5" t="n">
        <v>30000</v>
      </c>
      <c r="P458" s="125" t="n">
        <v>39.8</v>
      </c>
      <c r="Q458" s="125" t="n">
        <v>8.300000000000001</v>
      </c>
      <c r="R458" s="5" t="n">
        <v>13800</v>
      </c>
      <c r="S458" s="5" t="n">
        <v>1500</v>
      </c>
      <c r="T458" s="5" t="n">
        <v>15900</v>
      </c>
      <c r="U458" s="5" t="n">
        <v>2360</v>
      </c>
      <c r="Y458">
        <f>SQRT((((VLOOKUP($X$4,$A$4:$D$1021,4,FALSE))-D458)^2)+(((VLOOKUP($X$4,$A$4:$E$1021,5,FALSE))-E458)^2))</f>
        <v/>
      </c>
    </row>
    <row r="459">
      <c r="A459" s="125" t="inlineStr">
        <is>
          <t>HY1000X391</t>
        </is>
      </c>
      <c r="B459" s="129" t="inlineStr">
        <is>
          <t>HY</t>
        </is>
      </c>
      <c r="C459" s="125" t="n">
        <v>391</v>
      </c>
      <c r="D459" s="125" t="n">
        <v>1000</v>
      </c>
      <c r="E459" s="125" t="n">
        <v>400</v>
      </c>
      <c r="F459" s="125" t="n">
        <v>40</v>
      </c>
      <c r="G459" s="125" t="n">
        <v>19</v>
      </c>
      <c r="H459" s="125" t="n">
        <v>18</v>
      </c>
      <c r="I459" s="125">
        <f>D459-(2*(H459+F459))</f>
        <v/>
      </c>
      <c r="J459" s="125">
        <f>D459/10 * F459/10 + 2*(E459/10 * G459/10)</f>
        <v/>
      </c>
      <c r="K459" s="125">
        <f>(E459/2)/F459</f>
        <v/>
      </c>
      <c r="L459" s="125">
        <f>I459/G459</f>
        <v/>
      </c>
      <c r="M459" s="125">
        <f>(E459*2+F459*4+((E459-G459)/2-H459)*4+2*PI()*H459+(D459-2*F459-2*H459)*2)/1000</f>
        <v/>
      </c>
      <c r="N459" s="5" t="n">
        <v>867000</v>
      </c>
      <c r="O459" s="5" t="n">
        <v>42700</v>
      </c>
      <c r="P459" s="125" t="n">
        <v>41.7</v>
      </c>
      <c r="Q459" s="125" t="n">
        <v>9.300000000000001</v>
      </c>
      <c r="R459" s="5" t="n">
        <v>17300</v>
      </c>
      <c r="S459" s="5" t="n">
        <v>2140</v>
      </c>
      <c r="T459" s="5" t="n">
        <v>19500</v>
      </c>
      <c r="U459" s="5" t="n">
        <v>3290</v>
      </c>
      <c r="Y459">
        <f>SQRT((((VLOOKUP($X$4,$A$4:$D$1021,4,FALSE))-D459)^2)+(((VLOOKUP($X$4,$A$4:$E$1021,5,FALSE))-E459)^2))</f>
        <v/>
      </c>
    </row>
    <row r="460">
      <c r="A460" s="125" t="inlineStr">
        <is>
          <t>HY1000X367</t>
        </is>
      </c>
      <c r="B460" s="129" t="inlineStr">
        <is>
          <t>HY</t>
        </is>
      </c>
      <c r="C460" s="125" t="n">
        <v>367</v>
      </c>
      <c r="D460" s="125" t="n">
        <v>1000</v>
      </c>
      <c r="E460" s="125" t="n">
        <v>400</v>
      </c>
      <c r="F460" s="125" t="n">
        <v>36</v>
      </c>
      <c r="G460" s="125" t="n">
        <v>19</v>
      </c>
      <c r="H460" s="125" t="n">
        <v>18</v>
      </c>
      <c r="I460" s="125">
        <f>D460-(2*(H460+F460))</f>
        <v/>
      </c>
      <c r="J460" s="125">
        <f>D460/10 * F460/10 + 2*(E460/10 * G460/10)</f>
        <v/>
      </c>
      <c r="K460" s="125">
        <f>(E460/2)/F460</f>
        <v/>
      </c>
      <c r="L460" s="125">
        <f>I460/G460</f>
        <v/>
      </c>
      <c r="M460" s="125">
        <f>(E460*2+F460*4+((E460-G460)/2-H460)*4+2*PI()*H460+(D460-2*F460-2*H460)*2)/1000</f>
        <v/>
      </c>
      <c r="N460" s="5" t="n">
        <v>802000</v>
      </c>
      <c r="O460" s="5" t="n">
        <v>38500</v>
      </c>
      <c r="P460" s="125" t="n">
        <v>41.4</v>
      </c>
      <c r="Q460" s="125" t="n">
        <v>9.1</v>
      </c>
      <c r="R460" s="5" t="n">
        <v>16000</v>
      </c>
      <c r="S460" s="5" t="n">
        <v>1920</v>
      </c>
      <c r="T460" s="5" t="n">
        <v>18100</v>
      </c>
      <c r="U460" s="5" t="n">
        <v>2970</v>
      </c>
      <c r="Y460">
        <f>SQRT((((VLOOKUP($X$4,$A$4:$D$1021,4,FALSE))-D460)^2)+(((VLOOKUP($X$4,$A$4:$E$1021,5,FALSE))-E460)^2))</f>
        <v/>
      </c>
    </row>
    <row r="461">
      <c r="A461" s="125" t="inlineStr">
        <is>
          <t>HY1000X343</t>
        </is>
      </c>
      <c r="B461" s="129" t="inlineStr">
        <is>
          <t>HY</t>
        </is>
      </c>
      <c r="C461" s="125" t="n">
        <v>343</v>
      </c>
      <c r="D461" s="125" t="n">
        <v>1000</v>
      </c>
      <c r="E461" s="125" t="n">
        <v>400</v>
      </c>
      <c r="F461" s="125" t="n">
        <v>32</v>
      </c>
      <c r="G461" s="125" t="n">
        <v>19</v>
      </c>
      <c r="H461" s="125" t="n">
        <v>18</v>
      </c>
      <c r="I461" s="125">
        <f>D461-(2*(H461+F461))</f>
        <v/>
      </c>
      <c r="J461" s="125">
        <f>D461/10 * F461/10 + 2*(E461/10 * G461/10)</f>
        <v/>
      </c>
      <c r="K461" s="125">
        <f>(E461/2)/F461</f>
        <v/>
      </c>
      <c r="L461" s="125">
        <f>I461/G461</f>
        <v/>
      </c>
      <c r="M461" s="125">
        <f>(E461*2+F461*4+((E461-G461)/2-H461)*4+2*PI()*H461+(D461-2*F461-2*H461)*2)/1000</f>
        <v/>
      </c>
      <c r="N461" s="5" t="n">
        <v>736000</v>
      </c>
      <c r="O461" s="5" t="n">
        <v>34200</v>
      </c>
      <c r="P461" s="125" t="n">
        <v>41</v>
      </c>
      <c r="Q461" s="125" t="n">
        <v>8.9</v>
      </c>
      <c r="R461" s="5" t="n">
        <v>14700</v>
      </c>
      <c r="S461" s="5" t="n">
        <v>1710</v>
      </c>
      <c r="T461" s="5" t="n">
        <v>16700</v>
      </c>
      <c r="U461" s="5" t="n">
        <v>2650</v>
      </c>
      <c r="Y461">
        <f>SQRT((((VLOOKUP($X$4,$A$4:$D$1021,4,FALSE))-D461)^2)+(((VLOOKUP($X$4,$A$4:$E$1021,5,FALSE))-E461)^2))</f>
        <v/>
      </c>
    </row>
    <row r="462">
      <c r="A462" s="125" t="inlineStr">
        <is>
          <t>HY1000X319</t>
        </is>
      </c>
      <c r="B462" s="129" t="inlineStr">
        <is>
          <t>HY</t>
        </is>
      </c>
      <c r="C462" s="125" t="n">
        <v>319</v>
      </c>
      <c r="D462" s="125" t="n">
        <v>1000</v>
      </c>
      <c r="E462" s="125" t="n">
        <v>400</v>
      </c>
      <c r="F462" s="125" t="n">
        <v>28</v>
      </c>
      <c r="G462" s="125" t="n">
        <v>19</v>
      </c>
      <c r="H462" s="125" t="n">
        <v>18</v>
      </c>
      <c r="I462" s="125">
        <f>D462-(2*(H462+F462))</f>
        <v/>
      </c>
      <c r="J462" s="125">
        <f>D462/10 * F462/10 + 2*(E462/10 * G462/10)</f>
        <v/>
      </c>
      <c r="K462" s="125">
        <f>(E462/2)/F462</f>
        <v/>
      </c>
      <c r="L462" s="125">
        <f>I462/G462</f>
        <v/>
      </c>
      <c r="M462" s="125">
        <f>(E462*2+F462*4+((E462-G462)/2-H462)*4+2*PI()*H462+(D462-2*F462-2*H462)*2)/1000</f>
        <v/>
      </c>
      <c r="N462" s="5" t="n">
        <v>669000</v>
      </c>
      <c r="O462" s="5" t="n">
        <v>29900</v>
      </c>
      <c r="P462" s="125" t="n">
        <v>40.6</v>
      </c>
      <c r="Q462" s="125" t="n">
        <v>8.6</v>
      </c>
      <c r="R462" s="5" t="n">
        <v>13400</v>
      </c>
      <c r="S462" s="5" t="n">
        <v>1500</v>
      </c>
      <c r="T462" s="5" t="n">
        <v>15200</v>
      </c>
      <c r="U462" s="5" t="n">
        <v>2330</v>
      </c>
      <c r="Y462">
        <f>SQRT((((VLOOKUP($X$4,$A$4:$D$1021,4,FALSE))-D462)^2)+(((VLOOKUP($X$4,$A$4:$E$1021,5,FALSE))-E462)^2))</f>
        <v/>
      </c>
    </row>
    <row r="463">
      <c r="A463" s="125" t="inlineStr">
        <is>
          <t>HY1000X301</t>
        </is>
      </c>
      <c r="B463" s="129" t="inlineStr">
        <is>
          <t>HY</t>
        </is>
      </c>
      <c r="C463" s="125" t="n">
        <v>301</v>
      </c>
      <c r="D463" s="125" t="n">
        <v>1000</v>
      </c>
      <c r="E463" s="125" t="n">
        <v>400</v>
      </c>
      <c r="F463" s="125" t="n">
        <v>25</v>
      </c>
      <c r="G463" s="125" t="n">
        <v>19</v>
      </c>
      <c r="H463" s="125" t="n">
        <v>18</v>
      </c>
      <c r="I463" s="125">
        <f>D463-(2*(H463+F463))</f>
        <v/>
      </c>
      <c r="J463" s="125">
        <f>D463/10 * F463/10 + 2*(E463/10 * G463/10)</f>
        <v/>
      </c>
      <c r="K463" s="125">
        <f>(E463/2)/F463</f>
        <v/>
      </c>
      <c r="L463" s="125">
        <f>I463/G463</f>
        <v/>
      </c>
      <c r="M463" s="125">
        <f>(E463*2+F463*4+((E463-G463)/2-H463)*4+2*PI()*H463+(D463-2*F463-2*H463)*2)/1000</f>
        <v/>
      </c>
      <c r="N463" s="5" t="n">
        <v>617000</v>
      </c>
      <c r="O463" s="5" t="n">
        <v>26700</v>
      </c>
      <c r="P463" s="125" t="n">
        <v>40.1</v>
      </c>
      <c r="Q463" s="125" t="n">
        <v>8.4</v>
      </c>
      <c r="R463" s="5" t="n">
        <v>12300</v>
      </c>
      <c r="S463" s="5" t="n">
        <v>1340</v>
      </c>
      <c r="T463" s="5" t="n">
        <v>14200</v>
      </c>
      <c r="U463" s="5" t="n">
        <v>2090</v>
      </c>
      <c r="Y463">
        <f>SQRT((((VLOOKUP($X$4,$A$4:$D$1021,4,FALSE))-D463)^2)+(((VLOOKUP($X$4,$A$4:$E$1021,5,FALSE))-E463)^2))</f>
        <v/>
      </c>
    </row>
    <row r="464">
      <c r="A464" s="125" t="inlineStr">
        <is>
          <t>HY1000X321</t>
        </is>
      </c>
      <c r="B464" s="129" t="inlineStr">
        <is>
          <t>HY</t>
        </is>
      </c>
      <c r="C464" s="125" t="n">
        <v>321</v>
      </c>
      <c r="D464" s="125" t="n">
        <v>1000</v>
      </c>
      <c r="E464" s="125" t="n">
        <v>400</v>
      </c>
      <c r="F464" s="125" t="n">
        <v>32</v>
      </c>
      <c r="G464" s="125" t="n">
        <v>16</v>
      </c>
      <c r="H464" s="125" t="n">
        <v>18</v>
      </c>
      <c r="I464" s="125">
        <f>D464-(2*(H464+F464))</f>
        <v/>
      </c>
      <c r="J464" s="125">
        <f>D464/10 * F464/10 + 2*(E464/10 * G464/10)</f>
        <v/>
      </c>
      <c r="K464" s="125">
        <f>(E464/2)/F464</f>
        <v/>
      </c>
      <c r="L464" s="125">
        <f>I464/G464</f>
        <v/>
      </c>
      <c r="M464" s="125">
        <f>(E464*2+F464*4+((E464-G464)/2-H464)*4+2*PI()*H464+(D464-2*F464-2*H464)*2)/1000</f>
        <v/>
      </c>
      <c r="N464" s="5" t="n">
        <v>715000</v>
      </c>
      <c r="O464" s="5" t="n">
        <v>34200</v>
      </c>
      <c r="P464" s="125" t="n">
        <v>41.8</v>
      </c>
      <c r="Q464" s="125" t="n">
        <v>9.199999999999999</v>
      </c>
      <c r="R464" s="5" t="n">
        <v>14300</v>
      </c>
      <c r="S464" s="5" t="n">
        <v>1710</v>
      </c>
      <c r="T464" s="5" t="n">
        <v>16000</v>
      </c>
      <c r="U464" s="5" t="n">
        <v>2620</v>
      </c>
      <c r="Y464">
        <f>SQRT((((VLOOKUP($X$4,$A$4:$D$1021,4,FALSE))-D464)^2)+(((VLOOKUP($X$4,$A$4:$E$1021,5,FALSE))-E464)^2))</f>
        <v/>
      </c>
    </row>
    <row r="465">
      <c r="A465" s="125" t="inlineStr">
        <is>
          <t>HY1000X297</t>
        </is>
      </c>
      <c r="B465" s="129" t="inlineStr">
        <is>
          <t>HY</t>
        </is>
      </c>
      <c r="C465" s="125" t="n">
        <v>297</v>
      </c>
      <c r="D465" s="125" t="n">
        <v>1000</v>
      </c>
      <c r="E465" s="125" t="n">
        <v>400</v>
      </c>
      <c r="F465" s="125" t="n">
        <v>28</v>
      </c>
      <c r="G465" s="125" t="n">
        <v>16</v>
      </c>
      <c r="H465" s="125" t="n">
        <v>18</v>
      </c>
      <c r="I465" s="125">
        <f>D465-(2*(H465+F465))</f>
        <v/>
      </c>
      <c r="J465" s="125">
        <f>D465/10 * F465/10 + 2*(E465/10 * G465/10)</f>
        <v/>
      </c>
      <c r="K465" s="125">
        <f>(E465/2)/F465</f>
        <v/>
      </c>
      <c r="L465" s="125">
        <f>I465/G465</f>
        <v/>
      </c>
      <c r="M465" s="125">
        <f>(E465*2+F465*4+((E465-G465)/2-H465)*4+2*PI()*H465+(D465-2*F465-2*H465)*2)/1000</f>
        <v/>
      </c>
      <c r="N465" s="5" t="n">
        <v>647000</v>
      </c>
      <c r="O465" s="5" t="n">
        <v>29900</v>
      </c>
      <c r="P465" s="125" t="n">
        <v>41.4</v>
      </c>
      <c r="Q465" s="125" t="n">
        <v>8.9</v>
      </c>
      <c r="R465" s="5" t="n">
        <v>12900</v>
      </c>
      <c r="S465" s="5" t="n">
        <v>1500</v>
      </c>
      <c r="T465" s="5" t="n">
        <v>14600</v>
      </c>
      <c r="U465" s="5" t="n">
        <v>2300</v>
      </c>
      <c r="Y465">
        <f>SQRT((((VLOOKUP($X$4,$A$4:$D$1021,4,FALSE))-D465)^2)+(((VLOOKUP($X$4,$A$4:$E$1021,5,FALSE))-E465)^2))</f>
        <v/>
      </c>
    </row>
    <row r="466">
      <c r="A466" s="125" t="inlineStr">
        <is>
          <t>HY1000X279</t>
        </is>
      </c>
      <c r="B466" s="129" t="inlineStr">
        <is>
          <t>HY</t>
        </is>
      </c>
      <c r="C466" s="125" t="n">
        <v>279</v>
      </c>
      <c r="D466" s="125" t="n">
        <v>1000</v>
      </c>
      <c r="E466" s="125" t="n">
        <v>400</v>
      </c>
      <c r="F466" s="125" t="n">
        <v>25</v>
      </c>
      <c r="G466" s="125" t="n">
        <v>16</v>
      </c>
      <c r="H466" s="125" t="n">
        <v>18</v>
      </c>
      <c r="I466" s="125">
        <f>D466-(2*(H466+F466))</f>
        <v/>
      </c>
      <c r="J466" s="125">
        <f>D466/10 * F466/10 + 2*(E466/10 * G466/10)</f>
        <v/>
      </c>
      <c r="K466" s="125">
        <f>(E466/2)/F466</f>
        <v/>
      </c>
      <c r="L466" s="125">
        <f>I466/G466</f>
        <v/>
      </c>
      <c r="M466" s="125">
        <f>(E466*2+F466*4+((E466-G466)/2-H466)*4+2*PI()*H466+(D466-2*F466-2*H466)*2)/1000</f>
        <v/>
      </c>
      <c r="N466" s="5" t="n">
        <v>596000</v>
      </c>
      <c r="O466" s="5" t="n">
        <v>26700</v>
      </c>
      <c r="P466" s="125" t="n">
        <v>41</v>
      </c>
      <c r="Q466" s="125" t="n">
        <v>8.699999999999999</v>
      </c>
      <c r="R466" s="5" t="n">
        <v>11900</v>
      </c>
      <c r="S466" s="5" t="n">
        <v>1340</v>
      </c>
      <c r="T466" s="5" t="n">
        <v>13500</v>
      </c>
      <c r="U466" s="5" t="n">
        <v>2060</v>
      </c>
      <c r="Y466">
        <f>SQRT((((VLOOKUP($X$4,$A$4:$D$1021,4,FALSE))-D466)^2)+(((VLOOKUP($X$4,$A$4:$E$1021,5,FALSE))-E466)^2))</f>
        <v/>
      </c>
    </row>
    <row r="467">
      <c r="A467" s="125" t="inlineStr">
        <is>
          <t>HY1000X260</t>
        </is>
      </c>
      <c r="B467" s="129" t="inlineStr">
        <is>
          <t>HY</t>
        </is>
      </c>
      <c r="C467" s="125" t="n">
        <v>260</v>
      </c>
      <c r="D467" s="125" t="n">
        <v>1000</v>
      </c>
      <c r="E467" s="125" t="n">
        <v>400</v>
      </c>
      <c r="F467" s="125" t="n">
        <v>22</v>
      </c>
      <c r="G467" s="125" t="n">
        <v>16</v>
      </c>
      <c r="H467" s="125" t="n">
        <v>18</v>
      </c>
      <c r="I467" s="125">
        <f>D467-(2*(H467+F467))</f>
        <v/>
      </c>
      <c r="J467" s="125">
        <f>D467/10 * F467/10 + 2*(E467/10 * G467/10)</f>
        <v/>
      </c>
      <c r="K467" s="125">
        <f>(E467/2)/F467</f>
        <v/>
      </c>
      <c r="L467" s="125">
        <f>I467/G467</f>
        <v/>
      </c>
      <c r="M467" s="125">
        <f>(E467*2+F467*4+((E467-G467)/2-H467)*4+2*PI()*H467+(D467-2*F467-2*H467)*2)/1000</f>
        <v/>
      </c>
      <c r="N467" s="5" t="n">
        <v>544000</v>
      </c>
      <c r="O467" s="5" t="n">
        <v>23500</v>
      </c>
      <c r="P467" s="125" t="n">
        <v>40.5</v>
      </c>
      <c r="Q467" s="125" t="n">
        <v>8.4</v>
      </c>
      <c r="R467" s="5" t="n">
        <v>10900</v>
      </c>
      <c r="S467" s="5" t="n">
        <v>1180</v>
      </c>
      <c r="T467" s="5" t="n">
        <v>12400</v>
      </c>
      <c r="U467" s="5" t="n">
        <v>1820</v>
      </c>
      <c r="Y467">
        <f>SQRT((((VLOOKUP($X$4,$A$4:$D$1021,4,FALSE))-D467)^2)+(((VLOOKUP($X$4,$A$4:$E$1021,5,FALSE))-E467)^2))</f>
        <v/>
      </c>
    </row>
    <row r="468">
      <c r="A468" s="125" t="inlineStr">
        <is>
          <t>HY1000X381</t>
        </is>
      </c>
      <c r="B468" s="129" t="inlineStr">
        <is>
          <t>HY</t>
        </is>
      </c>
      <c r="C468" s="125" t="n">
        <v>381</v>
      </c>
      <c r="D468" s="125" t="n">
        <v>1000</v>
      </c>
      <c r="E468" s="125" t="n">
        <v>350</v>
      </c>
      <c r="F468" s="125" t="n">
        <v>40</v>
      </c>
      <c r="G468" s="125" t="n">
        <v>22</v>
      </c>
      <c r="H468" s="125" t="n">
        <v>18</v>
      </c>
      <c r="I468" s="125">
        <f>D468-(2*(H468+F468))</f>
        <v/>
      </c>
      <c r="J468" s="125">
        <f>D468/10 * F468/10 + 2*(E468/10 * G468/10)</f>
        <v/>
      </c>
      <c r="K468" s="125">
        <f>(E468/2)/F468</f>
        <v/>
      </c>
      <c r="L468" s="125">
        <f>I468/G468</f>
        <v/>
      </c>
      <c r="M468" s="125">
        <f>(E468*2+F468*4+((E468-G468)/2-H468)*4+2*PI()*H468+(D468-2*F468-2*H468)*2)/1000</f>
        <v/>
      </c>
      <c r="N468" s="5" t="n">
        <v>794000</v>
      </c>
      <c r="O468" s="5" t="n">
        <v>28700</v>
      </c>
      <c r="P468" s="125" t="n">
        <v>40.5</v>
      </c>
      <c r="Q468" s="125" t="n">
        <v>7.7</v>
      </c>
      <c r="R468" s="5" t="n">
        <v>15900</v>
      </c>
      <c r="S468" s="5" t="n">
        <v>1640</v>
      </c>
      <c r="T468" s="5" t="n">
        <v>18200</v>
      </c>
      <c r="U468" s="5" t="n">
        <v>2570</v>
      </c>
      <c r="Y468">
        <f>SQRT((((VLOOKUP($X$4,$A$4:$D$1021,4,FALSE))-D468)^2)+(((VLOOKUP($X$4,$A$4:$E$1021,5,FALSE))-E468)^2))</f>
        <v/>
      </c>
    </row>
    <row r="469">
      <c r="A469" s="125" t="inlineStr">
        <is>
          <t>HY1000X360</t>
        </is>
      </c>
      <c r="B469" s="129" t="inlineStr">
        <is>
          <t>HY</t>
        </is>
      </c>
      <c r="C469" s="125" t="n">
        <v>360</v>
      </c>
      <c r="D469" s="125" t="n">
        <v>1000</v>
      </c>
      <c r="E469" s="125" t="n">
        <v>350</v>
      </c>
      <c r="F469" s="125" t="n">
        <v>36</v>
      </c>
      <c r="G469" s="125" t="n">
        <v>22</v>
      </c>
      <c r="H469" s="125" t="n">
        <v>18</v>
      </c>
      <c r="I469" s="125">
        <f>D469-(2*(H469+F469))</f>
        <v/>
      </c>
      <c r="J469" s="125">
        <f>D469/10 * F469/10 + 2*(E469/10 * G469/10)</f>
        <v/>
      </c>
      <c r="K469" s="125">
        <f>(E469/2)/F469</f>
        <v/>
      </c>
      <c r="L469" s="125">
        <f>I469/G469</f>
        <v/>
      </c>
      <c r="M469" s="125">
        <f>(E469*2+F469*4+((E469-G469)/2-H469)*4+2*PI()*H469+(D469-2*F469-2*H469)*2)/1000</f>
        <v/>
      </c>
      <c r="N469" s="5" t="n">
        <v>738000</v>
      </c>
      <c r="O469" s="5" t="n">
        <v>25800</v>
      </c>
      <c r="P469" s="125" t="n">
        <v>40.1</v>
      </c>
      <c r="Q469" s="125" t="n">
        <v>7.5</v>
      </c>
      <c r="R469" s="5" t="n">
        <v>14800</v>
      </c>
      <c r="S469" s="5" t="n">
        <v>1480</v>
      </c>
      <c r="T469" s="5" t="n">
        <v>17000</v>
      </c>
      <c r="U469" s="5" t="n">
        <v>2320</v>
      </c>
      <c r="Y469">
        <f>SQRT((((VLOOKUP($X$4,$A$4:$D$1021,4,FALSE))-D469)^2)+(((VLOOKUP($X$4,$A$4:$E$1021,5,FALSE))-E469)^2))</f>
        <v/>
      </c>
    </row>
    <row r="470">
      <c r="A470" s="125" t="inlineStr">
        <is>
          <t>HY1000X340</t>
        </is>
      </c>
      <c r="B470" s="129" t="inlineStr">
        <is>
          <t>HY</t>
        </is>
      </c>
      <c r="C470" s="125" t="n">
        <v>340</v>
      </c>
      <c r="D470" s="125" t="n">
        <v>1000</v>
      </c>
      <c r="E470" s="125" t="n">
        <v>350</v>
      </c>
      <c r="F470" s="125" t="n">
        <v>32</v>
      </c>
      <c r="G470" s="125" t="n">
        <v>22</v>
      </c>
      <c r="H470" s="125" t="n">
        <v>18</v>
      </c>
      <c r="I470" s="125">
        <f>D470-(2*(H470+F470))</f>
        <v/>
      </c>
      <c r="J470" s="125">
        <f>D470/10 * F470/10 + 2*(E470/10 * G470/10)</f>
        <v/>
      </c>
      <c r="K470" s="125">
        <f>(E470/2)/F470</f>
        <v/>
      </c>
      <c r="L470" s="125">
        <f>I470/G470</f>
        <v/>
      </c>
      <c r="M470" s="125">
        <f>(E470*2+F470*4+((E470-G470)/2-H470)*4+2*PI()*H470+(D470-2*F470-2*H470)*2)/1000</f>
        <v/>
      </c>
      <c r="N470" s="5" t="n">
        <v>681000</v>
      </c>
      <c r="O470" s="5" t="n">
        <v>23000</v>
      </c>
      <c r="P470" s="125" t="n">
        <v>39.7</v>
      </c>
      <c r="Q470" s="125" t="n">
        <v>7.3</v>
      </c>
      <c r="R470" s="5" t="n">
        <v>13600</v>
      </c>
      <c r="S470" s="5" t="n">
        <v>1310</v>
      </c>
      <c r="T470" s="5" t="n">
        <v>15800</v>
      </c>
      <c r="U470" s="5" t="n">
        <v>2080</v>
      </c>
      <c r="Y470">
        <f>SQRT((((VLOOKUP($X$4,$A$4:$D$1021,4,FALSE))-D470)^2)+(((VLOOKUP($X$4,$A$4:$E$1021,5,FALSE))-E470)^2))</f>
        <v/>
      </c>
    </row>
    <row r="471">
      <c r="A471" s="125" t="inlineStr">
        <is>
          <t>HY1000X319</t>
        </is>
      </c>
      <c r="B471" s="129" t="inlineStr">
        <is>
          <t>HY</t>
        </is>
      </c>
      <c r="C471" s="125" t="n">
        <v>319</v>
      </c>
      <c r="D471" s="125" t="n">
        <v>1000</v>
      </c>
      <c r="E471" s="125" t="n">
        <v>350</v>
      </c>
      <c r="F471" s="125" t="n">
        <v>28</v>
      </c>
      <c r="G471" s="125" t="n">
        <v>22</v>
      </c>
      <c r="H471" s="125" t="n">
        <v>18</v>
      </c>
      <c r="I471" s="125">
        <f>D471-(2*(H471+F471))</f>
        <v/>
      </c>
      <c r="J471" s="125">
        <f>D471/10 * F471/10 + 2*(E471/10 * G471/10)</f>
        <v/>
      </c>
      <c r="K471" s="125">
        <f>(E471/2)/F471</f>
        <v/>
      </c>
      <c r="L471" s="125">
        <f>I471/G471</f>
        <v/>
      </c>
      <c r="M471" s="125">
        <f>(E471*2+F471*4+((E471-G471)/2-H471)*4+2*PI()*H471+(D471-2*F471-2*H471)*2)/1000</f>
        <v/>
      </c>
      <c r="N471" s="5" t="n">
        <v>623000</v>
      </c>
      <c r="O471" s="5" t="n">
        <v>20100</v>
      </c>
      <c r="P471" s="125" t="n">
        <v>39.2</v>
      </c>
      <c r="Q471" s="125" t="n">
        <v>7</v>
      </c>
      <c r="R471" s="5" t="n">
        <v>12500</v>
      </c>
      <c r="S471" s="5" t="n">
        <v>1150</v>
      </c>
      <c r="T471" s="5" t="n">
        <v>14600</v>
      </c>
      <c r="U471" s="5" t="n">
        <v>1830</v>
      </c>
      <c r="Y471">
        <f>SQRT((((VLOOKUP($X$4,$A$4:$D$1021,4,FALSE))-D471)^2)+(((VLOOKUP($X$4,$A$4:$E$1021,5,FALSE))-E471)^2))</f>
        <v/>
      </c>
    </row>
    <row r="472">
      <c r="A472" s="125" t="inlineStr">
        <is>
          <t>HY1000X359</t>
        </is>
      </c>
      <c r="B472" s="129" t="inlineStr">
        <is>
          <t>HY</t>
        </is>
      </c>
      <c r="C472" s="125" t="n">
        <v>359</v>
      </c>
      <c r="D472" s="125" t="n">
        <v>1000</v>
      </c>
      <c r="E472" s="125" t="n">
        <v>350</v>
      </c>
      <c r="F472" s="125" t="n">
        <v>40</v>
      </c>
      <c r="G472" s="125" t="n">
        <v>19</v>
      </c>
      <c r="H472" s="125" t="n">
        <v>18</v>
      </c>
      <c r="I472" s="125">
        <f>D472-(2*(H472+F472))</f>
        <v/>
      </c>
      <c r="J472" s="125">
        <f>D472/10 * F472/10 + 2*(E472/10 * G472/10)</f>
        <v/>
      </c>
      <c r="K472" s="125">
        <f>(E472/2)/F472</f>
        <v/>
      </c>
      <c r="L472" s="125">
        <f>I472/G472</f>
        <v/>
      </c>
      <c r="M472" s="125">
        <f>(E472*2+F472*4+((E472-G472)/2-H472)*4+2*PI()*H472+(D472-2*F472-2*H472)*2)/1000</f>
        <v/>
      </c>
      <c r="N472" s="5" t="n">
        <v>775000</v>
      </c>
      <c r="O472" s="5" t="n">
        <v>28600</v>
      </c>
      <c r="P472" s="125" t="n">
        <v>41.1</v>
      </c>
      <c r="Q472" s="125" t="n">
        <v>7.9</v>
      </c>
      <c r="R472" s="5" t="n">
        <v>15500</v>
      </c>
      <c r="S472" s="5" t="n">
        <v>1640</v>
      </c>
      <c r="T472" s="5" t="n">
        <v>17600</v>
      </c>
      <c r="U472" s="5" t="n">
        <v>2540</v>
      </c>
      <c r="Y472">
        <f>SQRT((((VLOOKUP($X$4,$A$4:$D$1021,4,FALSE))-D472)^2)+(((VLOOKUP($X$4,$A$4:$E$1021,5,FALSE))-E472)^2))</f>
        <v/>
      </c>
    </row>
    <row r="473">
      <c r="A473" s="125" t="inlineStr">
        <is>
          <t>HY1000X338</t>
        </is>
      </c>
      <c r="B473" s="129" t="inlineStr">
        <is>
          <t>HY</t>
        </is>
      </c>
      <c r="C473" s="125" t="n">
        <v>338</v>
      </c>
      <c r="D473" s="125" t="n">
        <v>1000</v>
      </c>
      <c r="E473" s="125" t="n">
        <v>350</v>
      </c>
      <c r="F473" s="125" t="n">
        <v>36</v>
      </c>
      <c r="G473" s="125" t="n">
        <v>19</v>
      </c>
      <c r="H473" s="125" t="n">
        <v>18</v>
      </c>
      <c r="I473" s="125">
        <f>D473-(2*(H473+F473))</f>
        <v/>
      </c>
      <c r="J473" s="125">
        <f>D473/10 * F473/10 + 2*(E473/10 * G473/10)</f>
        <v/>
      </c>
      <c r="K473" s="125">
        <f>(E473/2)/F473</f>
        <v/>
      </c>
      <c r="L473" s="125">
        <f>I473/G473</f>
        <v/>
      </c>
      <c r="M473" s="125">
        <f>(E473*2+F473*4+((E473-G473)/2-H473)*4+2*PI()*H473+(D473-2*F473-2*H473)*2)/1000</f>
        <v/>
      </c>
      <c r="N473" s="5" t="n">
        <v>718000</v>
      </c>
      <c r="O473" s="5" t="n">
        <v>25800</v>
      </c>
      <c r="P473" s="125" t="n">
        <v>40.8</v>
      </c>
      <c r="Q473" s="125" t="n">
        <v>7.7</v>
      </c>
      <c r="R473" s="5" t="n">
        <v>14400</v>
      </c>
      <c r="S473" s="5" t="n">
        <v>1470</v>
      </c>
      <c r="T473" s="5" t="n">
        <v>16400</v>
      </c>
      <c r="U473" s="5" t="n">
        <v>2290</v>
      </c>
      <c r="Y473">
        <f>SQRT((((VLOOKUP($X$4,$A$4:$D$1021,4,FALSE))-D473)^2)+(((VLOOKUP($X$4,$A$4:$E$1021,5,FALSE))-E473)^2))</f>
        <v/>
      </c>
    </row>
    <row r="474">
      <c r="A474" s="125" t="inlineStr">
        <is>
          <t>HY1000X318</t>
        </is>
      </c>
      <c r="B474" s="129" t="inlineStr">
        <is>
          <t>HY</t>
        </is>
      </c>
      <c r="C474" s="125" t="n">
        <v>318</v>
      </c>
      <c r="D474" s="125" t="n">
        <v>1000</v>
      </c>
      <c r="E474" s="125" t="n">
        <v>350</v>
      </c>
      <c r="F474" s="125" t="n">
        <v>32</v>
      </c>
      <c r="G474" s="125" t="n">
        <v>19</v>
      </c>
      <c r="H474" s="125" t="n">
        <v>18</v>
      </c>
      <c r="I474" s="125">
        <f>D474-(2*(H474+F474))</f>
        <v/>
      </c>
      <c r="J474" s="125">
        <f>D474/10 * F474/10 + 2*(E474/10 * G474/10)</f>
        <v/>
      </c>
      <c r="K474" s="125">
        <f>(E474/2)/F474</f>
        <v/>
      </c>
      <c r="L474" s="125">
        <f>I474/G474</f>
        <v/>
      </c>
      <c r="M474" s="125">
        <f>(E474*2+F474*4+((E474-G474)/2-H474)*4+2*PI()*H474+(D474-2*F474-2*H474)*2)/1000</f>
        <v/>
      </c>
      <c r="N474" s="5" t="n">
        <v>661000</v>
      </c>
      <c r="O474" s="5" t="n">
        <v>22900</v>
      </c>
      <c r="P474" s="125" t="n">
        <v>40.4</v>
      </c>
      <c r="Q474" s="125" t="n">
        <v>7.5</v>
      </c>
      <c r="R474" s="5" t="n">
        <v>13200</v>
      </c>
      <c r="S474" s="5" t="n">
        <v>1310</v>
      </c>
      <c r="T474" s="5" t="n">
        <v>15100</v>
      </c>
      <c r="U474" s="5" t="n">
        <v>2050</v>
      </c>
      <c r="Y474">
        <f>SQRT((((VLOOKUP($X$4,$A$4:$D$1021,4,FALSE))-D474)^2)+(((VLOOKUP($X$4,$A$4:$E$1021,5,FALSE))-E474)^2))</f>
        <v/>
      </c>
    </row>
    <row r="475">
      <c r="A475" s="125" t="inlineStr">
        <is>
          <t>HY1000X297</t>
        </is>
      </c>
      <c r="B475" s="129" t="inlineStr">
        <is>
          <t>HY</t>
        </is>
      </c>
      <c r="C475" s="125" t="n">
        <v>297</v>
      </c>
      <c r="D475" s="125" t="n">
        <v>1000</v>
      </c>
      <c r="E475" s="125" t="n">
        <v>350</v>
      </c>
      <c r="F475" s="125" t="n">
        <v>28</v>
      </c>
      <c r="G475" s="125" t="n">
        <v>19</v>
      </c>
      <c r="H475" s="125" t="n">
        <v>18</v>
      </c>
      <c r="I475" s="125">
        <f>D475-(2*(H475+F475))</f>
        <v/>
      </c>
      <c r="J475" s="125">
        <f>D475/10 * F475/10 + 2*(E475/10 * G475/10)</f>
        <v/>
      </c>
      <c r="K475" s="125">
        <f>(E475/2)/F475</f>
        <v/>
      </c>
      <c r="L475" s="125">
        <f>I475/G475</f>
        <v/>
      </c>
      <c r="M475" s="125">
        <f>(E475*2+F475*4+((E475-G475)/2-H475)*4+2*PI()*H475+(D475-2*F475-2*H475)*2)/1000</f>
        <v/>
      </c>
      <c r="N475" s="5" t="n">
        <v>602000</v>
      </c>
      <c r="O475" s="5" t="n">
        <v>20100</v>
      </c>
      <c r="P475" s="125" t="n">
        <v>39.9</v>
      </c>
      <c r="Q475" s="125" t="n">
        <v>7.3</v>
      </c>
      <c r="R475" s="5" t="n">
        <v>12000</v>
      </c>
      <c r="S475" s="5" t="n">
        <v>1150</v>
      </c>
      <c r="T475" s="5" t="n">
        <v>13900</v>
      </c>
      <c r="U475" s="5" t="n">
        <v>1800</v>
      </c>
      <c r="Y475">
        <f>SQRT((((VLOOKUP($X$4,$A$4:$D$1021,4,FALSE))-D475)^2)+(((VLOOKUP($X$4,$A$4:$E$1021,5,FALSE))-E475)^2))</f>
        <v/>
      </c>
    </row>
    <row r="476">
      <c r="A476" s="125" t="inlineStr">
        <is>
          <t>HY1000X281</t>
        </is>
      </c>
      <c r="B476" s="129" t="inlineStr">
        <is>
          <t>HY</t>
        </is>
      </c>
      <c r="C476" s="125" t="n">
        <v>281</v>
      </c>
      <c r="D476" s="125" t="n">
        <v>1000</v>
      </c>
      <c r="E476" s="125" t="n">
        <v>350</v>
      </c>
      <c r="F476" s="125" t="n">
        <v>25</v>
      </c>
      <c r="G476" s="125" t="n">
        <v>19</v>
      </c>
      <c r="H476" s="125" t="n">
        <v>18</v>
      </c>
      <c r="I476" s="125">
        <f>D476-(2*(H476+F476))</f>
        <v/>
      </c>
      <c r="J476" s="125">
        <f>D476/10 * F476/10 + 2*(E476/10 * G476/10)</f>
        <v/>
      </c>
      <c r="K476" s="125">
        <f>(E476/2)/F476</f>
        <v/>
      </c>
      <c r="L476" s="125">
        <f>I476/G476</f>
        <v/>
      </c>
      <c r="M476" s="125">
        <f>(E476*2+F476*4+((E476-G476)/2-H476)*4+2*PI()*H476+(D476-2*F476-2*H476)*2)/1000</f>
        <v/>
      </c>
      <c r="N476" s="5" t="n">
        <v>558000</v>
      </c>
      <c r="O476" s="5" t="n">
        <v>17900</v>
      </c>
      <c r="P476" s="125" t="n">
        <v>39.5</v>
      </c>
      <c r="Q476" s="125" t="n">
        <v>7.1</v>
      </c>
      <c r="R476" s="5" t="n">
        <v>11200</v>
      </c>
      <c r="S476" s="5" t="n">
        <v>1020</v>
      </c>
      <c r="T476" s="5" t="n">
        <v>12900</v>
      </c>
      <c r="U476" s="5" t="n">
        <v>1620</v>
      </c>
      <c r="Y476">
        <f>SQRT((((VLOOKUP($X$4,$A$4:$D$1021,4,FALSE))-D476)^2)+(((VLOOKUP($X$4,$A$4:$E$1021,5,FALSE))-E476)^2))</f>
        <v/>
      </c>
    </row>
    <row r="477">
      <c r="A477" s="125" t="inlineStr">
        <is>
          <t>HY1000X296</t>
        </is>
      </c>
      <c r="B477" s="129" t="inlineStr">
        <is>
          <t>HY</t>
        </is>
      </c>
      <c r="C477" s="125" t="n">
        <v>296</v>
      </c>
      <c r="D477" s="125" t="n">
        <v>1000</v>
      </c>
      <c r="E477" s="125" t="n">
        <v>350</v>
      </c>
      <c r="F477" s="125" t="n">
        <v>32</v>
      </c>
      <c r="G477" s="125" t="n">
        <v>16</v>
      </c>
      <c r="H477" s="125" t="n">
        <v>18</v>
      </c>
      <c r="I477" s="125">
        <f>D477-(2*(H477+F477))</f>
        <v/>
      </c>
      <c r="J477" s="125">
        <f>D477/10 * F477/10 + 2*(E477/10 * G477/10)</f>
        <v/>
      </c>
      <c r="K477" s="125">
        <f>(E477/2)/F477</f>
        <v/>
      </c>
      <c r="L477" s="125">
        <f>I477/G477</f>
        <v/>
      </c>
      <c r="M477" s="125">
        <f>(E477*2+F477*4+((E477-G477)/2-H477)*4+2*PI()*H477+(D477-2*F477-2*H477)*2)/1000</f>
        <v/>
      </c>
      <c r="N477" s="5" t="n">
        <v>640000</v>
      </c>
      <c r="O477" s="5" t="n">
        <v>22900</v>
      </c>
      <c r="P477" s="125" t="n">
        <v>41.2</v>
      </c>
      <c r="Q477" s="125" t="n">
        <v>7.8</v>
      </c>
      <c r="R477" s="5" t="n">
        <v>12800</v>
      </c>
      <c r="S477" s="5" t="n">
        <v>1310</v>
      </c>
      <c r="T477" s="5" t="n">
        <v>14500</v>
      </c>
      <c r="U477" s="5" t="n">
        <v>2020</v>
      </c>
      <c r="Y477">
        <f>SQRT((((VLOOKUP($X$4,$A$4:$D$1021,4,FALSE))-D477)^2)+(((VLOOKUP($X$4,$A$4:$E$1021,5,FALSE))-E477)^2))</f>
        <v/>
      </c>
    </row>
    <row r="478">
      <c r="A478" s="125" t="inlineStr">
        <is>
          <t>HY1000X275</t>
        </is>
      </c>
      <c r="B478" s="129" t="inlineStr">
        <is>
          <t>HY</t>
        </is>
      </c>
      <c r="C478" s="125" t="n">
        <v>275</v>
      </c>
      <c r="D478" s="125" t="n">
        <v>1000</v>
      </c>
      <c r="E478" s="125" t="n">
        <v>350</v>
      </c>
      <c r="F478" s="125" t="n">
        <v>28</v>
      </c>
      <c r="G478" s="125" t="n">
        <v>16</v>
      </c>
      <c r="H478" s="125" t="n">
        <v>18</v>
      </c>
      <c r="I478" s="125">
        <f>D478-(2*(H478+F478))</f>
        <v/>
      </c>
      <c r="J478" s="125">
        <f>D478/10 * F478/10 + 2*(E478/10 * G478/10)</f>
        <v/>
      </c>
      <c r="K478" s="125">
        <f>(E478/2)/F478</f>
        <v/>
      </c>
      <c r="L478" s="125">
        <f>I478/G478</f>
        <v/>
      </c>
      <c r="M478" s="125">
        <f>(E478*2+F478*4+((E478-G478)/2-H478)*4+2*PI()*H478+(D478-2*F478-2*H478)*2)/1000</f>
        <v/>
      </c>
      <c r="N478" s="5" t="n">
        <v>581000</v>
      </c>
      <c r="O478" s="5" t="n">
        <v>20000</v>
      </c>
      <c r="P478" s="125" t="n">
        <v>40.8</v>
      </c>
      <c r="Q478" s="125" t="n">
        <v>7.6</v>
      </c>
      <c r="R478" s="5" t="n">
        <v>11600</v>
      </c>
      <c r="S478" s="5" t="n">
        <v>1150</v>
      </c>
      <c r="T478" s="5" t="n">
        <v>13200</v>
      </c>
      <c r="U478" s="5" t="n">
        <v>1780</v>
      </c>
      <c r="Y478">
        <f>SQRT((((VLOOKUP($X$4,$A$4:$D$1021,4,FALSE))-D478)^2)+(((VLOOKUP($X$4,$A$4:$E$1021,5,FALSE))-E478)^2))</f>
        <v/>
      </c>
    </row>
    <row r="479">
      <c r="A479" s="125" t="inlineStr">
        <is>
          <t>HY1000X259</t>
        </is>
      </c>
      <c r="B479" s="129" t="inlineStr">
        <is>
          <t>HY</t>
        </is>
      </c>
      <c r="C479" s="125" t="n">
        <v>259</v>
      </c>
      <c r="D479" s="125" t="n">
        <v>1000</v>
      </c>
      <c r="E479" s="125" t="n">
        <v>350</v>
      </c>
      <c r="F479" s="125" t="n">
        <v>25</v>
      </c>
      <c r="G479" s="125" t="n">
        <v>16</v>
      </c>
      <c r="H479" s="125" t="n">
        <v>18</v>
      </c>
      <c r="I479" s="125">
        <f>D479-(2*(H479+F479))</f>
        <v/>
      </c>
      <c r="J479" s="125">
        <f>D479/10 * F479/10 + 2*(E479/10 * G479/10)</f>
        <v/>
      </c>
      <c r="K479" s="125">
        <f>(E479/2)/F479</f>
        <v/>
      </c>
      <c r="L479" s="125">
        <f>I479/G479</f>
        <v/>
      </c>
      <c r="M479" s="125">
        <f>(E479*2+F479*4+((E479-G479)/2-H479)*4+2*PI()*H479+(D479-2*F479-2*H479)*2)/1000</f>
        <v/>
      </c>
      <c r="N479" s="5" t="n">
        <v>536000</v>
      </c>
      <c r="O479" s="5" t="n">
        <v>17900</v>
      </c>
      <c r="P479" s="125" t="n">
        <v>40.3</v>
      </c>
      <c r="Q479" s="125" t="n">
        <v>7.4</v>
      </c>
      <c r="R479" s="5" t="n">
        <v>10700</v>
      </c>
      <c r="S479" s="5" t="n">
        <v>1020</v>
      </c>
      <c r="T479" s="5" t="n">
        <v>12300</v>
      </c>
      <c r="U479" s="5" t="n">
        <v>1600</v>
      </c>
      <c r="Y479">
        <f>SQRT((((VLOOKUP($X$4,$A$4:$D$1021,4,FALSE))-D479)^2)+(((VLOOKUP($X$4,$A$4:$E$1021,5,FALSE))-E479)^2))</f>
        <v/>
      </c>
    </row>
    <row r="480">
      <c r="A480" s="125" t="inlineStr">
        <is>
          <t>HY1000X243</t>
        </is>
      </c>
      <c r="B480" s="129" t="inlineStr">
        <is>
          <t>HY</t>
        </is>
      </c>
      <c r="C480" s="125" t="n">
        <v>243</v>
      </c>
      <c r="D480" s="125" t="n">
        <v>1000</v>
      </c>
      <c r="E480" s="125" t="n">
        <v>350</v>
      </c>
      <c r="F480" s="125" t="n">
        <v>22</v>
      </c>
      <c r="G480" s="125" t="n">
        <v>16</v>
      </c>
      <c r="H480" s="125" t="n">
        <v>18</v>
      </c>
      <c r="I480" s="125">
        <f>D480-(2*(H480+F480))</f>
        <v/>
      </c>
      <c r="J480" s="125">
        <f>D480/10 * F480/10 + 2*(E480/10 * G480/10)</f>
        <v/>
      </c>
      <c r="K480" s="125">
        <f>(E480/2)/F480</f>
        <v/>
      </c>
      <c r="L480" s="125">
        <f>I480/G480</f>
        <v/>
      </c>
      <c r="M480" s="125">
        <f>(E480*2+F480*4+((E480-G480)/2-H480)*4+2*PI()*H480+(D480-2*F480-2*H480)*2)/1000</f>
        <v/>
      </c>
      <c r="N480" s="5" t="n">
        <v>491000</v>
      </c>
      <c r="O480" s="5" t="n">
        <v>15800</v>
      </c>
      <c r="P480" s="125" t="n">
        <v>39.8</v>
      </c>
      <c r="Q480" s="125" t="n">
        <v>7.1</v>
      </c>
      <c r="R480" s="5" t="n">
        <v>9820</v>
      </c>
      <c r="S480" s="125" t="n">
        <v>900</v>
      </c>
      <c r="T480" s="5" t="n">
        <v>11300</v>
      </c>
      <c r="U480" s="5" t="n">
        <v>1410</v>
      </c>
      <c r="Y480">
        <f>SQRT((((VLOOKUP($X$4,$A$4:$D$1021,4,FALSE))-D480)^2)+(((VLOOKUP($X$4,$A$4:$E$1021,5,FALSE))-E480)^2))</f>
        <v/>
      </c>
    </row>
    <row r="481">
      <c r="A481" s="125" t="inlineStr">
        <is>
          <t>HY1000X349</t>
        </is>
      </c>
      <c r="B481" s="129" t="inlineStr">
        <is>
          <t>HY</t>
        </is>
      </c>
      <c r="C481" s="125" t="n">
        <v>349</v>
      </c>
      <c r="D481" s="125" t="n">
        <v>1000</v>
      </c>
      <c r="E481" s="125" t="n">
        <v>300</v>
      </c>
      <c r="F481" s="125" t="n">
        <v>40</v>
      </c>
      <c r="G481" s="125" t="n">
        <v>22</v>
      </c>
      <c r="H481" s="125" t="n">
        <v>18</v>
      </c>
      <c r="I481" s="125">
        <f>D481-(2*(H481+F481))</f>
        <v/>
      </c>
      <c r="J481" s="125">
        <f>D481/10 * F481/10 + 2*(E481/10 * G481/10)</f>
        <v/>
      </c>
      <c r="K481" s="125">
        <f>(E481/2)/F481</f>
        <v/>
      </c>
      <c r="L481" s="125">
        <f>I481/G481</f>
        <v/>
      </c>
      <c r="M481" s="125">
        <f>(E481*2+F481*4+((E481-G481)/2-H481)*4+2*PI()*H481+(D481-2*F481-2*H481)*2)/1000</f>
        <v/>
      </c>
      <c r="N481" s="5" t="n">
        <v>702000</v>
      </c>
      <c r="O481" s="5" t="n">
        <v>18100</v>
      </c>
      <c r="P481" s="125" t="n">
        <v>39.7</v>
      </c>
      <c r="Q481" s="125" t="n">
        <v>6.4</v>
      </c>
      <c r="R481" s="5" t="n">
        <v>14000</v>
      </c>
      <c r="S481" s="5" t="n">
        <v>1210</v>
      </c>
      <c r="T481" s="5" t="n">
        <v>16300</v>
      </c>
      <c r="U481" s="5" t="n">
        <v>1920</v>
      </c>
      <c r="Y481">
        <f>SQRT((((VLOOKUP($X$4,$A$4:$D$1021,4,FALSE))-D481)^2)+(((VLOOKUP($X$4,$A$4:$E$1021,5,FALSE))-E481)^2))</f>
        <v/>
      </c>
    </row>
    <row r="482">
      <c r="A482" s="125" t="inlineStr">
        <is>
          <t>HY1000X332</t>
        </is>
      </c>
      <c r="B482" s="129" t="inlineStr">
        <is>
          <t>HY</t>
        </is>
      </c>
      <c r="C482" s="125" t="n">
        <v>332</v>
      </c>
      <c r="D482" s="125" t="n">
        <v>1000</v>
      </c>
      <c r="E482" s="125" t="n">
        <v>300</v>
      </c>
      <c r="F482" s="125" t="n">
        <v>36</v>
      </c>
      <c r="G482" s="125" t="n">
        <v>22</v>
      </c>
      <c r="H482" s="125" t="n">
        <v>18</v>
      </c>
      <c r="I482" s="125">
        <f>D482-(2*(H482+F482))</f>
        <v/>
      </c>
      <c r="J482" s="125">
        <f>D482/10 * F482/10 + 2*(E482/10 * G482/10)</f>
        <v/>
      </c>
      <c r="K482" s="125">
        <f>(E482/2)/F482</f>
        <v/>
      </c>
      <c r="L482" s="125">
        <f>I482/G482</f>
        <v/>
      </c>
      <c r="M482" s="125">
        <f>(E482*2+F482*4+((E482-G482)/2-H482)*4+2*PI()*H482+(D482-2*F482-2*H482)*2)/1000</f>
        <v/>
      </c>
      <c r="N482" s="5" t="n">
        <v>654000</v>
      </c>
      <c r="O482" s="5" t="n">
        <v>16300</v>
      </c>
      <c r="P482" s="125" t="n">
        <v>39.3</v>
      </c>
      <c r="Q482" s="125" t="n">
        <v>6.2</v>
      </c>
      <c r="R482" s="5" t="n">
        <v>13100</v>
      </c>
      <c r="S482" s="5" t="n">
        <v>1090</v>
      </c>
      <c r="T482" s="5" t="n">
        <v>15300</v>
      </c>
      <c r="U482" s="5" t="n">
        <v>1740</v>
      </c>
      <c r="Y482">
        <f>SQRT((((VLOOKUP($X$4,$A$4:$D$1021,4,FALSE))-D482)^2)+(((VLOOKUP($X$4,$A$4:$E$1021,5,FALSE))-E482)^2))</f>
        <v/>
      </c>
    </row>
    <row r="483">
      <c r="A483" s="125" t="inlineStr">
        <is>
          <t>HY1000X315</t>
        </is>
      </c>
      <c r="B483" s="129" t="inlineStr">
        <is>
          <t>HY</t>
        </is>
      </c>
      <c r="C483" s="125" t="n">
        <v>315</v>
      </c>
      <c r="D483" s="125" t="n">
        <v>1000</v>
      </c>
      <c r="E483" s="125" t="n">
        <v>300</v>
      </c>
      <c r="F483" s="125" t="n">
        <v>32</v>
      </c>
      <c r="G483" s="125" t="n">
        <v>22</v>
      </c>
      <c r="H483" s="125" t="n">
        <v>18</v>
      </c>
      <c r="I483" s="125">
        <f>D483-(2*(H483+F483))</f>
        <v/>
      </c>
      <c r="J483" s="125">
        <f>D483/10 * F483/10 + 2*(E483/10 * G483/10)</f>
        <v/>
      </c>
      <c r="K483" s="125">
        <f>(E483/2)/F483</f>
        <v/>
      </c>
      <c r="L483" s="125">
        <f>I483/G483</f>
        <v/>
      </c>
      <c r="M483" s="125">
        <f>(E483*2+F483*4+((E483-G483)/2-H483)*4+2*PI()*H483+(D483-2*F483-2*H483)*2)/1000</f>
        <v/>
      </c>
      <c r="N483" s="5" t="n">
        <v>606000</v>
      </c>
      <c r="O483" s="5" t="n">
        <v>14500</v>
      </c>
      <c r="P483" s="125" t="n">
        <v>38.9</v>
      </c>
      <c r="Q483" s="125" t="n">
        <v>6</v>
      </c>
      <c r="R483" s="5" t="n">
        <v>12100</v>
      </c>
      <c r="S483" s="125" t="n">
        <v>966</v>
      </c>
      <c r="T483" s="5" t="n">
        <v>14200</v>
      </c>
      <c r="U483" s="5" t="n">
        <v>1560</v>
      </c>
      <c r="Y483">
        <f>SQRT((((VLOOKUP($X$4,$A$4:$D$1021,4,FALSE))-D483)^2)+(((VLOOKUP($X$4,$A$4:$E$1021,5,FALSE))-E483)^2))</f>
        <v/>
      </c>
    </row>
    <row r="484">
      <c r="A484" s="125" t="inlineStr">
        <is>
          <t>HY1000X297</t>
        </is>
      </c>
      <c r="B484" s="129" t="inlineStr">
        <is>
          <t>HY</t>
        </is>
      </c>
      <c r="C484" s="125" t="n">
        <v>297</v>
      </c>
      <c r="D484" s="125" t="n">
        <v>1000</v>
      </c>
      <c r="E484" s="125" t="n">
        <v>300</v>
      </c>
      <c r="F484" s="125" t="n">
        <v>28</v>
      </c>
      <c r="G484" s="125" t="n">
        <v>22</v>
      </c>
      <c r="H484" s="125" t="n">
        <v>18</v>
      </c>
      <c r="I484" s="125">
        <f>D484-(2*(H484+F484))</f>
        <v/>
      </c>
      <c r="J484" s="125">
        <f>D484/10 * F484/10 + 2*(E484/10 * G484/10)</f>
        <v/>
      </c>
      <c r="K484" s="125">
        <f>(E484/2)/F484</f>
        <v/>
      </c>
      <c r="L484" s="125">
        <f>I484/G484</f>
        <v/>
      </c>
      <c r="M484" s="125">
        <f>(E484*2+F484*4+((E484-G484)/2-H484)*4+2*PI()*H484+(D484-2*F484-2*H484)*2)/1000</f>
        <v/>
      </c>
      <c r="N484" s="5" t="n">
        <v>557000</v>
      </c>
      <c r="O484" s="5" t="n">
        <v>12700</v>
      </c>
      <c r="P484" s="125" t="n">
        <v>38.4</v>
      </c>
      <c r="Q484" s="125" t="n">
        <v>5.8</v>
      </c>
      <c r="R484" s="5" t="n">
        <v>11100</v>
      </c>
      <c r="S484" s="125" t="n">
        <v>846</v>
      </c>
      <c r="T484" s="5" t="n">
        <v>13200</v>
      </c>
      <c r="U484" s="5" t="n">
        <v>1380</v>
      </c>
      <c r="Y484">
        <f>SQRT((((VLOOKUP($X$4,$A$4:$D$1021,4,FALSE))-D484)^2)+(((VLOOKUP($X$4,$A$4:$E$1021,5,FALSE))-E484)^2))</f>
        <v/>
      </c>
    </row>
    <row r="485">
      <c r="A485" s="125" t="inlineStr">
        <is>
          <t>HY1000X328</t>
        </is>
      </c>
      <c r="B485" s="129" t="inlineStr">
        <is>
          <t>HY</t>
        </is>
      </c>
      <c r="C485" s="125" t="n">
        <v>328</v>
      </c>
      <c r="D485" s="125" t="n">
        <v>1000</v>
      </c>
      <c r="E485" s="125" t="n">
        <v>300</v>
      </c>
      <c r="F485" s="125" t="n">
        <v>40</v>
      </c>
      <c r="G485" s="125" t="n">
        <v>19</v>
      </c>
      <c r="H485" s="125" t="n">
        <v>18</v>
      </c>
      <c r="I485" s="125">
        <f>D485-(2*(H485+F485))</f>
        <v/>
      </c>
      <c r="J485" s="125">
        <f>D485/10 * F485/10 + 2*(E485/10 * G485/10)</f>
        <v/>
      </c>
      <c r="K485" s="125">
        <f>(E485/2)/F485</f>
        <v/>
      </c>
      <c r="L485" s="125">
        <f>I485/G485</f>
        <v/>
      </c>
      <c r="M485" s="125">
        <f>(E485*2+F485*4+((E485-G485)/2-H485)*4+2*PI()*H485+(D485-2*F485-2*H485)*2)/1000</f>
        <v/>
      </c>
      <c r="N485" s="5" t="n">
        <v>682000</v>
      </c>
      <c r="O485" s="5" t="n">
        <v>18100</v>
      </c>
      <c r="P485" s="125" t="n">
        <v>40.4</v>
      </c>
      <c r="Q485" s="125" t="n">
        <v>6.6</v>
      </c>
      <c r="R485" s="5" t="n">
        <v>13600</v>
      </c>
      <c r="S485" s="5" t="n">
        <v>1200</v>
      </c>
      <c r="T485" s="5" t="n">
        <v>15700</v>
      </c>
      <c r="U485" s="5" t="n">
        <v>1890</v>
      </c>
      <c r="Y485">
        <f>SQRT((((VLOOKUP($X$4,$A$4:$D$1021,4,FALSE))-D485)^2)+(((VLOOKUP($X$4,$A$4:$E$1021,5,FALSE))-E485)^2))</f>
        <v/>
      </c>
    </row>
    <row r="486">
      <c r="A486" s="125" t="inlineStr">
        <is>
          <t>HY1000X310</t>
        </is>
      </c>
      <c r="B486" s="129" t="inlineStr">
        <is>
          <t>HY</t>
        </is>
      </c>
      <c r="C486" s="125" t="n">
        <v>310</v>
      </c>
      <c r="D486" s="125" t="n">
        <v>1000</v>
      </c>
      <c r="E486" s="125" t="n">
        <v>300</v>
      </c>
      <c r="F486" s="125" t="n">
        <v>36</v>
      </c>
      <c r="G486" s="125" t="n">
        <v>19</v>
      </c>
      <c r="H486" s="125" t="n">
        <v>18</v>
      </c>
      <c r="I486" s="125">
        <f>D486-(2*(H486+F486))</f>
        <v/>
      </c>
      <c r="J486" s="125">
        <f>D486/10 * F486/10 + 2*(E486/10 * G486/10)</f>
        <v/>
      </c>
      <c r="K486" s="125">
        <f>(E486/2)/F486</f>
        <v/>
      </c>
      <c r="L486" s="125">
        <f>I486/G486</f>
        <v/>
      </c>
      <c r="M486" s="125">
        <f>(E486*2+F486*4+((E486-G486)/2-H486)*4+2*PI()*H486+(D486-2*F486-2*H486)*2)/1000</f>
        <v/>
      </c>
      <c r="N486" s="5" t="n">
        <v>634000</v>
      </c>
      <c r="O486" s="5" t="n">
        <v>16300</v>
      </c>
      <c r="P486" s="125" t="n">
        <v>40.1</v>
      </c>
      <c r="Q486" s="125" t="n">
        <v>6.4</v>
      </c>
      <c r="R486" s="5" t="n">
        <v>12700</v>
      </c>
      <c r="S486" s="5" t="n">
        <v>1080</v>
      </c>
      <c r="T486" s="5" t="n">
        <v>14600</v>
      </c>
      <c r="U486" s="5" t="n">
        <v>1710</v>
      </c>
      <c r="Y486">
        <f>SQRT((((VLOOKUP($X$4,$A$4:$D$1021,4,FALSE))-D486)^2)+(((VLOOKUP($X$4,$A$4:$E$1021,5,FALSE))-E486)^2))</f>
        <v/>
      </c>
    </row>
    <row r="487">
      <c r="A487" s="125" t="inlineStr">
        <is>
          <t>HY1000X293</t>
        </is>
      </c>
      <c r="B487" s="129" t="inlineStr">
        <is>
          <t>HY</t>
        </is>
      </c>
      <c r="C487" s="125" t="n">
        <v>293</v>
      </c>
      <c r="D487" s="125" t="n">
        <v>1000</v>
      </c>
      <c r="E487" s="125" t="n">
        <v>300</v>
      </c>
      <c r="F487" s="125" t="n">
        <v>32</v>
      </c>
      <c r="G487" s="125" t="n">
        <v>19</v>
      </c>
      <c r="H487" s="125" t="n">
        <v>18</v>
      </c>
      <c r="I487" s="125">
        <f>D487-(2*(H487+F487))</f>
        <v/>
      </c>
      <c r="J487" s="125">
        <f>D487/10 * F487/10 + 2*(E487/10 * G487/10)</f>
        <v/>
      </c>
      <c r="K487" s="125">
        <f>(E487/2)/F487</f>
        <v/>
      </c>
      <c r="L487" s="125">
        <f>I487/G487</f>
        <v/>
      </c>
      <c r="M487" s="125">
        <f>(E487*2+F487*4+((E487-G487)/2-H487)*4+2*PI()*H487+(D487-2*F487-2*H487)*2)/1000</f>
        <v/>
      </c>
      <c r="N487" s="5" t="n">
        <v>586000</v>
      </c>
      <c r="O487" s="5" t="n">
        <v>14500</v>
      </c>
      <c r="P487" s="125" t="n">
        <v>39.6</v>
      </c>
      <c r="Q487" s="125" t="n">
        <v>6.2</v>
      </c>
      <c r="R487" s="5" t="n">
        <v>11700</v>
      </c>
      <c r="S487" s="125" t="n">
        <v>964</v>
      </c>
      <c r="T487" s="5" t="n">
        <v>13600</v>
      </c>
      <c r="U487" s="5" t="n">
        <v>1530</v>
      </c>
      <c r="Y487">
        <f>SQRT((((VLOOKUP($X$4,$A$4:$D$1021,4,FALSE))-D487)^2)+(((VLOOKUP($X$4,$A$4:$E$1021,5,FALSE))-E487)^2))</f>
        <v/>
      </c>
    </row>
    <row r="488">
      <c r="A488" s="125" t="inlineStr">
        <is>
          <t>HY1000X275</t>
        </is>
      </c>
      <c r="B488" s="129" t="inlineStr">
        <is>
          <t>HY</t>
        </is>
      </c>
      <c r="C488" s="125" t="n">
        <v>275</v>
      </c>
      <c r="D488" s="125" t="n">
        <v>1000</v>
      </c>
      <c r="E488" s="125" t="n">
        <v>300</v>
      </c>
      <c r="F488" s="125" t="n">
        <v>28</v>
      </c>
      <c r="G488" s="125" t="n">
        <v>19</v>
      </c>
      <c r="H488" s="125" t="n">
        <v>18</v>
      </c>
      <c r="I488" s="125">
        <f>D488-(2*(H488+F488))</f>
        <v/>
      </c>
      <c r="J488" s="125">
        <f>D488/10 * F488/10 + 2*(E488/10 * G488/10)</f>
        <v/>
      </c>
      <c r="K488" s="125">
        <f>(E488/2)/F488</f>
        <v/>
      </c>
      <c r="L488" s="125">
        <f>I488/G488</f>
        <v/>
      </c>
      <c r="M488" s="125">
        <f>(E488*2+F488*4+((E488-G488)/2-H488)*4+2*PI()*H488+(D488-2*F488-2*H488)*2)/1000</f>
        <v/>
      </c>
      <c r="N488" s="5" t="n">
        <v>536000</v>
      </c>
      <c r="O488" s="5" t="n">
        <v>12700</v>
      </c>
      <c r="P488" s="125" t="n">
        <v>39.1</v>
      </c>
      <c r="Q488" s="125" t="n">
        <v>6</v>
      </c>
      <c r="R488" s="5" t="n">
        <v>10700</v>
      </c>
      <c r="S488" s="125" t="n">
        <v>844</v>
      </c>
      <c r="T488" s="5" t="n">
        <v>12500</v>
      </c>
      <c r="U488" s="5" t="n">
        <v>1350</v>
      </c>
      <c r="Y488">
        <f>SQRT((((VLOOKUP($X$4,$A$4:$D$1021,4,FALSE))-D488)^2)+(((VLOOKUP($X$4,$A$4:$E$1021,5,FALSE))-E488)^2))</f>
        <v/>
      </c>
    </row>
    <row r="489">
      <c r="A489" s="125" t="inlineStr">
        <is>
          <t>HY1000X262</t>
        </is>
      </c>
      <c r="B489" s="129" t="inlineStr">
        <is>
          <t>HY</t>
        </is>
      </c>
      <c r="C489" s="125" t="n">
        <v>262</v>
      </c>
      <c r="D489" s="125" t="n">
        <v>1000</v>
      </c>
      <c r="E489" s="125" t="n">
        <v>300</v>
      </c>
      <c r="F489" s="125" t="n">
        <v>25</v>
      </c>
      <c r="G489" s="125" t="n">
        <v>19</v>
      </c>
      <c r="H489" s="125" t="n">
        <v>18</v>
      </c>
      <c r="I489" s="125">
        <f>D489-(2*(H489+F489))</f>
        <v/>
      </c>
      <c r="J489" s="125">
        <f>D489/10 * F489/10 + 2*(E489/10 * G489/10)</f>
        <v/>
      </c>
      <c r="K489" s="125">
        <f>(E489/2)/F489</f>
        <v/>
      </c>
      <c r="L489" s="125">
        <f>I489/G489</f>
        <v/>
      </c>
      <c r="M489" s="125">
        <f>(E489*2+F489*4+((E489-G489)/2-H489)*4+2*PI()*H489+(D489-2*F489-2*H489)*2)/1000</f>
        <v/>
      </c>
      <c r="N489" s="5" t="n">
        <v>498000</v>
      </c>
      <c r="O489" s="5" t="n">
        <v>11300</v>
      </c>
      <c r="P489" s="125" t="n">
        <v>38.7</v>
      </c>
      <c r="Q489" s="125" t="n">
        <v>5.8</v>
      </c>
      <c r="R489" s="5" t="n">
        <v>9970</v>
      </c>
      <c r="S489" s="125" t="n">
        <v>754</v>
      </c>
      <c r="T489" s="5" t="n">
        <v>11700</v>
      </c>
      <c r="U489" s="5" t="n">
        <v>1210</v>
      </c>
      <c r="Y489">
        <f>SQRT((((VLOOKUP($X$4,$A$4:$D$1021,4,FALSE))-D489)^2)+(((VLOOKUP($X$4,$A$4:$E$1021,5,FALSE))-E489)^2))</f>
        <v/>
      </c>
    </row>
    <row r="490">
      <c r="A490" s="125" t="inlineStr">
        <is>
          <t>HY1000X270</t>
        </is>
      </c>
      <c r="B490" s="129" t="inlineStr">
        <is>
          <t>HY</t>
        </is>
      </c>
      <c r="C490" s="125" t="n">
        <v>270</v>
      </c>
      <c r="D490" s="125" t="n">
        <v>1000</v>
      </c>
      <c r="E490" s="125" t="n">
        <v>300</v>
      </c>
      <c r="F490" s="125" t="n">
        <v>32</v>
      </c>
      <c r="G490" s="125" t="n">
        <v>16</v>
      </c>
      <c r="H490" s="125" t="n">
        <v>18</v>
      </c>
      <c r="I490" s="125">
        <f>D490-(2*(H490+F490))</f>
        <v/>
      </c>
      <c r="J490" s="125">
        <f>D490/10 * F490/10 + 2*(E490/10 * G490/10)</f>
        <v/>
      </c>
      <c r="K490" s="125">
        <f>(E490/2)/F490</f>
        <v/>
      </c>
      <c r="L490" s="125">
        <f>I490/G490</f>
        <v/>
      </c>
      <c r="M490" s="125">
        <f>(E490*2+F490*4+((E490-G490)/2-H490)*4+2*PI()*H490+(D490-2*F490-2*H490)*2)/1000</f>
        <v/>
      </c>
      <c r="N490" s="5" t="n">
        <v>565000</v>
      </c>
      <c r="O490" s="5" t="n">
        <v>14400</v>
      </c>
      <c r="P490" s="125" t="n">
        <v>40.5</v>
      </c>
      <c r="Q490" s="125" t="n">
        <v>6.5</v>
      </c>
      <c r="R490" s="5" t="n">
        <v>11300</v>
      </c>
      <c r="S490" s="125" t="n">
        <v>962</v>
      </c>
      <c r="T490" s="5" t="n">
        <v>12900</v>
      </c>
      <c r="U490" s="5" t="n">
        <v>1500</v>
      </c>
      <c r="Y490">
        <f>SQRT((((VLOOKUP($X$4,$A$4:$D$1021,4,FALSE))-D490)^2)+(((VLOOKUP($X$4,$A$4:$E$1021,5,FALSE))-E490)^2))</f>
        <v/>
      </c>
    </row>
    <row r="491">
      <c r="A491" s="125" t="inlineStr">
        <is>
          <t>HY1000X253</t>
        </is>
      </c>
      <c r="B491" s="129" t="inlineStr">
        <is>
          <t>HY</t>
        </is>
      </c>
      <c r="C491" s="125" t="n">
        <v>253</v>
      </c>
      <c r="D491" s="125" t="n">
        <v>1000</v>
      </c>
      <c r="E491" s="125" t="n">
        <v>300</v>
      </c>
      <c r="F491" s="125" t="n">
        <v>28</v>
      </c>
      <c r="G491" s="125" t="n">
        <v>16</v>
      </c>
      <c r="H491" s="125" t="n">
        <v>18</v>
      </c>
      <c r="I491" s="125">
        <f>D491-(2*(H491+F491))</f>
        <v/>
      </c>
      <c r="J491" s="125">
        <f>D491/10 * F491/10 + 2*(E491/10 * G491/10)</f>
        <v/>
      </c>
      <c r="K491" s="125">
        <f>(E491/2)/F491</f>
        <v/>
      </c>
      <c r="L491" s="125">
        <f>I491/G491</f>
        <v/>
      </c>
      <c r="M491" s="125">
        <f>(E491*2+F491*4+((E491-G491)/2-H491)*4+2*PI()*H491+(D491-2*F491-2*H491)*2)/1000</f>
        <v/>
      </c>
      <c r="N491" s="5" t="n">
        <v>515000</v>
      </c>
      <c r="O491" s="5" t="n">
        <v>12600</v>
      </c>
      <c r="P491" s="125" t="n">
        <v>40</v>
      </c>
      <c r="Q491" s="125" t="n">
        <v>6.3</v>
      </c>
      <c r="R491" s="5" t="n">
        <v>10300</v>
      </c>
      <c r="S491" s="125" t="n">
        <v>842</v>
      </c>
      <c r="T491" s="5" t="n">
        <v>11900</v>
      </c>
      <c r="U491" s="5" t="n">
        <v>1320</v>
      </c>
      <c r="Y491">
        <f>SQRT((((VLOOKUP($X$4,$A$4:$D$1021,4,FALSE))-D491)^2)+(((VLOOKUP($X$4,$A$4:$E$1021,5,FALSE))-E491)^2))</f>
        <v/>
      </c>
    </row>
    <row r="492">
      <c r="A492" s="125" t="inlineStr">
        <is>
          <t>HY1000X239</t>
        </is>
      </c>
      <c r="B492" s="129" t="inlineStr">
        <is>
          <t>HY</t>
        </is>
      </c>
      <c r="C492" s="125" t="n">
        <v>239</v>
      </c>
      <c r="D492" s="125" t="n">
        <v>1000</v>
      </c>
      <c r="E492" s="125" t="n">
        <v>300</v>
      </c>
      <c r="F492" s="125" t="n">
        <v>25</v>
      </c>
      <c r="G492" s="125" t="n">
        <v>16</v>
      </c>
      <c r="H492" s="125" t="n">
        <v>18</v>
      </c>
      <c r="I492" s="125">
        <f>D492-(2*(H492+F492))</f>
        <v/>
      </c>
      <c r="J492" s="125">
        <f>D492/10 * F492/10 + 2*(E492/10 * G492/10)</f>
        <v/>
      </c>
      <c r="K492" s="125">
        <f>(E492/2)/F492</f>
        <v/>
      </c>
      <c r="L492" s="125">
        <f>I492/G492</f>
        <v/>
      </c>
      <c r="M492" s="125">
        <f>(E492*2+F492*4+((E492-G492)/2-H492)*4+2*PI()*H492+(D492-2*F492-2*H492)*2)/1000</f>
        <v/>
      </c>
      <c r="N492" s="5" t="n">
        <v>477000</v>
      </c>
      <c r="O492" s="5" t="n">
        <v>11300</v>
      </c>
      <c r="P492" s="125" t="n">
        <v>39.6</v>
      </c>
      <c r="Q492" s="125" t="n">
        <v>6.1</v>
      </c>
      <c r="R492" s="5" t="n">
        <v>9540</v>
      </c>
      <c r="S492" s="125" t="n">
        <v>752</v>
      </c>
      <c r="T492" s="5" t="n">
        <v>11100</v>
      </c>
      <c r="U492" s="5" t="n">
        <v>1190</v>
      </c>
      <c r="Y492">
        <f>SQRT((((VLOOKUP($X$4,$A$4:$D$1021,4,FALSE))-D492)^2)+(((VLOOKUP($X$4,$A$4:$E$1021,5,FALSE))-E492)^2))</f>
        <v/>
      </c>
    </row>
    <row r="493">
      <c r="A493" s="125" t="inlineStr">
        <is>
          <t>HY1000X226</t>
        </is>
      </c>
      <c r="B493" s="129" t="inlineStr">
        <is>
          <t>HY</t>
        </is>
      </c>
      <c r="C493" s="125" t="n">
        <v>226</v>
      </c>
      <c r="D493" s="125" t="n">
        <v>1000</v>
      </c>
      <c r="E493" s="125" t="n">
        <v>300</v>
      </c>
      <c r="F493" s="125" t="n">
        <v>22</v>
      </c>
      <c r="G493" s="125" t="n">
        <v>16</v>
      </c>
      <c r="H493" s="125" t="n">
        <v>18</v>
      </c>
      <c r="I493" s="125">
        <f>D493-(2*(H493+F493))</f>
        <v/>
      </c>
      <c r="J493" s="125">
        <f>D493/10 * F493/10 + 2*(E493/10 * G493/10)</f>
        <v/>
      </c>
      <c r="K493" s="125">
        <f>(E493/2)/F493</f>
        <v/>
      </c>
      <c r="L493" s="125">
        <f>I493/G493</f>
        <v/>
      </c>
      <c r="M493" s="125">
        <f>(E493*2+F493*4+((E493-G493)/2-H493)*4+2*PI()*H493+(D493-2*F493-2*H493)*2)/1000</f>
        <v/>
      </c>
      <c r="N493" s="5" t="n">
        <v>438000</v>
      </c>
      <c r="O493" s="5" t="n">
        <v>9940</v>
      </c>
      <c r="P493" s="125" t="n">
        <v>39</v>
      </c>
      <c r="Q493" s="125" t="n">
        <v>5.9</v>
      </c>
      <c r="R493" s="5" t="n">
        <v>8770</v>
      </c>
      <c r="S493" s="125" t="n">
        <v>662</v>
      </c>
      <c r="T493" s="5" t="n">
        <v>10200</v>
      </c>
      <c r="U493" s="5" t="n">
        <v>1050</v>
      </c>
      <c r="Y493">
        <f>SQRT((((VLOOKUP($X$4,$A$4:$D$1021,4,FALSE))-D493)^2)+(((VLOOKUP($X$4,$A$4:$E$1021,5,FALSE))-E493)^2))</f>
        <v/>
      </c>
    </row>
    <row r="494">
      <c r="A494" s="125" t="inlineStr">
        <is>
          <t>HY1000X282</t>
        </is>
      </c>
      <c r="B494" s="129" t="inlineStr">
        <is>
          <t>HY</t>
        </is>
      </c>
      <c r="C494" s="125" t="n">
        <v>282</v>
      </c>
      <c r="D494" s="125" t="n">
        <v>1000</v>
      </c>
      <c r="E494" s="125" t="n">
        <v>250</v>
      </c>
      <c r="F494" s="125" t="n">
        <v>36</v>
      </c>
      <c r="G494" s="125" t="n">
        <v>19</v>
      </c>
      <c r="H494" s="125" t="n">
        <v>18</v>
      </c>
      <c r="I494" s="125">
        <f>D494-(2*(H494+F494))</f>
        <v/>
      </c>
      <c r="J494" s="125">
        <f>D494/10 * F494/10 + 2*(E494/10 * G494/10)</f>
        <v/>
      </c>
      <c r="K494" s="125">
        <f>(E494/2)/F494</f>
        <v/>
      </c>
      <c r="L494" s="125">
        <f>I494/G494</f>
        <v/>
      </c>
      <c r="M494" s="125">
        <f>(E494*2+F494*4+((E494-G494)/2-H494)*4+2*PI()*H494+(D494-2*F494-2*H494)*2)/1000</f>
        <v/>
      </c>
      <c r="N494" s="5" t="n">
        <v>551000</v>
      </c>
      <c r="O494" s="5" t="n">
        <v>9430</v>
      </c>
      <c r="P494" s="125" t="n">
        <v>39.2</v>
      </c>
      <c r="Q494" s="125" t="n">
        <v>5.1</v>
      </c>
      <c r="R494" s="5" t="n">
        <v>11000</v>
      </c>
      <c r="S494" s="125" t="n">
        <v>755</v>
      </c>
      <c r="T494" s="5" t="n">
        <v>12900</v>
      </c>
      <c r="U494" s="5" t="n">
        <v>1210</v>
      </c>
      <c r="Y494">
        <f>SQRT((((VLOOKUP($X$4,$A$4:$D$1021,4,FALSE))-D494)^2)+(((VLOOKUP($X$4,$A$4:$E$1021,5,FALSE))-E494)^2))</f>
        <v/>
      </c>
    </row>
    <row r="495">
      <c r="A495" s="125" t="inlineStr">
        <is>
          <t>HY1000X267</t>
        </is>
      </c>
      <c r="B495" s="129" t="inlineStr">
        <is>
          <t>HY</t>
        </is>
      </c>
      <c r="C495" s="125" t="n">
        <v>267</v>
      </c>
      <c r="D495" s="125" t="n">
        <v>1000</v>
      </c>
      <c r="E495" s="125" t="n">
        <v>250</v>
      </c>
      <c r="F495" s="125" t="n">
        <v>32</v>
      </c>
      <c r="G495" s="125" t="n">
        <v>19</v>
      </c>
      <c r="H495" s="125" t="n">
        <v>18</v>
      </c>
      <c r="I495" s="125">
        <f>D495-(2*(H495+F495))</f>
        <v/>
      </c>
      <c r="J495" s="125">
        <f>D495/10 * F495/10 + 2*(E495/10 * G495/10)</f>
        <v/>
      </c>
      <c r="K495" s="125">
        <f>(E495/2)/F495</f>
        <v/>
      </c>
      <c r="L495" s="125">
        <f>I495/G495</f>
        <v/>
      </c>
      <c r="M495" s="125">
        <f>(E495*2+F495*4+((E495-G495)/2-H495)*4+2*PI()*H495+(D495-2*F495-2*H495)*2)/1000</f>
        <v/>
      </c>
      <c r="N495" s="5" t="n">
        <v>511000</v>
      </c>
      <c r="O495" s="5" t="n">
        <v>8390</v>
      </c>
      <c r="P495" s="125" t="n">
        <v>38.7</v>
      </c>
      <c r="Q495" s="125" t="n">
        <v>5</v>
      </c>
      <c r="R495" s="5" t="n">
        <v>10200</v>
      </c>
      <c r="S495" s="125" t="n">
        <v>671</v>
      </c>
      <c r="T495" s="5" t="n">
        <v>12000</v>
      </c>
      <c r="U495" s="5" t="n">
        <v>1090</v>
      </c>
      <c r="Y495">
        <f>SQRT((((VLOOKUP($X$4,$A$4:$D$1021,4,FALSE))-D495)^2)+(((VLOOKUP($X$4,$A$4:$E$1021,5,FALSE))-E495)^2))</f>
        <v/>
      </c>
    </row>
    <row r="496">
      <c r="A496" s="125" t="inlineStr">
        <is>
          <t>HY1000X253</t>
        </is>
      </c>
      <c r="B496" s="129" t="inlineStr">
        <is>
          <t>HY</t>
        </is>
      </c>
      <c r="C496" s="125" t="n">
        <v>253</v>
      </c>
      <c r="D496" s="125" t="n">
        <v>1000</v>
      </c>
      <c r="E496" s="125" t="n">
        <v>250</v>
      </c>
      <c r="F496" s="125" t="n">
        <v>28</v>
      </c>
      <c r="G496" s="125" t="n">
        <v>19</v>
      </c>
      <c r="H496" s="125" t="n">
        <v>18</v>
      </c>
      <c r="I496" s="125">
        <f>D496-(2*(H496+F496))</f>
        <v/>
      </c>
      <c r="J496" s="125">
        <f>D496/10 * F496/10 + 2*(E496/10 * G496/10)</f>
        <v/>
      </c>
      <c r="K496" s="125">
        <f>(E496/2)/F496</f>
        <v/>
      </c>
      <c r="L496" s="125">
        <f>I496/G496</f>
        <v/>
      </c>
      <c r="M496" s="125">
        <f>(E496*2+F496*4+((E496-G496)/2-H496)*4+2*PI()*H496+(D496-2*F496-2*H496)*2)/1000</f>
        <v/>
      </c>
      <c r="N496" s="5" t="n">
        <v>470000</v>
      </c>
      <c r="O496" s="5" t="n">
        <v>7350</v>
      </c>
      <c r="P496" s="125" t="n">
        <v>38.2</v>
      </c>
      <c r="Q496" s="125" t="n">
        <v>4.8</v>
      </c>
      <c r="R496" s="5" t="n">
        <v>9400</v>
      </c>
      <c r="S496" s="125" t="n">
        <v>588</v>
      </c>
      <c r="T496" s="5" t="n">
        <v>11200</v>
      </c>
      <c r="U496" s="125" t="n">
        <v>964</v>
      </c>
      <c r="Y496">
        <f>SQRT((((VLOOKUP($X$4,$A$4:$D$1021,4,FALSE))-D496)^2)+(((VLOOKUP($X$4,$A$4:$E$1021,5,FALSE))-E496)^2))</f>
        <v/>
      </c>
    </row>
    <row r="497">
      <c r="A497" s="125" t="inlineStr">
        <is>
          <t>HY1000X242</t>
        </is>
      </c>
      <c r="B497" s="129" t="inlineStr">
        <is>
          <t>HY</t>
        </is>
      </c>
      <c r="C497" s="125" t="n">
        <v>242</v>
      </c>
      <c r="D497" s="125" t="n">
        <v>1000</v>
      </c>
      <c r="E497" s="125" t="n">
        <v>250</v>
      </c>
      <c r="F497" s="125" t="n">
        <v>25</v>
      </c>
      <c r="G497" s="125" t="n">
        <v>19</v>
      </c>
      <c r="H497" s="125" t="n">
        <v>18</v>
      </c>
      <c r="I497" s="125">
        <f>D497-(2*(H497+F497))</f>
        <v/>
      </c>
      <c r="J497" s="125">
        <f>D497/10 * F497/10 + 2*(E497/10 * G497/10)</f>
        <v/>
      </c>
      <c r="K497" s="125">
        <f>(E497/2)/F497</f>
        <v/>
      </c>
      <c r="L497" s="125">
        <f>I497/G497</f>
        <v/>
      </c>
      <c r="M497" s="125">
        <f>(E497*2+F497*4+((E497-G497)/2-H497)*4+2*PI()*H497+(D497-2*F497-2*H497)*2)/1000</f>
        <v/>
      </c>
      <c r="N497" s="5" t="n">
        <v>439000</v>
      </c>
      <c r="O497" s="5" t="n">
        <v>6570</v>
      </c>
      <c r="P497" s="125" t="n">
        <v>37.7</v>
      </c>
      <c r="Q497" s="125" t="n">
        <v>4.6</v>
      </c>
      <c r="R497" s="5" t="n">
        <v>8780</v>
      </c>
      <c r="S497" s="125" t="n">
        <v>526</v>
      </c>
      <c r="T497" s="5" t="n">
        <v>10500</v>
      </c>
      <c r="U497" s="125" t="n">
        <v>871</v>
      </c>
      <c r="Y497">
        <f>SQRT((((VLOOKUP($X$4,$A$4:$D$1021,4,FALSE))-D497)^2)+(((VLOOKUP($X$4,$A$4:$E$1021,5,FALSE))-E497)^2))</f>
        <v/>
      </c>
    </row>
    <row r="498">
      <c r="A498" s="125" t="inlineStr">
        <is>
          <t>HY1000X245</t>
        </is>
      </c>
      <c r="B498" s="129" t="inlineStr">
        <is>
          <t>HY</t>
        </is>
      </c>
      <c r="C498" s="125" t="n">
        <v>245</v>
      </c>
      <c r="D498" s="125" t="n">
        <v>1000</v>
      </c>
      <c r="E498" s="125" t="n">
        <v>250</v>
      </c>
      <c r="F498" s="125" t="n">
        <v>32</v>
      </c>
      <c r="G498" s="125" t="n">
        <v>16</v>
      </c>
      <c r="H498" s="125" t="n">
        <v>18</v>
      </c>
      <c r="I498" s="125">
        <f>D498-(2*(H498+F498))</f>
        <v/>
      </c>
      <c r="J498" s="125">
        <f>D498/10 * F498/10 + 2*(E498/10 * G498/10)</f>
        <v/>
      </c>
      <c r="K498" s="125">
        <f>(E498/2)/F498</f>
        <v/>
      </c>
      <c r="L498" s="125">
        <f>I498/G498</f>
        <v/>
      </c>
      <c r="M498" s="125">
        <f>(E498*2+F498*4+((E498-G498)/2-H498)*4+2*PI()*H498+(D498-2*F498-2*H498)*2)/1000</f>
        <v/>
      </c>
      <c r="N498" s="5" t="n">
        <v>490000</v>
      </c>
      <c r="O498" s="5" t="n">
        <v>8370</v>
      </c>
      <c r="P498" s="125" t="n">
        <v>39.6</v>
      </c>
      <c r="Q498" s="125" t="n">
        <v>5.2</v>
      </c>
      <c r="R498" s="5" t="n">
        <v>9810</v>
      </c>
      <c r="S498" s="125" t="n">
        <v>670</v>
      </c>
      <c r="T498" s="5" t="n">
        <v>11400</v>
      </c>
      <c r="U498" s="5" t="n">
        <v>1060</v>
      </c>
      <c r="Y498">
        <f>SQRT((((VLOOKUP($X$4,$A$4:$D$1021,4,FALSE))-D498)^2)+(((VLOOKUP($X$4,$A$4:$E$1021,5,FALSE))-E498)^2))</f>
        <v/>
      </c>
    </row>
    <row r="499">
      <c r="A499" s="125" t="inlineStr">
        <is>
          <t>HY1000X231</t>
        </is>
      </c>
      <c r="B499" s="129" t="inlineStr">
        <is>
          <t>HY</t>
        </is>
      </c>
      <c r="C499" s="125" t="n">
        <v>231</v>
      </c>
      <c r="D499" s="125" t="n">
        <v>1000</v>
      </c>
      <c r="E499" s="125" t="n">
        <v>250</v>
      </c>
      <c r="F499" s="125" t="n">
        <v>28</v>
      </c>
      <c r="G499" s="125" t="n">
        <v>16</v>
      </c>
      <c r="H499" s="125" t="n">
        <v>18</v>
      </c>
      <c r="I499" s="125">
        <f>D499-(2*(H499+F499))</f>
        <v/>
      </c>
      <c r="J499" s="125">
        <f>D499/10 * F499/10 + 2*(E499/10 * G499/10)</f>
        <v/>
      </c>
      <c r="K499" s="125">
        <f>(E499/2)/F499</f>
        <v/>
      </c>
      <c r="L499" s="125">
        <f>I499/G499</f>
        <v/>
      </c>
      <c r="M499" s="125">
        <f>(E499*2+F499*4+((E499-G499)/2-H499)*4+2*PI()*H499+(D499-2*F499-2*H499)*2)/1000</f>
        <v/>
      </c>
      <c r="N499" s="5" t="n">
        <v>449000</v>
      </c>
      <c r="O499" s="5" t="n">
        <v>7330</v>
      </c>
      <c r="P499" s="125" t="n">
        <v>39.1</v>
      </c>
      <c r="Q499" s="125" t="n">
        <v>5</v>
      </c>
      <c r="R499" s="5" t="n">
        <v>8980</v>
      </c>
      <c r="S499" s="125" t="n">
        <v>586</v>
      </c>
      <c r="T499" s="5" t="n">
        <v>10500</v>
      </c>
      <c r="U499" s="125" t="n">
        <v>939</v>
      </c>
      <c r="Y499">
        <f>SQRT((((VLOOKUP($X$4,$A$4:$D$1021,4,FALSE))-D499)^2)+(((VLOOKUP($X$4,$A$4:$E$1021,5,FALSE))-E499)^2))</f>
        <v/>
      </c>
    </row>
    <row r="500">
      <c r="A500" s="125" t="inlineStr">
        <is>
          <t>HY1000X220</t>
        </is>
      </c>
      <c r="B500" s="129" t="inlineStr">
        <is>
          <t>HY</t>
        </is>
      </c>
      <c r="C500" s="125" t="n">
        <v>220</v>
      </c>
      <c r="D500" s="125" t="n">
        <v>1000</v>
      </c>
      <c r="E500" s="125" t="n">
        <v>250</v>
      </c>
      <c r="F500" s="125" t="n">
        <v>25</v>
      </c>
      <c r="G500" s="125" t="n">
        <v>16</v>
      </c>
      <c r="H500" s="125" t="n">
        <v>18</v>
      </c>
      <c r="I500" s="125">
        <f>D500-(2*(H500+F500))</f>
        <v/>
      </c>
      <c r="J500" s="125">
        <f>D500/10 * F500/10 + 2*(E500/10 * G500/10)</f>
        <v/>
      </c>
      <c r="K500" s="125">
        <f>(E500/2)/F500</f>
        <v/>
      </c>
      <c r="L500" s="125">
        <f>I500/G500</f>
        <v/>
      </c>
      <c r="M500" s="125">
        <f>(E500*2+F500*4+((E500-G500)/2-H500)*4+2*PI()*H500+(D500-2*F500-2*H500)*2)/1000</f>
        <v/>
      </c>
      <c r="N500" s="5" t="n">
        <v>418000</v>
      </c>
      <c r="O500" s="5" t="n">
        <v>6550</v>
      </c>
      <c r="P500" s="125" t="n">
        <v>38.6</v>
      </c>
      <c r="Q500" s="125" t="n">
        <v>4.8</v>
      </c>
      <c r="R500" s="5" t="n">
        <v>8350</v>
      </c>
      <c r="S500" s="125" t="n">
        <v>524</v>
      </c>
      <c r="T500" s="5" t="n">
        <v>9830</v>
      </c>
      <c r="U500" s="125" t="n">
        <v>845</v>
      </c>
      <c r="Y500">
        <f>SQRT((((VLOOKUP($X$4,$A$4:$D$1021,4,FALSE))-D500)^2)+(((VLOOKUP($X$4,$A$4:$E$1021,5,FALSE))-E500)^2))</f>
        <v/>
      </c>
    </row>
    <row r="501">
      <c r="A501" s="125" t="inlineStr">
        <is>
          <t>HY1000X209</t>
        </is>
      </c>
      <c r="B501" s="129" t="inlineStr">
        <is>
          <t>HY</t>
        </is>
      </c>
      <c r="C501" s="125" t="n">
        <v>209</v>
      </c>
      <c r="D501" s="125" t="n">
        <v>1000</v>
      </c>
      <c r="E501" s="125" t="n">
        <v>250</v>
      </c>
      <c r="F501" s="125" t="n">
        <v>22</v>
      </c>
      <c r="G501" s="125" t="n">
        <v>16</v>
      </c>
      <c r="H501" s="125" t="n">
        <v>18</v>
      </c>
      <c r="I501" s="125">
        <f>D501-(2*(H501+F501))</f>
        <v/>
      </c>
      <c r="J501" s="125">
        <f>D501/10 * F501/10 + 2*(E501/10 * G501/10)</f>
        <v/>
      </c>
      <c r="K501" s="125">
        <f>(E501/2)/F501</f>
        <v/>
      </c>
      <c r="L501" s="125">
        <f>I501/G501</f>
        <v/>
      </c>
      <c r="M501" s="125">
        <f>(E501*2+F501*4+((E501-G501)/2-H501)*4+2*PI()*H501+(D501-2*F501-2*H501)*2)/1000</f>
        <v/>
      </c>
      <c r="N501" s="5" t="n">
        <v>386000</v>
      </c>
      <c r="O501" s="5" t="n">
        <v>5770</v>
      </c>
      <c r="P501" s="125" t="n">
        <v>38.1</v>
      </c>
      <c r="Q501" s="125" t="n">
        <v>4.7</v>
      </c>
      <c r="R501" s="5" t="n">
        <v>7720</v>
      </c>
      <c r="S501" s="125" t="n">
        <v>461</v>
      </c>
      <c r="T501" s="5" t="n">
        <v>9170</v>
      </c>
      <c r="U501" s="125" t="n">
        <v>752</v>
      </c>
      <c r="Y501">
        <f>SQRT((((VLOOKUP($X$4,$A$4:$D$1021,4,FALSE))-D501)^2)+(((VLOOKUP($X$4,$A$4:$E$1021,5,FALSE))-E501)^2))</f>
        <v/>
      </c>
    </row>
    <row r="502">
      <c r="A502" s="125" t="inlineStr">
        <is>
          <t>HY950X404</t>
        </is>
      </c>
      <c r="B502" s="129" t="inlineStr">
        <is>
          <t>HY</t>
        </is>
      </c>
      <c r="C502" s="125" t="n">
        <v>404</v>
      </c>
      <c r="D502" s="125" t="n">
        <v>950</v>
      </c>
      <c r="E502" s="125" t="n">
        <v>400</v>
      </c>
      <c r="F502" s="125" t="n">
        <v>40</v>
      </c>
      <c r="G502" s="125" t="n">
        <v>22</v>
      </c>
      <c r="H502" s="125" t="n">
        <v>18</v>
      </c>
      <c r="I502" s="125">
        <f>D502-(2*(H502+F502))</f>
        <v/>
      </c>
      <c r="J502" s="125">
        <f>D502/10 * F502/10 + 2*(E502/10 * G502/10)</f>
        <v/>
      </c>
      <c r="K502" s="125">
        <f>(E502/2)/F502</f>
        <v/>
      </c>
      <c r="L502" s="125">
        <f>I502/G502</f>
        <v/>
      </c>
      <c r="M502" s="125">
        <f>(E502*2+F502*4+((E502-G502)/2-H502)*4+2*PI()*H502+(D502-2*F502-2*H502)*2)/1000</f>
        <v/>
      </c>
      <c r="N502" s="5" t="n">
        <v>789000</v>
      </c>
      <c r="O502" s="5" t="n">
        <v>42800</v>
      </c>
      <c r="P502" s="125" t="n">
        <v>39.2</v>
      </c>
      <c r="Q502" s="125" t="n">
        <v>9.1</v>
      </c>
      <c r="R502" s="5" t="n">
        <v>16600</v>
      </c>
      <c r="S502" s="5" t="n">
        <v>2140</v>
      </c>
      <c r="T502" s="5" t="n">
        <v>18800</v>
      </c>
      <c r="U502" s="5" t="n">
        <v>3310</v>
      </c>
      <c r="Y502">
        <f>SQRT((((VLOOKUP($X$4,$A$4:$D$1021,4,FALSE))-D502)^2)+(((VLOOKUP($X$4,$A$4:$E$1021,5,FALSE))-E502)^2))</f>
        <v/>
      </c>
    </row>
    <row r="503">
      <c r="A503" s="125" t="inlineStr">
        <is>
          <t>HY950X380</t>
        </is>
      </c>
      <c r="B503" s="129" t="inlineStr">
        <is>
          <t>HY</t>
        </is>
      </c>
      <c r="C503" s="125" t="n">
        <v>380</v>
      </c>
      <c r="D503" s="125" t="n">
        <v>950</v>
      </c>
      <c r="E503" s="125" t="n">
        <v>400</v>
      </c>
      <c r="F503" s="125" t="n">
        <v>36</v>
      </c>
      <c r="G503" s="125" t="n">
        <v>22</v>
      </c>
      <c r="H503" s="125" t="n">
        <v>18</v>
      </c>
      <c r="I503" s="125">
        <f>D503-(2*(H503+F503))</f>
        <v/>
      </c>
      <c r="J503" s="125">
        <f>D503/10 * F503/10 + 2*(E503/10 * G503/10)</f>
        <v/>
      </c>
      <c r="K503" s="125">
        <f>(E503/2)/F503</f>
        <v/>
      </c>
      <c r="L503" s="125">
        <f>I503/G503</f>
        <v/>
      </c>
      <c r="M503" s="125">
        <f>(E503*2+F503*4+((E503-G503)/2-H503)*4+2*PI()*H503+(D503-2*F503-2*H503)*2)/1000</f>
        <v/>
      </c>
      <c r="N503" s="5" t="n">
        <v>731000</v>
      </c>
      <c r="O503" s="5" t="n">
        <v>38500</v>
      </c>
      <c r="P503" s="125" t="n">
        <v>38.9</v>
      </c>
      <c r="Q503" s="125" t="n">
        <v>8.9</v>
      </c>
      <c r="R503" s="5" t="n">
        <v>15400</v>
      </c>
      <c r="S503" s="5" t="n">
        <v>1920</v>
      </c>
      <c r="T503" s="5" t="n">
        <v>17500</v>
      </c>
      <c r="U503" s="5" t="n">
        <v>2990</v>
      </c>
      <c r="Y503">
        <f>SQRT((((VLOOKUP($X$4,$A$4:$D$1021,4,FALSE))-D503)^2)+(((VLOOKUP($X$4,$A$4:$E$1021,5,FALSE))-E503)^2))</f>
        <v/>
      </c>
    </row>
    <row r="504">
      <c r="A504" s="125" t="inlineStr">
        <is>
          <t>HY950X356</t>
        </is>
      </c>
      <c r="B504" s="129" t="inlineStr">
        <is>
          <t>HY</t>
        </is>
      </c>
      <c r="C504" s="125" t="n">
        <v>356</v>
      </c>
      <c r="D504" s="125" t="n">
        <v>950</v>
      </c>
      <c r="E504" s="125" t="n">
        <v>400</v>
      </c>
      <c r="F504" s="125" t="n">
        <v>32</v>
      </c>
      <c r="G504" s="125" t="n">
        <v>22</v>
      </c>
      <c r="H504" s="125" t="n">
        <v>18</v>
      </c>
      <c r="I504" s="125">
        <f>D504-(2*(H504+F504))</f>
        <v/>
      </c>
      <c r="J504" s="125">
        <f>D504/10 * F504/10 + 2*(E504/10 * G504/10)</f>
        <v/>
      </c>
      <c r="K504" s="125">
        <f>(E504/2)/F504</f>
        <v/>
      </c>
      <c r="L504" s="125">
        <f>I504/G504</f>
        <v/>
      </c>
      <c r="M504" s="125">
        <f>(E504*2+F504*4+((E504-G504)/2-H504)*4+2*PI()*H504+(D504-2*F504-2*H504)*2)/1000</f>
        <v/>
      </c>
      <c r="N504" s="5" t="n">
        <v>672000</v>
      </c>
      <c r="O504" s="5" t="n">
        <v>34200</v>
      </c>
      <c r="P504" s="125" t="n">
        <v>38.5</v>
      </c>
      <c r="Q504" s="125" t="n">
        <v>8.699999999999999</v>
      </c>
      <c r="R504" s="5" t="n">
        <v>14200</v>
      </c>
      <c r="S504" s="5" t="n">
        <v>1710</v>
      </c>
      <c r="T504" s="5" t="n">
        <v>16200</v>
      </c>
      <c r="U504" s="5" t="n">
        <v>2670</v>
      </c>
      <c r="Y504">
        <f>SQRT((((VLOOKUP($X$4,$A$4:$D$1021,4,FALSE))-D504)^2)+(((VLOOKUP($X$4,$A$4:$E$1021,5,FALSE))-E504)^2))</f>
        <v/>
      </c>
    </row>
    <row r="505">
      <c r="A505" s="125" t="inlineStr">
        <is>
          <t>HY950X332</t>
        </is>
      </c>
      <c r="B505" s="129" t="inlineStr">
        <is>
          <t>HY</t>
        </is>
      </c>
      <c r="C505" s="125" t="n">
        <v>332</v>
      </c>
      <c r="D505" s="125" t="n">
        <v>950</v>
      </c>
      <c r="E505" s="125" t="n">
        <v>400</v>
      </c>
      <c r="F505" s="125" t="n">
        <v>28</v>
      </c>
      <c r="G505" s="125" t="n">
        <v>22</v>
      </c>
      <c r="H505" s="125" t="n">
        <v>18</v>
      </c>
      <c r="I505" s="125">
        <f>D505-(2*(H505+F505))</f>
        <v/>
      </c>
      <c r="J505" s="125">
        <f>D505/10 * F505/10 + 2*(E505/10 * G505/10)</f>
        <v/>
      </c>
      <c r="K505" s="125">
        <f>(E505/2)/F505</f>
        <v/>
      </c>
      <c r="L505" s="125">
        <f>I505/G505</f>
        <v/>
      </c>
      <c r="M505" s="125">
        <f>(E505*2+F505*4+((E505-G505)/2-H505)*4+2*PI()*H505+(D505-2*F505-2*H505)*2)/1000</f>
        <v/>
      </c>
      <c r="N505" s="5" t="n">
        <v>613000</v>
      </c>
      <c r="O505" s="5" t="n">
        <v>30000</v>
      </c>
      <c r="P505" s="125" t="n">
        <v>38</v>
      </c>
      <c r="Q505" s="125" t="n">
        <v>8.4</v>
      </c>
      <c r="R505" s="5" t="n">
        <v>12900</v>
      </c>
      <c r="S505" s="5" t="n">
        <v>1500</v>
      </c>
      <c r="T505" s="5" t="n">
        <v>14800</v>
      </c>
      <c r="U505" s="5" t="n">
        <v>2350</v>
      </c>
      <c r="Y505">
        <f>SQRT((((VLOOKUP($X$4,$A$4:$D$1021,4,FALSE))-D505)^2)+(((VLOOKUP($X$4,$A$4:$E$1021,5,FALSE))-E505)^2))</f>
        <v/>
      </c>
    </row>
    <row r="506">
      <c r="A506" s="125" t="inlineStr">
        <is>
          <t>HY950X383</t>
        </is>
      </c>
      <c r="B506" s="129" t="inlineStr">
        <is>
          <t>HY</t>
        </is>
      </c>
      <c r="C506" s="125" t="n">
        <v>383</v>
      </c>
      <c r="D506" s="125" t="n">
        <v>950</v>
      </c>
      <c r="E506" s="125" t="n">
        <v>400</v>
      </c>
      <c r="F506" s="125" t="n">
        <v>40</v>
      </c>
      <c r="G506" s="125" t="n">
        <v>19</v>
      </c>
      <c r="H506" s="125" t="n">
        <v>18</v>
      </c>
      <c r="I506" s="125">
        <f>D506-(2*(H506+F506))</f>
        <v/>
      </c>
      <c r="J506" s="125">
        <f>D506/10 * F506/10 + 2*(E506/10 * G506/10)</f>
        <v/>
      </c>
      <c r="K506" s="125">
        <f>(E506/2)/F506</f>
        <v/>
      </c>
      <c r="L506" s="125">
        <f>I506/G506</f>
        <v/>
      </c>
      <c r="M506" s="125">
        <f>(E506*2+F506*4+((E506-G506)/2-H506)*4+2*PI()*H506+(D506-2*F506-2*H506)*2)/1000</f>
        <v/>
      </c>
      <c r="N506" s="5" t="n">
        <v>772000</v>
      </c>
      <c r="O506" s="5" t="n">
        <v>42700</v>
      </c>
      <c r="P506" s="125" t="n">
        <v>39.8</v>
      </c>
      <c r="Q506" s="125" t="n">
        <v>9.4</v>
      </c>
      <c r="R506" s="5" t="n">
        <v>16300</v>
      </c>
      <c r="S506" s="5" t="n">
        <v>2140</v>
      </c>
      <c r="T506" s="5" t="n">
        <v>18300</v>
      </c>
      <c r="U506" s="5" t="n">
        <v>3280</v>
      </c>
      <c r="Y506">
        <f>SQRT((((VLOOKUP($X$4,$A$4:$D$1021,4,FALSE))-D506)^2)+(((VLOOKUP($X$4,$A$4:$E$1021,5,FALSE))-E506)^2))</f>
        <v/>
      </c>
    </row>
    <row r="507">
      <c r="A507" s="125" t="inlineStr">
        <is>
          <t>HY950X359</t>
        </is>
      </c>
      <c r="B507" s="129" t="inlineStr">
        <is>
          <t>HY</t>
        </is>
      </c>
      <c r="C507" s="125" t="n">
        <v>359</v>
      </c>
      <c r="D507" s="125" t="n">
        <v>950</v>
      </c>
      <c r="E507" s="125" t="n">
        <v>400</v>
      </c>
      <c r="F507" s="125" t="n">
        <v>36</v>
      </c>
      <c r="G507" s="125" t="n">
        <v>19</v>
      </c>
      <c r="H507" s="125" t="n">
        <v>18</v>
      </c>
      <c r="I507" s="125">
        <f>D507-(2*(H507+F507))</f>
        <v/>
      </c>
      <c r="J507" s="125">
        <f>D507/10 * F507/10 + 2*(E507/10 * G507/10)</f>
        <v/>
      </c>
      <c r="K507" s="125">
        <f>(E507/2)/F507</f>
        <v/>
      </c>
      <c r="L507" s="125">
        <f>I507/G507</f>
        <v/>
      </c>
      <c r="M507" s="125">
        <f>(E507*2+F507*4+((E507-G507)/2-H507)*4+2*PI()*H507+(D507-2*F507-2*H507)*2)/1000</f>
        <v/>
      </c>
      <c r="N507" s="5" t="n">
        <v>714000</v>
      </c>
      <c r="O507" s="5" t="n">
        <v>38500</v>
      </c>
      <c r="P507" s="125" t="n">
        <v>39.5</v>
      </c>
      <c r="Q507" s="125" t="n">
        <v>9.199999999999999</v>
      </c>
      <c r="R507" s="5" t="n">
        <v>15000</v>
      </c>
      <c r="S507" s="5" t="n">
        <v>1920</v>
      </c>
      <c r="T507" s="5" t="n">
        <v>16900</v>
      </c>
      <c r="U507" s="5" t="n">
        <v>2960</v>
      </c>
      <c r="Y507">
        <f>SQRT((((VLOOKUP($X$4,$A$4:$D$1021,4,FALSE))-D507)^2)+(((VLOOKUP($X$4,$A$4:$E$1021,5,FALSE))-E507)^2))</f>
        <v/>
      </c>
    </row>
    <row r="508">
      <c r="A508" s="125" t="inlineStr">
        <is>
          <t>HY950X335</t>
        </is>
      </c>
      <c r="B508" s="129" t="inlineStr">
        <is>
          <t>HY</t>
        </is>
      </c>
      <c r="C508" s="125" t="n">
        <v>335</v>
      </c>
      <c r="D508" s="125" t="n">
        <v>950</v>
      </c>
      <c r="E508" s="125" t="n">
        <v>400</v>
      </c>
      <c r="F508" s="125" t="n">
        <v>32</v>
      </c>
      <c r="G508" s="125" t="n">
        <v>19</v>
      </c>
      <c r="H508" s="125" t="n">
        <v>18</v>
      </c>
      <c r="I508" s="125">
        <f>D508-(2*(H508+F508))</f>
        <v/>
      </c>
      <c r="J508" s="125">
        <f>D508/10 * F508/10 + 2*(E508/10 * G508/10)</f>
        <v/>
      </c>
      <c r="K508" s="125">
        <f>(E508/2)/F508</f>
        <v/>
      </c>
      <c r="L508" s="125">
        <f>I508/G508</f>
        <v/>
      </c>
      <c r="M508" s="125">
        <f>(E508*2+F508*4+((E508-G508)/2-H508)*4+2*PI()*H508+(D508-2*F508-2*H508)*2)/1000</f>
        <v/>
      </c>
      <c r="N508" s="5" t="n">
        <v>655000</v>
      </c>
      <c r="O508" s="5" t="n">
        <v>34200</v>
      </c>
      <c r="P508" s="125" t="n">
        <v>39.2</v>
      </c>
      <c r="Q508" s="125" t="n">
        <v>9</v>
      </c>
      <c r="R508" s="5" t="n">
        <v>13800</v>
      </c>
      <c r="S508" s="5" t="n">
        <v>1710</v>
      </c>
      <c r="T508" s="5" t="n">
        <v>15600</v>
      </c>
      <c r="U508" s="5" t="n">
        <v>2640</v>
      </c>
      <c r="Y508">
        <f>SQRT((((VLOOKUP($X$4,$A$4:$D$1021,4,FALSE))-D508)^2)+(((VLOOKUP($X$4,$A$4:$E$1021,5,FALSE))-E508)^2))</f>
        <v/>
      </c>
    </row>
    <row r="509">
      <c r="A509" s="125" t="inlineStr">
        <is>
          <t>HY950X311</t>
        </is>
      </c>
      <c r="B509" s="129" t="inlineStr">
        <is>
          <t>HY</t>
        </is>
      </c>
      <c r="C509" s="125" t="n">
        <v>311</v>
      </c>
      <c r="D509" s="125" t="n">
        <v>950</v>
      </c>
      <c r="E509" s="125" t="n">
        <v>400</v>
      </c>
      <c r="F509" s="125" t="n">
        <v>28</v>
      </c>
      <c r="G509" s="125" t="n">
        <v>19</v>
      </c>
      <c r="H509" s="125" t="n">
        <v>18</v>
      </c>
      <c r="I509" s="125">
        <f>D509-(2*(H509+F509))</f>
        <v/>
      </c>
      <c r="J509" s="125">
        <f>D509/10 * F509/10 + 2*(E509/10 * G509/10)</f>
        <v/>
      </c>
      <c r="K509" s="125">
        <f>(E509/2)/F509</f>
        <v/>
      </c>
      <c r="L509" s="125">
        <f>I509/G509</f>
        <v/>
      </c>
      <c r="M509" s="125">
        <f>(E509*2+F509*4+((E509-G509)/2-H509)*4+2*PI()*H509+(D509-2*F509-2*H509)*2)/1000</f>
        <v/>
      </c>
      <c r="N509" s="5" t="n">
        <v>595000</v>
      </c>
      <c r="O509" s="5" t="n">
        <v>29900</v>
      </c>
      <c r="P509" s="125" t="n">
        <v>38.7</v>
      </c>
      <c r="Q509" s="125" t="n">
        <v>8.699999999999999</v>
      </c>
      <c r="R509" s="5" t="n">
        <v>12500</v>
      </c>
      <c r="S509" s="5" t="n">
        <v>1500</v>
      </c>
      <c r="T509" s="5" t="n">
        <v>14200</v>
      </c>
      <c r="U509" s="5" t="n">
        <v>2320</v>
      </c>
      <c r="Y509">
        <f>SQRT((((VLOOKUP($X$4,$A$4:$D$1021,4,FALSE))-D509)^2)+(((VLOOKUP($X$4,$A$4:$E$1021,5,FALSE))-E509)^2))</f>
        <v/>
      </c>
    </row>
    <row r="510">
      <c r="A510" s="125" t="inlineStr">
        <is>
          <t>HY950X293</t>
        </is>
      </c>
      <c r="B510" s="129" t="inlineStr">
        <is>
          <t>HY</t>
        </is>
      </c>
      <c r="C510" s="125" t="n">
        <v>293</v>
      </c>
      <c r="D510" s="125" t="n">
        <v>950</v>
      </c>
      <c r="E510" s="125" t="n">
        <v>400</v>
      </c>
      <c r="F510" s="125" t="n">
        <v>25</v>
      </c>
      <c r="G510" s="125" t="n">
        <v>19</v>
      </c>
      <c r="H510" s="125" t="n">
        <v>18</v>
      </c>
      <c r="I510" s="125">
        <f>D510-(2*(H510+F510))</f>
        <v/>
      </c>
      <c r="J510" s="125">
        <f>D510/10 * F510/10 + 2*(E510/10 * G510/10)</f>
        <v/>
      </c>
      <c r="K510" s="125">
        <f>(E510/2)/F510</f>
        <v/>
      </c>
      <c r="L510" s="125">
        <f>I510/G510</f>
        <v/>
      </c>
      <c r="M510" s="125">
        <f>(E510*2+F510*4+((E510-G510)/2-H510)*4+2*PI()*H510+(D510-2*F510-2*H510)*2)/1000</f>
        <v/>
      </c>
      <c r="N510" s="5" t="n">
        <v>549000</v>
      </c>
      <c r="O510" s="5" t="n">
        <v>26700</v>
      </c>
      <c r="P510" s="125" t="n">
        <v>38.3</v>
      </c>
      <c r="Q510" s="125" t="n">
        <v>8.5</v>
      </c>
      <c r="R510" s="5" t="n">
        <v>11600</v>
      </c>
      <c r="S510" s="5" t="n">
        <v>1340</v>
      </c>
      <c r="T510" s="5" t="n">
        <v>13200</v>
      </c>
      <c r="U510" s="5" t="n">
        <v>2080</v>
      </c>
      <c r="Y510">
        <f>SQRT((((VLOOKUP($X$4,$A$4:$D$1021,4,FALSE))-D510)^2)+(((VLOOKUP($X$4,$A$4:$E$1021,5,FALSE))-E510)^2))</f>
        <v/>
      </c>
    </row>
    <row r="511">
      <c r="A511" s="125" t="inlineStr">
        <is>
          <t>HY950X339</t>
        </is>
      </c>
      <c r="B511" s="129" t="inlineStr">
        <is>
          <t>HY</t>
        </is>
      </c>
      <c r="C511" s="125" t="n">
        <v>339</v>
      </c>
      <c r="D511" s="125" t="n">
        <v>950</v>
      </c>
      <c r="E511" s="125" t="n">
        <v>400</v>
      </c>
      <c r="F511" s="125" t="n">
        <v>36</v>
      </c>
      <c r="G511" s="125" t="n">
        <v>16</v>
      </c>
      <c r="H511" s="125" t="n">
        <v>18</v>
      </c>
      <c r="I511" s="125">
        <f>D511-(2*(H511+F511))</f>
        <v/>
      </c>
      <c r="J511" s="125">
        <f>D511/10 * F511/10 + 2*(E511/10 * G511/10)</f>
        <v/>
      </c>
      <c r="K511" s="125">
        <f>(E511/2)/F511</f>
        <v/>
      </c>
      <c r="L511" s="125">
        <f>I511/G511</f>
        <v/>
      </c>
      <c r="M511" s="125">
        <f>(E511*2+F511*4+((E511-G511)/2-H511)*4+2*PI()*H511+(D511-2*F511-2*H511)*2)/1000</f>
        <v/>
      </c>
      <c r="N511" s="5" t="n">
        <v>697000</v>
      </c>
      <c r="O511" s="5" t="n">
        <v>38400</v>
      </c>
      <c r="P511" s="125" t="n">
        <v>40.2</v>
      </c>
      <c r="Q511" s="125" t="n">
        <v>9.4</v>
      </c>
      <c r="R511" s="5" t="n">
        <v>14700</v>
      </c>
      <c r="S511" s="5" t="n">
        <v>1920</v>
      </c>
      <c r="T511" s="5" t="n">
        <v>16400</v>
      </c>
      <c r="U511" s="5" t="n">
        <v>2940</v>
      </c>
      <c r="Y511">
        <f>SQRT((((VLOOKUP($X$4,$A$4:$D$1021,4,FALSE))-D511)^2)+(((VLOOKUP($X$4,$A$4:$E$1021,5,FALSE))-E511)^2))</f>
        <v/>
      </c>
    </row>
    <row r="512">
      <c r="A512" s="125" t="inlineStr">
        <is>
          <t>HY950X314</t>
        </is>
      </c>
      <c r="B512" s="129" t="inlineStr">
        <is>
          <t>HY</t>
        </is>
      </c>
      <c r="C512" s="125" t="n">
        <v>314</v>
      </c>
      <c r="D512" s="125" t="n">
        <v>950</v>
      </c>
      <c r="E512" s="125" t="n">
        <v>400</v>
      </c>
      <c r="F512" s="125" t="n">
        <v>32</v>
      </c>
      <c r="G512" s="125" t="n">
        <v>16</v>
      </c>
      <c r="H512" s="125" t="n">
        <v>18</v>
      </c>
      <c r="I512" s="125">
        <f>D512-(2*(H512+F512))</f>
        <v/>
      </c>
      <c r="J512" s="125">
        <f>D512/10 * F512/10 + 2*(E512/10 * G512/10)</f>
        <v/>
      </c>
      <c r="K512" s="125">
        <f>(E512/2)/F512</f>
        <v/>
      </c>
      <c r="L512" s="125">
        <f>I512/G512</f>
        <v/>
      </c>
      <c r="M512" s="125">
        <f>(E512*2+F512*4+((E512-G512)/2-H512)*4+2*PI()*H512+(D512-2*F512-2*H512)*2)/1000</f>
        <v/>
      </c>
      <c r="N512" s="5" t="n">
        <v>638000</v>
      </c>
      <c r="O512" s="5" t="n">
        <v>34200</v>
      </c>
      <c r="P512" s="125" t="n">
        <v>39.9</v>
      </c>
      <c r="Q512" s="125" t="n">
        <v>9.199999999999999</v>
      </c>
      <c r="R512" s="5" t="n">
        <v>13400</v>
      </c>
      <c r="S512" s="5" t="n">
        <v>1710</v>
      </c>
      <c r="T512" s="5" t="n">
        <v>15000</v>
      </c>
      <c r="U512" s="5" t="n">
        <v>2620</v>
      </c>
      <c r="Y512">
        <f>SQRT((((VLOOKUP($X$4,$A$4:$D$1021,4,FALSE))-D512)^2)+(((VLOOKUP($X$4,$A$4:$E$1021,5,FALSE))-E512)^2))</f>
        <v/>
      </c>
    </row>
    <row r="513">
      <c r="A513" s="125" t="inlineStr">
        <is>
          <t>HY950X290</t>
        </is>
      </c>
      <c r="B513" s="129" t="inlineStr">
        <is>
          <t>HY</t>
        </is>
      </c>
      <c r="C513" s="125" t="n">
        <v>290</v>
      </c>
      <c r="D513" s="125" t="n">
        <v>950</v>
      </c>
      <c r="E513" s="125" t="n">
        <v>400</v>
      </c>
      <c r="F513" s="125" t="n">
        <v>28</v>
      </c>
      <c r="G513" s="125" t="n">
        <v>16</v>
      </c>
      <c r="H513" s="125" t="n">
        <v>18</v>
      </c>
      <c r="I513" s="125">
        <f>D513-(2*(H513+F513))</f>
        <v/>
      </c>
      <c r="J513" s="125">
        <f>D513/10 * F513/10 + 2*(E513/10 * G513/10)</f>
        <v/>
      </c>
      <c r="K513" s="125">
        <f>(E513/2)/F513</f>
        <v/>
      </c>
      <c r="L513" s="125">
        <f>I513/G513</f>
        <v/>
      </c>
      <c r="M513" s="125">
        <f>(E513*2+F513*4+((E513-G513)/2-H513)*4+2*PI()*H513+(D513-2*F513-2*H513)*2)/1000</f>
        <v/>
      </c>
      <c r="N513" s="5" t="n">
        <v>577000</v>
      </c>
      <c r="O513" s="5" t="n">
        <v>29900</v>
      </c>
      <c r="P513" s="125" t="n">
        <v>39.5</v>
      </c>
      <c r="Q513" s="125" t="n">
        <v>9</v>
      </c>
      <c r="R513" s="5" t="n">
        <v>12100</v>
      </c>
      <c r="S513" s="5" t="n">
        <v>1500</v>
      </c>
      <c r="T513" s="5" t="n">
        <v>13600</v>
      </c>
      <c r="U513" s="5" t="n">
        <v>2300</v>
      </c>
      <c r="Y513">
        <f>SQRT((((VLOOKUP($X$4,$A$4:$D$1021,4,FALSE))-D513)^2)+(((VLOOKUP($X$4,$A$4:$E$1021,5,FALSE))-E513)^2))</f>
        <v/>
      </c>
    </row>
    <row r="514">
      <c r="A514" s="125" t="inlineStr">
        <is>
          <t>HY950X272</t>
        </is>
      </c>
      <c r="B514" s="129" t="inlineStr">
        <is>
          <t>HY</t>
        </is>
      </c>
      <c r="C514" s="125" t="n">
        <v>272</v>
      </c>
      <c r="D514" s="125" t="n">
        <v>950</v>
      </c>
      <c r="E514" s="125" t="n">
        <v>400</v>
      </c>
      <c r="F514" s="125" t="n">
        <v>25</v>
      </c>
      <c r="G514" s="125" t="n">
        <v>16</v>
      </c>
      <c r="H514" s="125" t="n">
        <v>18</v>
      </c>
      <c r="I514" s="125">
        <f>D514-(2*(H514+F514))</f>
        <v/>
      </c>
      <c r="J514" s="125">
        <f>D514/10 * F514/10 + 2*(E514/10 * G514/10)</f>
        <v/>
      </c>
      <c r="K514" s="125">
        <f>(E514/2)/F514</f>
        <v/>
      </c>
      <c r="L514" s="125">
        <f>I514/G514</f>
        <v/>
      </c>
      <c r="M514" s="125">
        <f>(E514*2+F514*4+((E514-G514)/2-H514)*4+2*PI()*H514+(D514-2*F514-2*H514)*2)/1000</f>
        <v/>
      </c>
      <c r="N514" s="5" t="n">
        <v>531000</v>
      </c>
      <c r="O514" s="5" t="n">
        <v>26700</v>
      </c>
      <c r="P514" s="125" t="n">
        <v>39.1</v>
      </c>
      <c r="Q514" s="125" t="n">
        <v>8.800000000000001</v>
      </c>
      <c r="R514" s="5" t="n">
        <v>11200</v>
      </c>
      <c r="S514" s="5" t="n">
        <v>1340</v>
      </c>
      <c r="T514" s="5" t="n">
        <v>12600</v>
      </c>
      <c r="U514" s="5" t="n">
        <v>2060</v>
      </c>
      <c r="Y514">
        <f>SQRT((((VLOOKUP($X$4,$A$4:$D$1021,4,FALSE))-D514)^2)+(((VLOOKUP($X$4,$A$4:$E$1021,5,FALSE))-E514)^2))</f>
        <v/>
      </c>
    </row>
    <row r="515">
      <c r="A515" s="125" t="inlineStr">
        <is>
          <t>HY950X254</t>
        </is>
      </c>
      <c r="B515" s="129" t="inlineStr">
        <is>
          <t>HY</t>
        </is>
      </c>
      <c r="C515" s="125" t="n">
        <v>254</v>
      </c>
      <c r="D515" s="125" t="n">
        <v>950</v>
      </c>
      <c r="E515" s="125" t="n">
        <v>400</v>
      </c>
      <c r="F515" s="125" t="n">
        <v>22</v>
      </c>
      <c r="G515" s="125" t="n">
        <v>16</v>
      </c>
      <c r="H515" s="125" t="n">
        <v>18</v>
      </c>
      <c r="I515" s="125">
        <f>D515-(2*(H515+F515))</f>
        <v/>
      </c>
      <c r="J515" s="125">
        <f>D515/10 * F515/10 + 2*(E515/10 * G515/10)</f>
        <v/>
      </c>
      <c r="K515" s="125">
        <f>(E515/2)/F515</f>
        <v/>
      </c>
      <c r="L515" s="125">
        <f>I515/G515</f>
        <v/>
      </c>
      <c r="M515" s="125">
        <f>(E515*2+F515*4+((E515-G515)/2-H515)*4+2*PI()*H515+(D515-2*F515-2*H515)*2)/1000</f>
        <v/>
      </c>
      <c r="N515" s="5" t="n">
        <v>484000</v>
      </c>
      <c r="O515" s="5" t="n">
        <v>23500</v>
      </c>
      <c r="P515" s="125" t="n">
        <v>38.7</v>
      </c>
      <c r="Q515" s="125" t="n">
        <v>8.5</v>
      </c>
      <c r="R515" s="5" t="n">
        <v>10200</v>
      </c>
      <c r="S515" s="5" t="n">
        <v>1180</v>
      </c>
      <c r="T515" s="5" t="n">
        <v>11600</v>
      </c>
      <c r="U515" s="5" t="n">
        <v>1820</v>
      </c>
      <c r="Y515">
        <f>SQRT((((VLOOKUP($X$4,$A$4:$D$1021,4,FALSE))-D515)^2)+(((VLOOKUP($X$4,$A$4:$E$1021,5,FALSE))-E515)^2))</f>
        <v/>
      </c>
    </row>
    <row r="516">
      <c r="A516" s="125" t="inlineStr">
        <is>
          <t>HY950X372</t>
        </is>
      </c>
      <c r="B516" s="129" t="inlineStr">
        <is>
          <t>HY</t>
        </is>
      </c>
      <c r="C516" s="125" t="n">
        <v>372</v>
      </c>
      <c r="D516" s="125" t="n">
        <v>950</v>
      </c>
      <c r="E516" s="125" t="n">
        <v>350</v>
      </c>
      <c r="F516" s="125" t="n">
        <v>40</v>
      </c>
      <c r="G516" s="125" t="n">
        <v>22</v>
      </c>
      <c r="H516" s="125" t="n">
        <v>18</v>
      </c>
      <c r="I516" s="125">
        <f>D516-(2*(H516+F516))</f>
        <v/>
      </c>
      <c r="J516" s="125">
        <f>D516/10 * F516/10 + 2*(E516/10 * G516/10)</f>
        <v/>
      </c>
      <c r="K516" s="125">
        <f>(E516/2)/F516</f>
        <v/>
      </c>
      <c r="L516" s="125">
        <f>I516/G516</f>
        <v/>
      </c>
      <c r="M516" s="125">
        <f>(E516*2+F516*4+((E516-G516)/2-H516)*4+2*PI()*H516+(D516-2*F516-2*H516)*2)/1000</f>
        <v/>
      </c>
      <c r="N516" s="5" t="n">
        <v>706000</v>
      </c>
      <c r="O516" s="5" t="n">
        <v>28700</v>
      </c>
      <c r="P516" s="125" t="n">
        <v>38.6</v>
      </c>
      <c r="Q516" s="125" t="n">
        <v>7.8</v>
      </c>
      <c r="R516" s="5" t="n">
        <v>14900</v>
      </c>
      <c r="S516" s="5" t="n">
        <v>1640</v>
      </c>
      <c r="T516" s="5" t="n">
        <v>17000</v>
      </c>
      <c r="U516" s="5" t="n">
        <v>2560</v>
      </c>
      <c r="Y516">
        <f>SQRT((((VLOOKUP($X$4,$A$4:$D$1021,4,FALSE))-D516)^2)+(((VLOOKUP($X$4,$A$4:$E$1021,5,FALSE))-E516)^2))</f>
        <v/>
      </c>
    </row>
    <row r="517">
      <c r="A517" s="125" t="inlineStr">
        <is>
          <t>HY950X352</t>
        </is>
      </c>
      <c r="B517" s="129" t="inlineStr">
        <is>
          <t>HY</t>
        </is>
      </c>
      <c r="C517" s="125" t="n">
        <v>352</v>
      </c>
      <c r="D517" s="125" t="n">
        <v>950</v>
      </c>
      <c r="E517" s="125" t="n">
        <v>350</v>
      </c>
      <c r="F517" s="125" t="n">
        <v>36</v>
      </c>
      <c r="G517" s="125" t="n">
        <v>22</v>
      </c>
      <c r="H517" s="125" t="n">
        <v>18</v>
      </c>
      <c r="I517" s="125">
        <f>D517-(2*(H517+F517))</f>
        <v/>
      </c>
      <c r="J517" s="125">
        <f>D517/10 * F517/10 + 2*(E517/10 * G517/10)</f>
        <v/>
      </c>
      <c r="K517" s="125">
        <f>(E517/2)/F517</f>
        <v/>
      </c>
      <c r="L517" s="125">
        <f>I517/G517</f>
        <v/>
      </c>
      <c r="M517" s="125">
        <f>(E517*2+F517*4+((E517-G517)/2-H517)*4+2*PI()*H517+(D517-2*F517-2*H517)*2)/1000</f>
        <v/>
      </c>
      <c r="N517" s="5" t="n">
        <v>656000</v>
      </c>
      <c r="O517" s="5" t="n">
        <v>25800</v>
      </c>
      <c r="P517" s="125" t="n">
        <v>38.3</v>
      </c>
      <c r="Q517" s="125" t="n">
        <v>7.6</v>
      </c>
      <c r="R517" s="5" t="n">
        <v>13800</v>
      </c>
      <c r="S517" s="5" t="n">
        <v>1470</v>
      </c>
      <c r="T517" s="5" t="n">
        <v>15900</v>
      </c>
      <c r="U517" s="5" t="n">
        <v>2320</v>
      </c>
      <c r="Y517">
        <f>SQRT((((VLOOKUP($X$4,$A$4:$D$1021,4,FALSE))-D517)^2)+(((VLOOKUP($X$4,$A$4:$E$1021,5,FALSE))-E517)^2))</f>
        <v/>
      </c>
    </row>
    <row r="518">
      <c r="A518" s="125" t="inlineStr">
        <is>
          <t>HY950X331</t>
        </is>
      </c>
      <c r="B518" s="129" t="inlineStr">
        <is>
          <t>HY</t>
        </is>
      </c>
      <c r="C518" s="125" t="n">
        <v>331</v>
      </c>
      <c r="D518" s="125" t="n">
        <v>950</v>
      </c>
      <c r="E518" s="125" t="n">
        <v>350</v>
      </c>
      <c r="F518" s="125" t="n">
        <v>32</v>
      </c>
      <c r="G518" s="125" t="n">
        <v>22</v>
      </c>
      <c r="H518" s="125" t="n">
        <v>18</v>
      </c>
      <c r="I518" s="125">
        <f>D518-(2*(H518+F518))</f>
        <v/>
      </c>
      <c r="J518" s="125">
        <f>D518/10 * F518/10 + 2*(E518/10 * G518/10)</f>
        <v/>
      </c>
      <c r="K518" s="125">
        <f>(E518/2)/F518</f>
        <v/>
      </c>
      <c r="L518" s="125">
        <f>I518/G518</f>
        <v/>
      </c>
      <c r="M518" s="125">
        <f>(E518*2+F518*4+((E518-G518)/2-H518)*4+2*PI()*H518+(D518-2*F518-2*H518)*2)/1000</f>
        <v/>
      </c>
      <c r="N518" s="5" t="n">
        <v>605000</v>
      </c>
      <c r="O518" s="5" t="n">
        <v>23000</v>
      </c>
      <c r="P518" s="125" t="n">
        <v>37.9</v>
      </c>
      <c r="Q518" s="125" t="n">
        <v>7.4</v>
      </c>
      <c r="R518" s="5" t="n">
        <v>12700</v>
      </c>
      <c r="S518" s="5" t="n">
        <v>1310</v>
      </c>
      <c r="T518" s="5" t="n">
        <v>14700</v>
      </c>
      <c r="U518" s="5" t="n">
        <v>2070</v>
      </c>
      <c r="Y518">
        <f>SQRT((((VLOOKUP($X$4,$A$4:$D$1021,4,FALSE))-D518)^2)+(((VLOOKUP($X$4,$A$4:$E$1021,5,FALSE))-E518)^2))</f>
        <v/>
      </c>
    </row>
    <row r="519">
      <c r="A519" s="125" t="inlineStr">
        <is>
          <t>HY950X310</t>
        </is>
      </c>
      <c r="B519" s="129" t="inlineStr">
        <is>
          <t>HY</t>
        </is>
      </c>
      <c r="C519" s="125" t="n">
        <v>310</v>
      </c>
      <c r="D519" s="125" t="n">
        <v>950</v>
      </c>
      <c r="E519" s="125" t="n">
        <v>350</v>
      </c>
      <c r="F519" s="125" t="n">
        <v>28</v>
      </c>
      <c r="G519" s="125" t="n">
        <v>22</v>
      </c>
      <c r="H519" s="125" t="n">
        <v>18</v>
      </c>
      <c r="I519" s="125">
        <f>D519-(2*(H519+F519))</f>
        <v/>
      </c>
      <c r="J519" s="125">
        <f>D519/10 * F519/10 + 2*(E519/10 * G519/10)</f>
        <v/>
      </c>
      <c r="K519" s="125">
        <f>(E519/2)/F519</f>
        <v/>
      </c>
      <c r="L519" s="125">
        <f>I519/G519</f>
        <v/>
      </c>
      <c r="M519" s="125">
        <f>(E519*2+F519*4+((E519-G519)/2-H519)*4+2*PI()*H519+(D519-2*F519-2*H519)*2)/1000</f>
        <v/>
      </c>
      <c r="N519" s="5" t="n">
        <v>553000</v>
      </c>
      <c r="O519" s="5" t="n">
        <v>20100</v>
      </c>
      <c r="P519" s="125" t="n">
        <v>37.4</v>
      </c>
      <c r="Q519" s="125" t="n">
        <v>7.1</v>
      </c>
      <c r="R519" s="5" t="n">
        <v>11600</v>
      </c>
      <c r="S519" s="5" t="n">
        <v>1150</v>
      </c>
      <c r="T519" s="5" t="n">
        <v>13600</v>
      </c>
      <c r="U519" s="5" t="n">
        <v>1830</v>
      </c>
      <c r="Y519">
        <f>SQRT((((VLOOKUP($X$4,$A$4:$D$1021,4,FALSE))-D519)^2)+(((VLOOKUP($X$4,$A$4:$E$1021,5,FALSE))-E519)^2))</f>
        <v/>
      </c>
    </row>
    <row r="520">
      <c r="A520" s="125" t="inlineStr">
        <is>
          <t>HY950X352</t>
        </is>
      </c>
      <c r="B520" s="129" t="inlineStr">
        <is>
          <t>HY</t>
        </is>
      </c>
      <c r="C520" s="125" t="n">
        <v>352</v>
      </c>
      <c r="D520" s="125" t="n">
        <v>950</v>
      </c>
      <c r="E520" s="125" t="n">
        <v>350</v>
      </c>
      <c r="F520" s="125" t="n">
        <v>40</v>
      </c>
      <c r="G520" s="125" t="n">
        <v>19</v>
      </c>
      <c r="H520" s="125" t="n">
        <v>18</v>
      </c>
      <c r="I520" s="125">
        <f>D520-(2*(H520+F520))</f>
        <v/>
      </c>
      <c r="J520" s="125">
        <f>D520/10 * F520/10 + 2*(E520/10 * G520/10)</f>
        <v/>
      </c>
      <c r="K520" s="125">
        <f>(E520/2)/F520</f>
        <v/>
      </c>
      <c r="L520" s="125">
        <f>I520/G520</f>
        <v/>
      </c>
      <c r="M520" s="125">
        <f>(E520*2+F520*4+((E520-G520)/2-H520)*4+2*PI()*H520+(D520-2*F520-2*H520)*2)/1000</f>
        <v/>
      </c>
      <c r="N520" s="5" t="n">
        <v>689000</v>
      </c>
      <c r="O520" s="5" t="n">
        <v>28600</v>
      </c>
      <c r="P520" s="125" t="n">
        <v>39.2</v>
      </c>
      <c r="Q520" s="125" t="n">
        <v>8</v>
      </c>
      <c r="R520" s="5" t="n">
        <v>14500</v>
      </c>
      <c r="S520" s="5" t="n">
        <v>1640</v>
      </c>
      <c r="T520" s="5" t="n">
        <v>16500</v>
      </c>
      <c r="U520" s="5" t="n">
        <v>2530</v>
      </c>
      <c r="Y520">
        <f>SQRT((((VLOOKUP($X$4,$A$4:$D$1021,4,FALSE))-D520)^2)+(((VLOOKUP($X$4,$A$4:$E$1021,5,FALSE))-E520)^2))</f>
        <v/>
      </c>
    </row>
    <row r="521">
      <c r="A521" s="125" t="inlineStr">
        <is>
          <t>HY950X331</t>
        </is>
      </c>
      <c r="B521" s="129" t="inlineStr">
        <is>
          <t>HY</t>
        </is>
      </c>
      <c r="C521" s="125" t="n">
        <v>331</v>
      </c>
      <c r="D521" s="125" t="n">
        <v>950</v>
      </c>
      <c r="E521" s="125" t="n">
        <v>350</v>
      </c>
      <c r="F521" s="125" t="n">
        <v>36</v>
      </c>
      <c r="G521" s="125" t="n">
        <v>19</v>
      </c>
      <c r="H521" s="125" t="n">
        <v>18</v>
      </c>
      <c r="I521" s="125">
        <f>D521-(2*(H521+F521))</f>
        <v/>
      </c>
      <c r="J521" s="125">
        <f>D521/10 * F521/10 + 2*(E521/10 * G521/10)</f>
        <v/>
      </c>
      <c r="K521" s="125">
        <f>(E521/2)/F521</f>
        <v/>
      </c>
      <c r="L521" s="125">
        <f>I521/G521</f>
        <v/>
      </c>
      <c r="M521" s="125">
        <f>(E521*2+F521*4+((E521-G521)/2-H521)*4+2*PI()*H521+(D521-2*F521-2*H521)*2)/1000</f>
        <v/>
      </c>
      <c r="N521" s="5" t="n">
        <v>639000</v>
      </c>
      <c r="O521" s="5" t="n">
        <v>25800</v>
      </c>
      <c r="P521" s="125" t="n">
        <v>38.9</v>
      </c>
      <c r="Q521" s="125" t="n">
        <v>7.8</v>
      </c>
      <c r="R521" s="5" t="n">
        <v>13500</v>
      </c>
      <c r="S521" s="5" t="n">
        <v>1470</v>
      </c>
      <c r="T521" s="5" t="n">
        <v>15300</v>
      </c>
      <c r="U521" s="5" t="n">
        <v>2290</v>
      </c>
      <c r="Y521">
        <f>SQRT((((VLOOKUP($X$4,$A$4:$D$1021,4,FALSE))-D521)^2)+(((VLOOKUP($X$4,$A$4:$E$1021,5,FALSE))-E521)^2))</f>
        <v/>
      </c>
    </row>
    <row r="522">
      <c r="A522" s="125" t="inlineStr">
        <is>
          <t>HY950X310</t>
        </is>
      </c>
      <c r="B522" s="129" t="inlineStr">
        <is>
          <t>HY</t>
        </is>
      </c>
      <c r="C522" s="125" t="n">
        <v>310</v>
      </c>
      <c r="D522" s="125" t="n">
        <v>950</v>
      </c>
      <c r="E522" s="125" t="n">
        <v>350</v>
      </c>
      <c r="F522" s="125" t="n">
        <v>32</v>
      </c>
      <c r="G522" s="125" t="n">
        <v>19</v>
      </c>
      <c r="H522" s="125" t="n">
        <v>18</v>
      </c>
      <c r="I522" s="125">
        <f>D522-(2*(H522+F522))</f>
        <v/>
      </c>
      <c r="J522" s="125">
        <f>D522/10 * F522/10 + 2*(E522/10 * G522/10)</f>
        <v/>
      </c>
      <c r="K522" s="125">
        <f>(E522/2)/F522</f>
        <v/>
      </c>
      <c r="L522" s="125">
        <f>I522/G522</f>
        <v/>
      </c>
      <c r="M522" s="125">
        <f>(E522*2+F522*4+((E522-G522)/2-H522)*4+2*PI()*H522+(D522-2*F522-2*H522)*2)/1000</f>
        <v/>
      </c>
      <c r="N522" s="5" t="n">
        <v>588000</v>
      </c>
      <c r="O522" s="5" t="n">
        <v>22900</v>
      </c>
      <c r="P522" s="125" t="n">
        <v>38.6</v>
      </c>
      <c r="Q522" s="125" t="n">
        <v>7.6</v>
      </c>
      <c r="R522" s="5" t="n">
        <v>12400</v>
      </c>
      <c r="S522" s="5" t="n">
        <v>1310</v>
      </c>
      <c r="T522" s="5" t="n">
        <v>14100</v>
      </c>
      <c r="U522" s="5" t="n">
        <v>2040</v>
      </c>
      <c r="Y522">
        <f>SQRT((((VLOOKUP($X$4,$A$4:$D$1021,4,FALSE))-D522)^2)+(((VLOOKUP($X$4,$A$4:$E$1021,5,FALSE))-E522)^2))</f>
        <v/>
      </c>
    </row>
    <row r="523">
      <c r="A523" s="125" t="inlineStr">
        <is>
          <t>HY950X289</t>
        </is>
      </c>
      <c r="B523" s="129" t="inlineStr">
        <is>
          <t>HY</t>
        </is>
      </c>
      <c r="C523" s="125" t="n">
        <v>289</v>
      </c>
      <c r="D523" s="125" t="n">
        <v>950</v>
      </c>
      <c r="E523" s="125" t="n">
        <v>350</v>
      </c>
      <c r="F523" s="125" t="n">
        <v>28</v>
      </c>
      <c r="G523" s="125" t="n">
        <v>19</v>
      </c>
      <c r="H523" s="125" t="n">
        <v>18</v>
      </c>
      <c r="I523" s="125">
        <f>D523-(2*(H523+F523))</f>
        <v/>
      </c>
      <c r="J523" s="125">
        <f>D523/10 * F523/10 + 2*(E523/10 * G523/10)</f>
        <v/>
      </c>
      <c r="K523" s="125">
        <f>(E523/2)/F523</f>
        <v/>
      </c>
      <c r="L523" s="125">
        <f>I523/G523</f>
        <v/>
      </c>
      <c r="M523" s="125">
        <f>(E523*2+F523*4+((E523-G523)/2-H523)*4+2*PI()*H523+(D523-2*F523-2*H523)*2)/1000</f>
        <v/>
      </c>
      <c r="N523" s="5" t="n">
        <v>535000</v>
      </c>
      <c r="O523" s="5" t="n">
        <v>20100</v>
      </c>
      <c r="P523" s="125" t="n">
        <v>38.1</v>
      </c>
      <c r="Q523" s="125" t="n">
        <v>7.4</v>
      </c>
      <c r="R523" s="5" t="n">
        <v>11300</v>
      </c>
      <c r="S523" s="5" t="n">
        <v>1150</v>
      </c>
      <c r="T523" s="5" t="n">
        <v>13000</v>
      </c>
      <c r="U523" s="5" t="n">
        <v>1800</v>
      </c>
      <c r="Y523">
        <f>SQRT((((VLOOKUP($X$4,$A$4:$D$1021,4,FALSE))-D523)^2)+(((VLOOKUP($X$4,$A$4:$E$1021,5,FALSE))-E523)^2))</f>
        <v/>
      </c>
    </row>
    <row r="524">
      <c r="A524" s="125" t="inlineStr">
        <is>
          <t>HY950X274</t>
        </is>
      </c>
      <c r="B524" s="129" t="inlineStr">
        <is>
          <t>HY</t>
        </is>
      </c>
      <c r="C524" s="125" t="n">
        <v>274</v>
      </c>
      <c r="D524" s="125" t="n">
        <v>950</v>
      </c>
      <c r="E524" s="125" t="n">
        <v>350</v>
      </c>
      <c r="F524" s="125" t="n">
        <v>25</v>
      </c>
      <c r="G524" s="125" t="n">
        <v>19</v>
      </c>
      <c r="H524" s="125" t="n">
        <v>18</v>
      </c>
      <c r="I524" s="125">
        <f>D524-(2*(H524+F524))</f>
        <v/>
      </c>
      <c r="J524" s="125">
        <f>D524/10 * F524/10 + 2*(E524/10 * G524/10)</f>
        <v/>
      </c>
      <c r="K524" s="125">
        <f>(E524/2)/F524</f>
        <v/>
      </c>
      <c r="L524" s="125">
        <f>I524/G524</f>
        <v/>
      </c>
      <c r="M524" s="125">
        <f>(E524*2+F524*4+((E524-G524)/2-H524)*4+2*PI()*H524+(D524-2*F524-2*H524)*2)/1000</f>
        <v/>
      </c>
      <c r="N524" s="5" t="n">
        <v>495000</v>
      </c>
      <c r="O524" s="5" t="n">
        <v>17900</v>
      </c>
      <c r="P524" s="125" t="n">
        <v>37.7</v>
      </c>
      <c r="Q524" s="125" t="n">
        <v>7.2</v>
      </c>
      <c r="R524" s="5" t="n">
        <v>10400</v>
      </c>
      <c r="S524" s="5" t="n">
        <v>1020</v>
      </c>
      <c r="T524" s="5" t="n">
        <v>12100</v>
      </c>
      <c r="U524" s="5" t="n">
        <v>1620</v>
      </c>
      <c r="Y524">
        <f>SQRT((((VLOOKUP($X$4,$A$4:$D$1021,4,FALSE))-D524)^2)+(((VLOOKUP($X$4,$A$4:$E$1021,5,FALSE))-E524)^2))</f>
        <v/>
      </c>
    </row>
    <row r="525">
      <c r="A525" s="125" t="inlineStr">
        <is>
          <t>HY950X289</t>
        </is>
      </c>
      <c r="B525" s="129" t="inlineStr">
        <is>
          <t>HY</t>
        </is>
      </c>
      <c r="C525" s="125" t="n">
        <v>289</v>
      </c>
      <c r="D525" s="125" t="n">
        <v>950</v>
      </c>
      <c r="E525" s="125" t="n">
        <v>350</v>
      </c>
      <c r="F525" s="125" t="n">
        <v>32</v>
      </c>
      <c r="G525" s="125" t="n">
        <v>16</v>
      </c>
      <c r="H525" s="125" t="n">
        <v>18</v>
      </c>
      <c r="I525" s="125">
        <f>D525-(2*(H525+F525))</f>
        <v/>
      </c>
      <c r="J525" s="125">
        <f>D525/10 * F525/10 + 2*(E525/10 * G525/10)</f>
        <v/>
      </c>
      <c r="K525" s="125">
        <f>(E525/2)/F525</f>
        <v/>
      </c>
      <c r="L525" s="125">
        <f>I525/G525</f>
        <v/>
      </c>
      <c r="M525" s="125">
        <f>(E525*2+F525*4+((E525-G525)/2-H525)*4+2*PI()*H525+(D525-2*F525-2*H525)*2)/1000</f>
        <v/>
      </c>
      <c r="N525" s="5" t="n">
        <v>570000</v>
      </c>
      <c r="O525" s="5" t="n">
        <v>22900</v>
      </c>
      <c r="P525" s="125" t="n">
        <v>39.3</v>
      </c>
      <c r="Q525" s="125" t="n">
        <v>7.9</v>
      </c>
      <c r="R525" s="5" t="n">
        <v>12000</v>
      </c>
      <c r="S525" s="5" t="n">
        <v>1310</v>
      </c>
      <c r="T525" s="5" t="n">
        <v>13500</v>
      </c>
      <c r="U525" s="5" t="n">
        <v>2020</v>
      </c>
      <c r="Y525">
        <f>SQRT((((VLOOKUP($X$4,$A$4:$D$1021,4,FALSE))-D525)^2)+(((VLOOKUP($X$4,$A$4:$E$1021,5,FALSE))-E525)^2))</f>
        <v/>
      </c>
    </row>
    <row r="526">
      <c r="A526" s="125" t="inlineStr">
        <is>
          <t>HY950X268</t>
        </is>
      </c>
      <c r="B526" s="129" t="inlineStr">
        <is>
          <t>HY</t>
        </is>
      </c>
      <c r="C526" s="125" t="n">
        <v>268</v>
      </c>
      <c r="D526" s="125" t="n">
        <v>950</v>
      </c>
      <c r="E526" s="125" t="n">
        <v>350</v>
      </c>
      <c r="F526" s="125" t="n">
        <v>28</v>
      </c>
      <c r="G526" s="125" t="n">
        <v>16</v>
      </c>
      <c r="H526" s="125" t="n">
        <v>18</v>
      </c>
      <c r="I526" s="125">
        <f>D526-(2*(H526+F526))</f>
        <v/>
      </c>
      <c r="J526" s="125">
        <f>D526/10 * F526/10 + 2*(E526/10 * G526/10)</f>
        <v/>
      </c>
      <c r="K526" s="125">
        <f>(E526/2)/F526</f>
        <v/>
      </c>
      <c r="L526" s="125">
        <f>I526/G526</f>
        <v/>
      </c>
      <c r="M526" s="125">
        <f>(E526*2+F526*4+((E526-G526)/2-H526)*4+2*PI()*H526+(D526-2*F526-2*H526)*2)/1000</f>
        <v/>
      </c>
      <c r="N526" s="5" t="n">
        <v>517000</v>
      </c>
      <c r="O526" s="5" t="n">
        <v>20000</v>
      </c>
      <c r="P526" s="125" t="n">
        <v>38.9</v>
      </c>
      <c r="Q526" s="125" t="n">
        <v>7.7</v>
      </c>
      <c r="R526" s="5" t="n">
        <v>10900</v>
      </c>
      <c r="S526" s="5" t="n">
        <v>1150</v>
      </c>
      <c r="T526" s="5" t="n">
        <v>12400</v>
      </c>
      <c r="U526" s="5" t="n">
        <v>1780</v>
      </c>
      <c r="Y526">
        <f>SQRT((((VLOOKUP($X$4,$A$4:$D$1021,4,FALSE))-D526)^2)+(((VLOOKUP($X$4,$A$4:$E$1021,5,FALSE))-E526)^2))</f>
        <v/>
      </c>
    </row>
    <row r="527">
      <c r="A527" s="125" t="inlineStr">
        <is>
          <t>HY950X253</t>
        </is>
      </c>
      <c r="B527" s="129" t="inlineStr">
        <is>
          <t>HY</t>
        </is>
      </c>
      <c r="C527" s="125" t="n">
        <v>253</v>
      </c>
      <c r="D527" s="125" t="n">
        <v>950</v>
      </c>
      <c r="E527" s="125" t="n">
        <v>350</v>
      </c>
      <c r="F527" s="125" t="n">
        <v>25</v>
      </c>
      <c r="G527" s="125" t="n">
        <v>16</v>
      </c>
      <c r="H527" s="125" t="n">
        <v>18</v>
      </c>
      <c r="I527" s="125">
        <f>D527-(2*(H527+F527))</f>
        <v/>
      </c>
      <c r="J527" s="125">
        <f>D527/10 * F527/10 + 2*(E527/10 * G527/10)</f>
        <v/>
      </c>
      <c r="K527" s="125">
        <f>(E527/2)/F527</f>
        <v/>
      </c>
      <c r="L527" s="125">
        <f>I527/G527</f>
        <v/>
      </c>
      <c r="M527" s="125">
        <f>(E527*2+F527*4+((E527-G527)/2-H527)*4+2*PI()*H527+(D527-2*F527-2*H527)*2)/1000</f>
        <v/>
      </c>
      <c r="N527" s="5" t="n">
        <v>477000</v>
      </c>
      <c r="O527" s="5" t="n">
        <v>17900</v>
      </c>
      <c r="P527" s="125" t="n">
        <v>38.5</v>
      </c>
      <c r="Q527" s="125" t="n">
        <v>7.5</v>
      </c>
      <c r="R527" s="5" t="n">
        <v>10000</v>
      </c>
      <c r="S527" s="5" t="n">
        <v>1020</v>
      </c>
      <c r="T527" s="5" t="n">
        <v>11500</v>
      </c>
      <c r="U527" s="5" t="n">
        <v>1590</v>
      </c>
      <c r="Y527">
        <f>SQRT((((VLOOKUP($X$4,$A$4:$D$1021,4,FALSE))-D527)^2)+(((VLOOKUP($X$4,$A$4:$E$1021,5,FALSE))-E527)^2))</f>
        <v/>
      </c>
    </row>
    <row r="528">
      <c r="A528" s="125" t="inlineStr">
        <is>
          <t>HY950X237</t>
        </is>
      </c>
      <c r="B528" s="129" t="inlineStr">
        <is>
          <t>HY</t>
        </is>
      </c>
      <c r="C528" s="125" t="n">
        <v>237</v>
      </c>
      <c r="D528" s="125" t="n">
        <v>950</v>
      </c>
      <c r="E528" s="125" t="n">
        <v>350</v>
      </c>
      <c r="F528" s="125" t="n">
        <v>22</v>
      </c>
      <c r="G528" s="125" t="n">
        <v>16</v>
      </c>
      <c r="H528" s="125" t="n">
        <v>18</v>
      </c>
      <c r="I528" s="125">
        <f>D528-(2*(H528+F528))</f>
        <v/>
      </c>
      <c r="J528" s="125">
        <f>D528/10 * F528/10 + 2*(E528/10 * G528/10)</f>
        <v/>
      </c>
      <c r="K528" s="125">
        <f>(E528/2)/F528</f>
        <v/>
      </c>
      <c r="L528" s="125">
        <f>I528/G528</f>
        <v/>
      </c>
      <c r="M528" s="125">
        <f>(E528*2+F528*4+((E528-G528)/2-H528)*4+2*PI()*H528+(D528-2*F528-2*H528)*2)/1000</f>
        <v/>
      </c>
      <c r="N528" s="5" t="n">
        <v>436000</v>
      </c>
      <c r="O528" s="5" t="n">
        <v>15800</v>
      </c>
      <c r="P528" s="125" t="n">
        <v>38</v>
      </c>
      <c r="Q528" s="125" t="n">
        <v>7.2</v>
      </c>
      <c r="R528" s="5" t="n">
        <v>9190</v>
      </c>
      <c r="S528" s="125" t="n">
        <v>900</v>
      </c>
      <c r="T528" s="5" t="n">
        <v>10600</v>
      </c>
      <c r="U528" s="5" t="n">
        <v>1410</v>
      </c>
      <c r="Y528">
        <f>SQRT((((VLOOKUP($X$4,$A$4:$D$1021,4,FALSE))-D528)^2)+(((VLOOKUP($X$4,$A$4:$E$1021,5,FALSE))-E528)^2))</f>
        <v/>
      </c>
    </row>
    <row r="529">
      <c r="A529" s="125" t="inlineStr">
        <is>
          <t>HY950X341</t>
        </is>
      </c>
      <c r="B529" s="129" t="inlineStr">
        <is>
          <t>HY</t>
        </is>
      </c>
      <c r="C529" s="125" t="n">
        <v>341</v>
      </c>
      <c r="D529" s="125" t="n">
        <v>950</v>
      </c>
      <c r="E529" s="125" t="n">
        <v>300</v>
      </c>
      <c r="F529" s="125" t="n">
        <v>40</v>
      </c>
      <c r="G529" s="125" t="n">
        <v>22</v>
      </c>
      <c r="H529" s="125" t="n">
        <v>18</v>
      </c>
      <c r="I529" s="125">
        <f>D529-(2*(H529+F529))</f>
        <v/>
      </c>
      <c r="J529" s="125">
        <f>D529/10 * F529/10 + 2*(E529/10 * G529/10)</f>
        <v/>
      </c>
      <c r="K529" s="125">
        <f>(E529/2)/F529</f>
        <v/>
      </c>
      <c r="L529" s="125">
        <f>I529/G529</f>
        <v/>
      </c>
      <c r="M529" s="125">
        <f>(E529*2+F529*4+((E529-G529)/2-H529)*4+2*PI()*H529+(D529-2*F529-2*H529)*2)/1000</f>
        <v/>
      </c>
      <c r="N529" s="5" t="n">
        <v>623000</v>
      </c>
      <c r="O529" s="5" t="n">
        <v>18100</v>
      </c>
      <c r="P529" s="125" t="n">
        <v>37.9</v>
      </c>
      <c r="Q529" s="125" t="n">
        <v>6.5</v>
      </c>
      <c r="R529" s="5" t="n">
        <v>13100</v>
      </c>
      <c r="S529" s="5" t="n">
        <v>1210</v>
      </c>
      <c r="T529" s="5" t="n">
        <v>15200</v>
      </c>
      <c r="U529" s="5" t="n">
        <v>1910</v>
      </c>
      <c r="Y529">
        <f>SQRT((((VLOOKUP($X$4,$A$4:$D$1021,4,FALSE))-D529)^2)+(((VLOOKUP($X$4,$A$4:$E$1021,5,FALSE))-E529)^2))</f>
        <v/>
      </c>
    </row>
    <row r="530">
      <c r="A530" s="125" t="inlineStr">
        <is>
          <t>HY950X323</t>
        </is>
      </c>
      <c r="B530" s="129" t="inlineStr">
        <is>
          <t>HY</t>
        </is>
      </c>
      <c r="C530" s="125" t="n">
        <v>323</v>
      </c>
      <c r="D530" s="125" t="n">
        <v>950</v>
      </c>
      <c r="E530" s="125" t="n">
        <v>300</v>
      </c>
      <c r="F530" s="125" t="n">
        <v>36</v>
      </c>
      <c r="G530" s="125" t="n">
        <v>22</v>
      </c>
      <c r="H530" s="125" t="n">
        <v>18</v>
      </c>
      <c r="I530" s="125">
        <f>D530-(2*(H530+F530))</f>
        <v/>
      </c>
      <c r="J530" s="125">
        <f>D530/10 * F530/10 + 2*(E530/10 * G530/10)</f>
        <v/>
      </c>
      <c r="K530" s="125">
        <f>(E530/2)/F530</f>
        <v/>
      </c>
      <c r="L530" s="125">
        <f>I530/G530</f>
        <v/>
      </c>
      <c r="M530" s="125">
        <f>(E530*2+F530*4+((E530-G530)/2-H530)*4+2*PI()*H530+(D530-2*F530-2*H530)*2)/1000</f>
        <v/>
      </c>
      <c r="N530" s="5" t="n">
        <v>581000</v>
      </c>
      <c r="O530" s="5" t="n">
        <v>16300</v>
      </c>
      <c r="P530" s="125" t="n">
        <v>37.5</v>
      </c>
      <c r="Q530" s="125" t="n">
        <v>6.3</v>
      </c>
      <c r="R530" s="5" t="n">
        <v>12200</v>
      </c>
      <c r="S530" s="5" t="n">
        <v>1090</v>
      </c>
      <c r="T530" s="5" t="n">
        <v>14200</v>
      </c>
      <c r="U530" s="5" t="n">
        <v>1730</v>
      </c>
      <c r="Y530">
        <f>SQRT((((VLOOKUP($X$4,$A$4:$D$1021,4,FALSE))-D530)^2)+(((VLOOKUP($X$4,$A$4:$E$1021,5,FALSE))-E530)^2))</f>
        <v/>
      </c>
    </row>
    <row r="531">
      <c r="A531" s="125" t="inlineStr">
        <is>
          <t>HY950X306</t>
        </is>
      </c>
      <c r="B531" s="129" t="inlineStr">
        <is>
          <t>HY</t>
        </is>
      </c>
      <c r="C531" s="125" t="n">
        <v>306</v>
      </c>
      <c r="D531" s="125" t="n">
        <v>950</v>
      </c>
      <c r="E531" s="125" t="n">
        <v>300</v>
      </c>
      <c r="F531" s="125" t="n">
        <v>32</v>
      </c>
      <c r="G531" s="125" t="n">
        <v>22</v>
      </c>
      <c r="H531" s="125" t="n">
        <v>18</v>
      </c>
      <c r="I531" s="125">
        <f>D531-(2*(H531+F531))</f>
        <v/>
      </c>
      <c r="J531" s="125">
        <f>D531/10 * F531/10 + 2*(E531/10 * G531/10)</f>
        <v/>
      </c>
      <c r="K531" s="125">
        <f>(E531/2)/F531</f>
        <v/>
      </c>
      <c r="L531" s="125">
        <f>I531/G531</f>
        <v/>
      </c>
      <c r="M531" s="125">
        <f>(E531*2+F531*4+((E531-G531)/2-H531)*4+2*PI()*H531+(D531-2*F531-2*H531)*2)/1000</f>
        <v/>
      </c>
      <c r="N531" s="5" t="n">
        <v>538000</v>
      </c>
      <c r="O531" s="5" t="n">
        <v>14500</v>
      </c>
      <c r="P531" s="125" t="n">
        <v>37.1</v>
      </c>
      <c r="Q531" s="125" t="n">
        <v>6.1</v>
      </c>
      <c r="R531" s="5" t="n">
        <v>11300</v>
      </c>
      <c r="S531" s="125" t="n">
        <v>966</v>
      </c>
      <c r="T531" s="5" t="n">
        <v>13300</v>
      </c>
      <c r="U531" s="5" t="n">
        <v>1550</v>
      </c>
      <c r="Y531">
        <f>SQRT((((VLOOKUP($X$4,$A$4:$D$1021,4,FALSE))-D531)^2)+(((VLOOKUP($X$4,$A$4:$E$1021,5,FALSE))-E531)^2))</f>
        <v/>
      </c>
    </row>
    <row r="532">
      <c r="A532" s="125" t="inlineStr">
        <is>
          <t>HY950X288</t>
        </is>
      </c>
      <c r="B532" s="129" t="inlineStr">
        <is>
          <t>HY</t>
        </is>
      </c>
      <c r="C532" s="125" t="n">
        <v>288</v>
      </c>
      <c r="D532" s="125" t="n">
        <v>950</v>
      </c>
      <c r="E532" s="125" t="n">
        <v>300</v>
      </c>
      <c r="F532" s="125" t="n">
        <v>28</v>
      </c>
      <c r="G532" s="125" t="n">
        <v>22</v>
      </c>
      <c r="H532" s="125" t="n">
        <v>18</v>
      </c>
      <c r="I532" s="125">
        <f>D532-(2*(H532+F532))</f>
        <v/>
      </c>
      <c r="J532" s="125">
        <f>D532/10 * F532/10 + 2*(E532/10 * G532/10)</f>
        <v/>
      </c>
      <c r="K532" s="125">
        <f>(E532/2)/F532</f>
        <v/>
      </c>
      <c r="L532" s="125">
        <f>I532/G532</f>
        <v/>
      </c>
      <c r="M532" s="125">
        <f>(E532*2+F532*4+((E532-G532)/2-H532)*4+2*PI()*H532+(D532-2*F532-2*H532)*2)/1000</f>
        <v/>
      </c>
      <c r="N532" s="5" t="n">
        <v>494000</v>
      </c>
      <c r="O532" s="5" t="n">
        <v>12700</v>
      </c>
      <c r="P532" s="125" t="n">
        <v>36.7</v>
      </c>
      <c r="Q532" s="125" t="n">
        <v>5.9</v>
      </c>
      <c r="R532" s="5" t="n">
        <v>10400</v>
      </c>
      <c r="S532" s="125" t="n">
        <v>846</v>
      </c>
      <c r="T532" s="5" t="n">
        <v>12300</v>
      </c>
      <c r="U532" s="5" t="n">
        <v>1370</v>
      </c>
      <c r="Y532">
        <f>SQRT((((VLOOKUP($X$4,$A$4:$D$1021,4,FALSE))-D532)^2)+(((VLOOKUP($X$4,$A$4:$E$1021,5,FALSE))-E532)^2))</f>
        <v/>
      </c>
    </row>
    <row r="533">
      <c r="A533" s="125" t="inlineStr">
        <is>
          <t>HY950X320</t>
        </is>
      </c>
      <c r="B533" s="129" t="inlineStr">
        <is>
          <t>HY</t>
        </is>
      </c>
      <c r="C533" s="125" t="n">
        <v>320</v>
      </c>
      <c r="D533" s="125" t="n">
        <v>950</v>
      </c>
      <c r="E533" s="125" t="n">
        <v>300</v>
      </c>
      <c r="F533" s="125" t="n">
        <v>40</v>
      </c>
      <c r="G533" s="125" t="n">
        <v>19</v>
      </c>
      <c r="H533" s="125" t="n">
        <v>18</v>
      </c>
      <c r="I533" s="125">
        <f>D533-(2*(H533+F533))</f>
        <v/>
      </c>
      <c r="J533" s="125">
        <f>D533/10 * F533/10 + 2*(E533/10 * G533/10)</f>
        <v/>
      </c>
      <c r="K533" s="125">
        <f>(E533/2)/F533</f>
        <v/>
      </c>
      <c r="L533" s="125">
        <f>I533/G533</f>
        <v/>
      </c>
      <c r="M533" s="125">
        <f>(E533*2+F533*4+((E533-G533)/2-H533)*4+2*PI()*H533+(D533-2*F533-2*H533)*2)/1000</f>
        <v/>
      </c>
      <c r="N533" s="5" t="n">
        <v>607000</v>
      </c>
      <c r="O533" s="5" t="n">
        <v>18100</v>
      </c>
      <c r="P533" s="125" t="n">
        <v>38.6</v>
      </c>
      <c r="Q533" s="125" t="n">
        <v>6.7</v>
      </c>
      <c r="R533" s="5" t="n">
        <v>12800</v>
      </c>
      <c r="S533" s="5" t="n">
        <v>1200</v>
      </c>
      <c r="T533" s="5" t="n">
        <v>14600</v>
      </c>
      <c r="U533" s="5" t="n">
        <v>1880</v>
      </c>
      <c r="Y533">
        <f>SQRT((((VLOOKUP($X$4,$A$4:$D$1021,4,FALSE))-D533)^2)+(((VLOOKUP($X$4,$A$4:$E$1021,5,FALSE))-E533)^2))</f>
        <v/>
      </c>
    </row>
    <row r="534">
      <c r="A534" s="125" t="inlineStr">
        <is>
          <t>HY950X303</t>
        </is>
      </c>
      <c r="B534" s="129" t="inlineStr">
        <is>
          <t>HY</t>
        </is>
      </c>
      <c r="C534" s="125" t="n">
        <v>303</v>
      </c>
      <c r="D534" s="125" t="n">
        <v>950</v>
      </c>
      <c r="E534" s="125" t="n">
        <v>300</v>
      </c>
      <c r="F534" s="125" t="n">
        <v>36</v>
      </c>
      <c r="G534" s="125" t="n">
        <v>19</v>
      </c>
      <c r="H534" s="125" t="n">
        <v>18</v>
      </c>
      <c r="I534" s="125">
        <f>D534-(2*(H534+F534))</f>
        <v/>
      </c>
      <c r="J534" s="125">
        <f>D534/10 * F534/10 + 2*(E534/10 * G534/10)</f>
        <v/>
      </c>
      <c r="K534" s="125">
        <f>(E534/2)/F534</f>
        <v/>
      </c>
      <c r="L534" s="125">
        <f>I534/G534</f>
        <v/>
      </c>
      <c r="M534" s="125">
        <f>(E534*2+F534*4+((E534-G534)/2-H534)*4+2*PI()*H534+(D534-2*F534-2*H534)*2)/1000</f>
        <v/>
      </c>
      <c r="N534" s="5" t="n">
        <v>564000</v>
      </c>
      <c r="O534" s="5" t="n">
        <v>16300</v>
      </c>
      <c r="P534" s="125" t="n">
        <v>38.2</v>
      </c>
      <c r="Q534" s="125" t="n">
        <v>6.5</v>
      </c>
      <c r="R534" s="5" t="n">
        <v>11900</v>
      </c>
      <c r="S534" s="5" t="n">
        <v>1080</v>
      </c>
      <c r="T534" s="5" t="n">
        <v>13700</v>
      </c>
      <c r="U534" s="5" t="n">
        <v>1700</v>
      </c>
      <c r="Y534">
        <f>SQRT((((VLOOKUP($X$4,$A$4:$D$1021,4,FALSE))-D534)^2)+(((VLOOKUP($X$4,$A$4:$E$1021,5,FALSE))-E534)^2))</f>
        <v/>
      </c>
    </row>
    <row r="535">
      <c r="A535" s="125" t="inlineStr">
        <is>
          <t>HY950X285</t>
        </is>
      </c>
      <c r="B535" s="129" t="inlineStr">
        <is>
          <t>HY</t>
        </is>
      </c>
      <c r="C535" s="125" t="n">
        <v>285</v>
      </c>
      <c r="D535" s="125" t="n">
        <v>950</v>
      </c>
      <c r="E535" s="125" t="n">
        <v>300</v>
      </c>
      <c r="F535" s="125" t="n">
        <v>32</v>
      </c>
      <c r="G535" s="125" t="n">
        <v>19</v>
      </c>
      <c r="H535" s="125" t="n">
        <v>18</v>
      </c>
      <c r="I535" s="125">
        <f>D535-(2*(H535+F535))</f>
        <v/>
      </c>
      <c r="J535" s="125">
        <f>D535/10 * F535/10 + 2*(E535/10 * G535/10)</f>
        <v/>
      </c>
      <c r="K535" s="125">
        <f>(E535/2)/F535</f>
        <v/>
      </c>
      <c r="L535" s="125">
        <f>I535/G535</f>
        <v/>
      </c>
      <c r="M535" s="125">
        <f>(E535*2+F535*4+((E535-G535)/2-H535)*4+2*PI()*H535+(D535-2*F535-2*H535)*2)/1000</f>
        <v/>
      </c>
      <c r="N535" s="5" t="n">
        <v>520000</v>
      </c>
      <c r="O535" s="5" t="n">
        <v>14500</v>
      </c>
      <c r="P535" s="125" t="n">
        <v>37.8</v>
      </c>
      <c r="Q535" s="125" t="n">
        <v>6.3</v>
      </c>
      <c r="R535" s="5" t="n">
        <v>11000</v>
      </c>
      <c r="S535" s="125" t="n">
        <v>964</v>
      </c>
      <c r="T535" s="5" t="n">
        <v>12700</v>
      </c>
      <c r="U535" s="5" t="n">
        <v>1520</v>
      </c>
      <c r="Y535">
        <f>SQRT((((VLOOKUP($X$4,$A$4:$D$1021,4,FALSE))-D535)^2)+(((VLOOKUP($X$4,$A$4:$E$1021,5,FALSE))-E535)^2))</f>
        <v/>
      </c>
    </row>
    <row r="536">
      <c r="A536" s="125" t="inlineStr">
        <is>
          <t>HY950X267</t>
        </is>
      </c>
      <c r="B536" s="129" t="inlineStr">
        <is>
          <t>HY</t>
        </is>
      </c>
      <c r="C536" s="125" t="n">
        <v>267</v>
      </c>
      <c r="D536" s="125" t="n">
        <v>950</v>
      </c>
      <c r="E536" s="125" t="n">
        <v>300</v>
      </c>
      <c r="F536" s="125" t="n">
        <v>28</v>
      </c>
      <c r="G536" s="125" t="n">
        <v>19</v>
      </c>
      <c r="H536" s="125" t="n">
        <v>18</v>
      </c>
      <c r="I536" s="125">
        <f>D536-(2*(H536+F536))</f>
        <v/>
      </c>
      <c r="J536" s="125">
        <f>D536/10 * F536/10 + 2*(E536/10 * G536/10)</f>
        <v/>
      </c>
      <c r="K536" s="125">
        <f>(E536/2)/F536</f>
        <v/>
      </c>
      <c r="L536" s="125">
        <f>I536/G536</f>
        <v/>
      </c>
      <c r="M536" s="125">
        <f>(E536*2+F536*4+((E536-G536)/2-H536)*4+2*PI()*H536+(D536-2*F536-2*H536)*2)/1000</f>
        <v/>
      </c>
      <c r="N536" s="5" t="n">
        <v>476000</v>
      </c>
      <c r="O536" s="5" t="n">
        <v>12700</v>
      </c>
      <c r="P536" s="125" t="n">
        <v>37.4</v>
      </c>
      <c r="Q536" s="125" t="n">
        <v>6.1</v>
      </c>
      <c r="R536" s="5" t="n">
        <v>10000</v>
      </c>
      <c r="S536" s="125" t="n">
        <v>844</v>
      </c>
      <c r="T536" s="5" t="n">
        <v>11700</v>
      </c>
      <c r="U536" s="5" t="n">
        <v>1340</v>
      </c>
      <c r="Y536">
        <f>SQRT((((VLOOKUP($X$4,$A$4:$D$1021,4,FALSE))-D536)^2)+(((VLOOKUP($X$4,$A$4:$E$1021,5,FALSE))-E536)^2))</f>
        <v/>
      </c>
    </row>
    <row r="537">
      <c r="A537" s="125" t="inlineStr">
        <is>
          <t>HY950X254</t>
        </is>
      </c>
      <c r="B537" s="129" t="inlineStr">
        <is>
          <t>HY</t>
        </is>
      </c>
      <c r="C537" s="125" t="n">
        <v>254</v>
      </c>
      <c r="D537" s="125" t="n">
        <v>950</v>
      </c>
      <c r="E537" s="125" t="n">
        <v>300</v>
      </c>
      <c r="F537" s="125" t="n">
        <v>25</v>
      </c>
      <c r="G537" s="125" t="n">
        <v>19</v>
      </c>
      <c r="H537" s="125" t="n">
        <v>18</v>
      </c>
      <c r="I537" s="125">
        <f>D537-(2*(H537+F537))</f>
        <v/>
      </c>
      <c r="J537" s="125">
        <f>D537/10 * F537/10 + 2*(E537/10 * G537/10)</f>
        <v/>
      </c>
      <c r="K537" s="125">
        <f>(E537/2)/F537</f>
        <v/>
      </c>
      <c r="L537" s="125">
        <f>I537/G537</f>
        <v/>
      </c>
      <c r="M537" s="125">
        <f>(E537*2+F537*4+((E537-G537)/2-H537)*4+2*PI()*H537+(D537-2*F537-2*H537)*2)/1000</f>
        <v/>
      </c>
      <c r="N537" s="5" t="n">
        <v>442000</v>
      </c>
      <c r="O537" s="5" t="n">
        <v>11300</v>
      </c>
      <c r="P537" s="125" t="n">
        <v>36.9</v>
      </c>
      <c r="Q537" s="125" t="n">
        <v>5.9</v>
      </c>
      <c r="R537" s="5" t="n">
        <v>9300</v>
      </c>
      <c r="S537" s="125" t="n">
        <v>754</v>
      </c>
      <c r="T537" s="5" t="n">
        <v>10900</v>
      </c>
      <c r="U537" s="5" t="n">
        <v>1210</v>
      </c>
      <c r="Y537">
        <f>SQRT((((VLOOKUP($X$4,$A$4:$D$1021,4,FALSE))-D537)^2)+(((VLOOKUP($X$4,$A$4:$E$1021,5,FALSE))-E537)^2))</f>
        <v/>
      </c>
    </row>
    <row r="538">
      <c r="A538" s="125" t="inlineStr">
        <is>
          <t>HY950X264</t>
        </is>
      </c>
      <c r="B538" s="129" t="inlineStr">
        <is>
          <t>HY</t>
        </is>
      </c>
      <c r="C538" s="125" t="n">
        <v>264</v>
      </c>
      <c r="D538" s="125" t="n">
        <v>950</v>
      </c>
      <c r="E538" s="125" t="n">
        <v>300</v>
      </c>
      <c r="F538" s="125" t="n">
        <v>32</v>
      </c>
      <c r="G538" s="125" t="n">
        <v>16</v>
      </c>
      <c r="H538" s="125" t="n">
        <v>18</v>
      </c>
      <c r="I538" s="125">
        <f>D538-(2*(H538+F538))</f>
        <v/>
      </c>
      <c r="J538" s="125">
        <f>D538/10 * F538/10 + 2*(E538/10 * G538/10)</f>
        <v/>
      </c>
      <c r="K538" s="125">
        <f>(E538/2)/F538</f>
        <v/>
      </c>
      <c r="L538" s="125">
        <f>I538/G538</f>
        <v/>
      </c>
      <c r="M538" s="125">
        <f>(E538*2+F538*4+((E538-G538)/2-H538)*4+2*PI()*H538+(D538-2*F538-2*H538)*2)/1000</f>
        <v/>
      </c>
      <c r="N538" s="5" t="n">
        <v>503000</v>
      </c>
      <c r="O538" s="5" t="n">
        <v>14400</v>
      </c>
      <c r="P538" s="125" t="n">
        <v>38.7</v>
      </c>
      <c r="Q538" s="125" t="n">
        <v>6.6</v>
      </c>
      <c r="R538" s="5" t="n">
        <v>10600</v>
      </c>
      <c r="S538" s="125" t="n">
        <v>962</v>
      </c>
      <c r="T538" s="5" t="n">
        <v>12100</v>
      </c>
      <c r="U538" s="5" t="n">
        <v>1500</v>
      </c>
      <c r="Y538">
        <f>SQRT((((VLOOKUP($X$4,$A$4:$D$1021,4,FALSE))-D538)^2)+(((VLOOKUP($X$4,$A$4:$E$1021,5,FALSE))-E538)^2))</f>
        <v/>
      </c>
    </row>
    <row r="539">
      <c r="A539" s="125" t="inlineStr">
        <is>
          <t>HY950X246</t>
        </is>
      </c>
      <c r="B539" s="129" t="inlineStr">
        <is>
          <t>HY</t>
        </is>
      </c>
      <c r="C539" s="125" t="n">
        <v>246</v>
      </c>
      <c r="D539" s="125" t="n">
        <v>950</v>
      </c>
      <c r="E539" s="125" t="n">
        <v>300</v>
      </c>
      <c r="F539" s="125" t="n">
        <v>28</v>
      </c>
      <c r="G539" s="125" t="n">
        <v>16</v>
      </c>
      <c r="H539" s="125" t="n">
        <v>18</v>
      </c>
      <c r="I539" s="125">
        <f>D539-(2*(H539+F539))</f>
        <v/>
      </c>
      <c r="J539" s="125">
        <f>D539/10 * F539/10 + 2*(E539/10 * G539/10)</f>
        <v/>
      </c>
      <c r="K539" s="125">
        <f>(E539/2)/F539</f>
        <v/>
      </c>
      <c r="L539" s="125">
        <f>I539/G539</f>
        <v/>
      </c>
      <c r="M539" s="125">
        <f>(E539*2+F539*4+((E539-G539)/2-H539)*4+2*PI()*H539+(D539-2*F539-2*H539)*2)/1000</f>
        <v/>
      </c>
      <c r="N539" s="5" t="n">
        <v>458000</v>
      </c>
      <c r="O539" s="5" t="n">
        <v>12600</v>
      </c>
      <c r="P539" s="125" t="n">
        <v>38.2</v>
      </c>
      <c r="Q539" s="125" t="n">
        <v>6.4</v>
      </c>
      <c r="R539" s="5" t="n">
        <v>9640</v>
      </c>
      <c r="S539" s="125" t="n">
        <v>842</v>
      </c>
      <c r="T539" s="5" t="n">
        <v>11100</v>
      </c>
      <c r="U539" s="5" t="n">
        <v>1320</v>
      </c>
      <c r="Y539">
        <f>SQRT((((VLOOKUP($X$4,$A$4:$D$1021,4,FALSE))-D539)^2)+(((VLOOKUP($X$4,$A$4:$E$1021,5,FALSE))-E539)^2))</f>
        <v/>
      </c>
    </row>
    <row r="540">
      <c r="A540" s="125" t="inlineStr">
        <is>
          <t>HY950X233</t>
        </is>
      </c>
      <c r="B540" s="129" t="inlineStr">
        <is>
          <t>HY</t>
        </is>
      </c>
      <c r="C540" s="125" t="n">
        <v>233</v>
      </c>
      <c r="D540" s="125" t="n">
        <v>950</v>
      </c>
      <c r="E540" s="125" t="n">
        <v>300</v>
      </c>
      <c r="F540" s="125" t="n">
        <v>25</v>
      </c>
      <c r="G540" s="125" t="n">
        <v>16</v>
      </c>
      <c r="H540" s="125" t="n">
        <v>18</v>
      </c>
      <c r="I540" s="125">
        <f>D540-(2*(H540+F540))</f>
        <v/>
      </c>
      <c r="J540" s="125">
        <f>D540/10 * F540/10 + 2*(E540/10 * G540/10)</f>
        <v/>
      </c>
      <c r="K540" s="125">
        <f>(E540/2)/F540</f>
        <v/>
      </c>
      <c r="L540" s="125">
        <f>I540/G540</f>
        <v/>
      </c>
      <c r="M540" s="125">
        <f>(E540*2+F540*4+((E540-G540)/2-H540)*4+2*PI()*H540+(D540-2*F540-2*H540)*2)/1000</f>
        <v/>
      </c>
      <c r="N540" s="5" t="n">
        <v>424000</v>
      </c>
      <c r="O540" s="5" t="n">
        <v>11300</v>
      </c>
      <c r="P540" s="125" t="n">
        <v>37.8</v>
      </c>
      <c r="Q540" s="125" t="n">
        <v>6.2</v>
      </c>
      <c r="R540" s="5" t="n">
        <v>8920</v>
      </c>
      <c r="S540" s="125" t="n">
        <v>752</v>
      </c>
      <c r="T540" s="5" t="n">
        <v>10300</v>
      </c>
      <c r="U540" s="5" t="n">
        <v>1190</v>
      </c>
      <c r="Y540">
        <f>SQRT((((VLOOKUP($X$4,$A$4:$D$1021,4,FALSE))-D540)^2)+(((VLOOKUP($X$4,$A$4:$E$1021,5,FALSE))-E540)^2))</f>
        <v/>
      </c>
    </row>
    <row r="541">
      <c r="A541" s="125" t="inlineStr">
        <is>
          <t>HY950X220</t>
        </is>
      </c>
      <c r="B541" s="129" t="inlineStr">
        <is>
          <t>HY</t>
        </is>
      </c>
      <c r="C541" s="125" t="n">
        <v>220</v>
      </c>
      <c r="D541" s="125" t="n">
        <v>950</v>
      </c>
      <c r="E541" s="125" t="n">
        <v>300</v>
      </c>
      <c r="F541" s="125" t="n">
        <v>22</v>
      </c>
      <c r="G541" s="125" t="n">
        <v>16</v>
      </c>
      <c r="H541" s="125" t="n">
        <v>18</v>
      </c>
      <c r="I541" s="125">
        <f>D541-(2*(H541+F541))</f>
        <v/>
      </c>
      <c r="J541" s="125">
        <f>D541/10 * F541/10 + 2*(E541/10 * G541/10)</f>
        <v/>
      </c>
      <c r="K541" s="125">
        <f>(E541/2)/F541</f>
        <v/>
      </c>
      <c r="L541" s="125">
        <f>I541/G541</f>
        <v/>
      </c>
      <c r="M541" s="125">
        <f>(E541*2+F541*4+((E541-G541)/2-H541)*4+2*PI()*H541+(D541-2*F541-2*H541)*2)/1000</f>
        <v/>
      </c>
      <c r="N541" s="5" t="n">
        <v>389000</v>
      </c>
      <c r="O541" s="5" t="n">
        <v>9940</v>
      </c>
      <c r="P541" s="125" t="n">
        <v>37.3</v>
      </c>
      <c r="Q541" s="125" t="n">
        <v>6</v>
      </c>
      <c r="R541" s="5" t="n">
        <v>8190</v>
      </c>
      <c r="S541" s="125" t="n">
        <v>662</v>
      </c>
      <c r="T541" s="5" t="n">
        <v>9530</v>
      </c>
      <c r="U541" s="5" t="n">
        <v>1050</v>
      </c>
      <c r="Y541">
        <f>SQRT((((VLOOKUP($X$4,$A$4:$D$1021,4,FALSE))-D541)^2)+(((VLOOKUP($X$4,$A$4:$E$1021,5,FALSE))-E541)^2))</f>
        <v/>
      </c>
    </row>
    <row r="542">
      <c r="A542" s="125" t="inlineStr">
        <is>
          <t>HY950X274</t>
        </is>
      </c>
      <c r="B542" s="129" t="inlineStr">
        <is>
          <t>HY</t>
        </is>
      </c>
      <c r="C542" s="125" t="n">
        <v>274</v>
      </c>
      <c r="D542" s="125" t="n">
        <v>950</v>
      </c>
      <c r="E542" s="125" t="n">
        <v>250</v>
      </c>
      <c r="F542" s="125" t="n">
        <v>36</v>
      </c>
      <c r="G542" s="125" t="n">
        <v>19</v>
      </c>
      <c r="H542" s="125" t="n">
        <v>18</v>
      </c>
      <c r="I542" s="125">
        <f>D542-(2*(H542+F542))</f>
        <v/>
      </c>
      <c r="J542" s="125">
        <f>D542/10 * F542/10 + 2*(E542/10 * G542/10)</f>
        <v/>
      </c>
      <c r="K542" s="125">
        <f>(E542/2)/F542</f>
        <v/>
      </c>
      <c r="L542" s="125">
        <f>I542/G542</f>
        <v/>
      </c>
      <c r="M542" s="125">
        <f>(E542*2+F542*4+((E542-G542)/2-H542)*4+2*PI()*H542+(D542-2*F542-2*H542)*2)/1000</f>
        <v/>
      </c>
      <c r="N542" s="5" t="n">
        <v>489000</v>
      </c>
      <c r="O542" s="5" t="n">
        <v>9430</v>
      </c>
      <c r="P542" s="125" t="n">
        <v>37.4</v>
      </c>
      <c r="Q542" s="125" t="n">
        <v>5.2</v>
      </c>
      <c r="R542" s="5" t="n">
        <v>10300</v>
      </c>
      <c r="S542" s="125" t="n">
        <v>754</v>
      </c>
      <c r="T542" s="5" t="n">
        <v>12000</v>
      </c>
      <c r="U542" s="5" t="n">
        <v>1210</v>
      </c>
      <c r="Y542">
        <f>SQRT((((VLOOKUP($X$4,$A$4:$D$1021,4,FALSE))-D542)^2)+(((VLOOKUP($X$4,$A$4:$E$1021,5,FALSE))-E542)^2))</f>
        <v/>
      </c>
    </row>
    <row r="543">
      <c r="A543" s="125" t="inlineStr">
        <is>
          <t>HY950X260</t>
        </is>
      </c>
      <c r="B543" s="129" t="inlineStr">
        <is>
          <t>HY</t>
        </is>
      </c>
      <c r="C543" s="125" t="n">
        <v>260</v>
      </c>
      <c r="D543" s="125" t="n">
        <v>950</v>
      </c>
      <c r="E543" s="125" t="n">
        <v>250</v>
      </c>
      <c r="F543" s="125" t="n">
        <v>32</v>
      </c>
      <c r="G543" s="125" t="n">
        <v>19</v>
      </c>
      <c r="H543" s="125" t="n">
        <v>18</v>
      </c>
      <c r="I543" s="125">
        <f>D543-(2*(H543+F543))</f>
        <v/>
      </c>
      <c r="J543" s="125">
        <f>D543/10 * F543/10 + 2*(E543/10 * G543/10)</f>
        <v/>
      </c>
      <c r="K543" s="125">
        <f>(E543/2)/F543</f>
        <v/>
      </c>
      <c r="L543" s="125">
        <f>I543/G543</f>
        <v/>
      </c>
      <c r="M543" s="125">
        <f>(E543*2+F543*4+((E543-G543)/2-H543)*4+2*PI()*H543+(D543-2*F543-2*H543)*2)/1000</f>
        <v/>
      </c>
      <c r="N543" s="5" t="n">
        <v>453000</v>
      </c>
      <c r="O543" s="5" t="n">
        <v>8390</v>
      </c>
      <c r="P543" s="125" t="n">
        <v>37</v>
      </c>
      <c r="Q543" s="125" t="n">
        <v>5</v>
      </c>
      <c r="R543" s="5" t="n">
        <v>9530</v>
      </c>
      <c r="S543" s="125" t="n">
        <v>671</v>
      </c>
      <c r="T543" s="5" t="n">
        <v>11200</v>
      </c>
      <c r="U543" s="5" t="n">
        <v>1080</v>
      </c>
      <c r="Y543">
        <f>SQRT((((VLOOKUP($X$4,$A$4:$D$1021,4,FALSE))-D543)^2)+(((VLOOKUP($X$4,$A$4:$E$1021,5,FALSE))-E543)^2))</f>
        <v/>
      </c>
    </row>
    <row r="544">
      <c r="A544" s="125" t="inlineStr">
        <is>
          <t>HY950X245</t>
        </is>
      </c>
      <c r="B544" s="129" t="inlineStr">
        <is>
          <t>HY</t>
        </is>
      </c>
      <c r="C544" s="125" t="n">
        <v>245</v>
      </c>
      <c r="D544" s="125" t="n">
        <v>950</v>
      </c>
      <c r="E544" s="125" t="n">
        <v>250</v>
      </c>
      <c r="F544" s="125" t="n">
        <v>28</v>
      </c>
      <c r="G544" s="125" t="n">
        <v>19</v>
      </c>
      <c r="H544" s="125" t="n">
        <v>18</v>
      </c>
      <c r="I544" s="125">
        <f>D544-(2*(H544+F544))</f>
        <v/>
      </c>
      <c r="J544" s="125">
        <f>D544/10 * F544/10 + 2*(E544/10 * G544/10)</f>
        <v/>
      </c>
      <c r="K544" s="125">
        <f>(E544/2)/F544</f>
        <v/>
      </c>
      <c r="L544" s="125">
        <f>I544/G544</f>
        <v/>
      </c>
      <c r="M544" s="125">
        <f>(E544*2+F544*4+((E544-G544)/2-H544)*4+2*PI()*H544+(D544-2*F544-2*H544)*2)/1000</f>
        <v/>
      </c>
      <c r="N544" s="5" t="n">
        <v>416000</v>
      </c>
      <c r="O544" s="5" t="n">
        <v>7350</v>
      </c>
      <c r="P544" s="125" t="n">
        <v>36.5</v>
      </c>
      <c r="Q544" s="125" t="n">
        <v>4.9</v>
      </c>
      <c r="R544" s="5" t="n">
        <v>8760</v>
      </c>
      <c r="S544" s="125" t="n">
        <v>588</v>
      </c>
      <c r="T544" s="5" t="n">
        <v>10400</v>
      </c>
      <c r="U544" s="125" t="n">
        <v>959</v>
      </c>
      <c r="Y544">
        <f>SQRT((((VLOOKUP($X$4,$A$4:$D$1021,4,FALSE))-D544)^2)+(((VLOOKUP($X$4,$A$4:$E$1021,5,FALSE))-E544)^2))</f>
        <v/>
      </c>
    </row>
    <row r="545">
      <c r="A545" s="125" t="inlineStr">
        <is>
          <t>HY950X235</t>
        </is>
      </c>
      <c r="B545" s="129" t="inlineStr">
        <is>
          <t>HY</t>
        </is>
      </c>
      <c r="C545" s="125" t="n">
        <v>235</v>
      </c>
      <c r="D545" s="125" t="n">
        <v>950</v>
      </c>
      <c r="E545" s="125" t="n">
        <v>250</v>
      </c>
      <c r="F545" s="125" t="n">
        <v>25</v>
      </c>
      <c r="G545" s="125" t="n">
        <v>19</v>
      </c>
      <c r="H545" s="125" t="n">
        <v>18</v>
      </c>
      <c r="I545" s="125">
        <f>D545-(2*(H545+F545))</f>
        <v/>
      </c>
      <c r="J545" s="125">
        <f>D545/10 * F545/10 + 2*(E545/10 * G545/10)</f>
        <v/>
      </c>
      <c r="K545" s="125">
        <f>(E545/2)/F545</f>
        <v/>
      </c>
      <c r="L545" s="125">
        <f>I545/G545</f>
        <v/>
      </c>
      <c r="M545" s="125">
        <f>(E545*2+F545*4+((E545-G545)/2-H545)*4+2*PI()*H545+(D545-2*F545-2*H545)*2)/1000</f>
        <v/>
      </c>
      <c r="N545" s="5" t="n">
        <v>388000</v>
      </c>
      <c r="O545" s="5" t="n">
        <v>6570</v>
      </c>
      <c r="P545" s="125" t="n">
        <v>36.1</v>
      </c>
      <c r="Q545" s="125" t="n">
        <v>4.7</v>
      </c>
      <c r="R545" s="5" t="n">
        <v>8180</v>
      </c>
      <c r="S545" s="125" t="n">
        <v>525</v>
      </c>
      <c r="T545" s="5" t="n">
        <v>9750</v>
      </c>
      <c r="U545" s="125" t="n">
        <v>866</v>
      </c>
      <c r="Y545">
        <f>SQRT((((VLOOKUP($X$4,$A$4:$D$1021,4,FALSE))-D545)^2)+(((VLOOKUP($X$4,$A$4:$E$1021,5,FALSE))-E545)^2))</f>
        <v/>
      </c>
    </row>
    <row r="546">
      <c r="A546" s="125" t="inlineStr">
        <is>
          <t>HY950X239</t>
        </is>
      </c>
      <c r="B546" s="129" t="inlineStr">
        <is>
          <t>HY</t>
        </is>
      </c>
      <c r="C546" s="125" t="n">
        <v>239</v>
      </c>
      <c r="D546" s="125" t="n">
        <v>950</v>
      </c>
      <c r="E546" s="125" t="n">
        <v>250</v>
      </c>
      <c r="F546" s="125" t="n">
        <v>32</v>
      </c>
      <c r="G546" s="125" t="n">
        <v>16</v>
      </c>
      <c r="H546" s="125" t="n">
        <v>18</v>
      </c>
      <c r="I546" s="125">
        <f>D546-(2*(H546+F546))</f>
        <v/>
      </c>
      <c r="J546" s="125">
        <f>D546/10 * F546/10 + 2*(E546/10 * G546/10)</f>
        <v/>
      </c>
      <c r="K546" s="125">
        <f>(E546/2)/F546</f>
        <v/>
      </c>
      <c r="L546" s="125">
        <f>I546/G546</f>
        <v/>
      </c>
      <c r="M546" s="125">
        <f>(E546*2+F546*4+((E546-G546)/2-H546)*4+2*PI()*H546+(D546-2*F546-2*H546)*2)/1000</f>
        <v/>
      </c>
      <c r="N546" s="5" t="n">
        <v>435000</v>
      </c>
      <c r="O546" s="5" t="n">
        <v>8370</v>
      </c>
      <c r="P546" s="125" t="n">
        <v>37.8</v>
      </c>
      <c r="Q546" s="125" t="n">
        <v>5.2</v>
      </c>
      <c r="R546" s="5" t="n">
        <v>9160</v>
      </c>
      <c r="S546" s="125" t="n">
        <v>669</v>
      </c>
      <c r="T546" s="5" t="n">
        <v>10600</v>
      </c>
      <c r="U546" s="5" t="n">
        <v>1060</v>
      </c>
      <c r="Y546">
        <f>SQRT((((VLOOKUP($X$4,$A$4:$D$1021,4,FALSE))-D546)^2)+(((VLOOKUP($X$4,$A$4:$E$1021,5,FALSE))-E546)^2))</f>
        <v/>
      </c>
    </row>
    <row r="547">
      <c r="A547" s="125" t="inlineStr">
        <is>
          <t>HY950X224</t>
        </is>
      </c>
      <c r="B547" s="129" t="inlineStr">
        <is>
          <t>HY</t>
        </is>
      </c>
      <c r="C547" s="125" t="n">
        <v>224</v>
      </c>
      <c r="D547" s="125" t="n">
        <v>950</v>
      </c>
      <c r="E547" s="125" t="n">
        <v>250</v>
      </c>
      <c r="F547" s="125" t="n">
        <v>28</v>
      </c>
      <c r="G547" s="125" t="n">
        <v>16</v>
      </c>
      <c r="H547" s="125" t="n">
        <v>18</v>
      </c>
      <c r="I547" s="125">
        <f>D547-(2*(H547+F547))</f>
        <v/>
      </c>
      <c r="J547" s="125">
        <f>D547/10 * F547/10 + 2*(E547/10 * G547/10)</f>
        <v/>
      </c>
      <c r="K547" s="125">
        <f>(E547/2)/F547</f>
        <v/>
      </c>
      <c r="L547" s="125">
        <f>I547/G547</f>
        <v/>
      </c>
      <c r="M547" s="125">
        <f>(E547*2+F547*4+((E547-G547)/2-H547)*4+2*PI()*H547+(D547-2*F547-2*H547)*2)/1000</f>
        <v/>
      </c>
      <c r="N547" s="5" t="n">
        <v>398000</v>
      </c>
      <c r="O547" s="5" t="n">
        <v>7330</v>
      </c>
      <c r="P547" s="125" t="n">
        <v>37.3</v>
      </c>
      <c r="Q547" s="125" t="n">
        <v>5.1</v>
      </c>
      <c r="R547" s="5" t="n">
        <v>8390</v>
      </c>
      <c r="S547" s="125" t="n">
        <v>586</v>
      </c>
      <c r="T547" s="5" t="n">
        <v>9770</v>
      </c>
      <c r="U547" s="125" t="n">
        <v>936</v>
      </c>
      <c r="Y547">
        <f>SQRT((((VLOOKUP($X$4,$A$4:$D$1021,4,FALSE))-D547)^2)+(((VLOOKUP($X$4,$A$4:$E$1021,5,FALSE))-E547)^2))</f>
        <v/>
      </c>
    </row>
    <row r="548">
      <c r="A548" s="125" t="inlineStr">
        <is>
          <t>HY950X213</t>
        </is>
      </c>
      <c r="B548" s="129" t="inlineStr">
        <is>
          <t>HY</t>
        </is>
      </c>
      <c r="C548" s="125" t="n">
        <v>213</v>
      </c>
      <c r="D548" s="125" t="n">
        <v>950</v>
      </c>
      <c r="E548" s="125" t="n">
        <v>250</v>
      </c>
      <c r="F548" s="125" t="n">
        <v>25</v>
      </c>
      <c r="G548" s="125" t="n">
        <v>16</v>
      </c>
      <c r="H548" s="125" t="n">
        <v>18</v>
      </c>
      <c r="I548" s="125">
        <f>D548-(2*(H548+F548))</f>
        <v/>
      </c>
      <c r="J548" s="125">
        <f>D548/10 * F548/10 + 2*(E548/10 * G548/10)</f>
        <v/>
      </c>
      <c r="K548" s="125">
        <f>(E548/2)/F548</f>
        <v/>
      </c>
      <c r="L548" s="125">
        <f>I548/G548</f>
        <v/>
      </c>
      <c r="M548" s="125">
        <f>(E548*2+F548*4+((E548-G548)/2-H548)*4+2*PI()*H548+(D548-2*F548-2*H548)*2)/1000</f>
        <v/>
      </c>
      <c r="N548" s="5" t="n">
        <v>370000</v>
      </c>
      <c r="O548" s="5" t="n">
        <v>6550</v>
      </c>
      <c r="P548" s="125" t="n">
        <v>36.9</v>
      </c>
      <c r="Q548" s="125" t="n">
        <v>4.9</v>
      </c>
      <c r="R548" s="5" t="n">
        <v>7790</v>
      </c>
      <c r="S548" s="125" t="n">
        <v>524</v>
      </c>
      <c r="T548" s="5" t="n">
        <v>9150</v>
      </c>
      <c r="U548" s="125" t="n">
        <v>842</v>
      </c>
      <c r="Y548">
        <f>SQRT((((VLOOKUP($X$4,$A$4:$D$1021,4,FALSE))-D548)^2)+(((VLOOKUP($X$4,$A$4:$E$1021,5,FALSE))-E548)^2))</f>
        <v/>
      </c>
    </row>
    <row r="549">
      <c r="A549" s="125" t="inlineStr">
        <is>
          <t>HY950X202</t>
        </is>
      </c>
      <c r="B549" s="129" t="inlineStr">
        <is>
          <t>HY</t>
        </is>
      </c>
      <c r="C549" s="125" t="n">
        <v>202</v>
      </c>
      <c r="D549" s="125" t="n">
        <v>950</v>
      </c>
      <c r="E549" s="125" t="n">
        <v>250</v>
      </c>
      <c r="F549" s="125" t="n">
        <v>22</v>
      </c>
      <c r="G549" s="125" t="n">
        <v>16</v>
      </c>
      <c r="H549" s="125" t="n">
        <v>18</v>
      </c>
      <c r="I549" s="125">
        <f>D549-(2*(H549+F549))</f>
        <v/>
      </c>
      <c r="J549" s="125">
        <f>D549/10 * F549/10 + 2*(E549/10 * G549/10)</f>
        <v/>
      </c>
      <c r="K549" s="125">
        <f>(E549/2)/F549</f>
        <v/>
      </c>
      <c r="L549" s="125">
        <f>I549/G549</f>
        <v/>
      </c>
      <c r="M549" s="125">
        <f>(E549*2+F549*4+((E549-G549)/2-H549)*4+2*PI()*H549+(D549-2*F549-2*H549)*2)/1000</f>
        <v/>
      </c>
      <c r="N549" s="5" t="n">
        <v>342000</v>
      </c>
      <c r="O549" s="5" t="n">
        <v>5760</v>
      </c>
      <c r="P549" s="125" t="n">
        <v>36.4</v>
      </c>
      <c r="Q549" s="125" t="n">
        <v>4.7</v>
      </c>
      <c r="R549" s="5" t="n">
        <v>7190</v>
      </c>
      <c r="S549" s="125" t="n">
        <v>461</v>
      </c>
      <c r="T549" s="5" t="n">
        <v>8510</v>
      </c>
      <c r="U549" s="125" t="n">
        <v>749</v>
      </c>
      <c r="Y549">
        <f>SQRT((((VLOOKUP($X$4,$A$4:$D$1021,4,FALSE))-D549)^2)+(((VLOOKUP($X$4,$A$4:$E$1021,5,FALSE))-E549)^2))</f>
        <v/>
      </c>
    </row>
    <row r="550">
      <c r="A550" s="125" t="inlineStr">
        <is>
          <t>HY900X395</t>
        </is>
      </c>
      <c r="B550" s="129" t="inlineStr">
        <is>
          <t>HY</t>
        </is>
      </c>
      <c r="C550" s="125" t="n">
        <v>395</v>
      </c>
      <c r="D550" s="125" t="n">
        <v>900</v>
      </c>
      <c r="E550" s="125" t="n">
        <v>400</v>
      </c>
      <c r="F550" s="125" t="n">
        <v>40</v>
      </c>
      <c r="G550" s="125" t="n">
        <v>22</v>
      </c>
      <c r="H550" s="125" t="n">
        <v>18</v>
      </c>
      <c r="I550" s="125">
        <f>D550-(2*(H550+F550))</f>
        <v/>
      </c>
      <c r="J550" s="125">
        <f>D550/10 * F550/10 + 2*(E550/10 * G550/10)</f>
        <v/>
      </c>
      <c r="K550" s="125">
        <f>(E550/2)/F550</f>
        <v/>
      </c>
      <c r="L550" s="125">
        <f>I550/G550</f>
        <v/>
      </c>
      <c r="M550" s="125">
        <f>(E550*2+F550*4+((E550-G550)/2-H550)*4+2*PI()*H550+(D550-2*F550-2*H550)*2)/1000</f>
        <v/>
      </c>
      <c r="N550" s="5" t="n">
        <v>698000</v>
      </c>
      <c r="O550" s="5" t="n">
        <v>42700</v>
      </c>
      <c r="P550" s="125" t="n">
        <v>37.2</v>
      </c>
      <c r="Q550" s="125" t="n">
        <v>9.199999999999999</v>
      </c>
      <c r="R550" s="5" t="n">
        <v>15500</v>
      </c>
      <c r="S550" s="5" t="n">
        <v>2140</v>
      </c>
      <c r="T550" s="5" t="n">
        <v>17600</v>
      </c>
      <c r="U550" s="5" t="n">
        <v>3300</v>
      </c>
      <c r="Y550">
        <f>SQRT((((VLOOKUP($X$4,$A$4:$D$1021,4,FALSE))-D550)^2)+(((VLOOKUP($X$4,$A$4:$E$1021,5,FALSE))-E550)^2))</f>
        <v/>
      </c>
    </row>
    <row r="551">
      <c r="A551" s="125" t="inlineStr">
        <is>
          <t>HY900X371</t>
        </is>
      </c>
      <c r="B551" s="129" t="inlineStr">
        <is>
          <t>HY</t>
        </is>
      </c>
      <c r="C551" s="125" t="n">
        <v>371</v>
      </c>
      <c r="D551" s="125" t="n">
        <v>900</v>
      </c>
      <c r="E551" s="125" t="n">
        <v>400</v>
      </c>
      <c r="F551" s="125" t="n">
        <v>36</v>
      </c>
      <c r="G551" s="125" t="n">
        <v>22</v>
      </c>
      <c r="H551" s="125" t="n">
        <v>18</v>
      </c>
      <c r="I551" s="125">
        <f>D551-(2*(H551+F551))</f>
        <v/>
      </c>
      <c r="J551" s="125">
        <f>D551/10 * F551/10 + 2*(E551/10 * G551/10)</f>
        <v/>
      </c>
      <c r="K551" s="125">
        <f>(E551/2)/F551</f>
        <v/>
      </c>
      <c r="L551" s="125">
        <f>I551/G551</f>
        <v/>
      </c>
      <c r="M551" s="125">
        <f>(E551*2+F551*4+((E551-G551)/2-H551)*4+2*PI()*H551+(D551-2*F551-2*H551)*2)/1000</f>
        <v/>
      </c>
      <c r="N551" s="5" t="n">
        <v>647000</v>
      </c>
      <c r="O551" s="5" t="n">
        <v>38500</v>
      </c>
      <c r="P551" s="125" t="n">
        <v>37</v>
      </c>
      <c r="Q551" s="125" t="n">
        <v>9</v>
      </c>
      <c r="R551" s="5" t="n">
        <v>14400</v>
      </c>
      <c r="S551" s="5" t="n">
        <v>1920</v>
      </c>
      <c r="T551" s="5" t="n">
        <v>16300</v>
      </c>
      <c r="U551" s="5" t="n">
        <v>2980</v>
      </c>
      <c r="Y551">
        <f>SQRT((((VLOOKUP($X$4,$A$4:$D$1021,4,FALSE))-D551)^2)+(((VLOOKUP($X$4,$A$4:$E$1021,5,FALSE))-E551)^2))</f>
        <v/>
      </c>
    </row>
    <row r="552">
      <c r="A552" s="125" t="inlineStr">
        <is>
          <t>HY900X348</t>
        </is>
      </c>
      <c r="B552" s="129" t="inlineStr">
        <is>
          <t>HY</t>
        </is>
      </c>
      <c r="C552" s="125" t="n">
        <v>348</v>
      </c>
      <c r="D552" s="125" t="n">
        <v>900</v>
      </c>
      <c r="E552" s="125" t="n">
        <v>400</v>
      </c>
      <c r="F552" s="125" t="n">
        <v>32</v>
      </c>
      <c r="G552" s="125" t="n">
        <v>22</v>
      </c>
      <c r="H552" s="125" t="n">
        <v>18</v>
      </c>
      <c r="I552" s="125">
        <f>D552-(2*(H552+F552))</f>
        <v/>
      </c>
      <c r="J552" s="125">
        <f>D552/10 * F552/10 + 2*(E552/10 * G552/10)</f>
        <v/>
      </c>
      <c r="K552" s="125">
        <f>(E552/2)/F552</f>
        <v/>
      </c>
      <c r="L552" s="125">
        <f>I552/G552</f>
        <v/>
      </c>
      <c r="M552" s="125">
        <f>(E552*2+F552*4+((E552-G552)/2-H552)*4+2*PI()*H552+(D552-2*F552-2*H552)*2)/1000</f>
        <v/>
      </c>
      <c r="N552" s="5" t="n">
        <v>594000</v>
      </c>
      <c r="O552" s="5" t="n">
        <v>34200</v>
      </c>
      <c r="P552" s="125" t="n">
        <v>36.6</v>
      </c>
      <c r="Q552" s="125" t="n">
        <v>8.800000000000001</v>
      </c>
      <c r="R552" s="5" t="n">
        <v>13200</v>
      </c>
      <c r="S552" s="5" t="n">
        <v>1710</v>
      </c>
      <c r="T552" s="5" t="n">
        <v>15100</v>
      </c>
      <c r="U552" s="5" t="n">
        <v>2670</v>
      </c>
      <c r="Y552">
        <f>SQRT((((VLOOKUP($X$4,$A$4:$D$1021,4,FALSE))-D552)^2)+(((VLOOKUP($X$4,$A$4:$E$1021,5,FALSE))-E552)^2))</f>
        <v/>
      </c>
    </row>
    <row r="553">
      <c r="A553" s="125" t="inlineStr">
        <is>
          <t>HY900X324</t>
        </is>
      </c>
      <c r="B553" s="129" t="inlineStr">
        <is>
          <t>HY</t>
        </is>
      </c>
      <c r="C553" s="125" t="n">
        <v>324</v>
      </c>
      <c r="D553" s="125" t="n">
        <v>900</v>
      </c>
      <c r="E553" s="125" t="n">
        <v>400</v>
      </c>
      <c r="F553" s="125" t="n">
        <v>28</v>
      </c>
      <c r="G553" s="125" t="n">
        <v>22</v>
      </c>
      <c r="H553" s="125" t="n">
        <v>18</v>
      </c>
      <c r="I553" s="125">
        <f>D553-(2*(H553+F553))</f>
        <v/>
      </c>
      <c r="J553" s="125">
        <f>D553/10 * F553/10 + 2*(E553/10 * G553/10)</f>
        <v/>
      </c>
      <c r="K553" s="125">
        <f>(E553/2)/F553</f>
        <v/>
      </c>
      <c r="L553" s="125">
        <f>I553/G553</f>
        <v/>
      </c>
      <c r="M553" s="125">
        <f>(E553*2+F553*4+((E553-G553)/2-H553)*4+2*PI()*H553+(D553-2*F553-2*H553)*2)/1000</f>
        <v/>
      </c>
      <c r="N553" s="5" t="n">
        <v>541000</v>
      </c>
      <c r="O553" s="5" t="n">
        <v>29900</v>
      </c>
      <c r="P553" s="125" t="n">
        <v>36.2</v>
      </c>
      <c r="Q553" s="125" t="n">
        <v>8.5</v>
      </c>
      <c r="R553" s="5" t="n">
        <v>12000</v>
      </c>
      <c r="S553" s="5" t="n">
        <v>1500</v>
      </c>
      <c r="T553" s="5" t="n">
        <v>13800</v>
      </c>
      <c r="U553" s="5" t="n">
        <v>2350</v>
      </c>
      <c r="Y553">
        <f>SQRT((((VLOOKUP($X$4,$A$4:$D$1021,4,FALSE))-D553)^2)+(((VLOOKUP($X$4,$A$4:$E$1021,5,FALSE))-E553)^2))</f>
        <v/>
      </c>
    </row>
    <row r="554">
      <c r="A554" s="125" t="inlineStr">
        <is>
          <t>HY900X376</t>
        </is>
      </c>
      <c r="B554" s="129" t="inlineStr">
        <is>
          <t>HY</t>
        </is>
      </c>
      <c r="C554" s="125" t="n">
        <v>376</v>
      </c>
      <c r="D554" s="125" t="n">
        <v>900</v>
      </c>
      <c r="E554" s="125" t="n">
        <v>400</v>
      </c>
      <c r="F554" s="125" t="n">
        <v>40</v>
      </c>
      <c r="G554" s="125" t="n">
        <v>19</v>
      </c>
      <c r="H554" s="125" t="n">
        <v>18</v>
      </c>
      <c r="I554" s="125">
        <f>D554-(2*(H554+F554))</f>
        <v/>
      </c>
      <c r="J554" s="125">
        <f>D554/10 * F554/10 + 2*(E554/10 * G554/10)</f>
        <v/>
      </c>
      <c r="K554" s="125">
        <f>(E554/2)/F554</f>
        <v/>
      </c>
      <c r="L554" s="125">
        <f>I554/G554</f>
        <v/>
      </c>
      <c r="M554" s="125">
        <f>(E554*2+F554*4+((E554-G554)/2-H554)*4+2*PI()*H554+(D554-2*F554-2*H554)*2)/1000</f>
        <v/>
      </c>
      <c r="N554" s="5" t="n">
        <v>684000</v>
      </c>
      <c r="O554" s="5" t="n">
        <v>42700</v>
      </c>
      <c r="P554" s="125" t="n">
        <v>37.8</v>
      </c>
      <c r="Q554" s="125" t="n">
        <v>9.5</v>
      </c>
      <c r="R554" s="5" t="n">
        <v>15200</v>
      </c>
      <c r="S554" s="5" t="n">
        <v>2140</v>
      </c>
      <c r="T554" s="5" t="n">
        <v>17100</v>
      </c>
      <c r="U554" s="5" t="n">
        <v>3280</v>
      </c>
      <c r="Y554">
        <f>SQRT((((VLOOKUP($X$4,$A$4:$D$1021,4,FALSE))-D554)^2)+(((VLOOKUP($X$4,$A$4:$E$1021,5,FALSE))-E554)^2))</f>
        <v/>
      </c>
    </row>
    <row r="555">
      <c r="A555" s="125" t="inlineStr">
        <is>
          <t>HY900X352</t>
        </is>
      </c>
      <c r="B555" s="129" t="inlineStr">
        <is>
          <t>HY</t>
        </is>
      </c>
      <c r="C555" s="125" t="n">
        <v>352</v>
      </c>
      <c r="D555" s="125" t="n">
        <v>900</v>
      </c>
      <c r="E555" s="125" t="n">
        <v>400</v>
      </c>
      <c r="F555" s="125" t="n">
        <v>36</v>
      </c>
      <c r="G555" s="125" t="n">
        <v>19</v>
      </c>
      <c r="H555" s="125" t="n">
        <v>18</v>
      </c>
      <c r="I555" s="125">
        <f>D555-(2*(H555+F555))</f>
        <v/>
      </c>
      <c r="J555" s="125">
        <f>D555/10 * F555/10 + 2*(E555/10 * G555/10)</f>
        <v/>
      </c>
      <c r="K555" s="125">
        <f>(E555/2)/F555</f>
        <v/>
      </c>
      <c r="L555" s="125">
        <f>I555/G555</f>
        <v/>
      </c>
      <c r="M555" s="125">
        <f>(E555*2+F555*4+((E555-G555)/2-H555)*4+2*PI()*H555+(D555-2*F555-2*H555)*2)/1000</f>
        <v/>
      </c>
      <c r="N555" s="5" t="n">
        <v>632000</v>
      </c>
      <c r="O555" s="5" t="n">
        <v>38500</v>
      </c>
      <c r="P555" s="125" t="n">
        <v>37.6</v>
      </c>
      <c r="Q555" s="125" t="n">
        <v>9.300000000000001</v>
      </c>
      <c r="R555" s="5" t="n">
        <v>14100</v>
      </c>
      <c r="S555" s="5" t="n">
        <v>1920</v>
      </c>
      <c r="T555" s="5" t="n">
        <v>15800</v>
      </c>
      <c r="U555" s="5" t="n">
        <v>2960</v>
      </c>
      <c r="Y555">
        <f>SQRT((((VLOOKUP($X$4,$A$4:$D$1021,4,FALSE))-D555)^2)+(((VLOOKUP($X$4,$A$4:$E$1021,5,FALSE))-E555)^2))</f>
        <v/>
      </c>
    </row>
    <row r="556">
      <c r="A556" s="125" t="inlineStr">
        <is>
          <t>HY900X328</t>
        </is>
      </c>
      <c r="B556" s="129" t="inlineStr">
        <is>
          <t>HY</t>
        </is>
      </c>
      <c r="C556" s="125" t="n">
        <v>328</v>
      </c>
      <c r="D556" s="125" t="n">
        <v>900</v>
      </c>
      <c r="E556" s="125" t="n">
        <v>400</v>
      </c>
      <c r="F556" s="125" t="n">
        <v>32</v>
      </c>
      <c r="G556" s="125" t="n">
        <v>19</v>
      </c>
      <c r="H556" s="125" t="n">
        <v>18</v>
      </c>
      <c r="I556" s="125">
        <f>D556-(2*(H556+F556))</f>
        <v/>
      </c>
      <c r="J556" s="125">
        <f>D556/10 * F556/10 + 2*(E556/10 * G556/10)</f>
        <v/>
      </c>
      <c r="K556" s="125">
        <f>(E556/2)/F556</f>
        <v/>
      </c>
      <c r="L556" s="125">
        <f>I556/G556</f>
        <v/>
      </c>
      <c r="M556" s="125">
        <f>(E556*2+F556*4+((E556-G556)/2-H556)*4+2*PI()*H556+(D556-2*F556-2*H556)*2)/1000</f>
        <v/>
      </c>
      <c r="N556" s="5" t="n">
        <v>580000</v>
      </c>
      <c r="O556" s="5" t="n">
        <v>34200</v>
      </c>
      <c r="P556" s="125" t="n">
        <v>37.3</v>
      </c>
      <c r="Q556" s="125" t="n">
        <v>9.1</v>
      </c>
      <c r="R556" s="5" t="n">
        <v>12900</v>
      </c>
      <c r="S556" s="5" t="n">
        <v>1710</v>
      </c>
      <c r="T556" s="5" t="n">
        <v>14500</v>
      </c>
      <c r="U556" s="5" t="n">
        <v>2640</v>
      </c>
      <c r="Y556">
        <f>SQRT((((VLOOKUP($X$4,$A$4:$D$1021,4,FALSE))-D556)^2)+(((VLOOKUP($X$4,$A$4:$E$1021,5,FALSE))-E556)^2))</f>
        <v/>
      </c>
    </row>
    <row r="557">
      <c r="A557" s="125" t="inlineStr">
        <is>
          <t>HY900X304</t>
        </is>
      </c>
      <c r="B557" s="129" t="inlineStr">
        <is>
          <t>HY</t>
        </is>
      </c>
      <c r="C557" s="125" t="n">
        <v>304</v>
      </c>
      <c r="D557" s="125" t="n">
        <v>900</v>
      </c>
      <c r="E557" s="125" t="n">
        <v>400</v>
      </c>
      <c r="F557" s="125" t="n">
        <v>28</v>
      </c>
      <c r="G557" s="125" t="n">
        <v>19</v>
      </c>
      <c r="H557" s="125" t="n">
        <v>18</v>
      </c>
      <c r="I557" s="125">
        <f>D557-(2*(H557+F557))</f>
        <v/>
      </c>
      <c r="J557" s="125">
        <f>D557/10 * F557/10 + 2*(E557/10 * G557/10)</f>
        <v/>
      </c>
      <c r="K557" s="125">
        <f>(E557/2)/F557</f>
        <v/>
      </c>
      <c r="L557" s="125">
        <f>I557/G557</f>
        <v/>
      </c>
      <c r="M557" s="125">
        <f>(E557*2+F557*4+((E557-G557)/2-H557)*4+2*PI()*H557+(D557-2*F557-2*H557)*2)/1000</f>
        <v/>
      </c>
      <c r="N557" s="5" t="n">
        <v>526000</v>
      </c>
      <c r="O557" s="5" t="n">
        <v>29900</v>
      </c>
      <c r="P557" s="125" t="n">
        <v>36.9</v>
      </c>
      <c r="Q557" s="125" t="n">
        <v>8.800000000000001</v>
      </c>
      <c r="R557" s="5" t="n">
        <v>11700</v>
      </c>
      <c r="S557" s="5" t="n">
        <v>1500</v>
      </c>
      <c r="T557" s="5" t="n">
        <v>13300</v>
      </c>
      <c r="U557" s="5" t="n">
        <v>2320</v>
      </c>
      <c r="Y557">
        <f>SQRT((((VLOOKUP($X$4,$A$4:$D$1021,4,FALSE))-D557)^2)+(((VLOOKUP($X$4,$A$4:$E$1021,5,FALSE))-E557)^2))</f>
        <v/>
      </c>
    </row>
    <row r="558">
      <c r="A558" s="125" t="inlineStr">
        <is>
          <t>HY900X286</t>
        </is>
      </c>
      <c r="B558" s="129" t="inlineStr">
        <is>
          <t>HY</t>
        </is>
      </c>
      <c r="C558" s="125" t="n">
        <v>286</v>
      </c>
      <c r="D558" s="125" t="n">
        <v>900</v>
      </c>
      <c r="E558" s="125" t="n">
        <v>400</v>
      </c>
      <c r="F558" s="125" t="n">
        <v>25</v>
      </c>
      <c r="G558" s="125" t="n">
        <v>19</v>
      </c>
      <c r="H558" s="125" t="n">
        <v>18</v>
      </c>
      <c r="I558" s="125">
        <f>D558-(2*(H558+F558))</f>
        <v/>
      </c>
      <c r="J558" s="125">
        <f>D558/10 * F558/10 + 2*(E558/10 * G558/10)</f>
        <v/>
      </c>
      <c r="K558" s="125">
        <f>(E558/2)/F558</f>
        <v/>
      </c>
      <c r="L558" s="125">
        <f>I558/G558</f>
        <v/>
      </c>
      <c r="M558" s="125">
        <f>(E558*2+F558*4+((E558-G558)/2-H558)*4+2*PI()*H558+(D558-2*F558-2*H558)*2)/1000</f>
        <v/>
      </c>
      <c r="N558" s="5" t="n">
        <v>485000</v>
      </c>
      <c r="O558" s="5" t="n">
        <v>26700</v>
      </c>
      <c r="P558" s="125" t="n">
        <v>36.5</v>
      </c>
      <c r="Q558" s="125" t="n">
        <v>8.6</v>
      </c>
      <c r="R558" s="5" t="n">
        <v>10800</v>
      </c>
      <c r="S558" s="5" t="n">
        <v>1340</v>
      </c>
      <c r="T558" s="5" t="n">
        <v>12300</v>
      </c>
      <c r="U558" s="5" t="n">
        <v>2080</v>
      </c>
      <c r="Y558">
        <f>SQRT((((VLOOKUP($X$4,$A$4:$D$1021,4,FALSE))-D558)^2)+(((VLOOKUP($X$4,$A$4:$E$1021,5,FALSE))-E558)^2))</f>
        <v/>
      </c>
    </row>
    <row r="559">
      <c r="A559" s="125" t="inlineStr">
        <is>
          <t>HY900X332</t>
        </is>
      </c>
      <c r="B559" s="129" t="inlineStr">
        <is>
          <t>HY</t>
        </is>
      </c>
      <c r="C559" s="125" t="n">
        <v>332</v>
      </c>
      <c r="D559" s="125" t="n">
        <v>900</v>
      </c>
      <c r="E559" s="125" t="n">
        <v>400</v>
      </c>
      <c r="F559" s="125" t="n">
        <v>36</v>
      </c>
      <c r="G559" s="125" t="n">
        <v>16</v>
      </c>
      <c r="H559" s="125" t="n">
        <v>18</v>
      </c>
      <c r="I559" s="125">
        <f>D559-(2*(H559+F559))</f>
        <v/>
      </c>
      <c r="J559" s="125">
        <f>D559/10 * F559/10 + 2*(E559/10 * G559/10)</f>
        <v/>
      </c>
      <c r="K559" s="125">
        <f>(E559/2)/F559</f>
        <v/>
      </c>
      <c r="L559" s="125">
        <f>I559/G559</f>
        <v/>
      </c>
      <c r="M559" s="125">
        <f>(E559*2+F559*4+((E559-G559)/2-H559)*4+2*PI()*H559+(D559-2*F559-2*H559)*2)/1000</f>
        <v/>
      </c>
      <c r="N559" s="5" t="n">
        <v>618000</v>
      </c>
      <c r="O559" s="5" t="n">
        <v>38400</v>
      </c>
      <c r="P559" s="125" t="n">
        <v>38.2</v>
      </c>
      <c r="Q559" s="125" t="n">
        <v>9.5</v>
      </c>
      <c r="R559" s="5" t="n">
        <v>13700</v>
      </c>
      <c r="S559" s="5" t="n">
        <v>1920</v>
      </c>
      <c r="T559" s="5" t="n">
        <v>15300</v>
      </c>
      <c r="U559" s="5" t="n">
        <v>2940</v>
      </c>
      <c r="Y559">
        <f>SQRT((((VLOOKUP($X$4,$A$4:$D$1021,4,FALSE))-D559)^2)+(((VLOOKUP($X$4,$A$4:$E$1021,5,FALSE))-E559)^2))</f>
        <v/>
      </c>
    </row>
    <row r="560">
      <c r="A560" s="125" t="inlineStr">
        <is>
          <t>HY900X308</t>
        </is>
      </c>
      <c r="B560" s="129" t="inlineStr">
        <is>
          <t>HY</t>
        </is>
      </c>
      <c r="C560" s="125" t="n">
        <v>308</v>
      </c>
      <c r="D560" s="125" t="n">
        <v>900</v>
      </c>
      <c r="E560" s="125" t="n">
        <v>400</v>
      </c>
      <c r="F560" s="125" t="n">
        <v>32</v>
      </c>
      <c r="G560" s="125" t="n">
        <v>16</v>
      </c>
      <c r="H560" s="125" t="n">
        <v>18</v>
      </c>
      <c r="I560" s="125">
        <f>D560-(2*(H560+F560))</f>
        <v/>
      </c>
      <c r="J560" s="125">
        <f>D560/10 * F560/10 + 2*(E560/10 * G560/10)</f>
        <v/>
      </c>
      <c r="K560" s="125">
        <f>(E560/2)/F560</f>
        <v/>
      </c>
      <c r="L560" s="125">
        <f>I560/G560</f>
        <v/>
      </c>
      <c r="M560" s="125">
        <f>(E560*2+F560*4+((E560-G560)/2-H560)*4+2*PI()*H560+(D560-2*F560-2*H560)*2)/1000</f>
        <v/>
      </c>
      <c r="N560" s="5" t="n">
        <v>565000</v>
      </c>
      <c r="O560" s="5" t="n">
        <v>34200</v>
      </c>
      <c r="P560" s="125" t="n">
        <v>37.9</v>
      </c>
      <c r="Q560" s="125" t="n">
        <v>9.300000000000001</v>
      </c>
      <c r="R560" s="5" t="n">
        <v>12600</v>
      </c>
      <c r="S560" s="5" t="n">
        <v>1710</v>
      </c>
      <c r="T560" s="5" t="n">
        <v>14000</v>
      </c>
      <c r="U560" s="5" t="n">
        <v>2620</v>
      </c>
      <c r="Y560">
        <f>SQRT((((VLOOKUP($X$4,$A$4:$D$1021,4,FALSE))-D560)^2)+(((VLOOKUP($X$4,$A$4:$E$1021,5,FALSE))-E560)^2))</f>
        <v/>
      </c>
    </row>
    <row r="561">
      <c r="A561" s="125" t="inlineStr">
        <is>
          <t>HY900X284</t>
        </is>
      </c>
      <c r="B561" s="129" t="inlineStr">
        <is>
          <t>HY</t>
        </is>
      </c>
      <c r="C561" s="125" t="n">
        <v>284</v>
      </c>
      <c r="D561" s="125" t="n">
        <v>900</v>
      </c>
      <c r="E561" s="125" t="n">
        <v>400</v>
      </c>
      <c r="F561" s="125" t="n">
        <v>28</v>
      </c>
      <c r="G561" s="125" t="n">
        <v>16</v>
      </c>
      <c r="H561" s="125" t="n">
        <v>18</v>
      </c>
      <c r="I561" s="125">
        <f>D561-(2*(H561+F561))</f>
        <v/>
      </c>
      <c r="J561" s="125">
        <f>D561/10 * F561/10 + 2*(E561/10 * G561/10)</f>
        <v/>
      </c>
      <c r="K561" s="125">
        <f>(E561/2)/F561</f>
        <v/>
      </c>
      <c r="L561" s="125">
        <f>I561/G561</f>
        <v/>
      </c>
      <c r="M561" s="125">
        <f>(E561*2+F561*4+((E561-G561)/2-H561)*4+2*PI()*H561+(D561-2*F561-2*H561)*2)/1000</f>
        <v/>
      </c>
      <c r="N561" s="5" t="n">
        <v>511000</v>
      </c>
      <c r="O561" s="5" t="n">
        <v>29900</v>
      </c>
      <c r="P561" s="125" t="n">
        <v>37.6</v>
      </c>
      <c r="Q561" s="125" t="n">
        <v>9.1</v>
      </c>
      <c r="R561" s="5" t="n">
        <v>11400</v>
      </c>
      <c r="S561" s="5" t="n">
        <v>1490</v>
      </c>
      <c r="T561" s="5" t="n">
        <v>12700</v>
      </c>
      <c r="U561" s="5" t="n">
        <v>2300</v>
      </c>
      <c r="Y561">
        <f>SQRT((((VLOOKUP($X$4,$A$4:$D$1021,4,FALSE))-D561)^2)+(((VLOOKUP($X$4,$A$4:$E$1021,5,FALSE))-E561)^2))</f>
        <v/>
      </c>
    </row>
    <row r="562">
      <c r="A562" s="125" t="inlineStr">
        <is>
          <t>HY900X266</t>
        </is>
      </c>
      <c r="B562" s="129" t="inlineStr">
        <is>
          <t>HY</t>
        </is>
      </c>
      <c r="C562" s="125" t="n">
        <v>266</v>
      </c>
      <c r="D562" s="125" t="n">
        <v>900</v>
      </c>
      <c r="E562" s="125" t="n">
        <v>400</v>
      </c>
      <c r="F562" s="125" t="n">
        <v>25</v>
      </c>
      <c r="G562" s="125" t="n">
        <v>16</v>
      </c>
      <c r="H562" s="125" t="n">
        <v>18</v>
      </c>
      <c r="I562" s="125">
        <f>D562-(2*(H562+F562))</f>
        <v/>
      </c>
      <c r="J562" s="125">
        <f>D562/10 * F562/10 + 2*(E562/10 * G562/10)</f>
        <v/>
      </c>
      <c r="K562" s="125">
        <f>(E562/2)/F562</f>
        <v/>
      </c>
      <c r="L562" s="125">
        <f>I562/G562</f>
        <v/>
      </c>
      <c r="M562" s="125">
        <f>(E562*2+F562*4+((E562-G562)/2-H562)*4+2*PI()*H562+(D562-2*F562-2*H562)*2)/1000</f>
        <v/>
      </c>
      <c r="N562" s="5" t="n">
        <v>470000</v>
      </c>
      <c r="O562" s="5" t="n">
        <v>26700</v>
      </c>
      <c r="P562" s="125" t="n">
        <v>37.2</v>
      </c>
      <c r="Q562" s="125" t="n">
        <v>8.9</v>
      </c>
      <c r="R562" s="5" t="n">
        <v>10400</v>
      </c>
      <c r="S562" s="5" t="n">
        <v>1340</v>
      </c>
      <c r="T562" s="5" t="n">
        <v>11800</v>
      </c>
      <c r="U562" s="5" t="n">
        <v>2060</v>
      </c>
      <c r="Y562">
        <f>SQRT((((VLOOKUP($X$4,$A$4:$D$1021,4,FALSE))-D562)^2)+(((VLOOKUP($X$4,$A$4:$E$1021,5,FALSE))-E562)^2))</f>
        <v/>
      </c>
    </row>
    <row r="563">
      <c r="A563" s="125" t="inlineStr">
        <is>
          <t>HY900X248</t>
        </is>
      </c>
      <c r="B563" s="129" t="inlineStr">
        <is>
          <t>HY</t>
        </is>
      </c>
      <c r="C563" s="125" t="n">
        <v>248</v>
      </c>
      <c r="D563" s="125" t="n">
        <v>900</v>
      </c>
      <c r="E563" s="125" t="n">
        <v>400</v>
      </c>
      <c r="F563" s="125" t="n">
        <v>22</v>
      </c>
      <c r="G563" s="125" t="n">
        <v>16</v>
      </c>
      <c r="H563" s="125" t="n">
        <v>18</v>
      </c>
      <c r="I563" s="125">
        <f>D563-(2*(H563+F563))</f>
        <v/>
      </c>
      <c r="J563" s="125">
        <f>D563/10 * F563/10 + 2*(E563/10 * G563/10)</f>
        <v/>
      </c>
      <c r="K563" s="125">
        <f>(E563/2)/F563</f>
        <v/>
      </c>
      <c r="L563" s="125">
        <f>I563/G563</f>
        <v/>
      </c>
      <c r="M563" s="125">
        <f>(E563*2+F563*4+((E563-G563)/2-H563)*4+2*PI()*H563+(D563-2*F563-2*H563)*2)/1000</f>
        <v/>
      </c>
      <c r="N563" s="5" t="n">
        <v>428000</v>
      </c>
      <c r="O563" s="5" t="n">
        <v>23500</v>
      </c>
      <c r="P563" s="125" t="n">
        <v>36.8</v>
      </c>
      <c r="Q563" s="125" t="n">
        <v>8.6</v>
      </c>
      <c r="R563" s="5" t="n">
        <v>9510</v>
      </c>
      <c r="S563" s="5" t="n">
        <v>1180</v>
      </c>
      <c r="T563" s="5" t="n">
        <v>10800</v>
      </c>
      <c r="U563" s="5" t="n">
        <v>1820</v>
      </c>
      <c r="Y563">
        <f>SQRT((((VLOOKUP($X$4,$A$4:$D$1021,4,FALSE))-D563)^2)+(((VLOOKUP($X$4,$A$4:$E$1021,5,FALSE))-E563)^2))</f>
        <v/>
      </c>
    </row>
    <row r="564">
      <c r="A564" s="125" t="inlineStr">
        <is>
          <t>HY900X271</t>
        </is>
      </c>
      <c r="B564" s="129" t="inlineStr">
        <is>
          <t>HY</t>
        </is>
      </c>
      <c r="C564" s="125" t="n">
        <v>271</v>
      </c>
      <c r="D564" s="125" t="n">
        <v>900</v>
      </c>
      <c r="E564" s="125" t="n">
        <v>400</v>
      </c>
      <c r="F564" s="125" t="n">
        <v>28</v>
      </c>
      <c r="G564" s="125" t="n">
        <v>14</v>
      </c>
      <c r="H564" s="125" t="n">
        <v>18</v>
      </c>
      <c r="I564" s="125">
        <f>D564-(2*(H564+F564))</f>
        <v/>
      </c>
      <c r="J564" s="125">
        <f>D564/10 * F564/10 + 2*(E564/10 * G564/10)</f>
        <v/>
      </c>
      <c r="K564" s="125">
        <f>(E564/2)/F564</f>
        <v/>
      </c>
      <c r="L564" s="125">
        <f>I564/G564</f>
        <v/>
      </c>
      <c r="M564" s="125">
        <f>(E564*2+F564*4+((E564-G564)/2-H564)*4+2*PI()*H564+(D564-2*F564-2*H564)*2)/1000</f>
        <v/>
      </c>
      <c r="N564" s="5" t="n">
        <v>501000</v>
      </c>
      <c r="O564" s="5" t="n">
        <v>29900</v>
      </c>
      <c r="P564" s="125" t="n">
        <v>38.1</v>
      </c>
      <c r="Q564" s="125" t="n">
        <v>9.300000000000001</v>
      </c>
      <c r="R564" s="5" t="n">
        <v>11100</v>
      </c>
      <c r="S564" s="5" t="n">
        <v>1490</v>
      </c>
      <c r="T564" s="5" t="n">
        <v>12400</v>
      </c>
      <c r="U564" s="5" t="n">
        <v>2280</v>
      </c>
      <c r="Y564">
        <f>SQRT((((VLOOKUP($X$4,$A$4:$D$1021,4,FALSE))-D564)^2)+(((VLOOKUP($X$4,$A$4:$E$1021,5,FALSE))-E564)^2))</f>
        <v/>
      </c>
    </row>
    <row r="565">
      <c r="A565" s="125" t="inlineStr">
        <is>
          <t>HY900X253</t>
        </is>
      </c>
      <c r="B565" s="129" t="inlineStr">
        <is>
          <t>HY</t>
        </is>
      </c>
      <c r="C565" s="125" t="n">
        <v>253</v>
      </c>
      <c r="D565" s="125" t="n">
        <v>900</v>
      </c>
      <c r="E565" s="125" t="n">
        <v>400</v>
      </c>
      <c r="F565" s="125" t="n">
        <v>25</v>
      </c>
      <c r="G565" s="125" t="n">
        <v>14</v>
      </c>
      <c r="H565" s="125" t="n">
        <v>18</v>
      </c>
      <c r="I565" s="125">
        <f>D565-(2*(H565+F565))</f>
        <v/>
      </c>
      <c r="J565" s="125">
        <f>D565/10 * F565/10 + 2*(E565/10 * G565/10)</f>
        <v/>
      </c>
      <c r="K565" s="125">
        <f>(E565/2)/F565</f>
        <v/>
      </c>
      <c r="L565" s="125">
        <f>I565/G565</f>
        <v/>
      </c>
      <c r="M565" s="125">
        <f>(E565*2+F565*4+((E565-G565)/2-H565)*4+2*PI()*H565+(D565-2*F565-2*H565)*2)/1000</f>
        <v/>
      </c>
      <c r="N565" s="5" t="n">
        <v>459000</v>
      </c>
      <c r="O565" s="5" t="n">
        <v>26700</v>
      </c>
      <c r="P565" s="125" t="n">
        <v>37.8</v>
      </c>
      <c r="Q565" s="125" t="n">
        <v>9.1</v>
      </c>
      <c r="R565" s="5" t="n">
        <v>10200</v>
      </c>
      <c r="S565" s="5" t="n">
        <v>1330</v>
      </c>
      <c r="T565" s="5" t="n">
        <v>11400</v>
      </c>
      <c r="U565" s="5" t="n">
        <v>2040</v>
      </c>
      <c r="Y565">
        <f>SQRT((((VLOOKUP($X$4,$A$4:$D$1021,4,FALSE))-D565)^2)+(((VLOOKUP($X$4,$A$4:$E$1021,5,FALSE))-E565)^2))</f>
        <v/>
      </c>
    </row>
    <row r="566">
      <c r="A566" s="125" t="inlineStr">
        <is>
          <t>HY900X234</t>
        </is>
      </c>
      <c r="B566" s="129" t="inlineStr">
        <is>
          <t>HY</t>
        </is>
      </c>
      <c r="C566" s="125" t="n">
        <v>234</v>
      </c>
      <c r="D566" s="125" t="n">
        <v>900</v>
      </c>
      <c r="E566" s="125" t="n">
        <v>400</v>
      </c>
      <c r="F566" s="125" t="n">
        <v>22</v>
      </c>
      <c r="G566" s="125" t="n">
        <v>14</v>
      </c>
      <c r="H566" s="125" t="n">
        <v>18</v>
      </c>
      <c r="I566" s="125">
        <f>D566-(2*(H566+F566))</f>
        <v/>
      </c>
      <c r="J566" s="125">
        <f>D566/10 * F566/10 + 2*(E566/10 * G566/10)</f>
        <v/>
      </c>
      <c r="K566" s="125">
        <f>(E566/2)/F566</f>
        <v/>
      </c>
      <c r="L566" s="125">
        <f>I566/G566</f>
        <v/>
      </c>
      <c r="M566" s="125">
        <f>(E566*2+F566*4+((E566-G566)/2-H566)*4+2*PI()*H566+(D566-2*F566-2*H566)*2)/1000</f>
        <v/>
      </c>
      <c r="N566" s="5" t="n">
        <v>417000</v>
      </c>
      <c r="O566" s="5" t="n">
        <v>23500</v>
      </c>
      <c r="P566" s="125" t="n">
        <v>37.4</v>
      </c>
      <c r="Q566" s="125" t="n">
        <v>8.9</v>
      </c>
      <c r="R566" s="5" t="n">
        <v>9280</v>
      </c>
      <c r="S566" s="5" t="n">
        <v>1170</v>
      </c>
      <c r="T566" s="5" t="n">
        <v>10400</v>
      </c>
      <c r="U566" s="5" t="n">
        <v>1810</v>
      </c>
      <c r="Y566">
        <f>SQRT((((VLOOKUP($X$4,$A$4:$D$1021,4,FALSE))-D566)^2)+(((VLOOKUP($X$4,$A$4:$E$1021,5,FALSE))-E566)^2))</f>
        <v/>
      </c>
    </row>
    <row r="567">
      <c r="A567" s="125" t="inlineStr">
        <is>
          <t>HY900X364</t>
        </is>
      </c>
      <c r="B567" s="129" t="inlineStr">
        <is>
          <t>HY</t>
        </is>
      </c>
      <c r="C567" s="125" t="n">
        <v>364</v>
      </c>
      <c r="D567" s="125" t="n">
        <v>900</v>
      </c>
      <c r="E567" s="125" t="n">
        <v>350</v>
      </c>
      <c r="F567" s="125" t="n">
        <v>40</v>
      </c>
      <c r="G567" s="125" t="n">
        <v>22</v>
      </c>
      <c r="H567" s="125" t="n">
        <v>18</v>
      </c>
      <c r="I567" s="125">
        <f>D567-(2*(H567+F567))</f>
        <v/>
      </c>
      <c r="J567" s="125">
        <f>D567/10 * F567/10 + 2*(E567/10 * G567/10)</f>
        <v/>
      </c>
      <c r="K567" s="125">
        <f>(E567/2)/F567</f>
        <v/>
      </c>
      <c r="L567" s="125">
        <f>I567/G567</f>
        <v/>
      </c>
      <c r="M567" s="125">
        <f>(E567*2+F567*4+((E567-G567)/2-H567)*4+2*PI()*H567+(D567-2*F567-2*H567)*2)/1000</f>
        <v/>
      </c>
      <c r="N567" s="5" t="n">
        <v>624000</v>
      </c>
      <c r="O567" s="5" t="n">
        <v>28700</v>
      </c>
      <c r="P567" s="125" t="n">
        <v>36.7</v>
      </c>
      <c r="Q567" s="125" t="n">
        <v>7.9</v>
      </c>
      <c r="R567" s="5" t="n">
        <v>13900</v>
      </c>
      <c r="S567" s="5" t="n">
        <v>1640</v>
      </c>
      <c r="T567" s="5" t="n">
        <v>15900</v>
      </c>
      <c r="U567" s="5" t="n">
        <v>2550</v>
      </c>
      <c r="Y567">
        <f>SQRT((((VLOOKUP($X$4,$A$4:$D$1021,4,FALSE))-D567)^2)+(((VLOOKUP($X$4,$A$4:$E$1021,5,FALSE))-E567)^2))</f>
        <v/>
      </c>
    </row>
    <row r="568">
      <c r="A568" s="125" t="inlineStr">
        <is>
          <t>HY900X343</t>
        </is>
      </c>
      <c r="B568" s="129" t="inlineStr">
        <is>
          <t>HY</t>
        </is>
      </c>
      <c r="C568" s="125" t="n">
        <v>343</v>
      </c>
      <c r="D568" s="125" t="n">
        <v>900</v>
      </c>
      <c r="E568" s="125" t="n">
        <v>350</v>
      </c>
      <c r="F568" s="125" t="n">
        <v>36</v>
      </c>
      <c r="G568" s="125" t="n">
        <v>22</v>
      </c>
      <c r="H568" s="125" t="n">
        <v>18</v>
      </c>
      <c r="I568" s="125">
        <f>D568-(2*(H568+F568))</f>
        <v/>
      </c>
      <c r="J568" s="125">
        <f>D568/10 * F568/10 + 2*(E568/10 * G568/10)</f>
        <v/>
      </c>
      <c r="K568" s="125">
        <f>(E568/2)/F568</f>
        <v/>
      </c>
      <c r="L568" s="125">
        <f>I568/G568</f>
        <v/>
      </c>
      <c r="M568" s="125">
        <f>(E568*2+F568*4+((E568-G568)/2-H568)*4+2*PI()*H568+(D568-2*F568-2*H568)*2)/1000</f>
        <v/>
      </c>
      <c r="N568" s="5" t="n">
        <v>579000</v>
      </c>
      <c r="O568" s="5" t="n">
        <v>25800</v>
      </c>
      <c r="P568" s="125" t="n">
        <v>36.4</v>
      </c>
      <c r="Q568" s="125" t="n">
        <v>7.7</v>
      </c>
      <c r="R568" s="5" t="n">
        <v>12900</v>
      </c>
      <c r="S568" s="5" t="n">
        <v>1470</v>
      </c>
      <c r="T568" s="5" t="n">
        <v>14800</v>
      </c>
      <c r="U568" s="5" t="n">
        <v>2310</v>
      </c>
      <c r="Y568">
        <f>SQRT((((VLOOKUP($X$4,$A$4:$D$1021,4,FALSE))-D568)^2)+(((VLOOKUP($X$4,$A$4:$E$1021,5,FALSE))-E568)^2))</f>
        <v/>
      </c>
    </row>
    <row r="569">
      <c r="A569" s="125" t="inlineStr">
        <is>
          <t>HY900X322</t>
        </is>
      </c>
      <c r="B569" s="129" t="inlineStr">
        <is>
          <t>HY</t>
        </is>
      </c>
      <c r="C569" s="125" t="n">
        <v>322</v>
      </c>
      <c r="D569" s="125" t="n">
        <v>900</v>
      </c>
      <c r="E569" s="125" t="n">
        <v>350</v>
      </c>
      <c r="F569" s="125" t="n">
        <v>32</v>
      </c>
      <c r="G569" s="125" t="n">
        <v>22</v>
      </c>
      <c r="H569" s="125" t="n">
        <v>18</v>
      </c>
      <c r="I569" s="125">
        <f>D569-(2*(H569+F569))</f>
        <v/>
      </c>
      <c r="J569" s="125">
        <f>D569/10 * F569/10 + 2*(E569/10 * G569/10)</f>
        <v/>
      </c>
      <c r="K569" s="125">
        <f>(E569/2)/F569</f>
        <v/>
      </c>
      <c r="L569" s="125">
        <f>I569/G569</f>
        <v/>
      </c>
      <c r="M569" s="125">
        <f>(E569*2+F569*4+((E569-G569)/2-H569)*4+2*PI()*H569+(D569-2*F569-2*H569)*2)/1000</f>
        <v/>
      </c>
      <c r="N569" s="5" t="n">
        <v>534000</v>
      </c>
      <c r="O569" s="5" t="n">
        <v>22900</v>
      </c>
      <c r="P569" s="125" t="n">
        <v>36.1</v>
      </c>
      <c r="Q569" s="125" t="n">
        <v>7.5</v>
      </c>
      <c r="R569" s="5" t="n">
        <v>11900</v>
      </c>
      <c r="S569" s="5" t="n">
        <v>1310</v>
      </c>
      <c r="T569" s="5" t="n">
        <v>13700</v>
      </c>
      <c r="U569" s="5" t="n">
        <v>2070</v>
      </c>
      <c r="Y569">
        <f>SQRT((((VLOOKUP($X$4,$A$4:$D$1021,4,FALSE))-D569)^2)+(((VLOOKUP($X$4,$A$4:$E$1021,5,FALSE))-E569)^2))</f>
        <v/>
      </c>
    </row>
    <row r="570">
      <c r="A570" s="125" t="inlineStr">
        <is>
          <t>HY900X302</t>
        </is>
      </c>
      <c r="B570" s="129" t="inlineStr">
        <is>
          <t>HY</t>
        </is>
      </c>
      <c r="C570" s="125" t="n">
        <v>302</v>
      </c>
      <c r="D570" s="125" t="n">
        <v>900</v>
      </c>
      <c r="E570" s="125" t="n">
        <v>350</v>
      </c>
      <c r="F570" s="125" t="n">
        <v>28</v>
      </c>
      <c r="G570" s="125" t="n">
        <v>22</v>
      </c>
      <c r="H570" s="125" t="n">
        <v>18</v>
      </c>
      <c r="I570" s="125">
        <f>D570-(2*(H570+F570))</f>
        <v/>
      </c>
      <c r="J570" s="125">
        <f>D570/10 * F570/10 + 2*(E570/10 * G570/10)</f>
        <v/>
      </c>
      <c r="K570" s="125">
        <f>(E570/2)/F570</f>
        <v/>
      </c>
      <c r="L570" s="125">
        <f>I570/G570</f>
        <v/>
      </c>
      <c r="M570" s="125">
        <f>(E570*2+F570*4+((E570-G570)/2-H570)*4+2*PI()*H570+(D570-2*F570-2*H570)*2)/1000</f>
        <v/>
      </c>
      <c r="N570" s="5" t="n">
        <v>488000</v>
      </c>
      <c r="O570" s="5" t="n">
        <v>20100</v>
      </c>
      <c r="P570" s="125" t="n">
        <v>35.6</v>
      </c>
      <c r="Q570" s="125" t="n">
        <v>7.2</v>
      </c>
      <c r="R570" s="5" t="n">
        <v>10800</v>
      </c>
      <c r="S570" s="5" t="n">
        <v>1150</v>
      </c>
      <c r="T570" s="5" t="n">
        <v>12600</v>
      </c>
      <c r="U570" s="5" t="n">
        <v>1820</v>
      </c>
      <c r="Y570">
        <f>SQRT((((VLOOKUP($X$4,$A$4:$D$1021,4,FALSE))-D570)^2)+(((VLOOKUP($X$4,$A$4:$E$1021,5,FALSE))-E570)^2))</f>
        <v/>
      </c>
    </row>
    <row r="571">
      <c r="A571" s="125" t="inlineStr">
        <is>
          <t>HY900X344</t>
        </is>
      </c>
      <c r="B571" s="129" t="inlineStr">
        <is>
          <t>HY</t>
        </is>
      </c>
      <c r="C571" s="125" t="n">
        <v>344</v>
      </c>
      <c r="D571" s="125" t="n">
        <v>900</v>
      </c>
      <c r="E571" s="125" t="n">
        <v>350</v>
      </c>
      <c r="F571" s="125" t="n">
        <v>40</v>
      </c>
      <c r="G571" s="125" t="n">
        <v>19</v>
      </c>
      <c r="H571" s="125" t="n">
        <v>18</v>
      </c>
      <c r="I571" s="125">
        <f>D571-(2*(H571+F571))</f>
        <v/>
      </c>
      <c r="J571" s="125">
        <f>D571/10 * F571/10 + 2*(E571/10 * G571/10)</f>
        <v/>
      </c>
      <c r="K571" s="125">
        <f>(E571/2)/F571</f>
        <v/>
      </c>
      <c r="L571" s="125">
        <f>I571/G571</f>
        <v/>
      </c>
      <c r="M571" s="125">
        <f>(E571*2+F571*4+((E571-G571)/2-H571)*4+2*PI()*H571+(D571-2*F571-2*H571)*2)/1000</f>
        <v/>
      </c>
      <c r="N571" s="5" t="n">
        <v>610000</v>
      </c>
      <c r="O571" s="5" t="n">
        <v>28600</v>
      </c>
      <c r="P571" s="125" t="n">
        <v>37.3</v>
      </c>
      <c r="Q571" s="125" t="n">
        <v>8.1</v>
      </c>
      <c r="R571" s="5" t="n">
        <v>13600</v>
      </c>
      <c r="S571" s="5" t="n">
        <v>1640</v>
      </c>
      <c r="T571" s="5" t="n">
        <v>15300</v>
      </c>
      <c r="U571" s="5" t="n">
        <v>2530</v>
      </c>
      <c r="Y571">
        <f>SQRT((((VLOOKUP($X$4,$A$4:$D$1021,4,FALSE))-D571)^2)+(((VLOOKUP($X$4,$A$4:$E$1021,5,FALSE))-E571)^2))</f>
        <v/>
      </c>
    </row>
    <row r="572">
      <c r="A572" s="125" t="inlineStr">
        <is>
          <t>HY900X323</t>
        </is>
      </c>
      <c r="B572" s="129" t="inlineStr">
        <is>
          <t>HY</t>
        </is>
      </c>
      <c r="C572" s="125" t="n">
        <v>323</v>
      </c>
      <c r="D572" s="125" t="n">
        <v>900</v>
      </c>
      <c r="E572" s="125" t="n">
        <v>350</v>
      </c>
      <c r="F572" s="125" t="n">
        <v>36</v>
      </c>
      <c r="G572" s="125" t="n">
        <v>19</v>
      </c>
      <c r="H572" s="125" t="n">
        <v>18</v>
      </c>
      <c r="I572" s="125">
        <f>D572-(2*(H572+F572))</f>
        <v/>
      </c>
      <c r="J572" s="125">
        <f>D572/10 * F572/10 + 2*(E572/10 * G572/10)</f>
        <v/>
      </c>
      <c r="K572" s="125">
        <f>(E572/2)/F572</f>
        <v/>
      </c>
      <c r="L572" s="125">
        <f>I572/G572</f>
        <v/>
      </c>
      <c r="M572" s="125">
        <f>(E572*2+F572*4+((E572-G572)/2-H572)*4+2*PI()*H572+(D572-2*F572-2*H572)*2)/1000</f>
        <v/>
      </c>
      <c r="N572" s="5" t="n">
        <v>565000</v>
      </c>
      <c r="O572" s="5" t="n">
        <v>25800</v>
      </c>
      <c r="P572" s="125" t="n">
        <v>37</v>
      </c>
      <c r="Q572" s="125" t="n">
        <v>7.9</v>
      </c>
      <c r="R572" s="5" t="n">
        <v>12600</v>
      </c>
      <c r="S572" s="5" t="n">
        <v>1470</v>
      </c>
      <c r="T572" s="5" t="n">
        <v>14300</v>
      </c>
      <c r="U572" s="5" t="n">
        <v>2280</v>
      </c>
      <c r="Y572">
        <f>SQRT((((VLOOKUP($X$4,$A$4:$D$1021,4,FALSE))-D572)^2)+(((VLOOKUP($X$4,$A$4:$E$1021,5,FALSE))-E572)^2))</f>
        <v/>
      </c>
    </row>
    <row r="573">
      <c r="A573" s="125" t="inlineStr">
        <is>
          <t>HY900X303</t>
        </is>
      </c>
      <c r="B573" s="129" t="inlineStr">
        <is>
          <t>HY</t>
        </is>
      </c>
      <c r="C573" s="125" t="n">
        <v>303</v>
      </c>
      <c r="D573" s="125" t="n">
        <v>900</v>
      </c>
      <c r="E573" s="125" t="n">
        <v>350</v>
      </c>
      <c r="F573" s="125" t="n">
        <v>32</v>
      </c>
      <c r="G573" s="125" t="n">
        <v>19</v>
      </c>
      <c r="H573" s="125" t="n">
        <v>18</v>
      </c>
      <c r="I573" s="125">
        <f>D573-(2*(H573+F573))</f>
        <v/>
      </c>
      <c r="J573" s="125">
        <f>D573/10 * F573/10 + 2*(E573/10 * G573/10)</f>
        <v/>
      </c>
      <c r="K573" s="125">
        <f>(E573/2)/F573</f>
        <v/>
      </c>
      <c r="L573" s="125">
        <f>I573/G573</f>
        <v/>
      </c>
      <c r="M573" s="125">
        <f>(E573*2+F573*4+((E573-G573)/2-H573)*4+2*PI()*H573+(D573-2*F573-2*H573)*2)/1000</f>
        <v/>
      </c>
      <c r="N573" s="5" t="n">
        <v>519000</v>
      </c>
      <c r="O573" s="5" t="n">
        <v>22900</v>
      </c>
      <c r="P573" s="125" t="n">
        <v>36.7</v>
      </c>
      <c r="Q573" s="125" t="n">
        <v>7.7</v>
      </c>
      <c r="R573" s="5" t="n">
        <v>11500</v>
      </c>
      <c r="S573" s="5" t="n">
        <v>1310</v>
      </c>
      <c r="T573" s="5" t="n">
        <v>13200</v>
      </c>
      <c r="U573" s="5" t="n">
        <v>2040</v>
      </c>
      <c r="Y573">
        <f>SQRT((((VLOOKUP($X$4,$A$4:$D$1021,4,FALSE))-D573)^2)+(((VLOOKUP($X$4,$A$4:$E$1021,5,FALSE))-E573)^2))</f>
        <v/>
      </c>
    </row>
    <row r="574">
      <c r="A574" s="125" t="inlineStr">
        <is>
          <t>HY900X282</t>
        </is>
      </c>
      <c r="B574" s="129" t="inlineStr">
        <is>
          <t>HY</t>
        </is>
      </c>
      <c r="C574" s="125" t="n">
        <v>282</v>
      </c>
      <c r="D574" s="125" t="n">
        <v>900</v>
      </c>
      <c r="E574" s="125" t="n">
        <v>350</v>
      </c>
      <c r="F574" s="125" t="n">
        <v>28</v>
      </c>
      <c r="G574" s="125" t="n">
        <v>19</v>
      </c>
      <c r="H574" s="125" t="n">
        <v>18</v>
      </c>
      <c r="I574" s="125">
        <f>D574-(2*(H574+F574))</f>
        <v/>
      </c>
      <c r="J574" s="125">
        <f>D574/10 * F574/10 + 2*(E574/10 * G574/10)</f>
        <v/>
      </c>
      <c r="K574" s="125">
        <f>(E574/2)/F574</f>
        <v/>
      </c>
      <c r="L574" s="125">
        <f>I574/G574</f>
        <v/>
      </c>
      <c r="M574" s="125">
        <f>(E574*2+F574*4+((E574-G574)/2-H574)*4+2*PI()*H574+(D574-2*F574-2*H574)*2)/1000</f>
        <v/>
      </c>
      <c r="N574" s="5" t="n">
        <v>473000</v>
      </c>
      <c r="O574" s="5" t="n">
        <v>20100</v>
      </c>
      <c r="P574" s="125" t="n">
        <v>36.3</v>
      </c>
      <c r="Q574" s="125" t="n">
        <v>7.5</v>
      </c>
      <c r="R574" s="5" t="n">
        <v>10500</v>
      </c>
      <c r="S574" s="5" t="n">
        <v>1150</v>
      </c>
      <c r="T574" s="5" t="n">
        <v>12000</v>
      </c>
      <c r="U574" s="5" t="n">
        <v>1790</v>
      </c>
      <c r="Y574">
        <f>SQRT((((VLOOKUP($X$4,$A$4:$D$1021,4,FALSE))-D574)^2)+(((VLOOKUP($X$4,$A$4:$E$1021,5,FALSE))-E574)^2))</f>
        <v/>
      </c>
    </row>
    <row r="575">
      <c r="A575" s="125" t="inlineStr">
        <is>
          <t>HY900X266</t>
        </is>
      </c>
      <c r="B575" s="129" t="inlineStr">
        <is>
          <t>HY</t>
        </is>
      </c>
      <c r="C575" s="125" t="n">
        <v>266</v>
      </c>
      <c r="D575" s="125" t="n">
        <v>900</v>
      </c>
      <c r="E575" s="125" t="n">
        <v>350</v>
      </c>
      <c r="F575" s="125" t="n">
        <v>25</v>
      </c>
      <c r="G575" s="125" t="n">
        <v>19</v>
      </c>
      <c r="H575" s="125" t="n">
        <v>18</v>
      </c>
      <c r="I575" s="125">
        <f>D575-(2*(H575+F575))</f>
        <v/>
      </c>
      <c r="J575" s="125">
        <f>D575/10 * F575/10 + 2*(E575/10 * G575/10)</f>
        <v/>
      </c>
      <c r="K575" s="125">
        <f>(E575/2)/F575</f>
        <v/>
      </c>
      <c r="L575" s="125">
        <f>I575/G575</f>
        <v/>
      </c>
      <c r="M575" s="125">
        <f>(E575*2+F575*4+((E575-G575)/2-H575)*4+2*PI()*H575+(D575-2*F575-2*H575)*2)/1000</f>
        <v/>
      </c>
      <c r="N575" s="5" t="n">
        <v>437000</v>
      </c>
      <c r="O575" s="5" t="n">
        <v>17900</v>
      </c>
      <c r="P575" s="125" t="n">
        <v>35.9</v>
      </c>
      <c r="Q575" s="125" t="n">
        <v>7.3</v>
      </c>
      <c r="R575" s="5" t="n">
        <v>9720</v>
      </c>
      <c r="S575" s="5" t="n">
        <v>1020</v>
      </c>
      <c r="T575" s="5" t="n">
        <v>11200</v>
      </c>
      <c r="U575" s="5" t="n">
        <v>1610</v>
      </c>
      <c r="Y575">
        <f>SQRT((((VLOOKUP($X$4,$A$4:$D$1021,4,FALSE))-D575)^2)+(((VLOOKUP($X$4,$A$4:$E$1021,5,FALSE))-E575)^2))</f>
        <v/>
      </c>
    </row>
    <row r="576">
      <c r="A576" s="125" t="inlineStr">
        <is>
          <t>HY900X304</t>
        </is>
      </c>
      <c r="B576" s="129" t="inlineStr">
        <is>
          <t>HY</t>
        </is>
      </c>
      <c r="C576" s="125" t="n">
        <v>304</v>
      </c>
      <c r="D576" s="125" t="n">
        <v>900</v>
      </c>
      <c r="E576" s="125" t="n">
        <v>350</v>
      </c>
      <c r="F576" s="125" t="n">
        <v>36</v>
      </c>
      <c r="G576" s="125" t="n">
        <v>16</v>
      </c>
      <c r="H576" s="125" t="n">
        <v>18</v>
      </c>
      <c r="I576" s="125">
        <f>D576-(2*(H576+F576))</f>
        <v/>
      </c>
      <c r="J576" s="125">
        <f>D576/10 * F576/10 + 2*(E576/10 * G576/10)</f>
        <v/>
      </c>
      <c r="K576" s="125">
        <f>(E576/2)/F576</f>
        <v/>
      </c>
      <c r="L576" s="125">
        <f>I576/G576</f>
        <v/>
      </c>
      <c r="M576" s="125">
        <f>(E576*2+F576*4+((E576-G576)/2-H576)*4+2*PI()*H576+(D576-2*F576-2*H576)*2)/1000</f>
        <v/>
      </c>
      <c r="N576" s="5" t="n">
        <v>551000</v>
      </c>
      <c r="O576" s="5" t="n">
        <v>25800</v>
      </c>
      <c r="P576" s="125" t="n">
        <v>37.7</v>
      </c>
      <c r="Q576" s="125" t="n">
        <v>8.199999999999999</v>
      </c>
      <c r="R576" s="5" t="n">
        <v>12200</v>
      </c>
      <c r="S576" s="5" t="n">
        <v>1470</v>
      </c>
      <c r="T576" s="5" t="n">
        <v>13700</v>
      </c>
      <c r="U576" s="5" t="n">
        <v>2260</v>
      </c>
      <c r="Y576">
        <f>SQRT((((VLOOKUP($X$4,$A$4:$D$1021,4,FALSE))-D576)^2)+(((VLOOKUP($X$4,$A$4:$E$1021,5,FALSE))-E576)^2))</f>
        <v/>
      </c>
    </row>
    <row r="577">
      <c r="A577" s="125" t="inlineStr">
        <is>
          <t>HY900X283</t>
        </is>
      </c>
      <c r="B577" s="129" t="inlineStr">
        <is>
          <t>HY</t>
        </is>
      </c>
      <c r="C577" s="125" t="n">
        <v>283</v>
      </c>
      <c r="D577" s="125" t="n">
        <v>900</v>
      </c>
      <c r="E577" s="125" t="n">
        <v>350</v>
      </c>
      <c r="F577" s="125" t="n">
        <v>32</v>
      </c>
      <c r="G577" s="125" t="n">
        <v>16</v>
      </c>
      <c r="H577" s="125" t="n">
        <v>18</v>
      </c>
      <c r="I577" s="125">
        <f>D577-(2*(H577+F577))</f>
        <v/>
      </c>
      <c r="J577" s="125">
        <f>D577/10 * F577/10 + 2*(E577/10 * G577/10)</f>
        <v/>
      </c>
      <c r="K577" s="125">
        <f>(E577/2)/F577</f>
        <v/>
      </c>
      <c r="L577" s="125">
        <f>I577/G577</f>
        <v/>
      </c>
      <c r="M577" s="125">
        <f>(E577*2+F577*4+((E577-G577)/2-H577)*4+2*PI()*H577+(D577-2*F577-2*H577)*2)/1000</f>
        <v/>
      </c>
      <c r="N577" s="5" t="n">
        <v>505000</v>
      </c>
      <c r="O577" s="5" t="n">
        <v>22900</v>
      </c>
      <c r="P577" s="125" t="n">
        <v>37.4</v>
      </c>
      <c r="Q577" s="125" t="n">
        <v>8</v>
      </c>
      <c r="R577" s="5" t="n">
        <v>11200</v>
      </c>
      <c r="S577" s="5" t="n">
        <v>1310</v>
      </c>
      <c r="T577" s="5" t="n">
        <v>12600</v>
      </c>
      <c r="U577" s="5" t="n">
        <v>2020</v>
      </c>
      <c r="Y577">
        <f>SQRT((((VLOOKUP($X$4,$A$4:$D$1021,4,FALSE))-D577)^2)+(((VLOOKUP($X$4,$A$4:$E$1021,5,FALSE))-E577)^2))</f>
        <v/>
      </c>
    </row>
    <row r="578">
      <c r="A578" s="125" t="inlineStr">
        <is>
          <t>HY900X262</t>
        </is>
      </c>
      <c r="B578" s="129" t="inlineStr">
        <is>
          <t>HY</t>
        </is>
      </c>
      <c r="C578" s="125" t="n">
        <v>262</v>
      </c>
      <c r="D578" s="125" t="n">
        <v>900</v>
      </c>
      <c r="E578" s="125" t="n">
        <v>350</v>
      </c>
      <c r="F578" s="125" t="n">
        <v>28</v>
      </c>
      <c r="G578" s="125" t="n">
        <v>16</v>
      </c>
      <c r="H578" s="125" t="n">
        <v>18</v>
      </c>
      <c r="I578" s="125">
        <f>D578-(2*(H578+F578))</f>
        <v/>
      </c>
      <c r="J578" s="125">
        <f>D578/10 * F578/10 + 2*(E578/10 * G578/10)</f>
        <v/>
      </c>
      <c r="K578" s="125">
        <f>(E578/2)/F578</f>
        <v/>
      </c>
      <c r="L578" s="125">
        <f>I578/G578</f>
        <v/>
      </c>
      <c r="M578" s="125">
        <f>(E578*2+F578*4+((E578-G578)/2-H578)*4+2*PI()*H578+(D578-2*F578-2*H578)*2)/1000</f>
        <v/>
      </c>
      <c r="N578" s="5" t="n">
        <v>458000</v>
      </c>
      <c r="O578" s="5" t="n">
        <v>20000</v>
      </c>
      <c r="P578" s="125" t="n">
        <v>37</v>
      </c>
      <c r="Q578" s="125" t="n">
        <v>7.8</v>
      </c>
      <c r="R578" s="5" t="n">
        <v>10200</v>
      </c>
      <c r="S578" s="5" t="n">
        <v>1150</v>
      </c>
      <c r="T578" s="5" t="n">
        <v>11500</v>
      </c>
      <c r="U578" s="5" t="n">
        <v>1770</v>
      </c>
      <c r="Y578">
        <f>SQRT((((VLOOKUP($X$4,$A$4:$D$1021,4,FALSE))-D578)^2)+(((VLOOKUP($X$4,$A$4:$E$1021,5,FALSE))-E578)^2))</f>
        <v/>
      </c>
    </row>
    <row r="579">
      <c r="A579" s="125" t="inlineStr">
        <is>
          <t>HY900X246</t>
        </is>
      </c>
      <c r="B579" s="129" t="inlineStr">
        <is>
          <t>HY</t>
        </is>
      </c>
      <c r="C579" s="125" t="n">
        <v>246</v>
      </c>
      <c r="D579" s="125" t="n">
        <v>900</v>
      </c>
      <c r="E579" s="125" t="n">
        <v>350</v>
      </c>
      <c r="F579" s="125" t="n">
        <v>25</v>
      </c>
      <c r="G579" s="125" t="n">
        <v>16</v>
      </c>
      <c r="H579" s="125" t="n">
        <v>18</v>
      </c>
      <c r="I579" s="125">
        <f>D579-(2*(H579+F579))</f>
        <v/>
      </c>
      <c r="J579" s="125">
        <f>D579/10 * F579/10 + 2*(E579/10 * G579/10)</f>
        <v/>
      </c>
      <c r="K579" s="125">
        <f>(E579/2)/F579</f>
        <v/>
      </c>
      <c r="L579" s="125">
        <f>I579/G579</f>
        <v/>
      </c>
      <c r="M579" s="125">
        <f>(E579*2+F579*4+((E579-G579)/2-H579)*4+2*PI()*H579+(D579-2*F579-2*H579)*2)/1000</f>
        <v/>
      </c>
      <c r="N579" s="5" t="n">
        <v>422000</v>
      </c>
      <c r="O579" s="5" t="n">
        <v>17900</v>
      </c>
      <c r="P579" s="125" t="n">
        <v>36.7</v>
      </c>
      <c r="Q579" s="125" t="n">
        <v>7.6</v>
      </c>
      <c r="R579" s="5" t="n">
        <v>9370</v>
      </c>
      <c r="S579" s="5" t="n">
        <v>1020</v>
      </c>
      <c r="T579" s="5" t="n">
        <v>10700</v>
      </c>
      <c r="U579" s="5" t="n">
        <v>1590</v>
      </c>
      <c r="Y579">
        <f>SQRT((((VLOOKUP($X$4,$A$4:$D$1021,4,FALSE))-D579)^2)+(((VLOOKUP($X$4,$A$4:$E$1021,5,FALSE))-E579)^2))</f>
        <v/>
      </c>
    </row>
    <row r="580">
      <c r="A580" s="125" t="inlineStr">
        <is>
          <t>HY900X231</t>
        </is>
      </c>
      <c r="B580" s="129" t="inlineStr">
        <is>
          <t>HY</t>
        </is>
      </c>
      <c r="C580" s="125" t="n">
        <v>231</v>
      </c>
      <c r="D580" s="125" t="n">
        <v>900</v>
      </c>
      <c r="E580" s="125" t="n">
        <v>350</v>
      </c>
      <c r="F580" s="125" t="n">
        <v>22</v>
      </c>
      <c r="G580" s="125" t="n">
        <v>16</v>
      </c>
      <c r="H580" s="125" t="n">
        <v>18</v>
      </c>
      <c r="I580" s="125">
        <f>D580-(2*(H580+F580))</f>
        <v/>
      </c>
      <c r="J580" s="125">
        <f>D580/10 * F580/10 + 2*(E580/10 * G580/10)</f>
        <v/>
      </c>
      <c r="K580" s="125">
        <f>(E580/2)/F580</f>
        <v/>
      </c>
      <c r="L580" s="125">
        <f>I580/G580</f>
        <v/>
      </c>
      <c r="M580" s="125">
        <f>(E580*2+F580*4+((E580-G580)/2-H580)*4+2*PI()*H580+(D580-2*F580-2*H580)*2)/1000</f>
        <v/>
      </c>
      <c r="N580" s="5" t="n">
        <v>385000</v>
      </c>
      <c r="O580" s="5" t="n">
        <v>15800</v>
      </c>
      <c r="P580" s="125" t="n">
        <v>36.2</v>
      </c>
      <c r="Q580" s="125" t="n">
        <v>7.3</v>
      </c>
      <c r="R580" s="5" t="n">
        <v>8570</v>
      </c>
      <c r="S580" s="125" t="n">
        <v>900</v>
      </c>
      <c r="T580" s="5" t="n">
        <v>9810</v>
      </c>
      <c r="U580" s="5" t="n">
        <v>1410</v>
      </c>
      <c r="Y580">
        <f>SQRT((((VLOOKUP($X$4,$A$4:$D$1021,4,FALSE))-D580)^2)+(((VLOOKUP($X$4,$A$4:$E$1021,5,FALSE))-E580)^2))</f>
        <v/>
      </c>
    </row>
    <row r="581">
      <c r="A581" s="125" t="inlineStr">
        <is>
          <t>HY900X249</t>
        </is>
      </c>
      <c r="B581" s="129" t="inlineStr">
        <is>
          <t>HY</t>
        </is>
      </c>
      <c r="C581" s="125" t="n">
        <v>249</v>
      </c>
      <c r="D581" s="125" t="n">
        <v>900</v>
      </c>
      <c r="E581" s="125" t="n">
        <v>350</v>
      </c>
      <c r="F581" s="125" t="n">
        <v>28</v>
      </c>
      <c r="G581" s="125" t="n">
        <v>14</v>
      </c>
      <c r="H581" s="125" t="n">
        <v>18</v>
      </c>
      <c r="I581" s="125">
        <f>D581-(2*(H581+F581))</f>
        <v/>
      </c>
      <c r="J581" s="125">
        <f>D581/10 * F581/10 + 2*(E581/10 * G581/10)</f>
        <v/>
      </c>
      <c r="K581" s="125">
        <f>(E581/2)/F581</f>
        <v/>
      </c>
      <c r="L581" s="125">
        <f>I581/G581</f>
        <v/>
      </c>
      <c r="M581" s="125">
        <f>(E581*2+F581*4+((E581-G581)/2-H581)*4+2*PI()*H581+(D581-2*F581-2*H581)*2)/1000</f>
        <v/>
      </c>
      <c r="N581" s="5" t="n">
        <v>448000</v>
      </c>
      <c r="O581" s="5" t="n">
        <v>20000</v>
      </c>
      <c r="P581" s="125" t="n">
        <v>37.6</v>
      </c>
      <c r="Q581" s="125" t="n">
        <v>8</v>
      </c>
      <c r="R581" s="5" t="n">
        <v>9950</v>
      </c>
      <c r="S581" s="5" t="n">
        <v>1140</v>
      </c>
      <c r="T581" s="5" t="n">
        <v>11200</v>
      </c>
      <c r="U581" s="5" t="n">
        <v>1760</v>
      </c>
      <c r="Y581">
        <f>SQRT((((VLOOKUP($X$4,$A$4:$D$1021,4,FALSE))-D581)^2)+(((VLOOKUP($X$4,$A$4:$E$1021,5,FALSE))-E581)^2))</f>
        <v/>
      </c>
    </row>
    <row r="582">
      <c r="A582" s="125" t="inlineStr">
        <is>
          <t>HY900X233</t>
        </is>
      </c>
      <c r="B582" s="129" t="inlineStr">
        <is>
          <t>HY</t>
        </is>
      </c>
      <c r="C582" s="125" t="n">
        <v>233</v>
      </c>
      <c r="D582" s="125" t="n">
        <v>900</v>
      </c>
      <c r="E582" s="125" t="n">
        <v>350</v>
      </c>
      <c r="F582" s="125" t="n">
        <v>25</v>
      </c>
      <c r="G582" s="125" t="n">
        <v>14</v>
      </c>
      <c r="H582" s="125" t="n">
        <v>18</v>
      </c>
      <c r="I582" s="125">
        <f>D582-(2*(H582+F582))</f>
        <v/>
      </c>
      <c r="J582" s="125">
        <f>D582/10 * F582/10 + 2*(E582/10 * G582/10)</f>
        <v/>
      </c>
      <c r="K582" s="125">
        <f>(E582/2)/F582</f>
        <v/>
      </c>
      <c r="L582" s="125">
        <f>I582/G582</f>
        <v/>
      </c>
      <c r="M582" s="125">
        <f>(E582*2+F582*4+((E582-G582)/2-H582)*4+2*PI()*H582+(D582-2*F582-2*H582)*2)/1000</f>
        <v/>
      </c>
      <c r="N582" s="5" t="n">
        <v>412000</v>
      </c>
      <c r="O582" s="5" t="n">
        <v>17900</v>
      </c>
      <c r="P582" s="125" t="n">
        <v>37.2</v>
      </c>
      <c r="Q582" s="125" t="n">
        <v>7.8</v>
      </c>
      <c r="R582" s="5" t="n">
        <v>9150</v>
      </c>
      <c r="S582" s="5" t="n">
        <v>1020</v>
      </c>
      <c r="T582" s="5" t="n">
        <v>10300</v>
      </c>
      <c r="U582" s="5" t="n">
        <v>1580</v>
      </c>
      <c r="Y582">
        <f>SQRT((((VLOOKUP($X$4,$A$4:$D$1021,4,FALSE))-D582)^2)+(((VLOOKUP($X$4,$A$4:$E$1021,5,FALSE))-E582)^2))</f>
        <v/>
      </c>
    </row>
    <row r="583">
      <c r="A583" s="125" t="inlineStr">
        <is>
          <t>HY900X217</t>
        </is>
      </c>
      <c r="B583" s="129" t="inlineStr">
        <is>
          <t>HY</t>
        </is>
      </c>
      <c r="C583" s="125" t="n">
        <v>217</v>
      </c>
      <c r="D583" s="125" t="n">
        <v>900</v>
      </c>
      <c r="E583" s="125" t="n">
        <v>350</v>
      </c>
      <c r="F583" s="125" t="n">
        <v>22</v>
      </c>
      <c r="G583" s="125" t="n">
        <v>14</v>
      </c>
      <c r="H583" s="125" t="n">
        <v>18</v>
      </c>
      <c r="I583" s="125">
        <f>D583-(2*(H583+F583))</f>
        <v/>
      </c>
      <c r="J583" s="125">
        <f>D583/10 * F583/10 + 2*(E583/10 * G583/10)</f>
        <v/>
      </c>
      <c r="K583" s="125">
        <f>(E583/2)/F583</f>
        <v/>
      </c>
      <c r="L583" s="125">
        <f>I583/G583</f>
        <v/>
      </c>
      <c r="M583" s="125">
        <f>(E583*2+F583*4+((E583-G583)/2-H583)*4+2*PI()*H583+(D583-2*F583-2*H583)*2)/1000</f>
        <v/>
      </c>
      <c r="N583" s="5" t="n">
        <v>375000</v>
      </c>
      <c r="O583" s="5" t="n">
        <v>15700</v>
      </c>
      <c r="P583" s="125" t="n">
        <v>36.8</v>
      </c>
      <c r="Q583" s="125" t="n">
        <v>7.5</v>
      </c>
      <c r="R583" s="5" t="n">
        <v>8330</v>
      </c>
      <c r="S583" s="125" t="n">
        <v>900</v>
      </c>
      <c r="T583" s="5" t="n">
        <v>9440</v>
      </c>
      <c r="U583" s="5" t="n">
        <v>1390</v>
      </c>
      <c r="Y583">
        <f>SQRT((((VLOOKUP($X$4,$A$4:$D$1021,4,FALSE))-D583)^2)+(((VLOOKUP($X$4,$A$4:$E$1021,5,FALSE))-E583)^2))</f>
        <v/>
      </c>
    </row>
    <row r="584">
      <c r="A584" s="125" t="inlineStr">
        <is>
          <t>HY900X332</t>
        </is>
      </c>
      <c r="B584" s="129" t="inlineStr">
        <is>
          <t>HY</t>
        </is>
      </c>
      <c r="C584" s="125" t="n">
        <v>332</v>
      </c>
      <c r="D584" s="125" t="n">
        <v>900</v>
      </c>
      <c r="E584" s="125" t="n">
        <v>300</v>
      </c>
      <c r="F584" s="125" t="n">
        <v>40</v>
      </c>
      <c r="G584" s="125" t="n">
        <v>22</v>
      </c>
      <c r="H584" s="125" t="n">
        <v>18</v>
      </c>
      <c r="I584" s="125">
        <f>D584-(2*(H584+F584))</f>
        <v/>
      </c>
      <c r="J584" s="125">
        <f>D584/10 * F584/10 + 2*(E584/10 * G584/10)</f>
        <v/>
      </c>
      <c r="K584" s="125">
        <f>(E584/2)/F584</f>
        <v/>
      </c>
      <c r="L584" s="125">
        <f>I584/G584</f>
        <v/>
      </c>
      <c r="M584" s="125">
        <f>(E584*2+F584*4+((E584-G584)/2-H584)*4+2*PI()*H584+(D584-2*F584-2*H584)*2)/1000</f>
        <v/>
      </c>
      <c r="N584" s="5" t="n">
        <v>550000</v>
      </c>
      <c r="O584" s="5" t="n">
        <v>18100</v>
      </c>
      <c r="P584" s="125" t="n">
        <v>36</v>
      </c>
      <c r="Q584" s="125" t="n">
        <v>6.5</v>
      </c>
      <c r="R584" s="5" t="n">
        <v>12200</v>
      </c>
      <c r="S584" s="5" t="n">
        <v>1210</v>
      </c>
      <c r="T584" s="5" t="n">
        <v>14100</v>
      </c>
      <c r="U584" s="5" t="n">
        <v>1900</v>
      </c>
      <c r="Y584">
        <f>SQRT((((VLOOKUP($X$4,$A$4:$D$1021,4,FALSE))-D584)^2)+(((VLOOKUP($X$4,$A$4:$E$1021,5,FALSE))-E584)^2))</f>
        <v/>
      </c>
    </row>
    <row r="585">
      <c r="A585" s="125" t="inlineStr">
        <is>
          <t>HY900X315</t>
        </is>
      </c>
      <c r="B585" s="129" t="inlineStr">
        <is>
          <t>HY</t>
        </is>
      </c>
      <c r="C585" s="125" t="n">
        <v>315</v>
      </c>
      <c r="D585" s="125" t="n">
        <v>900</v>
      </c>
      <c r="E585" s="125" t="n">
        <v>300</v>
      </c>
      <c r="F585" s="125" t="n">
        <v>36</v>
      </c>
      <c r="G585" s="125" t="n">
        <v>22</v>
      </c>
      <c r="H585" s="125" t="n">
        <v>18</v>
      </c>
      <c r="I585" s="125">
        <f>D585-(2*(H585+F585))</f>
        <v/>
      </c>
      <c r="J585" s="125">
        <f>D585/10 * F585/10 + 2*(E585/10 * G585/10)</f>
        <v/>
      </c>
      <c r="K585" s="125">
        <f>(E585/2)/F585</f>
        <v/>
      </c>
      <c r="L585" s="125">
        <f>I585/G585</f>
        <v/>
      </c>
      <c r="M585" s="125">
        <f>(E585*2+F585*4+((E585-G585)/2-H585)*4+2*PI()*H585+(D585-2*F585-2*H585)*2)/1000</f>
        <v/>
      </c>
      <c r="N585" s="5" t="n">
        <v>512000</v>
      </c>
      <c r="O585" s="5" t="n">
        <v>16300</v>
      </c>
      <c r="P585" s="125" t="n">
        <v>35.7</v>
      </c>
      <c r="Q585" s="125" t="n">
        <v>6.4</v>
      </c>
      <c r="R585" s="5" t="n">
        <v>11400</v>
      </c>
      <c r="S585" s="5" t="n">
        <v>1090</v>
      </c>
      <c r="T585" s="5" t="n">
        <v>13200</v>
      </c>
      <c r="U585" s="5" t="n">
        <v>1720</v>
      </c>
      <c r="Y585">
        <f>SQRT((((VLOOKUP($X$4,$A$4:$D$1021,4,FALSE))-D585)^2)+(((VLOOKUP($X$4,$A$4:$E$1021,5,FALSE))-E585)^2))</f>
        <v/>
      </c>
    </row>
    <row r="586">
      <c r="A586" s="125" t="inlineStr">
        <is>
          <t>HY900X297</t>
        </is>
      </c>
      <c r="B586" s="129" t="inlineStr">
        <is>
          <t>HY</t>
        </is>
      </c>
      <c r="C586" s="125" t="n">
        <v>297</v>
      </c>
      <c r="D586" s="125" t="n">
        <v>900</v>
      </c>
      <c r="E586" s="125" t="n">
        <v>300</v>
      </c>
      <c r="F586" s="125" t="n">
        <v>32</v>
      </c>
      <c r="G586" s="125" t="n">
        <v>22</v>
      </c>
      <c r="H586" s="125" t="n">
        <v>18</v>
      </c>
      <c r="I586" s="125">
        <f>D586-(2*(H586+F586))</f>
        <v/>
      </c>
      <c r="J586" s="125">
        <f>D586/10 * F586/10 + 2*(E586/10 * G586/10)</f>
        <v/>
      </c>
      <c r="K586" s="125">
        <f>(E586/2)/F586</f>
        <v/>
      </c>
      <c r="L586" s="125">
        <f>I586/G586</f>
        <v/>
      </c>
      <c r="M586" s="125">
        <f>(E586*2+F586*4+((E586-G586)/2-H586)*4+2*PI()*H586+(D586-2*F586-2*H586)*2)/1000</f>
        <v/>
      </c>
      <c r="N586" s="5" t="n">
        <v>474000</v>
      </c>
      <c r="O586" s="5" t="n">
        <v>14500</v>
      </c>
      <c r="P586" s="125" t="n">
        <v>35.4</v>
      </c>
      <c r="Q586" s="125" t="n">
        <v>6.2</v>
      </c>
      <c r="R586" s="5" t="n">
        <v>10500</v>
      </c>
      <c r="S586" s="125" t="n">
        <v>965</v>
      </c>
      <c r="T586" s="5" t="n">
        <v>12300</v>
      </c>
      <c r="U586" s="5" t="n">
        <v>1550</v>
      </c>
      <c r="Y586">
        <f>SQRT((((VLOOKUP($X$4,$A$4:$D$1021,4,FALSE))-D586)^2)+(((VLOOKUP($X$4,$A$4:$E$1021,5,FALSE))-E586)^2))</f>
        <v/>
      </c>
    </row>
    <row r="587">
      <c r="A587" s="125" t="inlineStr">
        <is>
          <t>HY900X280</t>
        </is>
      </c>
      <c r="B587" s="129" t="inlineStr">
        <is>
          <t>HY</t>
        </is>
      </c>
      <c r="C587" s="125" t="n">
        <v>280</v>
      </c>
      <c r="D587" s="125" t="n">
        <v>900</v>
      </c>
      <c r="E587" s="125" t="n">
        <v>300</v>
      </c>
      <c r="F587" s="125" t="n">
        <v>28</v>
      </c>
      <c r="G587" s="125" t="n">
        <v>22</v>
      </c>
      <c r="H587" s="125" t="n">
        <v>18</v>
      </c>
      <c r="I587" s="125">
        <f>D587-(2*(H587+F587))</f>
        <v/>
      </c>
      <c r="J587" s="125">
        <f>D587/10 * F587/10 + 2*(E587/10 * G587/10)</f>
        <v/>
      </c>
      <c r="K587" s="125">
        <f>(E587/2)/F587</f>
        <v/>
      </c>
      <c r="L587" s="125">
        <f>I587/G587</f>
        <v/>
      </c>
      <c r="M587" s="125">
        <f>(E587*2+F587*4+((E587-G587)/2-H587)*4+2*PI()*H587+(D587-2*F587-2*H587)*2)/1000</f>
        <v/>
      </c>
      <c r="N587" s="5" t="n">
        <v>435000</v>
      </c>
      <c r="O587" s="5" t="n">
        <v>12700</v>
      </c>
      <c r="P587" s="125" t="n">
        <v>34.9</v>
      </c>
      <c r="Q587" s="125" t="n">
        <v>6</v>
      </c>
      <c r="R587" s="5" t="n">
        <v>9660</v>
      </c>
      <c r="S587" s="125" t="n">
        <v>845</v>
      </c>
      <c r="T587" s="5" t="n">
        <v>11400</v>
      </c>
      <c r="U587" s="5" t="n">
        <v>1370</v>
      </c>
      <c r="Y587">
        <f>SQRT((((VLOOKUP($X$4,$A$4:$D$1021,4,FALSE))-D587)^2)+(((VLOOKUP($X$4,$A$4:$E$1021,5,FALSE))-E587)^2))</f>
        <v/>
      </c>
    </row>
    <row r="588">
      <c r="A588" s="125" t="inlineStr">
        <is>
          <t>HY900X313</t>
        </is>
      </c>
      <c r="B588" s="129" t="inlineStr">
        <is>
          <t>HY</t>
        </is>
      </c>
      <c r="C588" s="125" t="n">
        <v>313</v>
      </c>
      <c r="D588" s="125" t="n">
        <v>900</v>
      </c>
      <c r="E588" s="125" t="n">
        <v>300</v>
      </c>
      <c r="F588" s="125" t="n">
        <v>40</v>
      </c>
      <c r="G588" s="125" t="n">
        <v>19</v>
      </c>
      <c r="H588" s="125" t="n">
        <v>18</v>
      </c>
      <c r="I588" s="125">
        <f>D588-(2*(H588+F588))</f>
        <v/>
      </c>
      <c r="J588" s="125">
        <f>D588/10 * F588/10 + 2*(E588/10 * G588/10)</f>
        <v/>
      </c>
      <c r="K588" s="125">
        <f>(E588/2)/F588</f>
        <v/>
      </c>
      <c r="L588" s="125">
        <f>I588/G588</f>
        <v/>
      </c>
      <c r="M588" s="125">
        <f>(E588*2+F588*4+((E588-G588)/2-H588)*4+2*PI()*H588+(D588-2*F588-2*H588)*2)/1000</f>
        <v/>
      </c>
      <c r="N588" s="5" t="n">
        <v>536000</v>
      </c>
      <c r="O588" s="5" t="n">
        <v>18100</v>
      </c>
      <c r="P588" s="125" t="n">
        <v>36.7</v>
      </c>
      <c r="Q588" s="125" t="n">
        <v>6.7</v>
      </c>
      <c r="R588" s="5" t="n">
        <v>11900</v>
      </c>
      <c r="S588" s="5" t="n">
        <v>1200</v>
      </c>
      <c r="T588" s="5" t="n">
        <v>13600</v>
      </c>
      <c r="U588" s="5" t="n">
        <v>1880</v>
      </c>
      <c r="Y588">
        <f>SQRT((((VLOOKUP($X$4,$A$4:$D$1021,4,FALSE))-D588)^2)+(((VLOOKUP($X$4,$A$4:$E$1021,5,FALSE))-E588)^2))</f>
        <v/>
      </c>
    </row>
    <row r="589">
      <c r="A589" s="125" t="inlineStr">
        <is>
          <t>HY900X295</t>
        </is>
      </c>
      <c r="B589" s="129" t="inlineStr">
        <is>
          <t>HY</t>
        </is>
      </c>
      <c r="C589" s="125" t="n">
        <v>295</v>
      </c>
      <c r="D589" s="125" t="n">
        <v>900</v>
      </c>
      <c r="E589" s="125" t="n">
        <v>300</v>
      </c>
      <c r="F589" s="125" t="n">
        <v>36</v>
      </c>
      <c r="G589" s="125" t="n">
        <v>19</v>
      </c>
      <c r="H589" s="125" t="n">
        <v>18</v>
      </c>
      <c r="I589" s="125">
        <f>D589-(2*(H589+F589))</f>
        <v/>
      </c>
      <c r="J589" s="125">
        <f>D589/10 * F589/10 + 2*(E589/10 * G589/10)</f>
        <v/>
      </c>
      <c r="K589" s="125">
        <f>(E589/2)/F589</f>
        <v/>
      </c>
      <c r="L589" s="125">
        <f>I589/G589</f>
        <v/>
      </c>
      <c r="M589" s="125">
        <f>(E589*2+F589*4+((E589-G589)/2-H589)*4+2*PI()*H589+(D589-2*F589-2*H589)*2)/1000</f>
        <v/>
      </c>
      <c r="N589" s="5" t="n">
        <v>498000</v>
      </c>
      <c r="O589" s="5" t="n">
        <v>16300</v>
      </c>
      <c r="P589" s="125" t="n">
        <v>36.4</v>
      </c>
      <c r="Q589" s="125" t="n">
        <v>6.6</v>
      </c>
      <c r="R589" s="5" t="n">
        <v>11100</v>
      </c>
      <c r="S589" s="5" t="n">
        <v>1080</v>
      </c>
      <c r="T589" s="5" t="n">
        <v>12700</v>
      </c>
      <c r="U589" s="5" t="n">
        <v>1700</v>
      </c>
      <c r="Y589">
        <f>SQRT((((VLOOKUP($X$4,$A$4:$D$1021,4,FALSE))-D589)^2)+(((VLOOKUP($X$4,$A$4:$E$1021,5,FALSE))-E589)^2))</f>
        <v/>
      </c>
    </row>
    <row r="590">
      <c r="A590" s="125" t="inlineStr">
        <is>
          <t>HY900X278</t>
        </is>
      </c>
      <c r="B590" s="129" t="inlineStr">
        <is>
          <t>HY</t>
        </is>
      </c>
      <c r="C590" s="125" t="n">
        <v>278</v>
      </c>
      <c r="D590" s="125" t="n">
        <v>900</v>
      </c>
      <c r="E590" s="125" t="n">
        <v>300</v>
      </c>
      <c r="F590" s="125" t="n">
        <v>32</v>
      </c>
      <c r="G590" s="125" t="n">
        <v>19</v>
      </c>
      <c r="H590" s="125" t="n">
        <v>18</v>
      </c>
      <c r="I590" s="125">
        <f>D590-(2*(H590+F590))</f>
        <v/>
      </c>
      <c r="J590" s="125">
        <f>D590/10 * F590/10 + 2*(E590/10 * G590/10)</f>
        <v/>
      </c>
      <c r="K590" s="125">
        <f>(E590/2)/F590</f>
        <v/>
      </c>
      <c r="L590" s="125">
        <f>I590/G590</f>
        <v/>
      </c>
      <c r="M590" s="125">
        <f>(E590*2+F590*4+((E590-G590)/2-H590)*4+2*PI()*H590+(D590-2*F590-2*H590)*2)/1000</f>
        <v/>
      </c>
      <c r="N590" s="5" t="n">
        <v>459000</v>
      </c>
      <c r="O590" s="5" t="n">
        <v>14500</v>
      </c>
      <c r="P590" s="125" t="n">
        <v>36</v>
      </c>
      <c r="Q590" s="125" t="n">
        <v>6.4</v>
      </c>
      <c r="R590" s="5" t="n">
        <v>10200</v>
      </c>
      <c r="S590" s="125" t="n">
        <v>964</v>
      </c>
      <c r="T590" s="5" t="n">
        <v>11800</v>
      </c>
      <c r="U590" s="5" t="n">
        <v>1520</v>
      </c>
      <c r="Y590">
        <f>SQRT((((VLOOKUP($X$4,$A$4:$D$1021,4,FALSE))-D590)^2)+(((VLOOKUP($X$4,$A$4:$E$1021,5,FALSE))-E590)^2))</f>
        <v/>
      </c>
    </row>
    <row r="591">
      <c r="A591" s="125" t="inlineStr">
        <is>
          <t>HY900X260</t>
        </is>
      </c>
      <c r="B591" s="129" t="inlineStr">
        <is>
          <t>HY</t>
        </is>
      </c>
      <c r="C591" s="125" t="n">
        <v>260</v>
      </c>
      <c r="D591" s="125" t="n">
        <v>900</v>
      </c>
      <c r="E591" s="125" t="n">
        <v>300</v>
      </c>
      <c r="F591" s="125" t="n">
        <v>28</v>
      </c>
      <c r="G591" s="125" t="n">
        <v>19</v>
      </c>
      <c r="H591" s="125" t="n">
        <v>18</v>
      </c>
      <c r="I591" s="125">
        <f>D591-(2*(H591+F591))</f>
        <v/>
      </c>
      <c r="J591" s="125">
        <f>D591/10 * F591/10 + 2*(E591/10 * G591/10)</f>
        <v/>
      </c>
      <c r="K591" s="125">
        <f>(E591/2)/F591</f>
        <v/>
      </c>
      <c r="L591" s="125">
        <f>I591/G591</f>
        <v/>
      </c>
      <c r="M591" s="125">
        <f>(E591*2+F591*4+((E591-G591)/2-H591)*4+2*PI()*H591+(D591-2*F591-2*H591)*2)/1000</f>
        <v/>
      </c>
      <c r="N591" s="5" t="n">
        <v>420000</v>
      </c>
      <c r="O591" s="5" t="n">
        <v>12700</v>
      </c>
      <c r="P591" s="125" t="n">
        <v>35.6</v>
      </c>
      <c r="Q591" s="125" t="n">
        <v>6.2</v>
      </c>
      <c r="R591" s="5" t="n">
        <v>9320</v>
      </c>
      <c r="S591" s="125" t="n">
        <v>844</v>
      </c>
      <c r="T591" s="5" t="n">
        <v>10800</v>
      </c>
      <c r="U591" s="5" t="n">
        <v>1340</v>
      </c>
      <c r="Y591">
        <f>SQRT((((VLOOKUP($X$4,$A$4:$D$1021,4,FALSE))-D591)^2)+(((VLOOKUP($X$4,$A$4:$E$1021,5,FALSE))-E591)^2))</f>
        <v/>
      </c>
    </row>
    <row r="592">
      <c r="A592" s="125" t="inlineStr">
        <is>
          <t>HY900X247</t>
        </is>
      </c>
      <c r="B592" s="129" t="inlineStr">
        <is>
          <t>HY</t>
        </is>
      </c>
      <c r="C592" s="125" t="n">
        <v>247</v>
      </c>
      <c r="D592" s="125" t="n">
        <v>900</v>
      </c>
      <c r="E592" s="125" t="n">
        <v>300</v>
      </c>
      <c r="F592" s="125" t="n">
        <v>25</v>
      </c>
      <c r="G592" s="125" t="n">
        <v>19</v>
      </c>
      <c r="H592" s="125" t="n">
        <v>18</v>
      </c>
      <c r="I592" s="125">
        <f>D592-(2*(H592+F592))</f>
        <v/>
      </c>
      <c r="J592" s="125">
        <f>D592/10 * F592/10 + 2*(E592/10 * G592/10)</f>
        <v/>
      </c>
      <c r="K592" s="125">
        <f>(E592/2)/F592</f>
        <v/>
      </c>
      <c r="L592" s="125">
        <f>I592/G592</f>
        <v/>
      </c>
      <c r="M592" s="125">
        <f>(E592*2+F592*4+((E592-G592)/2-H592)*4+2*PI()*H592+(D592-2*F592-2*H592)*2)/1000</f>
        <v/>
      </c>
      <c r="N592" s="5" t="n">
        <v>389000</v>
      </c>
      <c r="O592" s="5" t="n">
        <v>11300</v>
      </c>
      <c r="P592" s="125" t="n">
        <v>35.2</v>
      </c>
      <c r="Q592" s="125" t="n">
        <v>6</v>
      </c>
      <c r="R592" s="5" t="n">
        <v>8650</v>
      </c>
      <c r="S592" s="125" t="n">
        <v>754</v>
      </c>
      <c r="T592" s="5" t="n">
        <v>10100</v>
      </c>
      <c r="U592" s="5" t="n">
        <v>1210</v>
      </c>
      <c r="Y592">
        <f>SQRT((((VLOOKUP($X$4,$A$4:$D$1021,4,FALSE))-D592)^2)+(((VLOOKUP($X$4,$A$4:$E$1021,5,FALSE))-E592)^2))</f>
        <v/>
      </c>
    </row>
    <row r="593">
      <c r="A593" s="125" t="inlineStr">
        <is>
          <t>HY900X233</t>
        </is>
      </c>
      <c r="B593" s="129" t="inlineStr">
        <is>
          <t>HY</t>
        </is>
      </c>
      <c r="C593" s="125" t="n">
        <v>233</v>
      </c>
      <c r="D593" s="125" t="n">
        <v>900</v>
      </c>
      <c r="E593" s="125" t="n">
        <v>300</v>
      </c>
      <c r="F593" s="125" t="n">
        <v>22</v>
      </c>
      <c r="G593" s="125" t="n">
        <v>19</v>
      </c>
      <c r="H593" s="125" t="n">
        <v>18</v>
      </c>
      <c r="I593" s="125">
        <f>D593-(2*(H593+F593))</f>
        <v/>
      </c>
      <c r="J593" s="125">
        <f>D593/10 * F593/10 + 2*(E593/10 * G593/10)</f>
        <v/>
      </c>
      <c r="K593" s="125">
        <f>(E593/2)/F593</f>
        <v/>
      </c>
      <c r="L593" s="125">
        <f>I593/G593</f>
        <v/>
      </c>
      <c r="M593" s="125">
        <f>(E593*2+F593*4+((E593-G593)/2-H593)*4+2*PI()*H593+(D593-2*F593-2*H593)*2)/1000</f>
        <v/>
      </c>
      <c r="N593" s="5" t="n">
        <v>359000</v>
      </c>
      <c r="O593" s="5" t="n">
        <v>9950</v>
      </c>
      <c r="P593" s="125" t="n">
        <v>34.7</v>
      </c>
      <c r="Q593" s="125" t="n">
        <v>5.8</v>
      </c>
      <c r="R593" s="5" t="n">
        <v>7970</v>
      </c>
      <c r="S593" s="125" t="n">
        <v>664</v>
      </c>
      <c r="T593" s="5" t="n">
        <v>9390</v>
      </c>
      <c r="U593" s="5" t="n">
        <v>1070</v>
      </c>
      <c r="Y593">
        <f>SQRT((((VLOOKUP($X$4,$A$4:$D$1021,4,FALSE))-D593)^2)+(((VLOOKUP($X$4,$A$4:$E$1021,5,FALSE))-E593)^2))</f>
        <v/>
      </c>
    </row>
    <row r="594">
      <c r="A594" s="125" t="inlineStr">
        <is>
          <t>HY900X276</t>
        </is>
      </c>
      <c r="B594" s="129" t="inlineStr">
        <is>
          <t>HY</t>
        </is>
      </c>
      <c r="C594" s="125" t="n">
        <v>276</v>
      </c>
      <c r="D594" s="125" t="n">
        <v>900</v>
      </c>
      <c r="E594" s="125" t="n">
        <v>300</v>
      </c>
      <c r="F594" s="125" t="n">
        <v>36</v>
      </c>
      <c r="G594" s="125" t="n">
        <v>16</v>
      </c>
      <c r="H594" s="125" t="n">
        <v>18</v>
      </c>
      <c r="I594" s="125">
        <f>D594-(2*(H594+F594))</f>
        <v/>
      </c>
      <c r="J594" s="125">
        <f>D594/10 * F594/10 + 2*(E594/10 * G594/10)</f>
        <v/>
      </c>
      <c r="K594" s="125">
        <f>(E594/2)/F594</f>
        <v/>
      </c>
      <c r="L594" s="125">
        <f>I594/G594</f>
        <v/>
      </c>
      <c r="M594" s="125">
        <f>(E594*2+F594*4+((E594-G594)/2-H594)*4+2*PI()*H594+(D594-2*F594-2*H594)*2)/1000</f>
        <v/>
      </c>
      <c r="N594" s="5" t="n">
        <v>484000</v>
      </c>
      <c r="O594" s="5" t="n">
        <v>16200</v>
      </c>
      <c r="P594" s="125" t="n">
        <v>37.1</v>
      </c>
      <c r="Q594" s="125" t="n">
        <v>6.8</v>
      </c>
      <c r="R594" s="5" t="n">
        <v>10700</v>
      </c>
      <c r="S594" s="5" t="n">
        <v>1080</v>
      </c>
      <c r="T594" s="5" t="n">
        <v>12200</v>
      </c>
      <c r="U594" s="5" t="n">
        <v>1680</v>
      </c>
      <c r="Y594">
        <f>SQRT((((VLOOKUP($X$4,$A$4:$D$1021,4,FALSE))-D594)^2)+(((VLOOKUP($X$4,$A$4:$E$1021,5,FALSE))-E594)^2))</f>
        <v/>
      </c>
    </row>
    <row r="595">
      <c r="A595" s="125" t="inlineStr">
        <is>
          <t>HY900X258</t>
        </is>
      </c>
      <c r="B595" s="129" t="inlineStr">
        <is>
          <t>HY</t>
        </is>
      </c>
      <c r="C595" s="125" t="n">
        <v>258</v>
      </c>
      <c r="D595" s="125" t="n">
        <v>900</v>
      </c>
      <c r="E595" s="125" t="n">
        <v>300</v>
      </c>
      <c r="F595" s="125" t="n">
        <v>32</v>
      </c>
      <c r="G595" s="125" t="n">
        <v>16</v>
      </c>
      <c r="H595" s="125" t="n">
        <v>18</v>
      </c>
      <c r="I595" s="125">
        <f>D595-(2*(H595+F595))</f>
        <v/>
      </c>
      <c r="J595" s="125">
        <f>D595/10 * F595/10 + 2*(E595/10 * G595/10)</f>
        <v/>
      </c>
      <c r="K595" s="125">
        <f>(E595/2)/F595</f>
        <v/>
      </c>
      <c r="L595" s="125">
        <f>I595/G595</f>
        <v/>
      </c>
      <c r="M595" s="125">
        <f>(E595*2+F595*4+((E595-G595)/2-H595)*4+2*PI()*H595+(D595-2*F595-2*H595)*2)/1000</f>
        <v/>
      </c>
      <c r="N595" s="5" t="n">
        <v>444000</v>
      </c>
      <c r="O595" s="5" t="n">
        <v>14400</v>
      </c>
      <c r="P595" s="125" t="n">
        <v>36.8</v>
      </c>
      <c r="Q595" s="125" t="n">
        <v>6.6</v>
      </c>
      <c r="R595" s="5" t="n">
        <v>9880</v>
      </c>
      <c r="S595" s="125" t="n">
        <v>962</v>
      </c>
      <c r="T595" s="5" t="n">
        <v>11200</v>
      </c>
      <c r="U595" s="5" t="n">
        <v>1500</v>
      </c>
      <c r="Y595">
        <f>SQRT((((VLOOKUP($X$4,$A$4:$D$1021,4,FALSE))-D595)^2)+(((VLOOKUP($X$4,$A$4:$E$1021,5,FALSE))-E595)^2))</f>
        <v/>
      </c>
    </row>
    <row r="596">
      <c r="A596" s="125" t="inlineStr">
        <is>
          <t>HY900X240</t>
        </is>
      </c>
      <c r="B596" s="129" t="inlineStr">
        <is>
          <t>HY</t>
        </is>
      </c>
      <c r="C596" s="125" t="n">
        <v>240</v>
      </c>
      <c r="D596" s="125" t="n">
        <v>900</v>
      </c>
      <c r="E596" s="125" t="n">
        <v>300</v>
      </c>
      <c r="F596" s="125" t="n">
        <v>28</v>
      </c>
      <c r="G596" s="125" t="n">
        <v>16</v>
      </c>
      <c r="H596" s="125" t="n">
        <v>18</v>
      </c>
      <c r="I596" s="125">
        <f>D596-(2*(H596+F596))</f>
        <v/>
      </c>
      <c r="J596" s="125">
        <f>D596/10 * F596/10 + 2*(E596/10 * G596/10)</f>
        <v/>
      </c>
      <c r="K596" s="125">
        <f>(E596/2)/F596</f>
        <v/>
      </c>
      <c r="L596" s="125">
        <f>I596/G596</f>
        <v/>
      </c>
      <c r="M596" s="125">
        <f>(E596*2+F596*4+((E596-G596)/2-H596)*4+2*PI()*H596+(D596-2*F596-2*H596)*2)/1000</f>
        <v/>
      </c>
      <c r="N596" s="5" t="n">
        <v>404000</v>
      </c>
      <c r="O596" s="5" t="n">
        <v>12600</v>
      </c>
      <c r="P596" s="125" t="n">
        <v>36.4</v>
      </c>
      <c r="Q596" s="125" t="n">
        <v>6.4</v>
      </c>
      <c r="R596" s="5" t="n">
        <v>8990</v>
      </c>
      <c r="S596" s="125" t="n">
        <v>842</v>
      </c>
      <c r="T596" s="5" t="n">
        <v>10300</v>
      </c>
      <c r="U596" s="5" t="n">
        <v>1320</v>
      </c>
      <c r="Y596">
        <f>SQRT((((VLOOKUP($X$4,$A$4:$D$1021,4,FALSE))-D596)^2)+(((VLOOKUP($X$4,$A$4:$E$1021,5,FALSE))-E596)^2))</f>
        <v/>
      </c>
    </row>
    <row r="597">
      <c r="A597" s="125" t="inlineStr">
        <is>
          <t>HY900X227</t>
        </is>
      </c>
      <c r="B597" s="129" t="inlineStr">
        <is>
          <t>HY</t>
        </is>
      </c>
      <c r="C597" s="125" t="n">
        <v>227</v>
      </c>
      <c r="D597" s="125" t="n">
        <v>900</v>
      </c>
      <c r="E597" s="125" t="n">
        <v>300</v>
      </c>
      <c r="F597" s="125" t="n">
        <v>25</v>
      </c>
      <c r="G597" s="125" t="n">
        <v>16</v>
      </c>
      <c r="H597" s="125" t="n">
        <v>18</v>
      </c>
      <c r="I597" s="125">
        <f>D597-(2*(H597+F597))</f>
        <v/>
      </c>
      <c r="J597" s="125">
        <f>D597/10 * F597/10 + 2*(E597/10 * G597/10)</f>
        <v/>
      </c>
      <c r="K597" s="125">
        <f>(E597/2)/F597</f>
        <v/>
      </c>
      <c r="L597" s="125">
        <f>I597/G597</f>
        <v/>
      </c>
      <c r="M597" s="125">
        <f>(E597*2+F597*4+((E597-G597)/2-H597)*4+2*PI()*H597+(D597-2*F597-2*H597)*2)/1000</f>
        <v/>
      </c>
      <c r="N597" s="5" t="n">
        <v>374000</v>
      </c>
      <c r="O597" s="5" t="n">
        <v>11300</v>
      </c>
      <c r="P597" s="125" t="n">
        <v>36</v>
      </c>
      <c r="Q597" s="125" t="n">
        <v>6.3</v>
      </c>
      <c r="R597" s="5" t="n">
        <v>8310</v>
      </c>
      <c r="S597" s="125" t="n">
        <v>752</v>
      </c>
      <c r="T597" s="5" t="n">
        <v>9570</v>
      </c>
      <c r="U597" s="5" t="n">
        <v>1180</v>
      </c>
      <c r="Y597">
        <f>SQRT((((VLOOKUP($X$4,$A$4:$D$1021,4,FALSE))-D597)^2)+(((VLOOKUP($X$4,$A$4:$E$1021,5,FALSE))-E597)^2))</f>
        <v/>
      </c>
    </row>
    <row r="598">
      <c r="A598" s="125" t="inlineStr">
        <is>
          <t>HY900X213</t>
        </is>
      </c>
      <c r="B598" s="129" t="inlineStr">
        <is>
          <t>HY</t>
        </is>
      </c>
      <c r="C598" s="125" t="n">
        <v>213</v>
      </c>
      <c r="D598" s="125" t="n">
        <v>900</v>
      </c>
      <c r="E598" s="125" t="n">
        <v>300</v>
      </c>
      <c r="F598" s="125" t="n">
        <v>22</v>
      </c>
      <c r="G598" s="125" t="n">
        <v>16</v>
      </c>
      <c r="H598" s="125" t="n">
        <v>18</v>
      </c>
      <c r="I598" s="125">
        <f>D598-(2*(H598+F598))</f>
        <v/>
      </c>
      <c r="J598" s="125">
        <f>D598/10 * F598/10 + 2*(E598/10 * G598/10)</f>
        <v/>
      </c>
      <c r="K598" s="125">
        <f>(E598/2)/F598</f>
        <v/>
      </c>
      <c r="L598" s="125">
        <f>I598/G598</f>
        <v/>
      </c>
      <c r="M598" s="125">
        <f>(E598*2+F598*4+((E598-G598)/2-H598)*4+2*PI()*H598+(D598-2*F598-2*H598)*2)/1000</f>
        <v/>
      </c>
      <c r="N598" s="5" t="n">
        <v>343000</v>
      </c>
      <c r="O598" s="5" t="n">
        <v>9930</v>
      </c>
      <c r="P598" s="125" t="n">
        <v>35.5</v>
      </c>
      <c r="Q598" s="125" t="n">
        <v>6.1</v>
      </c>
      <c r="R598" s="5" t="n">
        <v>7620</v>
      </c>
      <c r="S598" s="125" t="n">
        <v>662</v>
      </c>
      <c r="T598" s="5" t="n">
        <v>8840</v>
      </c>
      <c r="U598" s="5" t="n">
        <v>1050</v>
      </c>
      <c r="Y598">
        <f>SQRT((((VLOOKUP($X$4,$A$4:$D$1021,4,FALSE))-D598)^2)+(((VLOOKUP($X$4,$A$4:$E$1021,5,FALSE))-E598)^2))</f>
        <v/>
      </c>
    </row>
    <row r="599">
      <c r="A599" s="125" t="inlineStr">
        <is>
          <t>HY900X200</t>
        </is>
      </c>
      <c r="B599" s="129" t="inlineStr">
        <is>
          <t>HY</t>
        </is>
      </c>
      <c r="C599" s="125" t="n">
        <v>200</v>
      </c>
      <c r="D599" s="125" t="n">
        <v>900</v>
      </c>
      <c r="E599" s="125" t="n">
        <v>300</v>
      </c>
      <c r="F599" s="125" t="n">
        <v>19</v>
      </c>
      <c r="G599" s="125" t="n">
        <v>16</v>
      </c>
      <c r="H599" s="125" t="n">
        <v>18</v>
      </c>
      <c r="I599" s="125">
        <f>D599-(2*(H599+F599))</f>
        <v/>
      </c>
      <c r="J599" s="125">
        <f>D599/10 * F599/10 + 2*(E599/10 * G599/10)</f>
        <v/>
      </c>
      <c r="K599" s="125">
        <f>(E599/2)/F599</f>
        <v/>
      </c>
      <c r="L599" s="125">
        <f>I599/G599</f>
        <v/>
      </c>
      <c r="M599" s="125">
        <f>(E599*2+F599*4+((E599-G599)/2-H599)*4+2*PI()*H599+(D599-2*F599-2*H599)*2)/1000</f>
        <v/>
      </c>
      <c r="N599" s="5" t="n">
        <v>312000</v>
      </c>
      <c r="O599" s="5" t="n">
        <v>8580</v>
      </c>
      <c r="P599" s="125" t="n">
        <v>35</v>
      </c>
      <c r="Q599" s="125" t="n">
        <v>5.8</v>
      </c>
      <c r="R599" s="5" t="n">
        <v>6930</v>
      </c>
      <c r="S599" s="125" t="n">
        <v>572</v>
      </c>
      <c r="T599" s="5" t="n">
        <v>8110</v>
      </c>
      <c r="U599" s="125" t="n">
        <v>914</v>
      </c>
      <c r="Y599">
        <f>SQRT((((VLOOKUP($X$4,$A$4:$D$1021,4,FALSE))-D599)^2)+(((VLOOKUP($X$4,$A$4:$E$1021,5,FALSE))-E599)^2))</f>
        <v/>
      </c>
    </row>
    <row r="600">
      <c r="A600" s="125" t="inlineStr">
        <is>
          <t>HY900X227</t>
        </is>
      </c>
      <c r="B600" s="129" t="inlineStr">
        <is>
          <t>HY</t>
        </is>
      </c>
      <c r="C600" s="125" t="n">
        <v>227</v>
      </c>
      <c r="D600" s="125" t="n">
        <v>900</v>
      </c>
      <c r="E600" s="125" t="n">
        <v>300</v>
      </c>
      <c r="F600" s="125" t="n">
        <v>28</v>
      </c>
      <c r="G600" s="125" t="n">
        <v>14</v>
      </c>
      <c r="H600" s="125" t="n">
        <v>18</v>
      </c>
      <c r="I600" s="125">
        <f>D600-(2*(H600+F600))</f>
        <v/>
      </c>
      <c r="J600" s="125">
        <f>D600/10 * F600/10 + 2*(E600/10 * G600/10)</f>
        <v/>
      </c>
      <c r="K600" s="125">
        <f>(E600/2)/F600</f>
        <v/>
      </c>
      <c r="L600" s="125">
        <f>I600/G600</f>
        <v/>
      </c>
      <c r="M600" s="125">
        <f>(E600*2+F600*4+((E600-G600)/2-H600)*4+2*PI()*H600+(D600-2*F600-2*H600)*2)/1000</f>
        <v/>
      </c>
      <c r="N600" s="5" t="n">
        <v>394000</v>
      </c>
      <c r="O600" s="5" t="n">
        <v>12600</v>
      </c>
      <c r="P600" s="125" t="n">
        <v>36.9</v>
      </c>
      <c r="Q600" s="125" t="n">
        <v>6.6</v>
      </c>
      <c r="R600" s="5" t="n">
        <v>8770</v>
      </c>
      <c r="S600" s="125" t="n">
        <v>842</v>
      </c>
      <c r="T600" s="5" t="n">
        <v>9930</v>
      </c>
      <c r="U600" s="5" t="n">
        <v>1300</v>
      </c>
      <c r="Y600">
        <f>SQRT((((VLOOKUP($X$4,$A$4:$D$1021,4,FALSE))-D600)^2)+(((VLOOKUP($X$4,$A$4:$E$1021,5,FALSE))-E600)^2))</f>
        <v/>
      </c>
    </row>
    <row r="601">
      <c r="A601" s="125" t="inlineStr">
        <is>
          <t>HY900X213</t>
        </is>
      </c>
      <c r="B601" s="129" t="inlineStr">
        <is>
          <t>HY</t>
        </is>
      </c>
      <c r="C601" s="125" t="n">
        <v>213</v>
      </c>
      <c r="D601" s="125" t="n">
        <v>900</v>
      </c>
      <c r="E601" s="125" t="n">
        <v>300</v>
      </c>
      <c r="F601" s="125" t="n">
        <v>25</v>
      </c>
      <c r="G601" s="125" t="n">
        <v>14</v>
      </c>
      <c r="H601" s="125" t="n">
        <v>18</v>
      </c>
      <c r="I601" s="125">
        <f>D601-(2*(H601+F601))</f>
        <v/>
      </c>
      <c r="J601" s="125">
        <f>D601/10 * F601/10 + 2*(E601/10 * G601/10)</f>
        <v/>
      </c>
      <c r="K601" s="125">
        <f>(E601/2)/F601</f>
        <v/>
      </c>
      <c r="L601" s="125">
        <f>I601/G601</f>
        <v/>
      </c>
      <c r="M601" s="125">
        <f>(E601*2+F601*4+((E601-G601)/2-H601)*4+2*PI()*H601+(D601-2*F601-2*H601)*2)/1000</f>
        <v/>
      </c>
      <c r="N601" s="5" t="n">
        <v>364000</v>
      </c>
      <c r="O601" s="5" t="n">
        <v>11300</v>
      </c>
      <c r="P601" s="125" t="n">
        <v>36.6</v>
      </c>
      <c r="Q601" s="125" t="n">
        <v>6.4</v>
      </c>
      <c r="R601" s="5" t="n">
        <v>8080</v>
      </c>
      <c r="S601" s="125" t="n">
        <v>752</v>
      </c>
      <c r="T601" s="5" t="n">
        <v>9210</v>
      </c>
      <c r="U601" s="5" t="n">
        <v>1170</v>
      </c>
      <c r="Y601">
        <f>SQRT((((VLOOKUP($X$4,$A$4:$D$1021,4,FALSE))-D601)^2)+(((VLOOKUP($X$4,$A$4:$E$1021,5,FALSE))-E601)^2))</f>
        <v/>
      </c>
    </row>
    <row r="602">
      <c r="A602" s="125" t="inlineStr">
        <is>
          <t>HY900X200</t>
        </is>
      </c>
      <c r="B602" s="129" t="inlineStr">
        <is>
          <t>HY</t>
        </is>
      </c>
      <c r="C602" s="125" t="n">
        <v>200</v>
      </c>
      <c r="D602" s="125" t="n">
        <v>900</v>
      </c>
      <c r="E602" s="125" t="n">
        <v>300</v>
      </c>
      <c r="F602" s="125" t="n">
        <v>22</v>
      </c>
      <c r="G602" s="125" t="n">
        <v>14</v>
      </c>
      <c r="H602" s="125" t="n">
        <v>18</v>
      </c>
      <c r="I602" s="125">
        <f>D602-(2*(H602+F602))</f>
        <v/>
      </c>
      <c r="J602" s="125">
        <f>D602/10 * F602/10 + 2*(E602/10 * G602/10)</f>
        <v/>
      </c>
      <c r="K602" s="125">
        <f>(E602/2)/F602</f>
        <v/>
      </c>
      <c r="L602" s="125">
        <f>I602/G602</f>
        <v/>
      </c>
      <c r="M602" s="125">
        <f>(E602*2+F602*4+((E602-G602)/2-H602)*4+2*PI()*H602+(D602-2*F602-2*H602)*2)/1000</f>
        <v/>
      </c>
      <c r="N602" s="5" t="n">
        <v>333000</v>
      </c>
      <c r="O602" s="5" t="n">
        <v>9920</v>
      </c>
      <c r="P602" s="125" t="n">
        <v>36.1</v>
      </c>
      <c r="Q602" s="125" t="n">
        <v>6.2</v>
      </c>
      <c r="R602" s="5" t="n">
        <v>7390</v>
      </c>
      <c r="S602" s="125" t="n">
        <v>662</v>
      </c>
      <c r="T602" s="5" t="n">
        <v>8480</v>
      </c>
      <c r="U602" s="5" t="n">
        <v>1040</v>
      </c>
      <c r="Y602">
        <f>SQRT((((VLOOKUP($X$4,$A$4:$D$1021,4,FALSE))-D602)^2)+(((VLOOKUP($X$4,$A$4:$E$1021,5,FALSE))-E602)^2))</f>
        <v/>
      </c>
    </row>
    <row r="603">
      <c r="A603" s="125" t="inlineStr">
        <is>
          <t>HY900X186</t>
        </is>
      </c>
      <c r="B603" s="129" t="inlineStr">
        <is>
          <t>HY</t>
        </is>
      </c>
      <c r="C603" s="125" t="n">
        <v>186</v>
      </c>
      <c r="D603" s="125" t="n">
        <v>900</v>
      </c>
      <c r="E603" s="125" t="n">
        <v>300</v>
      </c>
      <c r="F603" s="125" t="n">
        <v>19</v>
      </c>
      <c r="G603" s="125" t="n">
        <v>14</v>
      </c>
      <c r="H603" s="125" t="n">
        <v>18</v>
      </c>
      <c r="I603" s="125">
        <f>D603-(2*(H603+F603))</f>
        <v/>
      </c>
      <c r="J603" s="125">
        <f>D603/10 * F603/10 + 2*(E603/10 * G603/10)</f>
        <v/>
      </c>
      <c r="K603" s="125">
        <f>(E603/2)/F603</f>
        <v/>
      </c>
      <c r="L603" s="125">
        <f>I603/G603</f>
        <v/>
      </c>
      <c r="M603" s="125">
        <f>(E603*2+F603*4+((E603-G603)/2-H603)*4+2*PI()*H603+(D603-2*F603-2*H603)*2)/1000</f>
        <v/>
      </c>
      <c r="N603" s="5" t="n">
        <v>301000</v>
      </c>
      <c r="O603" s="5" t="n">
        <v>8570</v>
      </c>
      <c r="P603" s="125" t="n">
        <v>35.6</v>
      </c>
      <c r="Q603" s="125" t="n">
        <v>6</v>
      </c>
      <c r="R603" s="5" t="n">
        <v>6690</v>
      </c>
      <c r="S603" s="125" t="n">
        <v>572</v>
      </c>
      <c r="T603" s="5" t="n">
        <v>7740</v>
      </c>
      <c r="U603" s="125" t="n">
        <v>900</v>
      </c>
      <c r="Y603">
        <f>SQRT((((VLOOKUP($X$4,$A$4:$D$1021,4,FALSE))-D603)^2)+(((VLOOKUP($X$4,$A$4:$E$1021,5,FALSE))-E603)^2))</f>
        <v/>
      </c>
    </row>
    <row r="604">
      <c r="A604" s="125" t="inlineStr">
        <is>
          <t>HY900X281</t>
        </is>
      </c>
      <c r="B604" s="129" t="inlineStr">
        <is>
          <t>HY</t>
        </is>
      </c>
      <c r="C604" s="125" t="n">
        <v>281</v>
      </c>
      <c r="D604" s="125" t="n">
        <v>900</v>
      </c>
      <c r="E604" s="125" t="n">
        <v>250</v>
      </c>
      <c r="F604" s="125" t="n">
        <v>40</v>
      </c>
      <c r="G604" s="125" t="n">
        <v>19</v>
      </c>
      <c r="H604" s="125" t="n">
        <v>18</v>
      </c>
      <c r="I604" s="125">
        <f>D604-(2*(H604+F604))</f>
        <v/>
      </c>
      <c r="J604" s="125">
        <f>D604/10 * F604/10 + 2*(E604/10 * G604/10)</f>
        <v/>
      </c>
      <c r="K604" s="125">
        <f>(E604/2)/F604</f>
        <v/>
      </c>
      <c r="L604" s="125">
        <f>I604/G604</f>
        <v/>
      </c>
      <c r="M604" s="125">
        <f>(E604*2+F604*4+((E604-G604)/2-H604)*4+2*PI()*H604+(D604-2*F604-2*H604)*2)/1000</f>
        <v/>
      </c>
      <c r="N604" s="5" t="n">
        <v>462000</v>
      </c>
      <c r="O604" s="5" t="n">
        <v>10500</v>
      </c>
      <c r="P604" s="125" t="n">
        <v>35.9</v>
      </c>
      <c r="Q604" s="125" t="n">
        <v>5.4</v>
      </c>
      <c r="R604" s="5" t="n">
        <v>10300</v>
      </c>
      <c r="S604" s="125" t="n">
        <v>838</v>
      </c>
      <c r="T604" s="5" t="n">
        <v>11900</v>
      </c>
      <c r="U604" s="5" t="n">
        <v>1330</v>
      </c>
      <c r="Y604">
        <f>SQRT((((VLOOKUP($X$4,$A$4:$D$1021,4,FALSE))-D604)^2)+(((VLOOKUP($X$4,$A$4:$E$1021,5,FALSE))-E604)^2))</f>
        <v/>
      </c>
    </row>
    <row r="605">
      <c r="A605" s="125" t="inlineStr">
        <is>
          <t>HY900X267</t>
        </is>
      </c>
      <c r="B605" s="129" t="inlineStr">
        <is>
          <t>HY</t>
        </is>
      </c>
      <c r="C605" s="125" t="n">
        <v>267</v>
      </c>
      <c r="D605" s="125" t="n">
        <v>900</v>
      </c>
      <c r="E605" s="125" t="n">
        <v>250</v>
      </c>
      <c r="F605" s="125" t="n">
        <v>36</v>
      </c>
      <c r="G605" s="125" t="n">
        <v>19</v>
      </c>
      <c r="H605" s="125" t="n">
        <v>18</v>
      </c>
      <c r="I605" s="125">
        <f>D605-(2*(H605+F605))</f>
        <v/>
      </c>
      <c r="J605" s="125">
        <f>D605/10 * F605/10 + 2*(E605/10 * G605/10)</f>
        <v/>
      </c>
      <c r="K605" s="125">
        <f>(E605/2)/F605</f>
        <v/>
      </c>
      <c r="L605" s="125">
        <f>I605/G605</f>
        <v/>
      </c>
      <c r="M605" s="125">
        <f>(E605*2+F605*4+((E605-G605)/2-H605)*4+2*PI()*H605+(D605-2*F605-2*H605)*2)/1000</f>
        <v/>
      </c>
      <c r="N605" s="5" t="n">
        <v>431000</v>
      </c>
      <c r="O605" s="5" t="n">
        <v>9430</v>
      </c>
      <c r="P605" s="125" t="n">
        <v>35.6</v>
      </c>
      <c r="Q605" s="125" t="n">
        <v>5.3</v>
      </c>
      <c r="R605" s="5" t="n">
        <v>9570</v>
      </c>
      <c r="S605" s="125" t="n">
        <v>754</v>
      </c>
      <c r="T605" s="5" t="n">
        <v>11100</v>
      </c>
      <c r="U605" s="5" t="n">
        <v>1200</v>
      </c>
      <c r="Y605">
        <f>SQRT((((VLOOKUP($X$4,$A$4:$D$1021,4,FALSE))-D605)^2)+(((VLOOKUP($X$4,$A$4:$E$1021,5,FALSE))-E605)^2))</f>
        <v/>
      </c>
    </row>
    <row r="606">
      <c r="A606" s="125" t="inlineStr">
        <is>
          <t>HY900X252</t>
        </is>
      </c>
      <c r="B606" s="129" t="inlineStr">
        <is>
          <t>HY</t>
        </is>
      </c>
      <c r="C606" s="125" t="n">
        <v>252</v>
      </c>
      <c r="D606" s="125" t="n">
        <v>900</v>
      </c>
      <c r="E606" s="125" t="n">
        <v>250</v>
      </c>
      <c r="F606" s="125" t="n">
        <v>32</v>
      </c>
      <c r="G606" s="125" t="n">
        <v>19</v>
      </c>
      <c r="H606" s="125" t="n">
        <v>18</v>
      </c>
      <c r="I606" s="125">
        <f>D606-(2*(H606+F606))</f>
        <v/>
      </c>
      <c r="J606" s="125">
        <f>D606/10 * F606/10 + 2*(E606/10 * G606/10)</f>
        <v/>
      </c>
      <c r="K606" s="125">
        <f>(E606/2)/F606</f>
        <v/>
      </c>
      <c r="L606" s="125">
        <f>I606/G606</f>
        <v/>
      </c>
      <c r="M606" s="125">
        <f>(E606*2+F606*4+((E606-G606)/2-H606)*4+2*PI()*H606+(D606-2*F606-2*H606)*2)/1000</f>
        <v/>
      </c>
      <c r="N606" s="5" t="n">
        <v>399000</v>
      </c>
      <c r="O606" s="5" t="n">
        <v>8390</v>
      </c>
      <c r="P606" s="125" t="n">
        <v>35.2</v>
      </c>
      <c r="Q606" s="125" t="n">
        <v>5.1</v>
      </c>
      <c r="R606" s="5" t="n">
        <v>8860</v>
      </c>
      <c r="S606" s="125" t="n">
        <v>671</v>
      </c>
      <c r="T606" s="5" t="n">
        <v>10400</v>
      </c>
      <c r="U606" s="5" t="n">
        <v>1080</v>
      </c>
      <c r="Y606">
        <f>SQRT((((VLOOKUP($X$4,$A$4:$D$1021,4,FALSE))-D606)^2)+(((VLOOKUP($X$4,$A$4:$E$1021,5,FALSE))-E606)^2))</f>
        <v/>
      </c>
    </row>
    <row r="607">
      <c r="A607" s="125" t="inlineStr">
        <is>
          <t>HY900X238</t>
        </is>
      </c>
      <c r="B607" s="129" t="inlineStr">
        <is>
          <t>HY</t>
        </is>
      </c>
      <c r="C607" s="125" t="n">
        <v>238</v>
      </c>
      <c r="D607" s="125" t="n">
        <v>900</v>
      </c>
      <c r="E607" s="125" t="n">
        <v>250</v>
      </c>
      <c r="F607" s="125" t="n">
        <v>28</v>
      </c>
      <c r="G607" s="125" t="n">
        <v>19</v>
      </c>
      <c r="H607" s="125" t="n">
        <v>18</v>
      </c>
      <c r="I607" s="125">
        <f>D607-(2*(H607+F607))</f>
        <v/>
      </c>
      <c r="J607" s="125">
        <f>D607/10 * F607/10 + 2*(E607/10 * G607/10)</f>
        <v/>
      </c>
      <c r="K607" s="125">
        <f>(E607/2)/F607</f>
        <v/>
      </c>
      <c r="L607" s="125">
        <f>I607/G607</f>
        <v/>
      </c>
      <c r="M607" s="125">
        <f>(E607*2+F607*4+((E607-G607)/2-H607)*4+2*PI()*H607+(D607-2*F607-2*H607)*2)/1000</f>
        <v/>
      </c>
      <c r="N607" s="5" t="n">
        <v>366000</v>
      </c>
      <c r="O607" s="5" t="n">
        <v>7350</v>
      </c>
      <c r="P607" s="125" t="n">
        <v>34.8</v>
      </c>
      <c r="Q607" s="125" t="n">
        <v>4.9</v>
      </c>
      <c r="R607" s="5" t="n">
        <v>8140</v>
      </c>
      <c r="S607" s="125" t="n">
        <v>588</v>
      </c>
      <c r="T607" s="5" t="n">
        <v>9600</v>
      </c>
      <c r="U607" s="125" t="n">
        <v>955</v>
      </c>
      <c r="Y607">
        <f>SQRT((((VLOOKUP($X$4,$A$4:$D$1021,4,FALSE))-D607)^2)+(((VLOOKUP($X$4,$A$4:$E$1021,5,FALSE))-E607)^2))</f>
        <v/>
      </c>
    </row>
    <row r="608">
      <c r="A608" s="125" t="inlineStr">
        <is>
          <t>HY900X227</t>
        </is>
      </c>
      <c r="B608" s="129" t="inlineStr">
        <is>
          <t>HY</t>
        </is>
      </c>
      <c r="C608" s="125" t="n">
        <v>227</v>
      </c>
      <c r="D608" s="125" t="n">
        <v>900</v>
      </c>
      <c r="E608" s="125" t="n">
        <v>250</v>
      </c>
      <c r="F608" s="125" t="n">
        <v>25</v>
      </c>
      <c r="G608" s="125" t="n">
        <v>19</v>
      </c>
      <c r="H608" s="125" t="n">
        <v>18</v>
      </c>
      <c r="I608" s="125">
        <f>D608-(2*(H608+F608))</f>
        <v/>
      </c>
      <c r="J608" s="125">
        <f>D608/10 * F608/10 + 2*(E608/10 * G608/10)</f>
        <v/>
      </c>
      <c r="K608" s="125">
        <f>(E608/2)/F608</f>
        <v/>
      </c>
      <c r="L608" s="125">
        <f>I608/G608</f>
        <v/>
      </c>
      <c r="M608" s="125">
        <f>(E608*2+F608*4+((E608-G608)/2-H608)*4+2*PI()*H608+(D608-2*F608-2*H608)*2)/1000</f>
        <v/>
      </c>
      <c r="N608" s="5" t="n">
        <v>341000</v>
      </c>
      <c r="O608" s="5" t="n">
        <v>6560</v>
      </c>
      <c r="P608" s="125" t="n">
        <v>34.4</v>
      </c>
      <c r="Q608" s="125" t="n">
        <v>4.8</v>
      </c>
      <c r="R608" s="5" t="n">
        <v>7590</v>
      </c>
      <c r="S608" s="125" t="n">
        <v>525</v>
      </c>
      <c r="T608" s="5" t="n">
        <v>9020</v>
      </c>
      <c r="U608" s="125" t="n">
        <v>862</v>
      </c>
      <c r="Y608">
        <f>SQRT((((VLOOKUP($X$4,$A$4:$D$1021,4,FALSE))-D608)^2)+(((VLOOKUP($X$4,$A$4:$E$1021,5,FALSE))-E608)^2))</f>
        <v/>
      </c>
    </row>
    <row r="609">
      <c r="A609" s="125" t="inlineStr">
        <is>
          <t>HY900X216</t>
        </is>
      </c>
      <c r="B609" s="129" t="inlineStr">
        <is>
          <t>HY</t>
        </is>
      </c>
      <c r="C609" s="125" t="n">
        <v>216</v>
      </c>
      <c r="D609" s="125" t="n">
        <v>900</v>
      </c>
      <c r="E609" s="125" t="n">
        <v>250</v>
      </c>
      <c r="F609" s="125" t="n">
        <v>22</v>
      </c>
      <c r="G609" s="125" t="n">
        <v>19</v>
      </c>
      <c r="H609" s="125" t="n">
        <v>18</v>
      </c>
      <c r="I609" s="125">
        <f>D609-(2*(H609+F609))</f>
        <v/>
      </c>
      <c r="J609" s="125">
        <f>D609/10 * F609/10 + 2*(E609/10 * G609/10)</f>
        <v/>
      </c>
      <c r="K609" s="125">
        <f>(E609/2)/F609</f>
        <v/>
      </c>
      <c r="L609" s="125">
        <f>I609/G609</f>
        <v/>
      </c>
      <c r="M609" s="125">
        <f>(E609*2+F609*4+((E609-G609)/2-H609)*4+2*PI()*H609+(D609-2*F609-2*H609)*2)/1000</f>
        <v/>
      </c>
      <c r="N609" s="5" t="n">
        <v>316000</v>
      </c>
      <c r="O609" s="5" t="n">
        <v>5780</v>
      </c>
      <c r="P609" s="125" t="n">
        <v>33.9</v>
      </c>
      <c r="Q609" s="125" t="n">
        <v>4.6</v>
      </c>
      <c r="R609" s="5" t="n">
        <v>7030</v>
      </c>
      <c r="S609" s="125" t="n">
        <v>463</v>
      </c>
      <c r="T609" s="5" t="n">
        <v>8430</v>
      </c>
      <c r="U609" s="125" t="n">
        <v>769</v>
      </c>
      <c r="Y609">
        <f>SQRT((((VLOOKUP($X$4,$A$4:$D$1021,4,FALSE))-D609)^2)+(((VLOOKUP($X$4,$A$4:$E$1021,5,FALSE))-E609)^2))</f>
        <v/>
      </c>
    </row>
    <row r="610">
      <c r="A610" s="125" t="inlineStr">
        <is>
          <t>HY900X233</t>
        </is>
      </c>
      <c r="B610" s="129" t="inlineStr">
        <is>
          <t>HY</t>
        </is>
      </c>
      <c r="C610" s="125" t="n">
        <v>233</v>
      </c>
      <c r="D610" s="125" t="n">
        <v>900</v>
      </c>
      <c r="E610" s="125" t="n">
        <v>250</v>
      </c>
      <c r="F610" s="125" t="n">
        <v>32</v>
      </c>
      <c r="G610" s="125" t="n">
        <v>16</v>
      </c>
      <c r="H610" s="125" t="n">
        <v>18</v>
      </c>
      <c r="I610" s="125">
        <f>D610-(2*(H610+F610))</f>
        <v/>
      </c>
      <c r="J610" s="125">
        <f>D610/10 * F610/10 + 2*(E610/10 * G610/10)</f>
        <v/>
      </c>
      <c r="K610" s="125">
        <f>(E610/2)/F610</f>
        <v/>
      </c>
      <c r="L610" s="125">
        <f>I610/G610</f>
        <v/>
      </c>
      <c r="M610" s="125">
        <f>(E610*2+F610*4+((E610-G610)/2-H610)*4+2*PI()*H610+(D610-2*F610-2*H610)*2)/1000</f>
        <v/>
      </c>
      <c r="N610" s="5" t="n">
        <v>384000</v>
      </c>
      <c r="O610" s="5" t="n">
        <v>8370</v>
      </c>
      <c r="P610" s="125" t="n">
        <v>36</v>
      </c>
      <c r="Q610" s="125" t="n">
        <v>5.3</v>
      </c>
      <c r="R610" s="5" t="n">
        <v>8540</v>
      </c>
      <c r="S610" s="125" t="n">
        <v>669</v>
      </c>
      <c r="T610" s="5" t="n">
        <v>9850</v>
      </c>
      <c r="U610" s="5" t="n">
        <v>1060</v>
      </c>
      <c r="Y610">
        <f>SQRT((((VLOOKUP($X$4,$A$4:$D$1021,4,FALSE))-D610)^2)+(((VLOOKUP($X$4,$A$4:$E$1021,5,FALSE))-E610)^2))</f>
        <v/>
      </c>
    </row>
    <row r="611">
      <c r="A611" s="125" t="inlineStr">
        <is>
          <t>HY900X218</t>
        </is>
      </c>
      <c r="B611" s="129" t="inlineStr">
        <is>
          <t>HY</t>
        </is>
      </c>
      <c r="C611" s="125" t="n">
        <v>218</v>
      </c>
      <c r="D611" s="125" t="n">
        <v>900</v>
      </c>
      <c r="E611" s="125" t="n">
        <v>250</v>
      </c>
      <c r="F611" s="125" t="n">
        <v>28</v>
      </c>
      <c r="G611" s="125" t="n">
        <v>16</v>
      </c>
      <c r="H611" s="125" t="n">
        <v>18</v>
      </c>
      <c r="I611" s="125">
        <f>D611-(2*(H611+F611))</f>
        <v/>
      </c>
      <c r="J611" s="125">
        <f>D611/10 * F611/10 + 2*(E611/10 * G611/10)</f>
        <v/>
      </c>
      <c r="K611" s="125">
        <f>(E611/2)/F611</f>
        <v/>
      </c>
      <c r="L611" s="125">
        <f>I611/G611</f>
        <v/>
      </c>
      <c r="M611" s="125">
        <f>(E611*2+F611*4+((E611-G611)/2-H611)*4+2*PI()*H611+(D611-2*F611-2*H611)*2)/1000</f>
        <v/>
      </c>
      <c r="N611" s="5" t="n">
        <v>351000</v>
      </c>
      <c r="O611" s="5" t="n">
        <v>7320</v>
      </c>
      <c r="P611" s="125" t="n">
        <v>35.6</v>
      </c>
      <c r="Q611" s="125" t="n">
        <v>5.1</v>
      </c>
      <c r="R611" s="5" t="n">
        <v>7810</v>
      </c>
      <c r="S611" s="125" t="n">
        <v>586</v>
      </c>
      <c r="T611" s="5" t="n">
        <v>9070</v>
      </c>
      <c r="U611" s="125" t="n">
        <v>932</v>
      </c>
      <c r="Y611">
        <f>SQRT((((VLOOKUP($X$4,$A$4:$D$1021,4,FALSE))-D611)^2)+(((VLOOKUP($X$4,$A$4:$E$1021,5,FALSE))-E611)^2))</f>
        <v/>
      </c>
    </row>
    <row r="612">
      <c r="A612" s="125" t="inlineStr">
        <is>
          <t>HY900X207</t>
        </is>
      </c>
      <c r="B612" s="129" t="inlineStr">
        <is>
          <t>HY</t>
        </is>
      </c>
      <c r="C612" s="125" t="n">
        <v>207</v>
      </c>
      <c r="D612" s="125" t="n">
        <v>900</v>
      </c>
      <c r="E612" s="125" t="n">
        <v>250</v>
      </c>
      <c r="F612" s="125" t="n">
        <v>25</v>
      </c>
      <c r="G612" s="125" t="n">
        <v>16</v>
      </c>
      <c r="H612" s="125" t="n">
        <v>18</v>
      </c>
      <c r="I612" s="125">
        <f>D612-(2*(H612+F612))</f>
        <v/>
      </c>
      <c r="J612" s="125">
        <f>D612/10 * F612/10 + 2*(E612/10 * G612/10)</f>
        <v/>
      </c>
      <c r="K612" s="125">
        <f>(E612/2)/F612</f>
        <v/>
      </c>
      <c r="L612" s="125">
        <f>I612/G612</f>
        <v/>
      </c>
      <c r="M612" s="125">
        <f>(E612*2+F612*4+((E612-G612)/2-H612)*4+2*PI()*H612+(D612-2*F612-2*H612)*2)/1000</f>
        <v/>
      </c>
      <c r="N612" s="5" t="n">
        <v>326000</v>
      </c>
      <c r="O612" s="5" t="n">
        <v>6540</v>
      </c>
      <c r="P612" s="125" t="n">
        <v>35.2</v>
      </c>
      <c r="Q612" s="125" t="n">
        <v>5</v>
      </c>
      <c r="R612" s="5" t="n">
        <v>7250</v>
      </c>
      <c r="S612" s="125" t="n">
        <v>524</v>
      </c>
      <c r="T612" s="5" t="n">
        <v>8480</v>
      </c>
      <c r="U612" s="125" t="n">
        <v>839</v>
      </c>
      <c r="Y612">
        <f>SQRT((((VLOOKUP($X$4,$A$4:$D$1021,4,FALSE))-D612)^2)+(((VLOOKUP($X$4,$A$4:$E$1021,5,FALSE))-E612)^2))</f>
        <v/>
      </c>
    </row>
    <row r="613">
      <c r="A613" s="125" t="inlineStr">
        <is>
          <t>HY900X196</t>
        </is>
      </c>
      <c r="B613" s="129" t="inlineStr">
        <is>
          <t>HY</t>
        </is>
      </c>
      <c r="C613" s="125" t="n">
        <v>196</v>
      </c>
      <c r="D613" s="125" t="n">
        <v>900</v>
      </c>
      <c r="E613" s="125" t="n">
        <v>250</v>
      </c>
      <c r="F613" s="125" t="n">
        <v>22</v>
      </c>
      <c r="G613" s="125" t="n">
        <v>16</v>
      </c>
      <c r="H613" s="125" t="n">
        <v>18</v>
      </c>
      <c r="I613" s="125">
        <f>D613-(2*(H613+F613))</f>
        <v/>
      </c>
      <c r="J613" s="125">
        <f>D613/10 * F613/10 + 2*(E613/10 * G613/10)</f>
        <v/>
      </c>
      <c r="K613" s="125">
        <f>(E613/2)/F613</f>
        <v/>
      </c>
      <c r="L613" s="125">
        <f>I613/G613</f>
        <v/>
      </c>
      <c r="M613" s="125">
        <f>(E613*2+F613*4+((E613-G613)/2-H613)*4+2*PI()*H613+(D613-2*F613-2*H613)*2)/1000</f>
        <v/>
      </c>
      <c r="N613" s="5" t="n">
        <v>301000</v>
      </c>
      <c r="O613" s="5" t="n">
        <v>5760</v>
      </c>
      <c r="P613" s="125" t="n">
        <v>34.7</v>
      </c>
      <c r="Q613" s="125" t="n">
        <v>4.8</v>
      </c>
      <c r="R613" s="5" t="n">
        <v>6680</v>
      </c>
      <c r="S613" s="125" t="n">
        <v>461</v>
      </c>
      <c r="T613" s="5" t="n">
        <v>7880</v>
      </c>
      <c r="U613" s="125" t="n">
        <v>746</v>
      </c>
      <c r="Y613">
        <f>SQRT((((VLOOKUP($X$4,$A$4:$D$1021,4,FALSE))-D613)^2)+(((VLOOKUP($X$4,$A$4:$E$1021,5,FALSE))-E613)^2))</f>
        <v/>
      </c>
    </row>
    <row r="614">
      <c r="A614" s="125" t="inlineStr">
        <is>
          <t>HY900X185</t>
        </is>
      </c>
      <c r="B614" s="129" t="inlineStr">
        <is>
          <t>HY</t>
        </is>
      </c>
      <c r="C614" s="125" t="n">
        <v>185</v>
      </c>
      <c r="D614" s="125" t="n">
        <v>900</v>
      </c>
      <c r="E614" s="125" t="n">
        <v>250</v>
      </c>
      <c r="F614" s="125" t="n">
        <v>19</v>
      </c>
      <c r="G614" s="125" t="n">
        <v>16</v>
      </c>
      <c r="H614" s="125" t="n">
        <v>18</v>
      </c>
      <c r="I614" s="125">
        <f>D614-(2*(H614+F614))</f>
        <v/>
      </c>
      <c r="J614" s="125">
        <f>D614/10 * F614/10 + 2*(E614/10 * G614/10)</f>
        <v/>
      </c>
      <c r="K614" s="125">
        <f>(E614/2)/F614</f>
        <v/>
      </c>
      <c r="L614" s="125">
        <f>I614/G614</f>
        <v/>
      </c>
      <c r="M614" s="125">
        <f>(E614*2+F614*4+((E614-G614)/2-H614)*4+2*PI()*H614+(D614-2*F614-2*H614)*2)/1000</f>
        <v/>
      </c>
      <c r="N614" s="5" t="n">
        <v>275000</v>
      </c>
      <c r="O614" s="5" t="n">
        <v>4980</v>
      </c>
      <c r="P614" s="125" t="n">
        <v>34.1</v>
      </c>
      <c r="Q614" s="125" t="n">
        <v>4.6</v>
      </c>
      <c r="R614" s="5" t="n">
        <v>6110</v>
      </c>
      <c r="S614" s="125" t="n">
        <v>399</v>
      </c>
      <c r="T614" s="5" t="n">
        <v>7280</v>
      </c>
      <c r="U614" s="125" t="n">
        <v>652</v>
      </c>
      <c r="Y614">
        <f>SQRT((((VLOOKUP($X$4,$A$4:$D$1021,4,FALSE))-D614)^2)+(((VLOOKUP($X$4,$A$4:$E$1021,5,FALSE))-E614)^2))</f>
        <v/>
      </c>
    </row>
    <row r="615">
      <c r="A615" s="125" t="inlineStr">
        <is>
          <t>HY900X205</t>
        </is>
      </c>
      <c r="B615" s="129" t="inlineStr">
        <is>
          <t>HY</t>
        </is>
      </c>
      <c r="C615" s="125" t="n">
        <v>205</v>
      </c>
      <c r="D615" s="125" t="n">
        <v>900</v>
      </c>
      <c r="E615" s="125" t="n">
        <v>250</v>
      </c>
      <c r="F615" s="125" t="n">
        <v>28</v>
      </c>
      <c r="G615" s="125" t="n">
        <v>14</v>
      </c>
      <c r="H615" s="125" t="n">
        <v>18</v>
      </c>
      <c r="I615" s="125">
        <f>D615-(2*(H615+F615))</f>
        <v/>
      </c>
      <c r="J615" s="125">
        <f>D615/10 * F615/10 + 2*(E615/10 * G615/10)</f>
        <v/>
      </c>
      <c r="K615" s="125">
        <f>(E615/2)/F615</f>
        <v/>
      </c>
      <c r="L615" s="125">
        <f>I615/G615</f>
        <v/>
      </c>
      <c r="M615" s="125">
        <f>(E615*2+F615*4+((E615-G615)/2-H615)*4+2*PI()*H615+(D615-2*F615-2*H615)*2)/1000</f>
        <v/>
      </c>
      <c r="N615" s="5" t="n">
        <v>341000</v>
      </c>
      <c r="O615" s="5" t="n">
        <v>7310</v>
      </c>
      <c r="P615" s="125" t="n">
        <v>36.2</v>
      </c>
      <c r="Q615" s="125" t="n">
        <v>5.3</v>
      </c>
      <c r="R615" s="5" t="n">
        <v>7580</v>
      </c>
      <c r="S615" s="125" t="n">
        <v>585</v>
      </c>
      <c r="T615" s="5" t="n">
        <v>8710</v>
      </c>
      <c r="U615" s="125" t="n">
        <v>919</v>
      </c>
      <c r="Y615">
        <f>SQRT((((VLOOKUP($X$4,$A$4:$D$1021,4,FALSE))-D615)^2)+(((VLOOKUP($X$4,$A$4:$E$1021,5,FALSE))-E615)^2))</f>
        <v/>
      </c>
    </row>
    <row r="616">
      <c r="A616" s="125" t="inlineStr">
        <is>
          <t>HY900X194</t>
        </is>
      </c>
      <c r="B616" s="129" t="inlineStr">
        <is>
          <t>HY</t>
        </is>
      </c>
      <c r="C616" s="125" t="n">
        <v>194</v>
      </c>
      <c r="D616" s="125" t="n">
        <v>900</v>
      </c>
      <c r="E616" s="125" t="n">
        <v>250</v>
      </c>
      <c r="F616" s="125" t="n">
        <v>25</v>
      </c>
      <c r="G616" s="125" t="n">
        <v>14</v>
      </c>
      <c r="H616" s="125" t="n">
        <v>18</v>
      </c>
      <c r="I616" s="125">
        <f>D616-(2*(H616+F616))</f>
        <v/>
      </c>
      <c r="J616" s="125">
        <f>D616/10 * F616/10 + 2*(E616/10 * G616/10)</f>
        <v/>
      </c>
      <c r="K616" s="125">
        <f>(E616/2)/F616</f>
        <v/>
      </c>
      <c r="L616" s="125">
        <f>I616/G616</f>
        <v/>
      </c>
      <c r="M616" s="125">
        <f>(E616*2+F616*4+((E616-G616)/2-H616)*4+2*PI()*H616+(D616-2*F616-2*H616)*2)/1000</f>
        <v/>
      </c>
      <c r="N616" s="5" t="n">
        <v>316000</v>
      </c>
      <c r="O616" s="5" t="n">
        <v>6530</v>
      </c>
      <c r="P616" s="125" t="n">
        <v>35.8</v>
      </c>
      <c r="Q616" s="125" t="n">
        <v>5.2</v>
      </c>
      <c r="R616" s="5" t="n">
        <v>7020</v>
      </c>
      <c r="S616" s="125" t="n">
        <v>523</v>
      </c>
      <c r="T616" s="5" t="n">
        <v>8110</v>
      </c>
      <c r="U616" s="125" t="n">
        <v>826</v>
      </c>
      <c r="Y616">
        <f>SQRT((((VLOOKUP($X$4,$A$4:$D$1021,4,FALSE))-D616)^2)+(((VLOOKUP($X$4,$A$4:$E$1021,5,FALSE))-E616)^2))</f>
        <v/>
      </c>
    </row>
    <row r="617">
      <c r="A617" s="125" t="inlineStr">
        <is>
          <t>HY900X183</t>
        </is>
      </c>
      <c r="B617" s="129" t="inlineStr">
        <is>
          <t>HY</t>
        </is>
      </c>
      <c r="C617" s="125" t="n">
        <v>183</v>
      </c>
      <c r="D617" s="125" t="n">
        <v>900</v>
      </c>
      <c r="E617" s="125" t="n">
        <v>250</v>
      </c>
      <c r="F617" s="125" t="n">
        <v>22</v>
      </c>
      <c r="G617" s="125" t="n">
        <v>14</v>
      </c>
      <c r="H617" s="125" t="n">
        <v>18</v>
      </c>
      <c r="I617" s="125">
        <f>D617-(2*(H617+F617))</f>
        <v/>
      </c>
      <c r="J617" s="125">
        <f>D617/10 * F617/10 + 2*(E617/10 * G617/10)</f>
        <v/>
      </c>
      <c r="K617" s="125">
        <f>(E617/2)/F617</f>
        <v/>
      </c>
      <c r="L617" s="125">
        <f>I617/G617</f>
        <v/>
      </c>
      <c r="M617" s="125">
        <f>(E617*2+F617*4+((E617-G617)/2-H617)*4+2*PI()*H617+(D617-2*F617-2*H617)*2)/1000</f>
        <v/>
      </c>
      <c r="N617" s="5" t="n">
        <v>290000</v>
      </c>
      <c r="O617" s="5" t="n">
        <v>5750</v>
      </c>
      <c r="P617" s="125" t="n">
        <v>35.3</v>
      </c>
      <c r="Q617" s="125" t="n">
        <v>5</v>
      </c>
      <c r="R617" s="5" t="n">
        <v>6450</v>
      </c>
      <c r="S617" s="125" t="n">
        <v>460</v>
      </c>
      <c r="T617" s="5" t="n">
        <v>7510</v>
      </c>
      <c r="U617" s="125" t="n">
        <v>733</v>
      </c>
      <c r="Y617">
        <f>SQRT((((VLOOKUP($X$4,$A$4:$D$1021,4,FALSE))-D617)^2)+(((VLOOKUP($X$4,$A$4:$E$1021,5,FALSE))-E617)^2))</f>
        <v/>
      </c>
    </row>
    <row r="618">
      <c r="A618" s="125" t="inlineStr">
        <is>
          <t>HY900X171</t>
        </is>
      </c>
      <c r="B618" s="129" t="inlineStr">
        <is>
          <t>HY</t>
        </is>
      </c>
      <c r="C618" s="125" t="n">
        <v>171</v>
      </c>
      <c r="D618" s="125" t="n">
        <v>900</v>
      </c>
      <c r="E618" s="125" t="n">
        <v>250</v>
      </c>
      <c r="F618" s="125" t="n">
        <v>19</v>
      </c>
      <c r="G618" s="125" t="n">
        <v>14</v>
      </c>
      <c r="H618" s="125" t="n">
        <v>18</v>
      </c>
      <c r="I618" s="125">
        <f>D618-(2*(H618+F618))</f>
        <v/>
      </c>
      <c r="J618" s="125">
        <f>D618/10 * F618/10 + 2*(E618/10 * G618/10)</f>
        <v/>
      </c>
      <c r="K618" s="125">
        <f>(E618/2)/F618</f>
        <v/>
      </c>
      <c r="L618" s="125">
        <f>I618/G618</f>
        <v/>
      </c>
      <c r="M618" s="125">
        <f>(E618*2+F618*4+((E618-G618)/2-H618)*4+2*PI()*H618+(D618-2*F618-2*H618)*2)/1000</f>
        <v/>
      </c>
      <c r="N618" s="5" t="n">
        <v>264000</v>
      </c>
      <c r="O618" s="5" t="n">
        <v>4970</v>
      </c>
      <c r="P618" s="125" t="n">
        <v>34.8</v>
      </c>
      <c r="Q618" s="125" t="n">
        <v>4.8</v>
      </c>
      <c r="R618" s="5" t="n">
        <v>5870</v>
      </c>
      <c r="S618" s="125" t="n">
        <v>398</v>
      </c>
      <c r="T618" s="5" t="n">
        <v>6900</v>
      </c>
      <c r="U618" s="125" t="n">
        <v>639</v>
      </c>
      <c r="Y618">
        <f>SQRT((((VLOOKUP($X$4,$A$4:$D$1021,4,FALSE))-D618)^2)+(((VLOOKUP($X$4,$A$4:$E$1021,5,FALSE))-E618)^2))</f>
        <v/>
      </c>
    </row>
    <row r="619">
      <c r="A619" s="125" t="inlineStr">
        <is>
          <t>HY850X368</t>
        </is>
      </c>
      <c r="B619" s="129" t="inlineStr">
        <is>
          <t>HY</t>
        </is>
      </c>
      <c r="C619" s="125" t="n">
        <v>368</v>
      </c>
      <c r="D619" s="125" t="n">
        <v>850</v>
      </c>
      <c r="E619" s="125" t="n">
        <v>400</v>
      </c>
      <c r="F619" s="125" t="n">
        <v>40</v>
      </c>
      <c r="G619" s="125" t="n">
        <v>19</v>
      </c>
      <c r="H619" s="125" t="n">
        <v>18</v>
      </c>
      <c r="I619" s="125">
        <f>D619-(2*(H619+F619))</f>
        <v/>
      </c>
      <c r="J619" s="125">
        <f>D619/10 * F619/10 + 2*(E619/10 * G619/10)</f>
        <v/>
      </c>
      <c r="K619" s="125">
        <f>(E619/2)/F619</f>
        <v/>
      </c>
      <c r="L619" s="125">
        <f>I619/G619</f>
        <v/>
      </c>
      <c r="M619" s="125">
        <f>(E619*2+F619*4+((E619-G619)/2-H619)*4+2*PI()*H619+(D619-2*F619-2*H619)*2)/1000</f>
        <v/>
      </c>
      <c r="N619" s="5" t="n">
        <v>602000</v>
      </c>
      <c r="O619" s="5" t="n">
        <v>42700</v>
      </c>
      <c r="P619" s="125" t="n">
        <v>35.8</v>
      </c>
      <c r="Q619" s="125" t="n">
        <v>9.5</v>
      </c>
      <c r="R619" s="5" t="n">
        <v>14200</v>
      </c>
      <c r="S619" s="5" t="n">
        <v>2140</v>
      </c>
      <c r="T619" s="5" t="n">
        <v>15900</v>
      </c>
      <c r="U619" s="5" t="n">
        <v>3270</v>
      </c>
      <c r="Y619">
        <f>SQRT((((VLOOKUP($X$4,$A$4:$D$1021,4,FALSE))-D619)^2)+(((VLOOKUP($X$4,$A$4:$E$1021,5,FALSE))-E619)^2))</f>
        <v/>
      </c>
    </row>
    <row r="620">
      <c r="A620" s="125" t="inlineStr">
        <is>
          <t>HY850X344</t>
        </is>
      </c>
      <c r="B620" s="129" t="inlineStr">
        <is>
          <t>HY</t>
        </is>
      </c>
      <c r="C620" s="125" t="n">
        <v>344</v>
      </c>
      <c r="D620" s="125" t="n">
        <v>850</v>
      </c>
      <c r="E620" s="125" t="n">
        <v>400</v>
      </c>
      <c r="F620" s="125" t="n">
        <v>36</v>
      </c>
      <c r="G620" s="125" t="n">
        <v>19</v>
      </c>
      <c r="H620" s="125" t="n">
        <v>18</v>
      </c>
      <c r="I620" s="125">
        <f>D620-(2*(H620+F620))</f>
        <v/>
      </c>
      <c r="J620" s="125">
        <f>D620/10 * F620/10 + 2*(E620/10 * G620/10)</f>
        <v/>
      </c>
      <c r="K620" s="125">
        <f>(E620/2)/F620</f>
        <v/>
      </c>
      <c r="L620" s="125">
        <f>I620/G620</f>
        <v/>
      </c>
      <c r="M620" s="125">
        <f>(E620*2+F620*4+((E620-G620)/2-H620)*4+2*PI()*H620+(D620-2*F620-2*H620)*2)/1000</f>
        <v/>
      </c>
      <c r="N620" s="5" t="n">
        <v>556000</v>
      </c>
      <c r="O620" s="5" t="n">
        <v>38400</v>
      </c>
      <c r="P620" s="125" t="n">
        <v>35.6</v>
      </c>
      <c r="Q620" s="125" t="n">
        <v>9.4</v>
      </c>
      <c r="R620" s="5" t="n">
        <v>13100</v>
      </c>
      <c r="S620" s="5" t="n">
        <v>1920</v>
      </c>
      <c r="T620" s="5" t="n">
        <v>14700</v>
      </c>
      <c r="U620" s="5" t="n">
        <v>2950</v>
      </c>
      <c r="Y620">
        <f>SQRT((((VLOOKUP($X$4,$A$4:$D$1021,4,FALSE))-D620)^2)+(((VLOOKUP($X$4,$A$4:$E$1021,5,FALSE))-E620)^2))</f>
        <v/>
      </c>
    </row>
    <row r="621">
      <c r="A621" s="125" t="inlineStr">
        <is>
          <t>HY850X320</t>
        </is>
      </c>
      <c r="B621" s="129" t="inlineStr">
        <is>
          <t>HY</t>
        </is>
      </c>
      <c r="C621" s="125" t="n">
        <v>320</v>
      </c>
      <c r="D621" s="125" t="n">
        <v>850</v>
      </c>
      <c r="E621" s="125" t="n">
        <v>400</v>
      </c>
      <c r="F621" s="125" t="n">
        <v>32</v>
      </c>
      <c r="G621" s="125" t="n">
        <v>19</v>
      </c>
      <c r="H621" s="125" t="n">
        <v>18</v>
      </c>
      <c r="I621" s="125">
        <f>D621-(2*(H621+F621))</f>
        <v/>
      </c>
      <c r="J621" s="125">
        <f>D621/10 * F621/10 + 2*(E621/10 * G621/10)</f>
        <v/>
      </c>
      <c r="K621" s="125">
        <f>(E621/2)/F621</f>
        <v/>
      </c>
      <c r="L621" s="125">
        <f>I621/G621</f>
        <v/>
      </c>
      <c r="M621" s="125">
        <f>(E621*2+F621*4+((E621-G621)/2-H621)*4+2*PI()*H621+(D621-2*F621-2*H621)*2)/1000</f>
        <v/>
      </c>
      <c r="N621" s="5" t="n">
        <v>510000</v>
      </c>
      <c r="O621" s="5" t="n">
        <v>34200</v>
      </c>
      <c r="P621" s="125" t="n">
        <v>35.3</v>
      </c>
      <c r="Q621" s="125" t="n">
        <v>9.199999999999999</v>
      </c>
      <c r="R621" s="5" t="n">
        <v>12000</v>
      </c>
      <c r="S621" s="5" t="n">
        <v>1710</v>
      </c>
      <c r="T621" s="5" t="n">
        <v>13500</v>
      </c>
      <c r="U621" s="5" t="n">
        <v>2630</v>
      </c>
      <c r="Y621">
        <f>SQRT((((VLOOKUP($X$4,$A$4:$D$1021,4,FALSE))-D621)^2)+(((VLOOKUP($X$4,$A$4:$E$1021,5,FALSE))-E621)^2))</f>
        <v/>
      </c>
    </row>
    <row r="622">
      <c r="A622" s="125" t="inlineStr">
        <is>
          <t>HY850X296</t>
        </is>
      </c>
      <c r="B622" s="129" t="inlineStr">
        <is>
          <t>HY</t>
        </is>
      </c>
      <c r="C622" s="125" t="n">
        <v>296</v>
      </c>
      <c r="D622" s="125" t="n">
        <v>850</v>
      </c>
      <c r="E622" s="125" t="n">
        <v>400</v>
      </c>
      <c r="F622" s="125" t="n">
        <v>28</v>
      </c>
      <c r="G622" s="125" t="n">
        <v>19</v>
      </c>
      <c r="H622" s="125" t="n">
        <v>18</v>
      </c>
      <c r="I622" s="125">
        <f>D622-(2*(H622+F622))</f>
        <v/>
      </c>
      <c r="J622" s="125">
        <f>D622/10 * F622/10 + 2*(E622/10 * G622/10)</f>
        <v/>
      </c>
      <c r="K622" s="125">
        <f>(E622/2)/F622</f>
        <v/>
      </c>
      <c r="L622" s="125">
        <f>I622/G622</f>
        <v/>
      </c>
      <c r="M622" s="125">
        <f>(E622*2+F622*4+((E622-G622)/2-H622)*4+2*PI()*H622+(D622-2*F622-2*H622)*2)/1000</f>
        <v/>
      </c>
      <c r="N622" s="5" t="n">
        <v>462000</v>
      </c>
      <c r="O622" s="5" t="n">
        <v>29900</v>
      </c>
      <c r="P622" s="125" t="n">
        <v>35</v>
      </c>
      <c r="Q622" s="125" t="n">
        <v>8.9</v>
      </c>
      <c r="R622" s="5" t="n">
        <v>10900</v>
      </c>
      <c r="S622" s="5" t="n">
        <v>1500</v>
      </c>
      <c r="T622" s="5" t="n">
        <v>12300</v>
      </c>
      <c r="U622" s="5" t="n">
        <v>2320</v>
      </c>
      <c r="Y622">
        <f>SQRT((((VLOOKUP($X$4,$A$4:$D$1021,4,FALSE))-D622)^2)+(((VLOOKUP($X$4,$A$4:$E$1021,5,FALSE))-E622)^2))</f>
        <v/>
      </c>
    </row>
    <row r="623">
      <c r="A623" s="125" t="inlineStr">
        <is>
          <t>HY850X302</t>
        </is>
      </c>
      <c r="B623" s="129" t="inlineStr">
        <is>
          <t>HY</t>
        </is>
      </c>
      <c r="C623" s="125" t="n">
        <v>302</v>
      </c>
      <c r="D623" s="125" t="n">
        <v>850</v>
      </c>
      <c r="E623" s="125" t="n">
        <v>400</v>
      </c>
      <c r="F623" s="125" t="n">
        <v>32</v>
      </c>
      <c r="G623" s="125" t="n">
        <v>16</v>
      </c>
      <c r="H623" s="125" t="n">
        <v>18</v>
      </c>
      <c r="I623" s="125">
        <f>D623-(2*(H623+F623))</f>
        <v/>
      </c>
      <c r="J623" s="125">
        <f>D623/10 * F623/10 + 2*(E623/10 * G623/10)</f>
        <v/>
      </c>
      <c r="K623" s="125">
        <f>(E623/2)/F623</f>
        <v/>
      </c>
      <c r="L623" s="125">
        <f>I623/G623</f>
        <v/>
      </c>
      <c r="M623" s="125">
        <f>(E623*2+F623*4+((E623-G623)/2-H623)*4+2*PI()*H623+(D623-2*F623-2*H623)*2)/1000</f>
        <v/>
      </c>
      <c r="N623" s="5" t="n">
        <v>497000</v>
      </c>
      <c r="O623" s="5" t="n">
        <v>34200</v>
      </c>
      <c r="P623" s="125" t="n">
        <v>36</v>
      </c>
      <c r="Q623" s="125" t="n">
        <v>9.4</v>
      </c>
      <c r="R623" s="5" t="n">
        <v>11700</v>
      </c>
      <c r="S623" s="5" t="n">
        <v>1710</v>
      </c>
      <c r="T623" s="5" t="n">
        <v>13000</v>
      </c>
      <c r="U623" s="5" t="n">
        <v>2610</v>
      </c>
      <c r="Y623">
        <f>SQRT((((VLOOKUP($X$4,$A$4:$D$1021,4,FALSE))-D623)^2)+(((VLOOKUP($X$4,$A$4:$E$1021,5,FALSE))-E623)^2))</f>
        <v/>
      </c>
    </row>
    <row r="624">
      <c r="A624" s="125" t="inlineStr">
        <is>
          <t>HY850X278</t>
        </is>
      </c>
      <c r="B624" s="129" t="inlineStr">
        <is>
          <t>HY</t>
        </is>
      </c>
      <c r="C624" s="125" t="n">
        <v>278</v>
      </c>
      <c r="D624" s="125" t="n">
        <v>850</v>
      </c>
      <c r="E624" s="125" t="n">
        <v>400</v>
      </c>
      <c r="F624" s="125" t="n">
        <v>28</v>
      </c>
      <c r="G624" s="125" t="n">
        <v>16</v>
      </c>
      <c r="H624" s="125" t="n">
        <v>18</v>
      </c>
      <c r="I624" s="125">
        <f>D624-(2*(H624+F624))</f>
        <v/>
      </c>
      <c r="J624" s="125">
        <f>D624/10 * F624/10 + 2*(E624/10 * G624/10)</f>
        <v/>
      </c>
      <c r="K624" s="125">
        <f>(E624/2)/F624</f>
        <v/>
      </c>
      <c r="L624" s="125">
        <f>I624/G624</f>
        <v/>
      </c>
      <c r="M624" s="125">
        <f>(E624*2+F624*4+((E624-G624)/2-H624)*4+2*PI()*H624+(D624-2*F624-2*H624)*2)/1000</f>
        <v/>
      </c>
      <c r="N624" s="5" t="n">
        <v>450000</v>
      </c>
      <c r="O624" s="5" t="n">
        <v>29900</v>
      </c>
      <c r="P624" s="125" t="n">
        <v>35.6</v>
      </c>
      <c r="Q624" s="125" t="n">
        <v>9.199999999999999</v>
      </c>
      <c r="R624" s="5" t="n">
        <v>10600</v>
      </c>
      <c r="S624" s="5" t="n">
        <v>1490</v>
      </c>
      <c r="T624" s="5" t="n">
        <v>11800</v>
      </c>
      <c r="U624" s="5" t="n">
        <v>2290</v>
      </c>
      <c r="Y624">
        <f>SQRT((((VLOOKUP($X$4,$A$4:$D$1021,4,FALSE))-D624)^2)+(((VLOOKUP($X$4,$A$4:$E$1021,5,FALSE))-E624)^2))</f>
        <v/>
      </c>
    </row>
    <row r="625">
      <c r="A625" s="125" t="inlineStr">
        <is>
          <t>HY850X260</t>
        </is>
      </c>
      <c r="B625" s="129" t="inlineStr">
        <is>
          <t>HY</t>
        </is>
      </c>
      <c r="C625" s="125" t="n">
        <v>260</v>
      </c>
      <c r="D625" s="125" t="n">
        <v>850</v>
      </c>
      <c r="E625" s="125" t="n">
        <v>400</v>
      </c>
      <c r="F625" s="125" t="n">
        <v>25</v>
      </c>
      <c r="G625" s="125" t="n">
        <v>16</v>
      </c>
      <c r="H625" s="125" t="n">
        <v>18</v>
      </c>
      <c r="I625" s="125">
        <f>D625-(2*(H625+F625))</f>
        <v/>
      </c>
      <c r="J625" s="125">
        <f>D625/10 * F625/10 + 2*(E625/10 * G625/10)</f>
        <v/>
      </c>
      <c r="K625" s="125">
        <f>(E625/2)/F625</f>
        <v/>
      </c>
      <c r="L625" s="125">
        <f>I625/G625</f>
        <v/>
      </c>
      <c r="M625" s="125">
        <f>(E625*2+F625*4+((E625-G625)/2-H625)*4+2*PI()*H625+(D625-2*F625-2*H625)*2)/1000</f>
        <v/>
      </c>
      <c r="N625" s="5" t="n">
        <v>413000</v>
      </c>
      <c r="O625" s="5" t="n">
        <v>26700</v>
      </c>
      <c r="P625" s="125" t="n">
        <v>35.3</v>
      </c>
      <c r="Q625" s="125" t="n">
        <v>9</v>
      </c>
      <c r="R625" s="5" t="n">
        <v>9720</v>
      </c>
      <c r="S625" s="5" t="n">
        <v>1330</v>
      </c>
      <c r="T625" s="5" t="n">
        <v>10900</v>
      </c>
      <c r="U625" s="5" t="n">
        <v>2050</v>
      </c>
      <c r="Y625">
        <f>SQRT((((VLOOKUP($X$4,$A$4:$D$1021,4,FALSE))-D625)^2)+(((VLOOKUP($X$4,$A$4:$E$1021,5,FALSE))-E625)^2))</f>
        <v/>
      </c>
    </row>
    <row r="626">
      <c r="A626" s="125" t="inlineStr">
        <is>
          <t>HY850X337</t>
        </is>
      </c>
      <c r="B626" s="129" t="inlineStr">
        <is>
          <t>HY</t>
        </is>
      </c>
      <c r="C626" s="125" t="n">
        <v>337</v>
      </c>
      <c r="D626" s="125" t="n">
        <v>850</v>
      </c>
      <c r="E626" s="125" t="n">
        <v>350</v>
      </c>
      <c r="F626" s="125" t="n">
        <v>40</v>
      </c>
      <c r="G626" s="125" t="n">
        <v>19</v>
      </c>
      <c r="H626" s="125" t="n">
        <v>18</v>
      </c>
      <c r="I626" s="125">
        <f>D626-(2*(H626+F626))</f>
        <v/>
      </c>
      <c r="J626" s="125">
        <f>D626/10 * F626/10 + 2*(E626/10 * G626/10)</f>
        <v/>
      </c>
      <c r="K626" s="125">
        <f>(E626/2)/F626</f>
        <v/>
      </c>
      <c r="L626" s="125">
        <f>I626/G626</f>
        <v/>
      </c>
      <c r="M626" s="125">
        <f>(E626*2+F626*4+((E626-G626)/2-H626)*4+2*PI()*H626+(D626-2*F626-2*H626)*2)/1000</f>
        <v/>
      </c>
      <c r="N626" s="5" t="n">
        <v>536000</v>
      </c>
      <c r="O626" s="5" t="n">
        <v>28600</v>
      </c>
      <c r="P626" s="125" t="n">
        <v>35.3</v>
      </c>
      <c r="Q626" s="125" t="n">
        <v>8.199999999999999</v>
      </c>
      <c r="R626" s="5" t="n">
        <v>12600</v>
      </c>
      <c r="S626" s="5" t="n">
        <v>1640</v>
      </c>
      <c r="T626" s="5" t="n">
        <v>14300</v>
      </c>
      <c r="U626" s="5" t="n">
        <v>2520</v>
      </c>
      <c r="Y626">
        <f>SQRT((((VLOOKUP($X$4,$A$4:$D$1021,4,FALSE))-D626)^2)+(((VLOOKUP($X$4,$A$4:$E$1021,5,FALSE))-E626)^2))</f>
        <v/>
      </c>
    </row>
    <row r="627">
      <c r="A627" s="125" t="inlineStr">
        <is>
          <t>HY850X316</t>
        </is>
      </c>
      <c r="B627" s="129" t="inlineStr">
        <is>
          <t>HY</t>
        </is>
      </c>
      <c r="C627" s="125" t="n">
        <v>316</v>
      </c>
      <c r="D627" s="125" t="n">
        <v>850</v>
      </c>
      <c r="E627" s="125" t="n">
        <v>350</v>
      </c>
      <c r="F627" s="125" t="n">
        <v>36</v>
      </c>
      <c r="G627" s="125" t="n">
        <v>19</v>
      </c>
      <c r="H627" s="125" t="n">
        <v>18</v>
      </c>
      <c r="I627" s="125">
        <f>D627-(2*(H627+F627))</f>
        <v/>
      </c>
      <c r="J627" s="125">
        <f>D627/10 * F627/10 + 2*(E627/10 * G627/10)</f>
        <v/>
      </c>
      <c r="K627" s="125">
        <f>(E627/2)/F627</f>
        <v/>
      </c>
      <c r="L627" s="125">
        <f>I627/G627</f>
        <v/>
      </c>
      <c r="M627" s="125">
        <f>(E627*2+F627*4+((E627-G627)/2-H627)*4+2*PI()*H627+(D627-2*F627-2*H627)*2)/1000</f>
        <v/>
      </c>
      <c r="N627" s="5" t="n">
        <v>496000</v>
      </c>
      <c r="O627" s="5" t="n">
        <v>25800</v>
      </c>
      <c r="P627" s="125" t="n">
        <v>35.1</v>
      </c>
      <c r="Q627" s="125" t="n">
        <v>8</v>
      </c>
      <c r="R627" s="5" t="n">
        <v>11700</v>
      </c>
      <c r="S627" s="5" t="n">
        <v>1470</v>
      </c>
      <c r="T627" s="5" t="n">
        <v>13200</v>
      </c>
      <c r="U627" s="5" t="n">
        <v>2280</v>
      </c>
      <c r="Y627">
        <f>SQRT((((VLOOKUP($X$4,$A$4:$D$1021,4,FALSE))-D627)^2)+(((VLOOKUP($X$4,$A$4:$E$1021,5,FALSE))-E627)^2))</f>
        <v/>
      </c>
    </row>
    <row r="628">
      <c r="A628" s="125" t="inlineStr">
        <is>
          <t>HY850X295</t>
        </is>
      </c>
      <c r="B628" s="129" t="inlineStr">
        <is>
          <t>HY</t>
        </is>
      </c>
      <c r="C628" s="125" t="n">
        <v>295</v>
      </c>
      <c r="D628" s="125" t="n">
        <v>850</v>
      </c>
      <c r="E628" s="125" t="n">
        <v>350</v>
      </c>
      <c r="F628" s="125" t="n">
        <v>32</v>
      </c>
      <c r="G628" s="125" t="n">
        <v>19</v>
      </c>
      <c r="H628" s="125" t="n">
        <v>18</v>
      </c>
      <c r="I628" s="125">
        <f>D628-(2*(H628+F628))</f>
        <v/>
      </c>
      <c r="J628" s="125">
        <f>D628/10 * F628/10 + 2*(E628/10 * G628/10)</f>
        <v/>
      </c>
      <c r="K628" s="125">
        <f>(E628/2)/F628</f>
        <v/>
      </c>
      <c r="L628" s="125">
        <f>I628/G628</f>
        <v/>
      </c>
      <c r="M628" s="125">
        <f>(E628*2+F628*4+((E628-G628)/2-H628)*4+2*PI()*H628+(D628-2*F628-2*H628)*2)/1000</f>
        <v/>
      </c>
      <c r="N628" s="5" t="n">
        <v>456000</v>
      </c>
      <c r="O628" s="5" t="n">
        <v>22900</v>
      </c>
      <c r="P628" s="125" t="n">
        <v>34.8</v>
      </c>
      <c r="Q628" s="125" t="n">
        <v>7.8</v>
      </c>
      <c r="R628" s="5" t="n">
        <v>10700</v>
      </c>
      <c r="S628" s="5" t="n">
        <v>1310</v>
      </c>
      <c r="T628" s="5" t="n">
        <v>12200</v>
      </c>
      <c r="U628" s="5" t="n">
        <v>2030</v>
      </c>
      <c r="Y628">
        <f>SQRT((((VLOOKUP($X$4,$A$4:$D$1021,4,FALSE))-D628)^2)+(((VLOOKUP($X$4,$A$4:$E$1021,5,FALSE))-E628)^2))</f>
        <v/>
      </c>
    </row>
    <row r="629">
      <c r="A629" s="125" t="inlineStr">
        <is>
          <t>HY850X274</t>
        </is>
      </c>
      <c r="B629" s="129" t="inlineStr">
        <is>
          <t>HY</t>
        </is>
      </c>
      <c r="C629" s="125" t="n">
        <v>274</v>
      </c>
      <c r="D629" s="125" t="n">
        <v>850</v>
      </c>
      <c r="E629" s="125" t="n">
        <v>350</v>
      </c>
      <c r="F629" s="125" t="n">
        <v>28</v>
      </c>
      <c r="G629" s="125" t="n">
        <v>19</v>
      </c>
      <c r="H629" s="125" t="n">
        <v>18</v>
      </c>
      <c r="I629" s="125">
        <f>D629-(2*(H629+F629))</f>
        <v/>
      </c>
      <c r="J629" s="125">
        <f>D629/10 * F629/10 + 2*(E629/10 * G629/10)</f>
        <v/>
      </c>
      <c r="K629" s="125">
        <f>(E629/2)/F629</f>
        <v/>
      </c>
      <c r="L629" s="125">
        <f>I629/G629</f>
        <v/>
      </c>
      <c r="M629" s="125">
        <f>(E629*2+F629*4+((E629-G629)/2-H629)*4+2*PI()*H629+(D629-2*F629-2*H629)*2)/1000</f>
        <v/>
      </c>
      <c r="N629" s="5" t="n">
        <v>415000</v>
      </c>
      <c r="O629" s="5" t="n">
        <v>20100</v>
      </c>
      <c r="P629" s="125" t="n">
        <v>34.4</v>
      </c>
      <c r="Q629" s="125" t="n">
        <v>7.6</v>
      </c>
      <c r="R629" s="5" t="n">
        <v>9760</v>
      </c>
      <c r="S629" s="5" t="n">
        <v>1150</v>
      </c>
      <c r="T629" s="5" t="n">
        <v>11200</v>
      </c>
      <c r="U629" s="5" t="n">
        <v>1790</v>
      </c>
      <c r="Y629">
        <f>SQRT((((VLOOKUP($X$4,$A$4:$D$1021,4,FALSE))-D629)^2)+(((VLOOKUP($X$4,$A$4:$E$1021,5,FALSE))-E629)^2))</f>
        <v/>
      </c>
    </row>
    <row r="630">
      <c r="A630" s="125" t="inlineStr">
        <is>
          <t>HY850X298</t>
        </is>
      </c>
      <c r="B630" s="129" t="inlineStr">
        <is>
          <t>HY</t>
        </is>
      </c>
      <c r="C630" s="125" t="n">
        <v>298</v>
      </c>
      <c r="D630" s="125" t="n">
        <v>850</v>
      </c>
      <c r="E630" s="125" t="n">
        <v>350</v>
      </c>
      <c r="F630" s="125" t="n">
        <v>36</v>
      </c>
      <c r="G630" s="125" t="n">
        <v>16</v>
      </c>
      <c r="H630" s="125" t="n">
        <v>18</v>
      </c>
      <c r="I630" s="125">
        <f>D630-(2*(H630+F630))</f>
        <v/>
      </c>
      <c r="J630" s="125">
        <f>D630/10 * F630/10 + 2*(E630/10 * G630/10)</f>
        <v/>
      </c>
      <c r="K630" s="125">
        <f>(E630/2)/F630</f>
        <v/>
      </c>
      <c r="L630" s="125">
        <f>I630/G630</f>
        <v/>
      </c>
      <c r="M630" s="125">
        <f>(E630*2+F630*4+((E630-G630)/2-H630)*4+2*PI()*H630+(D630-2*F630-2*H630)*2)/1000</f>
        <v/>
      </c>
      <c r="N630" s="5" t="n">
        <v>485000</v>
      </c>
      <c r="O630" s="5" t="n">
        <v>25800</v>
      </c>
      <c r="P630" s="125" t="n">
        <v>35.7</v>
      </c>
      <c r="Q630" s="125" t="n">
        <v>8.199999999999999</v>
      </c>
      <c r="R630" s="5" t="n">
        <v>11400</v>
      </c>
      <c r="S630" s="5" t="n">
        <v>1470</v>
      </c>
      <c r="T630" s="5" t="n">
        <v>12800</v>
      </c>
      <c r="U630" s="5" t="n">
        <v>2260</v>
      </c>
      <c r="Y630">
        <f>SQRT((((VLOOKUP($X$4,$A$4:$D$1021,4,FALSE))-D630)^2)+(((VLOOKUP($X$4,$A$4:$E$1021,5,FALSE))-E630)^2))</f>
        <v/>
      </c>
    </row>
    <row r="631">
      <c r="A631" s="125" t="inlineStr">
        <is>
          <t>HY850X277</t>
        </is>
      </c>
      <c r="B631" s="129" t="inlineStr">
        <is>
          <t>HY</t>
        </is>
      </c>
      <c r="C631" s="125" t="n">
        <v>277</v>
      </c>
      <c r="D631" s="125" t="n">
        <v>850</v>
      </c>
      <c r="E631" s="125" t="n">
        <v>350</v>
      </c>
      <c r="F631" s="125" t="n">
        <v>32</v>
      </c>
      <c r="G631" s="125" t="n">
        <v>16</v>
      </c>
      <c r="H631" s="125" t="n">
        <v>18</v>
      </c>
      <c r="I631" s="125">
        <f>D631-(2*(H631+F631))</f>
        <v/>
      </c>
      <c r="J631" s="125">
        <f>D631/10 * F631/10 + 2*(E631/10 * G631/10)</f>
        <v/>
      </c>
      <c r="K631" s="125">
        <f>(E631/2)/F631</f>
        <v/>
      </c>
      <c r="L631" s="125">
        <f>I631/G631</f>
        <v/>
      </c>
      <c r="M631" s="125">
        <f>(E631*2+F631*4+((E631-G631)/2-H631)*4+2*PI()*H631+(D631-2*F631-2*H631)*2)/1000</f>
        <v/>
      </c>
      <c r="N631" s="5" t="n">
        <v>444000</v>
      </c>
      <c r="O631" s="5" t="n">
        <v>22900</v>
      </c>
      <c r="P631" s="125" t="n">
        <v>35.5</v>
      </c>
      <c r="Q631" s="125" t="n">
        <v>8.1</v>
      </c>
      <c r="R631" s="5" t="n">
        <v>10400</v>
      </c>
      <c r="S631" s="5" t="n">
        <v>1310</v>
      </c>
      <c r="T631" s="5" t="n">
        <v>11700</v>
      </c>
      <c r="U631" s="5" t="n">
        <v>2010</v>
      </c>
      <c r="Y631">
        <f>SQRT((((VLOOKUP($X$4,$A$4:$D$1021,4,FALSE))-D631)^2)+(((VLOOKUP($X$4,$A$4:$E$1021,5,FALSE))-E631)^2))</f>
        <v/>
      </c>
    </row>
    <row r="632">
      <c r="A632" s="125" t="inlineStr">
        <is>
          <t>HY850X256</t>
        </is>
      </c>
      <c r="B632" s="129" t="inlineStr">
        <is>
          <t>HY</t>
        </is>
      </c>
      <c r="C632" s="125" t="n">
        <v>256</v>
      </c>
      <c r="D632" s="125" t="n">
        <v>850</v>
      </c>
      <c r="E632" s="125" t="n">
        <v>350</v>
      </c>
      <c r="F632" s="125" t="n">
        <v>28</v>
      </c>
      <c r="G632" s="125" t="n">
        <v>16</v>
      </c>
      <c r="H632" s="125" t="n">
        <v>18</v>
      </c>
      <c r="I632" s="125">
        <f>D632-(2*(H632+F632))</f>
        <v/>
      </c>
      <c r="J632" s="125">
        <f>D632/10 * F632/10 + 2*(E632/10 * G632/10)</f>
        <v/>
      </c>
      <c r="K632" s="125">
        <f>(E632/2)/F632</f>
        <v/>
      </c>
      <c r="L632" s="125">
        <f>I632/G632</f>
        <v/>
      </c>
      <c r="M632" s="125">
        <f>(E632*2+F632*4+((E632-G632)/2-H632)*4+2*PI()*H632+(D632-2*F632-2*H632)*2)/1000</f>
        <v/>
      </c>
      <c r="N632" s="5" t="n">
        <v>402000</v>
      </c>
      <c r="O632" s="5" t="n">
        <v>20000</v>
      </c>
      <c r="P632" s="125" t="n">
        <v>35.1</v>
      </c>
      <c r="Q632" s="125" t="n">
        <v>7.8</v>
      </c>
      <c r="R632" s="5" t="n">
        <v>9460</v>
      </c>
      <c r="S632" s="5" t="n">
        <v>1150</v>
      </c>
      <c r="T632" s="5" t="n">
        <v>10700</v>
      </c>
      <c r="U632" s="5" t="n">
        <v>1770</v>
      </c>
      <c r="Y632">
        <f>SQRT((((VLOOKUP($X$4,$A$4:$D$1021,4,FALSE))-D632)^2)+(((VLOOKUP($X$4,$A$4:$E$1021,5,FALSE))-E632)^2))</f>
        <v/>
      </c>
    </row>
    <row r="633">
      <c r="A633" s="125" t="inlineStr">
        <is>
          <t>HY850X240</t>
        </is>
      </c>
      <c r="B633" s="129" t="inlineStr">
        <is>
          <t>HY</t>
        </is>
      </c>
      <c r="C633" s="125" t="n">
        <v>240</v>
      </c>
      <c r="D633" s="125" t="n">
        <v>850</v>
      </c>
      <c r="E633" s="125" t="n">
        <v>350</v>
      </c>
      <c r="F633" s="125" t="n">
        <v>25</v>
      </c>
      <c r="G633" s="125" t="n">
        <v>16</v>
      </c>
      <c r="H633" s="125" t="n">
        <v>18</v>
      </c>
      <c r="I633" s="125">
        <f>D633-(2*(H633+F633))</f>
        <v/>
      </c>
      <c r="J633" s="125">
        <f>D633/10 * F633/10 + 2*(E633/10 * G633/10)</f>
        <v/>
      </c>
      <c r="K633" s="125">
        <f>(E633/2)/F633</f>
        <v/>
      </c>
      <c r="L633" s="125">
        <f>I633/G633</f>
        <v/>
      </c>
      <c r="M633" s="125">
        <f>(E633*2+F633*4+((E633-G633)/2-H633)*4+2*PI()*H633+(D633-2*F633-2*H633)*2)/1000</f>
        <v/>
      </c>
      <c r="N633" s="5" t="n">
        <v>370000</v>
      </c>
      <c r="O633" s="5" t="n">
        <v>17900</v>
      </c>
      <c r="P633" s="125" t="n">
        <v>34.8</v>
      </c>
      <c r="Q633" s="125" t="n">
        <v>7.7</v>
      </c>
      <c r="R633" s="5" t="n">
        <v>8720</v>
      </c>
      <c r="S633" s="5" t="n">
        <v>1020</v>
      </c>
      <c r="T633" s="5" t="n">
        <v>9890</v>
      </c>
      <c r="U633" s="5" t="n">
        <v>1590</v>
      </c>
      <c r="Y633">
        <f>SQRT((((VLOOKUP($X$4,$A$4:$D$1021,4,FALSE))-D633)^2)+(((VLOOKUP($X$4,$A$4:$E$1021,5,FALSE))-E633)^2))</f>
        <v/>
      </c>
    </row>
    <row r="634">
      <c r="A634" s="125" t="inlineStr">
        <is>
          <t>HY850X243</t>
        </is>
      </c>
      <c r="B634" s="129" t="inlineStr">
        <is>
          <t>HY</t>
        </is>
      </c>
      <c r="C634" s="125" t="n">
        <v>243</v>
      </c>
      <c r="D634" s="125" t="n">
        <v>850</v>
      </c>
      <c r="E634" s="125" t="n">
        <v>350</v>
      </c>
      <c r="F634" s="125" t="n">
        <v>28</v>
      </c>
      <c r="G634" s="125" t="n">
        <v>14</v>
      </c>
      <c r="H634" s="125" t="n">
        <v>18</v>
      </c>
      <c r="I634" s="125">
        <f>D634-(2*(H634+F634))</f>
        <v/>
      </c>
      <c r="J634" s="125">
        <f>D634/10 * F634/10 + 2*(E634/10 * G634/10)</f>
        <v/>
      </c>
      <c r="K634" s="125">
        <f>(E634/2)/F634</f>
        <v/>
      </c>
      <c r="L634" s="125">
        <f>I634/G634</f>
        <v/>
      </c>
      <c r="M634" s="125">
        <f>(E634*2+F634*4+((E634-G634)/2-H634)*4+2*PI()*H634+(D634-2*F634-2*H634)*2)/1000</f>
        <v/>
      </c>
      <c r="N634" s="5" t="n">
        <v>394000</v>
      </c>
      <c r="O634" s="5" t="n">
        <v>20000</v>
      </c>
      <c r="P634" s="125" t="n">
        <v>35.6</v>
      </c>
      <c r="Q634" s="125" t="n">
        <v>8</v>
      </c>
      <c r="R634" s="5" t="n">
        <v>9270</v>
      </c>
      <c r="S634" s="5" t="n">
        <v>1140</v>
      </c>
      <c r="T634" s="5" t="n">
        <v>10400</v>
      </c>
      <c r="U634" s="5" t="n">
        <v>1760</v>
      </c>
      <c r="Y634">
        <f>SQRT((((VLOOKUP($X$4,$A$4:$D$1021,4,FALSE))-D634)^2)+(((VLOOKUP($X$4,$A$4:$E$1021,5,FALSE))-E634)^2))</f>
        <v/>
      </c>
    </row>
    <row r="635">
      <c r="A635" s="125" t="inlineStr">
        <is>
          <t>HY850X227</t>
        </is>
      </c>
      <c r="B635" s="129" t="inlineStr">
        <is>
          <t>HY</t>
        </is>
      </c>
      <c r="C635" s="125" t="n">
        <v>227</v>
      </c>
      <c r="D635" s="125" t="n">
        <v>850</v>
      </c>
      <c r="E635" s="125" t="n">
        <v>350</v>
      </c>
      <c r="F635" s="125" t="n">
        <v>25</v>
      </c>
      <c r="G635" s="125" t="n">
        <v>14</v>
      </c>
      <c r="H635" s="125" t="n">
        <v>18</v>
      </c>
      <c r="I635" s="125">
        <f>D635-(2*(H635+F635))</f>
        <v/>
      </c>
      <c r="J635" s="125">
        <f>D635/10 * F635/10 + 2*(E635/10 * G635/10)</f>
        <v/>
      </c>
      <c r="K635" s="125">
        <f>(E635/2)/F635</f>
        <v/>
      </c>
      <c r="L635" s="125">
        <f>I635/G635</f>
        <v/>
      </c>
      <c r="M635" s="125">
        <f>(E635*2+F635*4+((E635-G635)/2-H635)*4+2*PI()*H635+(D635-2*F635-2*H635)*2)/1000</f>
        <v/>
      </c>
      <c r="N635" s="5" t="n">
        <v>362000</v>
      </c>
      <c r="O635" s="5" t="n">
        <v>17900</v>
      </c>
      <c r="P635" s="125" t="n">
        <v>35.3</v>
      </c>
      <c r="Q635" s="125" t="n">
        <v>7.9</v>
      </c>
      <c r="R635" s="5" t="n">
        <v>8520</v>
      </c>
      <c r="S635" s="5" t="n">
        <v>1020</v>
      </c>
      <c r="T635" s="5" t="n">
        <v>9570</v>
      </c>
      <c r="U635" s="5" t="n">
        <v>1570</v>
      </c>
      <c r="Y635">
        <f>SQRT((((VLOOKUP($X$4,$A$4:$D$1021,4,FALSE))-D635)^2)+(((VLOOKUP($X$4,$A$4:$E$1021,5,FALSE))-E635)^2))</f>
        <v/>
      </c>
    </row>
    <row r="636">
      <c r="A636" s="125" t="inlineStr">
        <is>
          <t>HY850X305</t>
        </is>
      </c>
      <c r="B636" s="129" t="inlineStr">
        <is>
          <t>HY</t>
        </is>
      </c>
      <c r="C636" s="125" t="n">
        <v>305</v>
      </c>
      <c r="D636" s="125" t="n">
        <v>850</v>
      </c>
      <c r="E636" s="125" t="n">
        <v>300</v>
      </c>
      <c r="F636" s="125" t="n">
        <v>40</v>
      </c>
      <c r="G636" s="125" t="n">
        <v>19</v>
      </c>
      <c r="H636" s="125" t="n">
        <v>18</v>
      </c>
      <c r="I636" s="125">
        <f>D636-(2*(H636+F636))</f>
        <v/>
      </c>
      <c r="J636" s="125">
        <f>D636/10 * F636/10 + 2*(E636/10 * G636/10)</f>
        <v/>
      </c>
      <c r="K636" s="125">
        <f>(E636/2)/F636</f>
        <v/>
      </c>
      <c r="L636" s="125">
        <f>I636/G636</f>
        <v/>
      </c>
      <c r="M636" s="125">
        <f>(E636*2+F636*4+((E636-G636)/2-H636)*4+2*PI()*H636+(D636-2*F636-2*H636)*2)/1000</f>
        <v/>
      </c>
      <c r="N636" s="5" t="n">
        <v>470000</v>
      </c>
      <c r="O636" s="5" t="n">
        <v>18000</v>
      </c>
      <c r="P636" s="125" t="n">
        <v>34.8</v>
      </c>
      <c r="Q636" s="125" t="n">
        <v>6.8</v>
      </c>
      <c r="R636" s="5" t="n">
        <v>11100</v>
      </c>
      <c r="S636" s="5" t="n">
        <v>1200</v>
      </c>
      <c r="T636" s="5" t="n">
        <v>12600</v>
      </c>
      <c r="U636" s="5" t="n">
        <v>1870</v>
      </c>
      <c r="Y636">
        <f>SQRT((((VLOOKUP($X$4,$A$4:$D$1021,4,FALSE))-D636)^2)+(((VLOOKUP($X$4,$A$4:$E$1021,5,FALSE))-E636)^2))</f>
        <v/>
      </c>
    </row>
    <row r="637">
      <c r="A637" s="125" t="inlineStr">
        <is>
          <t>HY850X288</t>
        </is>
      </c>
      <c r="B637" s="129" t="inlineStr">
        <is>
          <t>HY</t>
        </is>
      </c>
      <c r="C637" s="125" t="n">
        <v>288</v>
      </c>
      <c r="D637" s="125" t="n">
        <v>850</v>
      </c>
      <c r="E637" s="125" t="n">
        <v>300</v>
      </c>
      <c r="F637" s="125" t="n">
        <v>36</v>
      </c>
      <c r="G637" s="125" t="n">
        <v>19</v>
      </c>
      <c r="H637" s="125" t="n">
        <v>18</v>
      </c>
      <c r="I637" s="125">
        <f>D637-(2*(H637+F637))</f>
        <v/>
      </c>
      <c r="J637" s="125">
        <f>D637/10 * F637/10 + 2*(E637/10 * G637/10)</f>
        <v/>
      </c>
      <c r="K637" s="125">
        <f>(E637/2)/F637</f>
        <v/>
      </c>
      <c r="L637" s="125">
        <f>I637/G637</f>
        <v/>
      </c>
      <c r="M637" s="125">
        <f>(E637*2+F637*4+((E637-G637)/2-H637)*4+2*PI()*H637+(D637-2*F637-2*H637)*2)/1000</f>
        <v/>
      </c>
      <c r="N637" s="5" t="n">
        <v>437000</v>
      </c>
      <c r="O637" s="5" t="n">
        <v>16200</v>
      </c>
      <c r="P637" s="125" t="n">
        <v>34.5</v>
      </c>
      <c r="Q637" s="125" t="n">
        <v>6.7</v>
      </c>
      <c r="R637" s="5" t="n">
        <v>10300</v>
      </c>
      <c r="S637" s="5" t="n">
        <v>1080</v>
      </c>
      <c r="T637" s="5" t="n">
        <v>11800</v>
      </c>
      <c r="U637" s="5" t="n">
        <v>1690</v>
      </c>
      <c r="Y637">
        <f>SQRT((((VLOOKUP($X$4,$A$4:$D$1021,4,FALSE))-D637)^2)+(((VLOOKUP($X$4,$A$4:$E$1021,5,FALSE))-E637)^2))</f>
        <v/>
      </c>
    </row>
    <row r="638">
      <c r="A638" s="125" t="inlineStr">
        <is>
          <t>HY850X270</t>
        </is>
      </c>
      <c r="B638" s="129" t="inlineStr">
        <is>
          <t>HY</t>
        </is>
      </c>
      <c r="C638" s="125" t="n">
        <v>270</v>
      </c>
      <c r="D638" s="125" t="n">
        <v>850</v>
      </c>
      <c r="E638" s="125" t="n">
        <v>300</v>
      </c>
      <c r="F638" s="125" t="n">
        <v>32</v>
      </c>
      <c r="G638" s="125" t="n">
        <v>19</v>
      </c>
      <c r="H638" s="125" t="n">
        <v>18</v>
      </c>
      <c r="I638" s="125">
        <f>D638-(2*(H638+F638))</f>
        <v/>
      </c>
      <c r="J638" s="125">
        <f>D638/10 * F638/10 + 2*(E638/10 * G638/10)</f>
        <v/>
      </c>
      <c r="K638" s="125">
        <f>(E638/2)/F638</f>
        <v/>
      </c>
      <c r="L638" s="125">
        <f>I638/G638</f>
        <v/>
      </c>
      <c r="M638" s="125">
        <f>(E638*2+F638*4+((E638-G638)/2-H638)*4+2*PI()*H638+(D638-2*F638-2*H638)*2)/1000</f>
        <v/>
      </c>
      <c r="N638" s="5" t="n">
        <v>402000</v>
      </c>
      <c r="O638" s="5" t="n">
        <v>14500</v>
      </c>
      <c r="P638" s="125" t="n">
        <v>34.2</v>
      </c>
      <c r="Q638" s="125" t="n">
        <v>6.5</v>
      </c>
      <c r="R638" s="5" t="n">
        <v>9470</v>
      </c>
      <c r="S638" s="125" t="n">
        <v>963</v>
      </c>
      <c r="T638" s="5" t="n">
        <v>10900</v>
      </c>
      <c r="U638" s="5" t="n">
        <v>1510</v>
      </c>
      <c r="Y638">
        <f>SQRT((((VLOOKUP($X$4,$A$4:$D$1021,4,FALSE))-D638)^2)+(((VLOOKUP($X$4,$A$4:$E$1021,5,FALSE))-E638)^2))</f>
        <v/>
      </c>
    </row>
    <row r="639">
      <c r="A639" s="125" t="inlineStr">
        <is>
          <t>HY850X252</t>
        </is>
      </c>
      <c r="B639" s="129" t="inlineStr">
        <is>
          <t>HY</t>
        </is>
      </c>
      <c r="C639" s="125" t="n">
        <v>252</v>
      </c>
      <c r="D639" s="125" t="n">
        <v>850</v>
      </c>
      <c r="E639" s="125" t="n">
        <v>300</v>
      </c>
      <c r="F639" s="125" t="n">
        <v>28</v>
      </c>
      <c r="G639" s="125" t="n">
        <v>19</v>
      </c>
      <c r="H639" s="125" t="n">
        <v>18</v>
      </c>
      <c r="I639" s="125">
        <f>D639-(2*(H639+F639))</f>
        <v/>
      </c>
      <c r="J639" s="125">
        <f>D639/10 * F639/10 + 2*(E639/10 * G639/10)</f>
        <v/>
      </c>
      <c r="K639" s="125">
        <f>(E639/2)/F639</f>
        <v/>
      </c>
      <c r="L639" s="125">
        <f>I639/G639</f>
        <v/>
      </c>
      <c r="M639" s="125">
        <f>(E639*2+F639*4+((E639-G639)/2-H639)*4+2*PI()*H639+(D639-2*F639-2*H639)*2)/1000</f>
        <v/>
      </c>
      <c r="N639" s="5" t="n">
        <v>367000</v>
      </c>
      <c r="O639" s="5" t="n">
        <v>12700</v>
      </c>
      <c r="P639" s="125" t="n">
        <v>33.8</v>
      </c>
      <c r="Q639" s="125" t="n">
        <v>6.3</v>
      </c>
      <c r="R639" s="5" t="n">
        <v>8650</v>
      </c>
      <c r="S639" s="125" t="n">
        <v>843</v>
      </c>
      <c r="T639" s="5" t="n">
        <v>10000</v>
      </c>
      <c r="U639" s="5" t="n">
        <v>1340</v>
      </c>
      <c r="Y639">
        <f>SQRT((((VLOOKUP($X$4,$A$4:$D$1021,4,FALSE))-D639)^2)+(((VLOOKUP($X$4,$A$4:$E$1021,5,FALSE))-E639)^2))</f>
        <v/>
      </c>
    </row>
    <row r="640">
      <c r="A640" s="125" t="inlineStr">
        <is>
          <t>HY850X239</t>
        </is>
      </c>
      <c r="B640" s="129" t="inlineStr">
        <is>
          <t>HY</t>
        </is>
      </c>
      <c r="C640" s="125" t="n">
        <v>239</v>
      </c>
      <c r="D640" s="125" t="n">
        <v>850</v>
      </c>
      <c r="E640" s="125" t="n">
        <v>300</v>
      </c>
      <c r="F640" s="125" t="n">
        <v>25</v>
      </c>
      <c r="G640" s="125" t="n">
        <v>19</v>
      </c>
      <c r="H640" s="125" t="n">
        <v>18</v>
      </c>
      <c r="I640" s="125">
        <f>D640-(2*(H640+F640))</f>
        <v/>
      </c>
      <c r="J640" s="125">
        <f>D640/10 * F640/10 + 2*(E640/10 * G640/10)</f>
        <v/>
      </c>
      <c r="K640" s="125">
        <f>(E640/2)/F640</f>
        <v/>
      </c>
      <c r="L640" s="125">
        <f>I640/G640</f>
        <v/>
      </c>
      <c r="M640" s="125">
        <f>(E640*2+F640*4+((E640-G640)/2-H640)*4+2*PI()*H640+(D640-2*F640-2*H640)*2)/1000</f>
        <v/>
      </c>
      <c r="N640" s="5" t="n">
        <v>341000</v>
      </c>
      <c r="O640" s="5" t="n">
        <v>11300</v>
      </c>
      <c r="P640" s="125" t="n">
        <v>33.4</v>
      </c>
      <c r="Q640" s="125" t="n">
        <v>6.1</v>
      </c>
      <c r="R640" s="5" t="n">
        <v>8020</v>
      </c>
      <c r="S640" s="125" t="n">
        <v>753</v>
      </c>
      <c r="T640" s="5" t="n">
        <v>9340</v>
      </c>
      <c r="U640" s="5" t="n">
        <v>1200</v>
      </c>
      <c r="Y640">
        <f>SQRT((((VLOOKUP($X$4,$A$4:$D$1021,4,FALSE))-D640)^2)+(((VLOOKUP($X$4,$A$4:$E$1021,5,FALSE))-E640)^2))</f>
        <v/>
      </c>
    </row>
    <row r="641">
      <c r="A641" s="125" t="inlineStr">
        <is>
          <t>HY850X226</t>
        </is>
      </c>
      <c r="B641" s="129" t="inlineStr">
        <is>
          <t>HY</t>
        </is>
      </c>
      <c r="C641" s="125" t="n">
        <v>226</v>
      </c>
      <c r="D641" s="125" t="n">
        <v>850</v>
      </c>
      <c r="E641" s="125" t="n">
        <v>300</v>
      </c>
      <c r="F641" s="125" t="n">
        <v>22</v>
      </c>
      <c r="G641" s="125" t="n">
        <v>19</v>
      </c>
      <c r="H641" s="125" t="n">
        <v>18</v>
      </c>
      <c r="I641" s="125">
        <f>D641-(2*(H641+F641))</f>
        <v/>
      </c>
      <c r="J641" s="125">
        <f>D641/10 * F641/10 + 2*(E641/10 * G641/10)</f>
        <v/>
      </c>
      <c r="K641" s="125">
        <f>(E641/2)/F641</f>
        <v/>
      </c>
      <c r="L641" s="125">
        <f>I641/G641</f>
        <v/>
      </c>
      <c r="M641" s="125">
        <f>(E641*2+F641*4+((E641-G641)/2-H641)*4+2*PI()*H641+(D641-2*F641-2*H641)*2)/1000</f>
        <v/>
      </c>
      <c r="N641" s="5" t="n">
        <v>314000</v>
      </c>
      <c r="O641" s="5" t="n">
        <v>9950</v>
      </c>
      <c r="P641" s="125" t="n">
        <v>33</v>
      </c>
      <c r="Q641" s="125" t="n">
        <v>5.9</v>
      </c>
      <c r="R641" s="5" t="n">
        <v>7380</v>
      </c>
      <c r="S641" s="125" t="n">
        <v>663</v>
      </c>
      <c r="T641" s="5" t="n">
        <v>8660</v>
      </c>
      <c r="U641" s="5" t="n">
        <v>1070</v>
      </c>
      <c r="Y641">
        <f>SQRT((((VLOOKUP($X$4,$A$4:$D$1021,4,FALSE))-D641)^2)+(((VLOOKUP($X$4,$A$4:$E$1021,5,FALSE))-E641)^2))</f>
        <v/>
      </c>
    </row>
    <row r="642">
      <c r="A642" s="125" t="inlineStr">
        <is>
          <t>HY850X269</t>
        </is>
      </c>
      <c r="B642" s="129" t="inlineStr">
        <is>
          <t>HY</t>
        </is>
      </c>
      <c r="C642" s="125" t="n">
        <v>269</v>
      </c>
      <c r="D642" s="125" t="n">
        <v>850</v>
      </c>
      <c r="E642" s="125" t="n">
        <v>300</v>
      </c>
      <c r="F642" s="125" t="n">
        <v>36</v>
      </c>
      <c r="G642" s="125" t="n">
        <v>16</v>
      </c>
      <c r="H642" s="125" t="n">
        <v>18</v>
      </c>
      <c r="I642" s="125">
        <f>D642-(2*(H642+F642))</f>
        <v/>
      </c>
      <c r="J642" s="125">
        <f>D642/10 * F642/10 + 2*(E642/10 * G642/10)</f>
        <v/>
      </c>
      <c r="K642" s="125">
        <f>(E642/2)/F642</f>
        <v/>
      </c>
      <c r="L642" s="125">
        <f>I642/G642</f>
        <v/>
      </c>
      <c r="M642" s="125">
        <f>(E642*2+F642*4+((E642-G642)/2-H642)*4+2*PI()*H642+(D642-2*F642-2*H642)*2)/1000</f>
        <v/>
      </c>
      <c r="N642" s="5" t="n">
        <v>425000</v>
      </c>
      <c r="O642" s="5" t="n">
        <v>16200</v>
      </c>
      <c r="P642" s="125" t="n">
        <v>35.2</v>
      </c>
      <c r="Q642" s="125" t="n">
        <v>6.9</v>
      </c>
      <c r="R642" s="5" t="n">
        <v>10000</v>
      </c>
      <c r="S642" s="5" t="n">
        <v>1080</v>
      </c>
      <c r="T642" s="5" t="n">
        <v>11300</v>
      </c>
      <c r="U642" s="5" t="n">
        <v>1670</v>
      </c>
      <c r="Y642">
        <f>SQRT((((VLOOKUP($X$4,$A$4:$D$1021,4,FALSE))-D642)^2)+(((VLOOKUP($X$4,$A$4:$E$1021,5,FALSE))-E642)^2))</f>
        <v/>
      </c>
    </row>
    <row r="643">
      <c r="A643" s="125" t="inlineStr">
        <is>
          <t>HY850X252</t>
        </is>
      </c>
      <c r="B643" s="129" t="inlineStr">
        <is>
          <t>HY</t>
        </is>
      </c>
      <c r="C643" s="125" t="n">
        <v>252</v>
      </c>
      <c r="D643" s="125" t="n">
        <v>850</v>
      </c>
      <c r="E643" s="125" t="n">
        <v>300</v>
      </c>
      <c r="F643" s="125" t="n">
        <v>32</v>
      </c>
      <c r="G643" s="125" t="n">
        <v>16</v>
      </c>
      <c r="H643" s="125" t="n">
        <v>18</v>
      </c>
      <c r="I643" s="125">
        <f>D643-(2*(H643+F643))</f>
        <v/>
      </c>
      <c r="J643" s="125">
        <f>D643/10 * F643/10 + 2*(E643/10 * G643/10)</f>
        <v/>
      </c>
      <c r="K643" s="125">
        <f>(E643/2)/F643</f>
        <v/>
      </c>
      <c r="L643" s="125">
        <f>I643/G643</f>
        <v/>
      </c>
      <c r="M643" s="125">
        <f>(E643*2+F643*4+((E643-G643)/2-H643)*4+2*PI()*H643+(D643-2*F643-2*H643)*2)/1000</f>
        <v/>
      </c>
      <c r="N643" s="5" t="n">
        <v>390000</v>
      </c>
      <c r="O643" s="5" t="n">
        <v>14400</v>
      </c>
      <c r="P643" s="125" t="n">
        <v>34.9</v>
      </c>
      <c r="Q643" s="125" t="n">
        <v>6.7</v>
      </c>
      <c r="R643" s="5" t="n">
        <v>9180</v>
      </c>
      <c r="S643" s="125" t="n">
        <v>962</v>
      </c>
      <c r="T643" s="5" t="n">
        <v>10400</v>
      </c>
      <c r="U643" s="5" t="n">
        <v>1490</v>
      </c>
      <c r="Y643">
        <f>SQRT((((VLOOKUP($X$4,$A$4:$D$1021,4,FALSE))-D643)^2)+(((VLOOKUP($X$4,$A$4:$E$1021,5,FALSE))-E643)^2))</f>
        <v/>
      </c>
    </row>
    <row r="644">
      <c r="A644" s="125" t="inlineStr">
        <is>
          <t>HY850X234</t>
        </is>
      </c>
      <c r="B644" s="129" t="inlineStr">
        <is>
          <t>HY</t>
        </is>
      </c>
      <c r="C644" s="125" t="n">
        <v>234</v>
      </c>
      <c r="D644" s="125" t="n">
        <v>850</v>
      </c>
      <c r="E644" s="125" t="n">
        <v>300</v>
      </c>
      <c r="F644" s="125" t="n">
        <v>28</v>
      </c>
      <c r="G644" s="125" t="n">
        <v>16</v>
      </c>
      <c r="H644" s="125" t="n">
        <v>18</v>
      </c>
      <c r="I644" s="125">
        <f>D644-(2*(H644+F644))</f>
        <v/>
      </c>
      <c r="J644" s="125">
        <f>D644/10 * F644/10 + 2*(E644/10 * G644/10)</f>
        <v/>
      </c>
      <c r="K644" s="125">
        <f>(E644/2)/F644</f>
        <v/>
      </c>
      <c r="L644" s="125">
        <f>I644/G644</f>
        <v/>
      </c>
      <c r="M644" s="125">
        <f>(E644*2+F644*4+((E644-G644)/2-H644)*4+2*PI()*H644+(D644-2*F644-2*H644)*2)/1000</f>
        <v/>
      </c>
      <c r="N644" s="5" t="n">
        <v>355000</v>
      </c>
      <c r="O644" s="5" t="n">
        <v>12600</v>
      </c>
      <c r="P644" s="125" t="n">
        <v>34.5</v>
      </c>
      <c r="Q644" s="125" t="n">
        <v>6.5</v>
      </c>
      <c r="R644" s="5" t="n">
        <v>8350</v>
      </c>
      <c r="S644" s="125" t="n">
        <v>842</v>
      </c>
      <c r="T644" s="5" t="n">
        <v>9540</v>
      </c>
      <c r="U644" s="5" t="n">
        <v>1310</v>
      </c>
      <c r="Y644">
        <f>SQRT((((VLOOKUP($X$4,$A$4:$D$1021,4,FALSE))-D644)^2)+(((VLOOKUP($X$4,$A$4:$E$1021,5,FALSE))-E644)^2))</f>
        <v/>
      </c>
    </row>
    <row r="645">
      <c r="A645" s="125" t="inlineStr">
        <is>
          <t>HY850X220</t>
        </is>
      </c>
      <c r="B645" s="129" t="inlineStr">
        <is>
          <t>HY</t>
        </is>
      </c>
      <c r="C645" s="125" t="n">
        <v>220</v>
      </c>
      <c r="D645" s="125" t="n">
        <v>850</v>
      </c>
      <c r="E645" s="125" t="n">
        <v>300</v>
      </c>
      <c r="F645" s="125" t="n">
        <v>25</v>
      </c>
      <c r="G645" s="125" t="n">
        <v>16</v>
      </c>
      <c r="H645" s="125" t="n">
        <v>18</v>
      </c>
      <c r="I645" s="125">
        <f>D645-(2*(H645+F645))</f>
        <v/>
      </c>
      <c r="J645" s="125">
        <f>D645/10 * F645/10 + 2*(E645/10 * G645/10)</f>
        <v/>
      </c>
      <c r="K645" s="125">
        <f>(E645/2)/F645</f>
        <v/>
      </c>
      <c r="L645" s="125">
        <f>I645/G645</f>
        <v/>
      </c>
      <c r="M645" s="125">
        <f>(E645*2+F645*4+((E645-G645)/2-H645)*4+2*PI()*H645+(D645-2*F645-2*H645)*2)/1000</f>
        <v/>
      </c>
      <c r="N645" s="5" t="n">
        <v>328000</v>
      </c>
      <c r="O645" s="5" t="n">
        <v>11300</v>
      </c>
      <c r="P645" s="125" t="n">
        <v>34.2</v>
      </c>
      <c r="Q645" s="125" t="n">
        <v>6.3</v>
      </c>
      <c r="R645" s="5" t="n">
        <v>7720</v>
      </c>
      <c r="S645" s="125" t="n">
        <v>752</v>
      </c>
      <c r="T645" s="5" t="n">
        <v>8860</v>
      </c>
      <c r="U645" s="5" t="n">
        <v>1180</v>
      </c>
      <c r="Y645">
        <f>SQRT((((VLOOKUP($X$4,$A$4:$D$1021,4,FALSE))-D645)^2)+(((VLOOKUP($X$4,$A$4:$E$1021,5,FALSE))-E645)^2))</f>
        <v/>
      </c>
    </row>
    <row r="646">
      <c r="A646" s="125" t="inlineStr">
        <is>
          <t>HY850X207</t>
        </is>
      </c>
      <c r="B646" s="129" t="inlineStr">
        <is>
          <t>HY</t>
        </is>
      </c>
      <c r="C646" s="125" t="n">
        <v>207</v>
      </c>
      <c r="D646" s="125" t="n">
        <v>850</v>
      </c>
      <c r="E646" s="125" t="n">
        <v>300</v>
      </c>
      <c r="F646" s="125" t="n">
        <v>22</v>
      </c>
      <c r="G646" s="125" t="n">
        <v>16</v>
      </c>
      <c r="H646" s="125" t="n">
        <v>18</v>
      </c>
      <c r="I646" s="125">
        <f>D646-(2*(H646+F646))</f>
        <v/>
      </c>
      <c r="J646" s="125">
        <f>D646/10 * F646/10 + 2*(E646/10 * G646/10)</f>
        <v/>
      </c>
      <c r="K646" s="125">
        <f>(E646/2)/F646</f>
        <v/>
      </c>
      <c r="L646" s="125">
        <f>I646/G646</f>
        <v/>
      </c>
      <c r="M646" s="125">
        <f>(E646*2+F646*4+((E646-G646)/2-H646)*4+2*PI()*H646+(D646-2*F646-2*H646)*2)/1000</f>
        <v/>
      </c>
      <c r="N646" s="5" t="n">
        <v>301000</v>
      </c>
      <c r="O646" s="5" t="n">
        <v>9930</v>
      </c>
      <c r="P646" s="125" t="n">
        <v>33.8</v>
      </c>
      <c r="Q646" s="125" t="n">
        <v>6.1</v>
      </c>
      <c r="R646" s="5" t="n">
        <v>7070</v>
      </c>
      <c r="S646" s="125" t="n">
        <v>662</v>
      </c>
      <c r="T646" s="5" t="n">
        <v>8170</v>
      </c>
      <c r="U646" s="5" t="n">
        <v>1040</v>
      </c>
      <c r="Y646">
        <f>SQRT((((VLOOKUP($X$4,$A$4:$D$1021,4,FALSE))-D646)^2)+(((VLOOKUP($X$4,$A$4:$E$1021,5,FALSE))-E646)^2))</f>
        <v/>
      </c>
    </row>
    <row r="647">
      <c r="A647" s="125" t="inlineStr">
        <is>
          <t>HY850X221</t>
        </is>
      </c>
      <c r="B647" s="129" t="inlineStr">
        <is>
          <t>HY</t>
        </is>
      </c>
      <c r="C647" s="125" t="n">
        <v>221</v>
      </c>
      <c r="D647" s="125" t="n">
        <v>850</v>
      </c>
      <c r="E647" s="125" t="n">
        <v>300</v>
      </c>
      <c r="F647" s="125" t="n">
        <v>28</v>
      </c>
      <c r="G647" s="125" t="n">
        <v>14</v>
      </c>
      <c r="H647" s="125" t="n">
        <v>18</v>
      </c>
      <c r="I647" s="125">
        <f>D647-(2*(H647+F647))</f>
        <v/>
      </c>
      <c r="J647" s="125">
        <f>D647/10 * F647/10 + 2*(E647/10 * G647/10)</f>
        <v/>
      </c>
      <c r="K647" s="125">
        <f>(E647/2)/F647</f>
        <v/>
      </c>
      <c r="L647" s="125">
        <f>I647/G647</f>
        <v/>
      </c>
      <c r="M647" s="125">
        <f>(E647*2+F647*4+((E647-G647)/2-H647)*4+2*PI()*H647+(D647-2*F647-2*H647)*2)/1000</f>
        <v/>
      </c>
      <c r="N647" s="5" t="n">
        <v>347000</v>
      </c>
      <c r="O647" s="5" t="n">
        <v>12600</v>
      </c>
      <c r="P647" s="125" t="n">
        <v>35.1</v>
      </c>
      <c r="Q647" s="125" t="n">
        <v>6.7</v>
      </c>
      <c r="R647" s="5" t="n">
        <v>8160</v>
      </c>
      <c r="S647" s="125" t="n">
        <v>841</v>
      </c>
      <c r="T647" s="5" t="n">
        <v>9220</v>
      </c>
      <c r="U647" s="5" t="n">
        <v>1300</v>
      </c>
      <c r="Y647">
        <f>SQRT((((VLOOKUP($X$4,$A$4:$D$1021,4,FALSE))-D647)^2)+(((VLOOKUP($X$4,$A$4:$E$1021,5,FALSE))-E647)^2))</f>
        <v/>
      </c>
    </row>
    <row r="648">
      <c r="A648" s="125" t="inlineStr">
        <is>
          <t>HY850X208</t>
        </is>
      </c>
      <c r="B648" s="129" t="inlineStr">
        <is>
          <t>HY</t>
        </is>
      </c>
      <c r="C648" s="125" t="n">
        <v>208</v>
      </c>
      <c r="D648" s="125" t="n">
        <v>850</v>
      </c>
      <c r="E648" s="125" t="n">
        <v>300</v>
      </c>
      <c r="F648" s="125" t="n">
        <v>25</v>
      </c>
      <c r="G648" s="125" t="n">
        <v>14</v>
      </c>
      <c r="H648" s="125" t="n">
        <v>18</v>
      </c>
      <c r="I648" s="125">
        <f>D648-(2*(H648+F648))</f>
        <v/>
      </c>
      <c r="J648" s="125">
        <f>D648/10 * F648/10 + 2*(E648/10 * G648/10)</f>
        <v/>
      </c>
      <c r="K648" s="125">
        <f>(E648/2)/F648</f>
        <v/>
      </c>
      <c r="L648" s="125">
        <f>I648/G648</f>
        <v/>
      </c>
      <c r="M648" s="125">
        <f>(E648*2+F648*4+((E648-G648)/2-H648)*4+2*PI()*H648+(D648-2*F648-2*H648)*2)/1000</f>
        <v/>
      </c>
      <c r="N648" s="5" t="n">
        <v>319000</v>
      </c>
      <c r="O648" s="5" t="n">
        <v>11300</v>
      </c>
      <c r="P648" s="125" t="n">
        <v>34.7</v>
      </c>
      <c r="Q648" s="125" t="n">
        <v>6.5</v>
      </c>
      <c r="R648" s="5" t="n">
        <v>7520</v>
      </c>
      <c r="S648" s="125" t="n">
        <v>751</v>
      </c>
      <c r="T648" s="5" t="n">
        <v>8540</v>
      </c>
      <c r="U648" s="5" t="n">
        <v>1170</v>
      </c>
      <c r="Y648">
        <f>SQRT((((VLOOKUP($X$4,$A$4:$D$1021,4,FALSE))-D648)^2)+(((VLOOKUP($X$4,$A$4:$E$1021,5,FALSE))-E648)^2))</f>
        <v/>
      </c>
    </row>
    <row r="649">
      <c r="A649" s="125" t="inlineStr">
        <is>
          <t>HY850X194</t>
        </is>
      </c>
      <c r="B649" s="129" t="inlineStr">
        <is>
          <t>HY</t>
        </is>
      </c>
      <c r="C649" s="125" t="n">
        <v>194</v>
      </c>
      <c r="D649" s="125" t="n">
        <v>850</v>
      </c>
      <c r="E649" s="125" t="n">
        <v>300</v>
      </c>
      <c r="F649" s="125" t="n">
        <v>22</v>
      </c>
      <c r="G649" s="125" t="n">
        <v>14</v>
      </c>
      <c r="H649" s="125" t="n">
        <v>18</v>
      </c>
      <c r="I649" s="125">
        <f>D649-(2*(H649+F649))</f>
        <v/>
      </c>
      <c r="J649" s="125">
        <f>D649/10 * F649/10 + 2*(E649/10 * G649/10)</f>
        <v/>
      </c>
      <c r="K649" s="125">
        <f>(E649/2)/F649</f>
        <v/>
      </c>
      <c r="L649" s="125">
        <f>I649/G649</f>
        <v/>
      </c>
      <c r="M649" s="125">
        <f>(E649*2+F649*4+((E649-G649)/2-H649)*4+2*PI()*H649+(D649-2*F649-2*H649)*2)/1000</f>
        <v/>
      </c>
      <c r="N649" s="5" t="n">
        <v>292000</v>
      </c>
      <c r="O649" s="5" t="n">
        <v>9920</v>
      </c>
      <c r="P649" s="125" t="n">
        <v>34.3</v>
      </c>
      <c r="Q649" s="125" t="n">
        <v>6.3</v>
      </c>
      <c r="R649" s="5" t="n">
        <v>6870</v>
      </c>
      <c r="S649" s="125" t="n">
        <v>661</v>
      </c>
      <c r="T649" s="5" t="n">
        <v>7850</v>
      </c>
      <c r="U649" s="5" t="n">
        <v>1030</v>
      </c>
      <c r="Y649">
        <f>SQRT((((VLOOKUP($X$4,$A$4:$D$1021,4,FALSE))-D649)^2)+(((VLOOKUP($X$4,$A$4:$E$1021,5,FALSE))-E649)^2))</f>
        <v/>
      </c>
    </row>
    <row r="650">
      <c r="A650" s="125" t="inlineStr">
        <is>
          <t>HY850X274</t>
        </is>
      </c>
      <c r="B650" s="129" t="inlineStr">
        <is>
          <t>HY</t>
        </is>
      </c>
      <c r="C650" s="125" t="n">
        <v>274</v>
      </c>
      <c r="D650" s="125" t="n">
        <v>850</v>
      </c>
      <c r="E650" s="125" t="n">
        <v>250</v>
      </c>
      <c r="F650" s="125" t="n">
        <v>40</v>
      </c>
      <c r="G650" s="125" t="n">
        <v>19</v>
      </c>
      <c r="H650" s="125" t="n">
        <v>18</v>
      </c>
      <c r="I650" s="125">
        <f>D650-(2*(H650+F650))</f>
        <v/>
      </c>
      <c r="J650" s="125">
        <f>D650/10 * F650/10 + 2*(E650/10 * G650/10)</f>
        <v/>
      </c>
      <c r="K650" s="125">
        <f>(E650/2)/F650</f>
        <v/>
      </c>
      <c r="L650" s="125">
        <f>I650/G650</f>
        <v/>
      </c>
      <c r="M650" s="125">
        <f>(E650*2+F650*4+((E650-G650)/2-H650)*4+2*PI()*H650+(D650-2*F650-2*H650)*2)/1000</f>
        <v/>
      </c>
      <c r="N650" s="5" t="n">
        <v>405000</v>
      </c>
      <c r="O650" s="5" t="n">
        <v>10500</v>
      </c>
      <c r="P650" s="125" t="n">
        <v>34</v>
      </c>
      <c r="Q650" s="125" t="n">
        <v>5.5</v>
      </c>
      <c r="R650" s="5" t="n">
        <v>9520</v>
      </c>
      <c r="S650" s="125" t="n">
        <v>837</v>
      </c>
      <c r="T650" s="5" t="n">
        <v>11000</v>
      </c>
      <c r="U650" s="5" t="n">
        <v>1320</v>
      </c>
      <c r="Y650">
        <f>SQRT((((VLOOKUP($X$4,$A$4:$D$1021,4,FALSE))-D650)^2)+(((VLOOKUP($X$4,$A$4:$E$1021,5,FALSE))-E650)^2))</f>
        <v/>
      </c>
    </row>
    <row r="651">
      <c r="A651" s="125" t="inlineStr">
        <is>
          <t>HY850X260</t>
        </is>
      </c>
      <c r="B651" s="129" t="inlineStr">
        <is>
          <t>HY</t>
        </is>
      </c>
      <c r="C651" s="125" t="n">
        <v>260</v>
      </c>
      <c r="D651" s="125" t="n">
        <v>850</v>
      </c>
      <c r="E651" s="125" t="n">
        <v>250</v>
      </c>
      <c r="F651" s="125" t="n">
        <v>36</v>
      </c>
      <c r="G651" s="125" t="n">
        <v>19</v>
      </c>
      <c r="H651" s="125" t="n">
        <v>18</v>
      </c>
      <c r="I651" s="125">
        <f>D651-(2*(H651+F651))</f>
        <v/>
      </c>
      <c r="J651" s="125">
        <f>D651/10 * F651/10 + 2*(E651/10 * G651/10)</f>
        <v/>
      </c>
      <c r="K651" s="125">
        <f>(E651/2)/F651</f>
        <v/>
      </c>
      <c r="L651" s="125">
        <f>I651/G651</f>
        <v/>
      </c>
      <c r="M651" s="125">
        <f>(E651*2+F651*4+((E651-G651)/2-H651)*4+2*PI()*H651+(D651-2*F651-2*H651)*2)/1000</f>
        <v/>
      </c>
      <c r="N651" s="5" t="n">
        <v>377000</v>
      </c>
      <c r="O651" s="5" t="n">
        <v>9420</v>
      </c>
      <c r="P651" s="125" t="n">
        <v>33.8</v>
      </c>
      <c r="Q651" s="125" t="n">
        <v>5.3</v>
      </c>
      <c r="R651" s="5" t="n">
        <v>8870</v>
      </c>
      <c r="S651" s="125" t="n">
        <v>754</v>
      </c>
      <c r="T651" s="5" t="n">
        <v>10300</v>
      </c>
      <c r="U651" s="5" t="n">
        <v>1200</v>
      </c>
      <c r="Y651">
        <f>SQRT((((VLOOKUP($X$4,$A$4:$D$1021,4,FALSE))-D651)^2)+(((VLOOKUP($X$4,$A$4:$E$1021,5,FALSE))-E651)^2))</f>
        <v/>
      </c>
    </row>
    <row r="652">
      <c r="A652" s="125" t="inlineStr">
        <is>
          <t>HY850X245</t>
        </is>
      </c>
      <c r="B652" s="129" t="inlineStr">
        <is>
          <t>HY</t>
        </is>
      </c>
      <c r="C652" s="125" t="n">
        <v>245</v>
      </c>
      <c r="D652" s="125" t="n">
        <v>850</v>
      </c>
      <c r="E652" s="125" t="n">
        <v>250</v>
      </c>
      <c r="F652" s="125" t="n">
        <v>32</v>
      </c>
      <c r="G652" s="125" t="n">
        <v>19</v>
      </c>
      <c r="H652" s="125" t="n">
        <v>18</v>
      </c>
      <c r="I652" s="125">
        <f>D652-(2*(H652+F652))</f>
        <v/>
      </c>
      <c r="J652" s="125">
        <f>D652/10 * F652/10 + 2*(E652/10 * G652/10)</f>
        <v/>
      </c>
      <c r="K652" s="125">
        <f>(E652/2)/F652</f>
        <v/>
      </c>
      <c r="L652" s="125">
        <f>I652/G652</f>
        <v/>
      </c>
      <c r="M652" s="125">
        <f>(E652*2+F652*4+((E652-G652)/2-H652)*4+2*PI()*H652+(D652-2*F652-2*H652)*2)/1000</f>
        <v/>
      </c>
      <c r="N652" s="5" t="n">
        <v>349000</v>
      </c>
      <c r="O652" s="5" t="n">
        <v>8380</v>
      </c>
      <c r="P652" s="125" t="n">
        <v>33.4</v>
      </c>
      <c r="Q652" s="125" t="n">
        <v>5.2</v>
      </c>
      <c r="R652" s="5" t="n">
        <v>8210</v>
      </c>
      <c r="S652" s="125" t="n">
        <v>671</v>
      </c>
      <c r="T652" s="5" t="n">
        <v>9590</v>
      </c>
      <c r="U652" s="5" t="n">
        <v>1070</v>
      </c>
      <c r="Y652">
        <f>SQRT((((VLOOKUP($X$4,$A$4:$D$1021,4,FALSE))-D652)^2)+(((VLOOKUP($X$4,$A$4:$E$1021,5,FALSE))-E652)^2))</f>
        <v/>
      </c>
    </row>
    <row r="653">
      <c r="A653" s="125" t="inlineStr">
        <is>
          <t>HY850X231</t>
        </is>
      </c>
      <c r="B653" s="129" t="inlineStr">
        <is>
          <t>HY</t>
        </is>
      </c>
      <c r="C653" s="125" t="n">
        <v>231</v>
      </c>
      <c r="D653" s="125" t="n">
        <v>850</v>
      </c>
      <c r="E653" s="125" t="n">
        <v>250</v>
      </c>
      <c r="F653" s="125" t="n">
        <v>28</v>
      </c>
      <c r="G653" s="125" t="n">
        <v>19</v>
      </c>
      <c r="H653" s="125" t="n">
        <v>18</v>
      </c>
      <c r="I653" s="125">
        <f>D653-(2*(H653+F653))</f>
        <v/>
      </c>
      <c r="J653" s="125">
        <f>D653/10 * F653/10 + 2*(E653/10 * G653/10)</f>
        <v/>
      </c>
      <c r="K653" s="125">
        <f>(E653/2)/F653</f>
        <v/>
      </c>
      <c r="L653" s="125">
        <f>I653/G653</f>
        <v/>
      </c>
      <c r="M653" s="125">
        <f>(E653*2+F653*4+((E653-G653)/2-H653)*4+2*PI()*H653+(D653-2*F653-2*H653)*2)/1000</f>
        <v/>
      </c>
      <c r="N653" s="5" t="n">
        <v>320000</v>
      </c>
      <c r="O653" s="5" t="n">
        <v>7340</v>
      </c>
      <c r="P653" s="125" t="n">
        <v>33</v>
      </c>
      <c r="Q653" s="125" t="n">
        <v>5</v>
      </c>
      <c r="R653" s="5" t="n">
        <v>7530</v>
      </c>
      <c r="S653" s="125" t="n">
        <v>587</v>
      </c>
      <c r="T653" s="5" t="n">
        <v>8860</v>
      </c>
      <c r="U653" s="125" t="n">
        <v>950</v>
      </c>
      <c r="Y653">
        <f>SQRT((((VLOOKUP($X$4,$A$4:$D$1021,4,FALSE))-D653)^2)+(((VLOOKUP($X$4,$A$4:$E$1021,5,FALSE))-E653)^2))</f>
        <v/>
      </c>
    </row>
    <row r="654">
      <c r="A654" s="125" t="inlineStr">
        <is>
          <t>HY850X220</t>
        </is>
      </c>
      <c r="B654" s="129" t="inlineStr">
        <is>
          <t>HY</t>
        </is>
      </c>
      <c r="C654" s="125" t="n">
        <v>220</v>
      </c>
      <c r="D654" s="125" t="n">
        <v>850</v>
      </c>
      <c r="E654" s="125" t="n">
        <v>250</v>
      </c>
      <c r="F654" s="125" t="n">
        <v>25</v>
      </c>
      <c r="G654" s="125" t="n">
        <v>19</v>
      </c>
      <c r="H654" s="125" t="n">
        <v>18</v>
      </c>
      <c r="I654" s="125">
        <f>D654-(2*(H654+F654))</f>
        <v/>
      </c>
      <c r="J654" s="125">
        <f>D654/10 * F654/10 + 2*(E654/10 * G654/10)</f>
        <v/>
      </c>
      <c r="K654" s="125">
        <f>(E654/2)/F654</f>
        <v/>
      </c>
      <c r="L654" s="125">
        <f>I654/G654</f>
        <v/>
      </c>
      <c r="M654" s="125">
        <f>(E654*2+F654*4+((E654-G654)/2-H654)*4+2*PI()*H654+(D654-2*F654-2*H654)*2)/1000</f>
        <v/>
      </c>
      <c r="N654" s="5" t="n">
        <v>298000</v>
      </c>
      <c r="O654" s="5" t="n">
        <v>6560</v>
      </c>
      <c r="P654" s="125" t="n">
        <v>32.6</v>
      </c>
      <c r="Q654" s="125" t="n">
        <v>4.8</v>
      </c>
      <c r="R654" s="5" t="n">
        <v>7020</v>
      </c>
      <c r="S654" s="125" t="n">
        <v>525</v>
      </c>
      <c r="T654" s="5" t="n">
        <v>8310</v>
      </c>
      <c r="U654" s="125" t="n">
        <v>857</v>
      </c>
      <c r="Y654">
        <f>SQRT((((VLOOKUP($X$4,$A$4:$D$1021,4,FALSE))-D654)^2)+(((VLOOKUP($X$4,$A$4:$E$1021,5,FALSE))-E654)^2))</f>
        <v/>
      </c>
    </row>
    <row r="655">
      <c r="A655" s="125" t="inlineStr">
        <is>
          <t>HY850X209</t>
        </is>
      </c>
      <c r="B655" s="129" t="inlineStr">
        <is>
          <t>HY</t>
        </is>
      </c>
      <c r="C655" s="125" t="n">
        <v>209</v>
      </c>
      <c r="D655" s="125" t="n">
        <v>850</v>
      </c>
      <c r="E655" s="125" t="n">
        <v>250</v>
      </c>
      <c r="F655" s="125" t="n">
        <v>22</v>
      </c>
      <c r="G655" s="125" t="n">
        <v>19</v>
      </c>
      <c r="H655" s="125" t="n">
        <v>18</v>
      </c>
      <c r="I655" s="125">
        <f>D655-(2*(H655+F655))</f>
        <v/>
      </c>
      <c r="J655" s="125">
        <f>D655/10 * F655/10 + 2*(E655/10 * G655/10)</f>
        <v/>
      </c>
      <c r="K655" s="125">
        <f>(E655/2)/F655</f>
        <v/>
      </c>
      <c r="L655" s="125">
        <f>I655/G655</f>
        <v/>
      </c>
      <c r="M655" s="125">
        <f>(E655*2+F655*4+((E655-G655)/2-H655)*4+2*PI()*H655+(D655-2*F655-2*H655)*2)/1000</f>
        <v/>
      </c>
      <c r="N655" s="5" t="n">
        <v>276000</v>
      </c>
      <c r="O655" s="5" t="n">
        <v>5780</v>
      </c>
      <c r="P655" s="125" t="n">
        <v>32.2</v>
      </c>
      <c r="Q655" s="125" t="n">
        <v>4.7</v>
      </c>
      <c r="R655" s="5" t="n">
        <v>6490</v>
      </c>
      <c r="S655" s="125" t="n">
        <v>462</v>
      </c>
      <c r="T655" s="5" t="n">
        <v>7750</v>
      </c>
      <c r="U655" s="125" t="n">
        <v>764</v>
      </c>
      <c r="Y655">
        <f>SQRT((((VLOOKUP($X$4,$A$4:$D$1021,4,FALSE))-D655)^2)+(((VLOOKUP($X$4,$A$4:$E$1021,5,FALSE))-E655)^2))</f>
        <v/>
      </c>
    </row>
    <row r="656">
      <c r="A656" s="125" t="inlineStr">
        <is>
          <t>HY850X227</t>
        </is>
      </c>
      <c r="B656" s="129" t="inlineStr">
        <is>
          <t>HY</t>
        </is>
      </c>
      <c r="C656" s="125" t="n">
        <v>227</v>
      </c>
      <c r="D656" s="125" t="n">
        <v>850</v>
      </c>
      <c r="E656" s="125" t="n">
        <v>250</v>
      </c>
      <c r="F656" s="125" t="n">
        <v>32</v>
      </c>
      <c r="G656" s="125" t="n">
        <v>16</v>
      </c>
      <c r="H656" s="125" t="n">
        <v>18</v>
      </c>
      <c r="I656" s="125">
        <f>D656-(2*(H656+F656))</f>
        <v/>
      </c>
      <c r="J656" s="125">
        <f>D656/10 * F656/10 + 2*(E656/10 * G656/10)</f>
        <v/>
      </c>
      <c r="K656" s="125">
        <f>(E656/2)/F656</f>
        <v/>
      </c>
      <c r="L656" s="125">
        <f>I656/G656</f>
        <v/>
      </c>
      <c r="M656" s="125">
        <f>(E656*2+F656*4+((E656-G656)/2-H656)*4+2*PI()*H656+(D656-2*F656-2*H656)*2)/1000</f>
        <v/>
      </c>
      <c r="N656" s="5" t="n">
        <v>337000</v>
      </c>
      <c r="O656" s="5" t="n">
        <v>8360</v>
      </c>
      <c r="P656" s="125" t="n">
        <v>34.2</v>
      </c>
      <c r="Q656" s="125" t="n">
        <v>5.4</v>
      </c>
      <c r="R656" s="5" t="n">
        <v>7920</v>
      </c>
      <c r="S656" s="125" t="n">
        <v>669</v>
      </c>
      <c r="T656" s="5" t="n">
        <v>9120</v>
      </c>
      <c r="U656" s="5" t="n">
        <v>1050</v>
      </c>
      <c r="Y656">
        <f>SQRT((((VLOOKUP($X$4,$A$4:$D$1021,4,FALSE))-D656)^2)+(((VLOOKUP($X$4,$A$4:$E$1021,5,FALSE))-E656)^2))</f>
        <v/>
      </c>
    </row>
    <row r="657">
      <c r="A657" s="125" t="inlineStr">
        <is>
          <t>HY850X212</t>
        </is>
      </c>
      <c r="B657" s="129" t="inlineStr">
        <is>
          <t>HY</t>
        </is>
      </c>
      <c r="C657" s="125" t="n">
        <v>212</v>
      </c>
      <c r="D657" s="125" t="n">
        <v>850</v>
      </c>
      <c r="E657" s="125" t="n">
        <v>250</v>
      </c>
      <c r="F657" s="125" t="n">
        <v>28</v>
      </c>
      <c r="G657" s="125" t="n">
        <v>16</v>
      </c>
      <c r="H657" s="125" t="n">
        <v>18</v>
      </c>
      <c r="I657" s="125">
        <f>D657-(2*(H657+F657))</f>
        <v/>
      </c>
      <c r="J657" s="125">
        <f>D657/10 * F657/10 + 2*(E657/10 * G657/10)</f>
        <v/>
      </c>
      <c r="K657" s="125">
        <f>(E657/2)/F657</f>
        <v/>
      </c>
      <c r="L657" s="125">
        <f>I657/G657</f>
        <v/>
      </c>
      <c r="M657" s="125">
        <f>(E657*2+F657*4+((E657-G657)/2-H657)*4+2*PI()*H657+(D657-2*F657-2*H657)*2)/1000</f>
        <v/>
      </c>
      <c r="N657" s="5" t="n">
        <v>308000</v>
      </c>
      <c r="O657" s="5" t="n">
        <v>7320</v>
      </c>
      <c r="P657" s="125" t="n">
        <v>33.8</v>
      </c>
      <c r="Q657" s="125" t="n">
        <v>5.2</v>
      </c>
      <c r="R657" s="5" t="n">
        <v>7240</v>
      </c>
      <c r="S657" s="125" t="n">
        <v>586</v>
      </c>
      <c r="T657" s="5" t="n">
        <v>8390</v>
      </c>
      <c r="U657" s="125" t="n">
        <v>929</v>
      </c>
      <c r="Y657">
        <f>SQRT((((VLOOKUP($X$4,$A$4:$D$1021,4,FALSE))-D657)^2)+(((VLOOKUP($X$4,$A$4:$E$1021,5,FALSE))-E657)^2))</f>
        <v/>
      </c>
    </row>
    <row r="658">
      <c r="A658" s="125" t="inlineStr">
        <is>
          <t>HY850X201</t>
        </is>
      </c>
      <c r="B658" s="129" t="inlineStr">
        <is>
          <t>HY</t>
        </is>
      </c>
      <c r="C658" s="125" t="n">
        <v>201</v>
      </c>
      <c r="D658" s="125" t="n">
        <v>850</v>
      </c>
      <c r="E658" s="125" t="n">
        <v>250</v>
      </c>
      <c r="F658" s="125" t="n">
        <v>25</v>
      </c>
      <c r="G658" s="125" t="n">
        <v>16</v>
      </c>
      <c r="H658" s="125" t="n">
        <v>18</v>
      </c>
      <c r="I658" s="125">
        <f>D658-(2*(H658+F658))</f>
        <v/>
      </c>
      <c r="J658" s="125">
        <f>D658/10 * F658/10 + 2*(E658/10 * G658/10)</f>
        <v/>
      </c>
      <c r="K658" s="125">
        <f>(E658/2)/F658</f>
        <v/>
      </c>
      <c r="L658" s="125">
        <f>I658/G658</f>
        <v/>
      </c>
      <c r="M658" s="125">
        <f>(E658*2+F658*4+((E658-G658)/2-H658)*4+2*PI()*H658+(D658-2*F658-2*H658)*2)/1000</f>
        <v/>
      </c>
      <c r="N658" s="5" t="n">
        <v>285000</v>
      </c>
      <c r="O658" s="5" t="n">
        <v>6540</v>
      </c>
      <c r="P658" s="125" t="n">
        <v>33.4</v>
      </c>
      <c r="Q658" s="125" t="n">
        <v>5.1</v>
      </c>
      <c r="R658" s="5" t="n">
        <v>6720</v>
      </c>
      <c r="S658" s="125" t="n">
        <v>523</v>
      </c>
      <c r="T658" s="5" t="n">
        <v>7830</v>
      </c>
      <c r="U658" s="125" t="n">
        <v>836</v>
      </c>
      <c r="Y658">
        <f>SQRT((((VLOOKUP($X$4,$A$4:$D$1021,4,FALSE))-D658)^2)+(((VLOOKUP($X$4,$A$4:$E$1021,5,FALSE))-E658)^2))</f>
        <v/>
      </c>
    </row>
    <row r="659">
      <c r="A659" s="125" t="inlineStr">
        <is>
          <t>HY850X190</t>
        </is>
      </c>
      <c r="B659" s="129" t="inlineStr">
        <is>
          <t>HY</t>
        </is>
      </c>
      <c r="C659" s="125" t="n">
        <v>190</v>
      </c>
      <c r="D659" s="125" t="n">
        <v>850</v>
      </c>
      <c r="E659" s="125" t="n">
        <v>250</v>
      </c>
      <c r="F659" s="125" t="n">
        <v>22</v>
      </c>
      <c r="G659" s="125" t="n">
        <v>16</v>
      </c>
      <c r="H659" s="125" t="n">
        <v>18</v>
      </c>
      <c r="I659" s="125">
        <f>D659-(2*(H659+F659))</f>
        <v/>
      </c>
      <c r="J659" s="125">
        <f>D659/10 * F659/10 + 2*(E659/10 * G659/10)</f>
        <v/>
      </c>
      <c r="K659" s="125">
        <f>(E659/2)/F659</f>
        <v/>
      </c>
      <c r="L659" s="125">
        <f>I659/G659</f>
        <v/>
      </c>
      <c r="M659" s="125">
        <f>(E659*2+F659*4+((E659-G659)/2-H659)*4+2*PI()*H659+(D659-2*F659-2*H659)*2)/1000</f>
        <v/>
      </c>
      <c r="N659" s="5" t="n">
        <v>263000</v>
      </c>
      <c r="O659" s="5" t="n">
        <v>5760</v>
      </c>
      <c r="P659" s="125" t="n">
        <v>33</v>
      </c>
      <c r="Q659" s="125" t="n">
        <v>4.9</v>
      </c>
      <c r="R659" s="5" t="n">
        <v>6180</v>
      </c>
      <c r="S659" s="125" t="n">
        <v>461</v>
      </c>
      <c r="T659" s="5" t="n">
        <v>7260</v>
      </c>
      <c r="U659" s="125" t="n">
        <v>742</v>
      </c>
      <c r="Y659">
        <f>SQRT((((VLOOKUP($X$4,$A$4:$D$1021,4,FALSE))-D659)^2)+(((VLOOKUP($X$4,$A$4:$E$1021,5,FALSE))-E659)^2))</f>
        <v/>
      </c>
    </row>
    <row r="660">
      <c r="A660" s="125" t="inlineStr">
        <is>
          <t>HY850X199</t>
        </is>
      </c>
      <c r="B660" s="129" t="inlineStr">
        <is>
          <t>HY</t>
        </is>
      </c>
      <c r="C660" s="125" t="n">
        <v>199</v>
      </c>
      <c r="D660" s="125" t="n">
        <v>850</v>
      </c>
      <c r="E660" s="125" t="n">
        <v>250</v>
      </c>
      <c r="F660" s="125" t="n">
        <v>28</v>
      </c>
      <c r="G660" s="125" t="n">
        <v>14</v>
      </c>
      <c r="H660" s="125" t="n">
        <v>18</v>
      </c>
      <c r="I660" s="125">
        <f>D660-(2*(H660+F660))</f>
        <v/>
      </c>
      <c r="J660" s="125">
        <f>D660/10 * F660/10 + 2*(E660/10 * G660/10)</f>
        <v/>
      </c>
      <c r="K660" s="125">
        <f>(E660/2)/F660</f>
        <v/>
      </c>
      <c r="L660" s="125">
        <f>I660/G660</f>
        <v/>
      </c>
      <c r="M660" s="125">
        <f>(E660*2+F660*4+((E660-G660)/2-H660)*4+2*PI()*H660+(D660-2*F660-2*H660)*2)/1000</f>
        <v/>
      </c>
      <c r="N660" s="5" t="n">
        <v>299000</v>
      </c>
      <c r="O660" s="5" t="n">
        <v>7310</v>
      </c>
      <c r="P660" s="125" t="n">
        <v>34.3</v>
      </c>
      <c r="Q660" s="125" t="n">
        <v>5.4</v>
      </c>
      <c r="R660" s="5" t="n">
        <v>7040</v>
      </c>
      <c r="S660" s="125" t="n">
        <v>585</v>
      </c>
      <c r="T660" s="5" t="n">
        <v>8070</v>
      </c>
      <c r="U660" s="125" t="n">
        <v>917</v>
      </c>
      <c r="Y660">
        <f>SQRT((((VLOOKUP($X$4,$A$4:$D$1021,4,FALSE))-D660)^2)+(((VLOOKUP($X$4,$A$4:$E$1021,5,FALSE))-E660)^2))</f>
        <v/>
      </c>
    </row>
    <row r="661">
      <c r="A661" s="125" t="inlineStr">
        <is>
          <t>HY850X188</t>
        </is>
      </c>
      <c r="B661" s="129" t="inlineStr">
        <is>
          <t>HY</t>
        </is>
      </c>
      <c r="C661" s="125" t="n">
        <v>188</v>
      </c>
      <c r="D661" s="125" t="n">
        <v>850</v>
      </c>
      <c r="E661" s="125" t="n">
        <v>250</v>
      </c>
      <c r="F661" s="125" t="n">
        <v>25</v>
      </c>
      <c r="G661" s="125" t="n">
        <v>14</v>
      </c>
      <c r="H661" s="125" t="n">
        <v>18</v>
      </c>
      <c r="I661" s="125">
        <f>D661-(2*(H661+F661))</f>
        <v/>
      </c>
      <c r="J661" s="125">
        <f>D661/10 * F661/10 + 2*(E661/10 * G661/10)</f>
        <v/>
      </c>
      <c r="K661" s="125">
        <f>(E661/2)/F661</f>
        <v/>
      </c>
      <c r="L661" s="125">
        <f>I661/G661</f>
        <v/>
      </c>
      <c r="M661" s="125">
        <f>(E661*2+F661*4+((E661-G661)/2-H661)*4+2*PI()*H661+(D661-2*F661-2*H661)*2)/1000</f>
        <v/>
      </c>
      <c r="N661" s="5" t="n">
        <v>277000</v>
      </c>
      <c r="O661" s="5" t="n">
        <v>6530</v>
      </c>
      <c r="P661" s="125" t="n">
        <v>34</v>
      </c>
      <c r="Q661" s="125" t="n">
        <v>5.2</v>
      </c>
      <c r="R661" s="5" t="n">
        <v>6510</v>
      </c>
      <c r="S661" s="125" t="n">
        <v>523</v>
      </c>
      <c r="T661" s="5" t="n">
        <v>7510</v>
      </c>
      <c r="U661" s="125" t="n">
        <v>824</v>
      </c>
      <c r="Y661">
        <f>SQRT((((VLOOKUP($X$4,$A$4:$D$1021,4,FALSE))-D661)^2)+(((VLOOKUP($X$4,$A$4:$E$1021,5,FALSE))-E661)^2))</f>
        <v/>
      </c>
    </row>
    <row r="662">
      <c r="A662" s="125" t="inlineStr">
        <is>
          <t>HY850X177</t>
        </is>
      </c>
      <c r="B662" s="129" t="inlineStr">
        <is>
          <t>HY</t>
        </is>
      </c>
      <c r="C662" s="125" t="n">
        <v>177</v>
      </c>
      <c r="D662" s="125" t="n">
        <v>850</v>
      </c>
      <c r="E662" s="125" t="n">
        <v>250</v>
      </c>
      <c r="F662" s="125" t="n">
        <v>22</v>
      </c>
      <c r="G662" s="125" t="n">
        <v>14</v>
      </c>
      <c r="H662" s="125" t="n">
        <v>18</v>
      </c>
      <c r="I662" s="125">
        <f>D662-(2*(H662+F662))</f>
        <v/>
      </c>
      <c r="J662" s="125">
        <f>D662/10 * F662/10 + 2*(E662/10 * G662/10)</f>
        <v/>
      </c>
      <c r="K662" s="125">
        <f>(E662/2)/F662</f>
        <v/>
      </c>
      <c r="L662" s="125">
        <f>I662/G662</f>
        <v/>
      </c>
      <c r="M662" s="125">
        <f>(E662*2+F662*4+((E662-G662)/2-H662)*4+2*PI()*H662+(D662-2*F662-2*H662)*2)/1000</f>
        <v/>
      </c>
      <c r="N662" s="5" t="n">
        <v>254000</v>
      </c>
      <c r="O662" s="5" t="n">
        <v>5750</v>
      </c>
      <c r="P662" s="125" t="n">
        <v>33.6</v>
      </c>
      <c r="Q662" s="125" t="n">
        <v>5.1</v>
      </c>
      <c r="R662" s="5" t="n">
        <v>5980</v>
      </c>
      <c r="S662" s="125" t="n">
        <v>460</v>
      </c>
      <c r="T662" s="5" t="n">
        <v>6940</v>
      </c>
      <c r="U662" s="125" t="n">
        <v>730</v>
      </c>
      <c r="Y662">
        <f>SQRT((((VLOOKUP($X$4,$A$4:$D$1021,4,FALSE))-D662)^2)+(((VLOOKUP($X$4,$A$4:$E$1021,5,FALSE))-E662)^2))</f>
        <v/>
      </c>
    </row>
    <row r="663">
      <c r="A663" s="125" t="inlineStr">
        <is>
          <t>HY850X378</t>
        </is>
      </c>
      <c r="B663" s="129" t="inlineStr">
        <is>
          <t>HY</t>
        </is>
      </c>
      <c r="C663" s="125" t="n">
        <v>378</v>
      </c>
      <c r="D663" s="125" t="n">
        <v>800</v>
      </c>
      <c r="E663" s="125" t="n">
        <v>400</v>
      </c>
      <c r="F663" s="125" t="n">
        <v>40</v>
      </c>
      <c r="G663" s="125" t="n">
        <v>22</v>
      </c>
      <c r="H663" s="125" t="n">
        <v>18</v>
      </c>
      <c r="I663" s="125">
        <f>D663-(2*(H663+F663))</f>
        <v/>
      </c>
      <c r="J663" s="125">
        <f>D663/10 * F663/10 + 2*(E663/10 * G663/10)</f>
        <v/>
      </c>
      <c r="K663" s="125">
        <f>(E663/2)/F663</f>
        <v/>
      </c>
      <c r="L663" s="125">
        <f>I663/G663</f>
        <v/>
      </c>
      <c r="M663" s="125">
        <f>(E663*2+F663*4+((E663-G663)/2-H663)*4+2*PI()*H663+(D663-2*F663-2*H663)*2)/1000</f>
        <v/>
      </c>
      <c r="N663" s="5" t="n">
        <v>534000</v>
      </c>
      <c r="O663" s="5" t="n">
        <v>42700</v>
      </c>
      <c r="P663" s="125" t="n">
        <v>33.3</v>
      </c>
      <c r="Q663" s="125" t="n">
        <v>9.4</v>
      </c>
      <c r="R663" s="5" t="n">
        <v>13400</v>
      </c>
      <c r="S663" s="5" t="n">
        <v>2140</v>
      </c>
      <c r="T663" s="5" t="n">
        <v>15100</v>
      </c>
      <c r="U663" s="5" t="n">
        <v>3290</v>
      </c>
      <c r="Y663">
        <f>SQRT((((VLOOKUP($X$4,$A$4:$D$1021,4,FALSE))-D663)^2)+(((VLOOKUP($X$4,$A$4:$E$1021,5,FALSE))-E663)^2))</f>
        <v/>
      </c>
    </row>
    <row r="664">
      <c r="A664" s="125" t="inlineStr">
        <is>
          <t>HY850X354</t>
        </is>
      </c>
      <c r="B664" s="129" t="inlineStr">
        <is>
          <t>HY</t>
        </is>
      </c>
      <c r="C664" s="125" t="n">
        <v>354</v>
      </c>
      <c r="D664" s="125" t="n">
        <v>800</v>
      </c>
      <c r="E664" s="125" t="n">
        <v>400</v>
      </c>
      <c r="F664" s="125" t="n">
        <v>36</v>
      </c>
      <c r="G664" s="125" t="n">
        <v>22</v>
      </c>
      <c r="H664" s="125" t="n">
        <v>18</v>
      </c>
      <c r="I664" s="125">
        <f>D664-(2*(H664+F664))</f>
        <v/>
      </c>
      <c r="J664" s="125">
        <f>D664/10 * F664/10 + 2*(E664/10 * G664/10)</f>
        <v/>
      </c>
      <c r="K664" s="125">
        <f>(E664/2)/F664</f>
        <v/>
      </c>
      <c r="L664" s="125">
        <f>I664/G664</f>
        <v/>
      </c>
      <c r="M664" s="125">
        <f>(E664*2+F664*4+((E664-G664)/2-H664)*4+2*PI()*H664+(D664-2*F664-2*H664)*2)/1000</f>
        <v/>
      </c>
      <c r="N664" s="5" t="n">
        <v>495000</v>
      </c>
      <c r="O664" s="5" t="n">
        <v>38500</v>
      </c>
      <c r="P664" s="125" t="n">
        <v>33.1</v>
      </c>
      <c r="Q664" s="125" t="n">
        <v>9.199999999999999</v>
      </c>
      <c r="R664" s="5" t="n">
        <v>12400</v>
      </c>
      <c r="S664" s="5" t="n">
        <v>1920</v>
      </c>
      <c r="T664" s="5" t="n">
        <v>14000</v>
      </c>
      <c r="U664" s="5" t="n">
        <v>2970</v>
      </c>
      <c r="Y664">
        <f>SQRT((((VLOOKUP($X$4,$A$4:$D$1021,4,FALSE))-D664)^2)+(((VLOOKUP($X$4,$A$4:$E$1021,5,FALSE))-E664)^2))</f>
        <v/>
      </c>
    </row>
    <row r="665">
      <c r="A665" s="125" t="inlineStr">
        <is>
          <t>HY850X330</t>
        </is>
      </c>
      <c r="B665" s="129" t="inlineStr">
        <is>
          <t>HY</t>
        </is>
      </c>
      <c r="C665" s="125" t="n">
        <v>330</v>
      </c>
      <c r="D665" s="125" t="n">
        <v>800</v>
      </c>
      <c r="E665" s="125" t="n">
        <v>400</v>
      </c>
      <c r="F665" s="125" t="n">
        <v>32</v>
      </c>
      <c r="G665" s="125" t="n">
        <v>22</v>
      </c>
      <c r="H665" s="125" t="n">
        <v>18</v>
      </c>
      <c r="I665" s="125">
        <f>D665-(2*(H665+F665))</f>
        <v/>
      </c>
      <c r="J665" s="125">
        <f>D665/10 * F665/10 + 2*(E665/10 * G665/10)</f>
        <v/>
      </c>
      <c r="K665" s="125">
        <f>(E665/2)/F665</f>
        <v/>
      </c>
      <c r="L665" s="125">
        <f>I665/G665</f>
        <v/>
      </c>
      <c r="M665" s="125">
        <f>(E665*2+F665*4+((E665-G665)/2-H665)*4+2*PI()*H665+(D665-2*F665-2*H665)*2)/1000</f>
        <v/>
      </c>
      <c r="N665" s="5" t="n">
        <v>454000</v>
      </c>
      <c r="O665" s="5" t="n">
        <v>34200</v>
      </c>
      <c r="P665" s="125" t="n">
        <v>32.9</v>
      </c>
      <c r="Q665" s="125" t="n">
        <v>9</v>
      </c>
      <c r="R665" s="5" t="n">
        <v>11400</v>
      </c>
      <c r="S665" s="5" t="n">
        <v>1710</v>
      </c>
      <c r="T665" s="5" t="n">
        <v>12900</v>
      </c>
      <c r="U665" s="5" t="n">
        <v>2650</v>
      </c>
      <c r="Y665">
        <f>SQRT((((VLOOKUP($X$4,$A$4:$D$1021,4,FALSE))-D665)^2)+(((VLOOKUP($X$4,$A$4:$E$1021,5,FALSE))-E665)^2))</f>
        <v/>
      </c>
    </row>
    <row r="666">
      <c r="A666" s="125" t="inlineStr">
        <is>
          <t>HY850X307</t>
        </is>
      </c>
      <c r="B666" s="129" t="inlineStr">
        <is>
          <t>HY</t>
        </is>
      </c>
      <c r="C666" s="125" t="n">
        <v>307</v>
      </c>
      <c r="D666" s="125" t="n">
        <v>800</v>
      </c>
      <c r="E666" s="125" t="n">
        <v>400</v>
      </c>
      <c r="F666" s="125" t="n">
        <v>28</v>
      </c>
      <c r="G666" s="125" t="n">
        <v>22</v>
      </c>
      <c r="H666" s="125" t="n">
        <v>18</v>
      </c>
      <c r="I666" s="125">
        <f>D666-(2*(H666+F666))</f>
        <v/>
      </c>
      <c r="J666" s="125">
        <f>D666/10 * F666/10 + 2*(E666/10 * G666/10)</f>
        <v/>
      </c>
      <c r="K666" s="125">
        <f>(E666/2)/F666</f>
        <v/>
      </c>
      <c r="L666" s="125">
        <f>I666/G666</f>
        <v/>
      </c>
      <c r="M666" s="125">
        <f>(E666*2+F666*4+((E666-G666)/2-H666)*4+2*PI()*H666+(D666-2*F666-2*H666)*2)/1000</f>
        <v/>
      </c>
      <c r="N666" s="5" t="n">
        <v>413000</v>
      </c>
      <c r="O666" s="5" t="n">
        <v>29900</v>
      </c>
      <c r="P666" s="125" t="n">
        <v>32.5</v>
      </c>
      <c r="Q666" s="125" t="n">
        <v>8.800000000000001</v>
      </c>
      <c r="R666" s="5" t="n">
        <v>10300</v>
      </c>
      <c r="S666" s="5" t="n">
        <v>1500</v>
      </c>
      <c r="T666" s="5" t="n">
        <v>11800</v>
      </c>
      <c r="U666" s="5" t="n">
        <v>2330</v>
      </c>
      <c r="Y666">
        <f>SQRT((((VLOOKUP($X$4,$A$4:$D$1021,4,FALSE))-D666)^2)+(((VLOOKUP($X$4,$A$4:$E$1021,5,FALSE))-E666)^2))</f>
        <v/>
      </c>
    </row>
    <row r="667">
      <c r="A667" s="125" t="inlineStr">
        <is>
          <t>HY850X361</t>
        </is>
      </c>
      <c r="B667" s="129" t="inlineStr">
        <is>
          <t>HY</t>
        </is>
      </c>
      <c r="C667" s="125" t="n">
        <v>361</v>
      </c>
      <c r="D667" s="125" t="n">
        <v>800</v>
      </c>
      <c r="E667" s="125" t="n">
        <v>400</v>
      </c>
      <c r="F667" s="125" t="n">
        <v>40</v>
      </c>
      <c r="G667" s="125" t="n">
        <v>19</v>
      </c>
      <c r="H667" s="125" t="n">
        <v>18</v>
      </c>
      <c r="I667" s="125">
        <f>D667-(2*(H667+F667))</f>
        <v/>
      </c>
      <c r="J667" s="125">
        <f>D667/10 * F667/10 + 2*(E667/10 * G667/10)</f>
        <v/>
      </c>
      <c r="K667" s="125">
        <f>(E667/2)/F667</f>
        <v/>
      </c>
      <c r="L667" s="125">
        <f>I667/G667</f>
        <v/>
      </c>
      <c r="M667" s="125">
        <f>(E667*2+F667*4+((E667-G667)/2-H667)*4+2*PI()*H667+(D667-2*F667-2*H667)*2)/1000</f>
        <v/>
      </c>
      <c r="N667" s="5" t="n">
        <v>525000</v>
      </c>
      <c r="O667" s="5" t="n">
        <v>42700</v>
      </c>
      <c r="P667" s="125" t="n">
        <v>33.8</v>
      </c>
      <c r="Q667" s="125" t="n">
        <v>9.6</v>
      </c>
      <c r="R667" s="5" t="n">
        <v>13100</v>
      </c>
      <c r="S667" s="5" t="n">
        <v>2140</v>
      </c>
      <c r="T667" s="5" t="n">
        <v>14700</v>
      </c>
      <c r="U667" s="5" t="n">
        <v>3270</v>
      </c>
      <c r="Y667">
        <f>SQRT((((VLOOKUP($X$4,$A$4:$D$1021,4,FALSE))-D667)^2)+(((VLOOKUP($X$4,$A$4:$E$1021,5,FALSE))-E667)^2))</f>
        <v/>
      </c>
    </row>
    <row r="668">
      <c r="A668" s="125" t="inlineStr">
        <is>
          <t>HY850X337</t>
        </is>
      </c>
      <c r="B668" s="129" t="inlineStr">
        <is>
          <t>HY</t>
        </is>
      </c>
      <c r="C668" s="125" t="n">
        <v>337</v>
      </c>
      <c r="D668" s="125" t="n">
        <v>800</v>
      </c>
      <c r="E668" s="125" t="n">
        <v>400</v>
      </c>
      <c r="F668" s="125" t="n">
        <v>36</v>
      </c>
      <c r="G668" s="125" t="n">
        <v>19</v>
      </c>
      <c r="H668" s="125" t="n">
        <v>18</v>
      </c>
      <c r="I668" s="125">
        <f>D668-(2*(H668+F668))</f>
        <v/>
      </c>
      <c r="J668" s="125">
        <f>D668/10 * F668/10 + 2*(E668/10 * G668/10)</f>
        <v/>
      </c>
      <c r="K668" s="125">
        <f>(E668/2)/F668</f>
        <v/>
      </c>
      <c r="L668" s="125">
        <f>I668/G668</f>
        <v/>
      </c>
      <c r="M668" s="125">
        <f>(E668*2+F668*4+((E668-G668)/2-H668)*4+2*PI()*H668+(D668-2*F668-2*H668)*2)/1000</f>
        <v/>
      </c>
      <c r="N668" s="5" t="n">
        <v>485000</v>
      </c>
      <c r="O668" s="5" t="n">
        <v>38400</v>
      </c>
      <c r="P668" s="125" t="n">
        <v>33.6</v>
      </c>
      <c r="Q668" s="125" t="n">
        <v>9.5</v>
      </c>
      <c r="R668" s="5" t="n">
        <v>12100</v>
      </c>
      <c r="S668" s="5" t="n">
        <v>1920</v>
      </c>
      <c r="T668" s="5" t="n">
        <v>13600</v>
      </c>
      <c r="U668" s="5" t="n">
        <v>2950</v>
      </c>
      <c r="Y668">
        <f>SQRT((((VLOOKUP($X$4,$A$4:$D$1021,4,FALSE))-D668)^2)+(((VLOOKUP($X$4,$A$4:$E$1021,5,FALSE))-E668)^2))</f>
        <v/>
      </c>
    </row>
    <row r="669">
      <c r="A669" s="125" t="inlineStr">
        <is>
          <t>HY850X313</t>
        </is>
      </c>
      <c r="B669" s="129" t="inlineStr">
        <is>
          <t>HY</t>
        </is>
      </c>
      <c r="C669" s="125" t="n">
        <v>313</v>
      </c>
      <c r="D669" s="125" t="n">
        <v>800</v>
      </c>
      <c r="E669" s="125" t="n">
        <v>400</v>
      </c>
      <c r="F669" s="125" t="n">
        <v>32</v>
      </c>
      <c r="G669" s="125" t="n">
        <v>19</v>
      </c>
      <c r="H669" s="125" t="n">
        <v>18</v>
      </c>
      <c r="I669" s="125">
        <f>D669-(2*(H669+F669))</f>
        <v/>
      </c>
      <c r="J669" s="125">
        <f>D669/10 * F669/10 + 2*(E669/10 * G669/10)</f>
        <v/>
      </c>
      <c r="K669" s="125">
        <f>(E669/2)/F669</f>
        <v/>
      </c>
      <c r="L669" s="125">
        <f>I669/G669</f>
        <v/>
      </c>
      <c r="M669" s="125">
        <f>(E669*2+F669*4+((E669-G669)/2-H669)*4+2*PI()*H669+(D669-2*F669-2*H669)*2)/1000</f>
        <v/>
      </c>
      <c r="N669" s="5" t="n">
        <v>445000</v>
      </c>
      <c r="O669" s="5" t="n">
        <v>34200</v>
      </c>
      <c r="P669" s="125" t="n">
        <v>33.4</v>
      </c>
      <c r="Q669" s="125" t="n">
        <v>9.300000000000001</v>
      </c>
      <c r="R669" s="5" t="n">
        <v>11100</v>
      </c>
      <c r="S669" s="5" t="n">
        <v>1710</v>
      </c>
      <c r="T669" s="5" t="n">
        <v>12500</v>
      </c>
      <c r="U669" s="5" t="n">
        <v>2630</v>
      </c>
      <c r="Y669">
        <f>SQRT((((VLOOKUP($X$4,$A$4:$D$1021,4,FALSE))-D669)^2)+(((VLOOKUP($X$4,$A$4:$E$1021,5,FALSE))-E669)^2))</f>
        <v/>
      </c>
    </row>
    <row r="670">
      <c r="A670" s="125" t="inlineStr">
        <is>
          <t>HY850X289</t>
        </is>
      </c>
      <c r="B670" s="129" t="inlineStr">
        <is>
          <t>HY</t>
        </is>
      </c>
      <c r="C670" s="125" t="n">
        <v>289</v>
      </c>
      <c r="D670" s="125" t="n">
        <v>800</v>
      </c>
      <c r="E670" s="125" t="n">
        <v>400</v>
      </c>
      <c r="F670" s="125" t="n">
        <v>28</v>
      </c>
      <c r="G670" s="125" t="n">
        <v>19</v>
      </c>
      <c r="H670" s="125" t="n">
        <v>18</v>
      </c>
      <c r="I670" s="125">
        <f>D670-(2*(H670+F670))</f>
        <v/>
      </c>
      <c r="J670" s="125">
        <f>D670/10 * F670/10 + 2*(E670/10 * G670/10)</f>
        <v/>
      </c>
      <c r="K670" s="125">
        <f>(E670/2)/F670</f>
        <v/>
      </c>
      <c r="L670" s="125">
        <f>I670/G670</f>
        <v/>
      </c>
      <c r="M670" s="125">
        <f>(E670*2+F670*4+((E670-G670)/2-H670)*4+2*PI()*H670+(D670-2*F670-2*H670)*2)/1000</f>
        <v/>
      </c>
      <c r="N670" s="5" t="n">
        <v>403000</v>
      </c>
      <c r="O670" s="5" t="n">
        <v>29900</v>
      </c>
      <c r="P670" s="125" t="n">
        <v>33.1</v>
      </c>
      <c r="Q670" s="125" t="n">
        <v>9</v>
      </c>
      <c r="R670" s="5" t="n">
        <v>10100</v>
      </c>
      <c r="S670" s="5" t="n">
        <v>1500</v>
      </c>
      <c r="T670" s="5" t="n">
        <v>11400</v>
      </c>
      <c r="U670" s="5" t="n">
        <v>2310</v>
      </c>
      <c r="Y670">
        <f>SQRT((((VLOOKUP($X$4,$A$4:$D$1021,4,FALSE))-D670)^2)+(((VLOOKUP($X$4,$A$4:$E$1021,5,FALSE))-E670)^2))</f>
        <v/>
      </c>
    </row>
    <row r="671">
      <c r="A671" s="125" t="inlineStr">
        <is>
          <t>HY850X271</t>
        </is>
      </c>
      <c r="B671" s="129" t="inlineStr">
        <is>
          <t>HY</t>
        </is>
      </c>
      <c r="C671" s="125" t="n">
        <v>271</v>
      </c>
      <c r="D671" s="125" t="n">
        <v>800</v>
      </c>
      <c r="E671" s="125" t="n">
        <v>400</v>
      </c>
      <c r="F671" s="125" t="n">
        <v>25</v>
      </c>
      <c r="G671" s="125" t="n">
        <v>19</v>
      </c>
      <c r="H671" s="125" t="n">
        <v>18</v>
      </c>
      <c r="I671" s="125">
        <f>D671-(2*(H671+F671))</f>
        <v/>
      </c>
      <c r="J671" s="125">
        <f>D671/10 * F671/10 + 2*(E671/10 * G671/10)</f>
        <v/>
      </c>
      <c r="K671" s="125">
        <f>(E671/2)/F671</f>
        <v/>
      </c>
      <c r="L671" s="125">
        <f>I671/G671</f>
        <v/>
      </c>
      <c r="M671" s="125">
        <f>(E671*2+F671*4+((E671-G671)/2-H671)*4+2*PI()*H671+(D671-2*F671-2*H671)*2)/1000</f>
        <v/>
      </c>
      <c r="N671" s="5" t="n">
        <v>371000</v>
      </c>
      <c r="O671" s="5" t="n">
        <v>26700</v>
      </c>
      <c r="P671" s="125" t="n">
        <v>32.8</v>
      </c>
      <c r="Q671" s="125" t="n">
        <v>8.800000000000001</v>
      </c>
      <c r="R671" s="5" t="n">
        <v>9280</v>
      </c>
      <c r="S671" s="5" t="n">
        <v>1340</v>
      </c>
      <c r="T671" s="5" t="n">
        <v>10500</v>
      </c>
      <c r="U671" s="5" t="n">
        <v>2070</v>
      </c>
      <c r="Y671">
        <f>SQRT((((VLOOKUP($X$4,$A$4:$D$1021,4,FALSE))-D671)^2)+(((VLOOKUP($X$4,$A$4:$E$1021,5,FALSE))-E671)^2))</f>
        <v/>
      </c>
    </row>
    <row r="672">
      <c r="A672" s="125" t="inlineStr">
        <is>
          <t>HY850X320</t>
        </is>
      </c>
      <c r="B672" s="129" t="inlineStr">
        <is>
          <t>HY</t>
        </is>
      </c>
      <c r="C672" s="125" t="n">
        <v>320</v>
      </c>
      <c r="D672" s="125" t="n">
        <v>800</v>
      </c>
      <c r="E672" s="125" t="n">
        <v>400</v>
      </c>
      <c r="F672" s="125" t="n">
        <v>36</v>
      </c>
      <c r="G672" s="125" t="n">
        <v>16</v>
      </c>
      <c r="H672" s="125" t="n">
        <v>18</v>
      </c>
      <c r="I672" s="125">
        <f>D672-(2*(H672+F672))</f>
        <v/>
      </c>
      <c r="J672" s="125">
        <f>D672/10 * F672/10 + 2*(E672/10 * G672/10)</f>
        <v/>
      </c>
      <c r="K672" s="125">
        <f>(E672/2)/F672</f>
        <v/>
      </c>
      <c r="L672" s="125">
        <f>I672/G672</f>
        <v/>
      </c>
      <c r="M672" s="125">
        <f>(E672*2+F672*4+((E672-G672)/2-H672)*4+2*PI()*H672+(D672-2*F672-2*H672)*2)/1000</f>
        <v/>
      </c>
      <c r="N672" s="5" t="n">
        <v>476000</v>
      </c>
      <c r="O672" s="5" t="n">
        <v>38400</v>
      </c>
      <c r="P672" s="125" t="n">
        <v>34.2</v>
      </c>
      <c r="Q672" s="125" t="n">
        <v>9.699999999999999</v>
      </c>
      <c r="R672" s="5" t="n">
        <v>11900</v>
      </c>
      <c r="S672" s="5" t="n">
        <v>1920</v>
      </c>
      <c r="T672" s="5" t="n">
        <v>13200</v>
      </c>
      <c r="U672" s="5" t="n">
        <v>2930</v>
      </c>
      <c r="Y672">
        <f>SQRT((((VLOOKUP($X$4,$A$4:$D$1021,4,FALSE))-D672)^2)+(((VLOOKUP($X$4,$A$4:$E$1021,5,FALSE))-E672)^2))</f>
        <v/>
      </c>
    </row>
    <row r="673">
      <c r="A673" s="125" t="inlineStr">
        <is>
          <t>HY850X296</t>
        </is>
      </c>
      <c r="B673" s="129" t="inlineStr">
        <is>
          <t>HY</t>
        </is>
      </c>
      <c r="C673" s="125" t="n">
        <v>296</v>
      </c>
      <c r="D673" s="125" t="n">
        <v>800</v>
      </c>
      <c r="E673" s="125" t="n">
        <v>400</v>
      </c>
      <c r="F673" s="125" t="n">
        <v>32</v>
      </c>
      <c r="G673" s="125" t="n">
        <v>16</v>
      </c>
      <c r="H673" s="125" t="n">
        <v>18</v>
      </c>
      <c r="I673" s="125">
        <f>D673-(2*(H673+F673))</f>
        <v/>
      </c>
      <c r="J673" s="125">
        <f>D673/10 * F673/10 + 2*(E673/10 * G673/10)</f>
        <v/>
      </c>
      <c r="K673" s="125">
        <f>(E673/2)/F673</f>
        <v/>
      </c>
      <c r="L673" s="125">
        <f>I673/G673</f>
        <v/>
      </c>
      <c r="M673" s="125">
        <f>(E673*2+F673*4+((E673-G673)/2-H673)*4+2*PI()*H673+(D673-2*F673-2*H673)*2)/1000</f>
        <v/>
      </c>
      <c r="N673" s="5" t="n">
        <v>435000</v>
      </c>
      <c r="O673" s="5" t="n">
        <v>34200</v>
      </c>
      <c r="P673" s="125" t="n">
        <v>34</v>
      </c>
      <c r="Q673" s="125" t="n">
        <v>9.5</v>
      </c>
      <c r="R673" s="5" t="n">
        <v>10900</v>
      </c>
      <c r="S673" s="5" t="n">
        <v>1710</v>
      </c>
      <c r="T673" s="5" t="n">
        <v>12100</v>
      </c>
      <c r="U673" s="5" t="n">
        <v>2610</v>
      </c>
      <c r="Y673">
        <f>SQRT((((VLOOKUP($X$4,$A$4:$D$1021,4,FALSE))-D673)^2)+(((VLOOKUP($X$4,$A$4:$E$1021,5,FALSE))-E673)^2))</f>
        <v/>
      </c>
    </row>
    <row r="674">
      <c r="A674" s="125" t="inlineStr">
        <is>
          <t>HY850X271</t>
        </is>
      </c>
      <c r="B674" s="129" t="inlineStr">
        <is>
          <t>HY</t>
        </is>
      </c>
      <c r="C674" s="125" t="n">
        <v>271</v>
      </c>
      <c r="D674" s="125" t="n">
        <v>800</v>
      </c>
      <c r="E674" s="125" t="n">
        <v>400</v>
      </c>
      <c r="F674" s="125" t="n">
        <v>28</v>
      </c>
      <c r="G674" s="125" t="n">
        <v>16</v>
      </c>
      <c r="H674" s="125" t="n">
        <v>18</v>
      </c>
      <c r="I674" s="125">
        <f>D674-(2*(H674+F674))</f>
        <v/>
      </c>
      <c r="J674" s="125">
        <f>D674/10 * F674/10 + 2*(E674/10 * G674/10)</f>
        <v/>
      </c>
      <c r="K674" s="125">
        <f>(E674/2)/F674</f>
        <v/>
      </c>
      <c r="L674" s="125">
        <f>I674/G674</f>
        <v/>
      </c>
      <c r="M674" s="125">
        <f>(E674*2+F674*4+((E674-G674)/2-H674)*4+2*PI()*H674+(D674-2*F674-2*H674)*2)/1000</f>
        <v/>
      </c>
      <c r="N674" s="5" t="n">
        <v>393000</v>
      </c>
      <c r="O674" s="5" t="n">
        <v>29900</v>
      </c>
      <c r="P674" s="125" t="n">
        <v>33.7</v>
      </c>
      <c r="Q674" s="125" t="n">
        <v>9.300000000000001</v>
      </c>
      <c r="R674" s="5" t="n">
        <v>9810</v>
      </c>
      <c r="S674" s="5" t="n">
        <v>1490</v>
      </c>
      <c r="T674" s="5" t="n">
        <v>11000</v>
      </c>
      <c r="U674" s="5" t="n">
        <v>2290</v>
      </c>
      <c r="Y674">
        <f>SQRT((((VLOOKUP($X$4,$A$4:$D$1021,4,FALSE))-D674)^2)+(((VLOOKUP($X$4,$A$4:$E$1021,5,FALSE))-E674)^2))</f>
        <v/>
      </c>
    </row>
    <row r="675">
      <c r="A675" s="125" t="inlineStr">
        <is>
          <t>HY850X253</t>
        </is>
      </c>
      <c r="B675" s="129" t="inlineStr">
        <is>
          <t>HY</t>
        </is>
      </c>
      <c r="C675" s="125" t="n">
        <v>253</v>
      </c>
      <c r="D675" s="125" t="n">
        <v>800</v>
      </c>
      <c r="E675" s="125" t="n">
        <v>400</v>
      </c>
      <c r="F675" s="125" t="n">
        <v>25</v>
      </c>
      <c r="G675" s="125" t="n">
        <v>16</v>
      </c>
      <c r="H675" s="125" t="n">
        <v>18</v>
      </c>
      <c r="I675" s="125">
        <f>D675-(2*(H675+F675))</f>
        <v/>
      </c>
      <c r="J675" s="125">
        <f>D675/10 * F675/10 + 2*(E675/10 * G675/10)</f>
        <v/>
      </c>
      <c r="K675" s="125">
        <f>(E675/2)/F675</f>
        <v/>
      </c>
      <c r="L675" s="125">
        <f>I675/G675</f>
        <v/>
      </c>
      <c r="M675" s="125">
        <f>(E675*2+F675*4+((E675-G675)/2-H675)*4+2*PI()*H675+(D675-2*F675-2*H675)*2)/1000</f>
        <v/>
      </c>
      <c r="N675" s="5" t="n">
        <v>360000</v>
      </c>
      <c r="O675" s="5" t="n">
        <v>26700</v>
      </c>
      <c r="P675" s="125" t="n">
        <v>33.4</v>
      </c>
      <c r="Q675" s="125" t="n">
        <v>9.1</v>
      </c>
      <c r="R675" s="5" t="n">
        <v>9010</v>
      </c>
      <c r="S675" s="5" t="n">
        <v>1330</v>
      </c>
      <c r="T675" s="5" t="n">
        <v>10100</v>
      </c>
      <c r="U675" s="5" t="n">
        <v>2050</v>
      </c>
      <c r="Y675">
        <f>SQRT((((VLOOKUP($X$4,$A$4:$D$1021,4,FALSE))-D675)^2)+(((VLOOKUP($X$4,$A$4:$E$1021,5,FALSE))-E675)^2))</f>
        <v/>
      </c>
    </row>
    <row r="676">
      <c r="A676" s="125" t="inlineStr">
        <is>
          <t>HY850X260</t>
        </is>
      </c>
      <c r="B676" s="129" t="inlineStr">
        <is>
          <t>HY</t>
        </is>
      </c>
      <c r="C676" s="125" t="n">
        <v>260</v>
      </c>
      <c r="D676" s="125" t="n">
        <v>800</v>
      </c>
      <c r="E676" s="125" t="n">
        <v>400</v>
      </c>
      <c r="F676" s="125" t="n">
        <v>28</v>
      </c>
      <c r="G676" s="125" t="n">
        <v>14</v>
      </c>
      <c r="H676" s="125" t="n">
        <v>18</v>
      </c>
      <c r="I676" s="125">
        <f>D676-(2*(H676+F676))</f>
        <v/>
      </c>
      <c r="J676" s="125">
        <f>D676/10 * F676/10 + 2*(E676/10 * G676/10)</f>
        <v/>
      </c>
      <c r="K676" s="125">
        <f>(E676/2)/F676</f>
        <v/>
      </c>
      <c r="L676" s="125">
        <f>I676/G676</f>
        <v/>
      </c>
      <c r="M676" s="125">
        <f>(E676*2+F676*4+((E676-G676)/2-H676)*4+2*PI()*H676+(D676-2*F676-2*H676)*2)/1000</f>
        <v/>
      </c>
      <c r="N676" s="5" t="n">
        <v>386000</v>
      </c>
      <c r="O676" s="5" t="n">
        <v>29900</v>
      </c>
      <c r="P676" s="125" t="n">
        <v>34.1</v>
      </c>
      <c r="Q676" s="125" t="n">
        <v>9.5</v>
      </c>
      <c r="R676" s="5" t="n">
        <v>9640</v>
      </c>
      <c r="S676" s="5" t="n">
        <v>1490</v>
      </c>
      <c r="T676" s="5" t="n">
        <v>10700</v>
      </c>
      <c r="U676" s="5" t="n">
        <v>2280</v>
      </c>
      <c r="Y676">
        <f>SQRT((((VLOOKUP($X$4,$A$4:$D$1021,4,FALSE))-D676)^2)+(((VLOOKUP($X$4,$A$4:$E$1021,5,FALSE))-E676)^2))</f>
        <v/>
      </c>
    </row>
    <row r="677">
      <c r="A677" s="125" t="inlineStr">
        <is>
          <t>HY850X242</t>
        </is>
      </c>
      <c r="B677" s="129" t="inlineStr">
        <is>
          <t>HY</t>
        </is>
      </c>
      <c r="C677" s="125" t="n">
        <v>242</v>
      </c>
      <c r="D677" s="125" t="n">
        <v>800</v>
      </c>
      <c r="E677" s="125" t="n">
        <v>400</v>
      </c>
      <c r="F677" s="125" t="n">
        <v>25</v>
      </c>
      <c r="G677" s="125" t="n">
        <v>14</v>
      </c>
      <c r="H677" s="125" t="n">
        <v>18</v>
      </c>
      <c r="I677" s="125">
        <f>D677-(2*(H677+F677))</f>
        <v/>
      </c>
      <c r="J677" s="125">
        <f>D677/10 * F677/10 + 2*(E677/10 * G677/10)</f>
        <v/>
      </c>
      <c r="K677" s="125">
        <f>(E677/2)/F677</f>
        <v/>
      </c>
      <c r="L677" s="125">
        <f>I677/G677</f>
        <v/>
      </c>
      <c r="M677" s="125">
        <f>(E677*2+F677*4+((E677-G677)/2-H677)*4+2*PI()*H677+(D677-2*F677-2*H677)*2)/1000</f>
        <v/>
      </c>
      <c r="N677" s="5" t="n">
        <v>353000</v>
      </c>
      <c r="O677" s="5" t="n">
        <v>26700</v>
      </c>
      <c r="P677" s="125" t="n">
        <v>33.9</v>
      </c>
      <c r="Q677" s="125" t="n">
        <v>9.300000000000001</v>
      </c>
      <c r="R677" s="5" t="n">
        <v>8840</v>
      </c>
      <c r="S677" s="5" t="n">
        <v>1330</v>
      </c>
      <c r="T677" s="5" t="n">
        <v>9820</v>
      </c>
      <c r="U677" s="5" t="n">
        <v>2040</v>
      </c>
      <c r="Y677">
        <f>SQRT((((VLOOKUP($X$4,$A$4:$D$1021,4,FALSE))-D677)^2)+(((VLOOKUP($X$4,$A$4:$E$1021,5,FALSE))-E677)^2))</f>
        <v/>
      </c>
    </row>
    <row r="678">
      <c r="A678" s="125" t="inlineStr">
        <is>
          <t>HY800X346</t>
        </is>
      </c>
      <c r="B678" s="129" t="inlineStr">
        <is>
          <t>HY</t>
        </is>
      </c>
      <c r="C678" s="125" t="n">
        <v>346</v>
      </c>
      <c r="D678" s="125" t="n">
        <v>800</v>
      </c>
      <c r="E678" s="125" t="n">
        <v>350</v>
      </c>
      <c r="F678" s="125" t="n">
        <v>40</v>
      </c>
      <c r="G678" s="125" t="n">
        <v>22</v>
      </c>
      <c r="H678" s="125" t="n">
        <v>18</v>
      </c>
      <c r="I678" s="125">
        <f>D678-(2*(H678+F678))</f>
        <v/>
      </c>
      <c r="J678" s="125">
        <f>D678/10 * F678/10 + 2*(E678/10 * G678/10)</f>
        <v/>
      </c>
      <c r="K678" s="125">
        <f>(E678/2)/F678</f>
        <v/>
      </c>
      <c r="L678" s="125">
        <f>I678/G678</f>
        <v/>
      </c>
      <c r="M678" s="125">
        <f>(E678*2+F678*4+((E678-G678)/2-H678)*4+2*PI()*H678+(D678-2*F678-2*H678)*2)/1000</f>
        <v/>
      </c>
      <c r="N678" s="5" t="n">
        <v>477000</v>
      </c>
      <c r="O678" s="5" t="n">
        <v>28700</v>
      </c>
      <c r="P678" s="125" t="n">
        <v>32.9</v>
      </c>
      <c r="Q678" s="125" t="n">
        <v>8.1</v>
      </c>
      <c r="R678" s="5" t="n">
        <v>11900</v>
      </c>
      <c r="S678" s="5" t="n">
        <v>1640</v>
      </c>
      <c r="T678" s="5" t="n">
        <v>13600</v>
      </c>
      <c r="U678" s="5" t="n">
        <v>2540</v>
      </c>
      <c r="Y678">
        <f>SQRT((((VLOOKUP($X$4,$A$4:$D$1021,4,FALSE))-D678)^2)+(((VLOOKUP($X$4,$A$4:$E$1021,5,FALSE))-E678)^2))</f>
        <v/>
      </c>
    </row>
    <row r="679">
      <c r="A679" s="125" t="inlineStr">
        <is>
          <t>HY800X326</t>
        </is>
      </c>
      <c r="B679" s="129" t="inlineStr">
        <is>
          <t>HY</t>
        </is>
      </c>
      <c r="C679" s="125" t="n">
        <v>326</v>
      </c>
      <c r="D679" s="125" t="n">
        <v>800</v>
      </c>
      <c r="E679" s="125" t="n">
        <v>350</v>
      </c>
      <c r="F679" s="125" t="n">
        <v>36</v>
      </c>
      <c r="G679" s="125" t="n">
        <v>22</v>
      </c>
      <c r="H679" s="125" t="n">
        <v>18</v>
      </c>
      <c r="I679" s="125">
        <f>D679-(2*(H679+F679))</f>
        <v/>
      </c>
      <c r="J679" s="125">
        <f>D679/10 * F679/10 + 2*(E679/10 * G679/10)</f>
        <v/>
      </c>
      <c r="K679" s="125">
        <f>(E679/2)/F679</f>
        <v/>
      </c>
      <c r="L679" s="125">
        <f>I679/G679</f>
        <v/>
      </c>
      <c r="M679" s="125">
        <f>(E679*2+F679*4+((E679-G679)/2-H679)*4+2*PI()*H679+(D679-2*F679-2*H679)*2)/1000</f>
        <v/>
      </c>
      <c r="N679" s="5" t="n">
        <v>442000</v>
      </c>
      <c r="O679" s="5" t="n">
        <v>25800</v>
      </c>
      <c r="P679" s="125" t="n">
        <v>32.7</v>
      </c>
      <c r="Q679" s="125" t="n">
        <v>7.9</v>
      </c>
      <c r="R679" s="5" t="n">
        <v>11100</v>
      </c>
      <c r="S679" s="5" t="n">
        <v>1470</v>
      </c>
      <c r="T679" s="5" t="n">
        <v>12600</v>
      </c>
      <c r="U679" s="5" t="n">
        <v>2300</v>
      </c>
      <c r="Y679">
        <f>SQRT((((VLOOKUP($X$4,$A$4:$D$1021,4,FALSE))-D679)^2)+(((VLOOKUP($X$4,$A$4:$E$1021,5,FALSE))-E679)^2))</f>
        <v/>
      </c>
    </row>
    <row r="680">
      <c r="A680" s="125" t="inlineStr">
        <is>
          <t>HY800X305</t>
        </is>
      </c>
      <c r="B680" s="129" t="inlineStr">
        <is>
          <t>HY</t>
        </is>
      </c>
      <c r="C680" s="125" t="n">
        <v>305</v>
      </c>
      <c r="D680" s="125" t="n">
        <v>800</v>
      </c>
      <c r="E680" s="125" t="n">
        <v>350</v>
      </c>
      <c r="F680" s="125" t="n">
        <v>32</v>
      </c>
      <c r="G680" s="125" t="n">
        <v>22</v>
      </c>
      <c r="H680" s="125" t="n">
        <v>18</v>
      </c>
      <c r="I680" s="125">
        <f>D680-(2*(H680+F680))</f>
        <v/>
      </c>
      <c r="J680" s="125">
        <f>D680/10 * F680/10 + 2*(E680/10 * G680/10)</f>
        <v/>
      </c>
      <c r="K680" s="125">
        <f>(E680/2)/F680</f>
        <v/>
      </c>
      <c r="L680" s="125">
        <f>I680/G680</f>
        <v/>
      </c>
      <c r="M680" s="125">
        <f>(E680*2+F680*4+((E680-G680)/2-H680)*4+2*PI()*H680+(D680-2*F680-2*H680)*2)/1000</f>
        <v/>
      </c>
      <c r="N680" s="5" t="n">
        <v>407000</v>
      </c>
      <c r="O680" s="5" t="n">
        <v>22900</v>
      </c>
      <c r="P680" s="125" t="n">
        <v>32.4</v>
      </c>
      <c r="Q680" s="125" t="n">
        <v>7.7</v>
      </c>
      <c r="R680" s="5" t="n">
        <v>10200</v>
      </c>
      <c r="S680" s="5" t="n">
        <v>1310</v>
      </c>
      <c r="T680" s="5" t="n">
        <v>11700</v>
      </c>
      <c r="U680" s="5" t="n">
        <v>2050</v>
      </c>
      <c r="Y680">
        <f>SQRT((((VLOOKUP($X$4,$A$4:$D$1021,4,FALSE))-D680)^2)+(((VLOOKUP($X$4,$A$4:$E$1021,5,FALSE))-E680)^2))</f>
        <v/>
      </c>
    </row>
    <row r="681">
      <c r="A681" s="125" t="inlineStr">
        <is>
          <t>HY800X285</t>
        </is>
      </c>
      <c r="B681" s="129" t="inlineStr">
        <is>
          <t>HY</t>
        </is>
      </c>
      <c r="C681" s="125" t="n">
        <v>285</v>
      </c>
      <c r="D681" s="125" t="n">
        <v>800</v>
      </c>
      <c r="E681" s="125" t="n">
        <v>350</v>
      </c>
      <c r="F681" s="125" t="n">
        <v>28</v>
      </c>
      <c r="G681" s="125" t="n">
        <v>22</v>
      </c>
      <c r="H681" s="125" t="n">
        <v>18</v>
      </c>
      <c r="I681" s="125">
        <f>D681-(2*(H681+F681))</f>
        <v/>
      </c>
      <c r="J681" s="125">
        <f>D681/10 * F681/10 + 2*(E681/10 * G681/10)</f>
        <v/>
      </c>
      <c r="K681" s="125">
        <f>(E681/2)/F681</f>
        <v/>
      </c>
      <c r="L681" s="125">
        <f>I681/G681</f>
        <v/>
      </c>
      <c r="M681" s="125">
        <f>(E681*2+F681*4+((E681-G681)/2-H681)*4+2*PI()*H681+(D681-2*F681-2*H681)*2)/1000</f>
        <v/>
      </c>
      <c r="N681" s="5" t="n">
        <v>371000</v>
      </c>
      <c r="O681" s="5" t="n">
        <v>20100</v>
      </c>
      <c r="P681" s="125" t="n">
        <v>32</v>
      </c>
      <c r="Q681" s="125" t="n">
        <v>7.4</v>
      </c>
      <c r="R681" s="5" t="n">
        <v>9290</v>
      </c>
      <c r="S681" s="5" t="n">
        <v>1150</v>
      </c>
      <c r="T681" s="5" t="n">
        <v>10700</v>
      </c>
      <c r="U681" s="5" t="n">
        <v>1810</v>
      </c>
      <c r="Y681">
        <f>SQRT((((VLOOKUP($X$4,$A$4:$D$1021,4,FALSE))-D681)^2)+(((VLOOKUP($X$4,$A$4:$E$1021,5,FALSE))-E681)^2))</f>
        <v/>
      </c>
    </row>
    <row r="682">
      <c r="A682" s="125" t="inlineStr">
        <is>
          <t>HY800X329</t>
        </is>
      </c>
      <c r="B682" s="129" t="inlineStr">
        <is>
          <t>HY</t>
        </is>
      </c>
      <c r="C682" s="125" t="n">
        <v>329</v>
      </c>
      <c r="D682" s="125" t="n">
        <v>800</v>
      </c>
      <c r="E682" s="125" t="n">
        <v>350</v>
      </c>
      <c r="F682" s="125" t="n">
        <v>40</v>
      </c>
      <c r="G682" s="125" t="n">
        <v>19</v>
      </c>
      <c r="H682" s="125" t="n">
        <v>18</v>
      </c>
      <c r="I682" s="125">
        <f>D682-(2*(H682+F682))</f>
        <v/>
      </c>
      <c r="J682" s="125">
        <f>D682/10 * F682/10 + 2*(E682/10 * G682/10)</f>
        <v/>
      </c>
      <c r="K682" s="125">
        <f>(E682/2)/F682</f>
        <v/>
      </c>
      <c r="L682" s="125">
        <f>I682/G682</f>
        <v/>
      </c>
      <c r="M682" s="125">
        <f>(E682*2+F682*4+((E682-G682)/2-H682)*4+2*PI()*H682+(D682-2*F682-2*H682)*2)/1000</f>
        <v/>
      </c>
      <c r="N682" s="5" t="n">
        <v>467000</v>
      </c>
      <c r="O682" s="5" t="n">
        <v>28600</v>
      </c>
      <c r="P682" s="125" t="n">
        <v>33.4</v>
      </c>
      <c r="Q682" s="125" t="n">
        <v>8.300000000000001</v>
      </c>
      <c r="R682" s="5" t="n">
        <v>11700</v>
      </c>
      <c r="S682" s="5" t="n">
        <v>1640</v>
      </c>
      <c r="T682" s="5" t="n">
        <v>13200</v>
      </c>
      <c r="U682" s="5" t="n">
        <v>2520</v>
      </c>
      <c r="Y682">
        <f>SQRT((((VLOOKUP($X$4,$A$4:$D$1021,4,FALSE))-D682)^2)+(((VLOOKUP($X$4,$A$4:$E$1021,5,FALSE))-E682)^2))</f>
        <v/>
      </c>
    </row>
    <row r="683">
      <c r="A683" s="125" t="inlineStr">
        <is>
          <t>HY800X309</t>
        </is>
      </c>
      <c r="B683" s="129" t="inlineStr">
        <is>
          <t>HY</t>
        </is>
      </c>
      <c r="C683" s="125" t="n">
        <v>309</v>
      </c>
      <c r="D683" s="125" t="n">
        <v>800</v>
      </c>
      <c r="E683" s="125" t="n">
        <v>350</v>
      </c>
      <c r="F683" s="125" t="n">
        <v>36</v>
      </c>
      <c r="G683" s="125" t="n">
        <v>19</v>
      </c>
      <c r="H683" s="125" t="n">
        <v>18</v>
      </c>
      <c r="I683" s="125">
        <f>D683-(2*(H683+F683))</f>
        <v/>
      </c>
      <c r="J683" s="125">
        <f>D683/10 * F683/10 + 2*(E683/10 * G683/10)</f>
        <v/>
      </c>
      <c r="K683" s="125">
        <f>(E683/2)/F683</f>
        <v/>
      </c>
      <c r="L683" s="125">
        <f>I683/G683</f>
        <v/>
      </c>
      <c r="M683" s="125">
        <f>(E683*2+F683*4+((E683-G683)/2-H683)*4+2*PI()*H683+(D683-2*F683-2*H683)*2)/1000</f>
        <v/>
      </c>
      <c r="N683" s="5" t="n">
        <v>433000</v>
      </c>
      <c r="O683" s="5" t="n">
        <v>25800</v>
      </c>
      <c r="P683" s="125" t="n">
        <v>33.2</v>
      </c>
      <c r="Q683" s="125" t="n">
        <v>8.1</v>
      </c>
      <c r="R683" s="5" t="n">
        <v>10800</v>
      </c>
      <c r="S683" s="5" t="n">
        <v>1470</v>
      </c>
      <c r="T683" s="5" t="n">
        <v>12200</v>
      </c>
      <c r="U683" s="5" t="n">
        <v>2270</v>
      </c>
      <c r="Y683">
        <f>SQRT((((VLOOKUP($X$4,$A$4:$D$1021,4,FALSE))-D683)^2)+(((VLOOKUP($X$4,$A$4:$E$1021,5,FALSE))-E683)^2))</f>
        <v/>
      </c>
    </row>
    <row r="684">
      <c r="A684" s="125" t="inlineStr">
        <is>
          <t>HY800X288</t>
        </is>
      </c>
      <c r="B684" s="129" t="inlineStr">
        <is>
          <t>HY</t>
        </is>
      </c>
      <c r="C684" s="125" t="n">
        <v>288</v>
      </c>
      <c r="D684" s="125" t="n">
        <v>800</v>
      </c>
      <c r="E684" s="125" t="n">
        <v>350</v>
      </c>
      <c r="F684" s="125" t="n">
        <v>32</v>
      </c>
      <c r="G684" s="125" t="n">
        <v>19</v>
      </c>
      <c r="H684" s="125" t="n">
        <v>18</v>
      </c>
      <c r="I684" s="125">
        <f>D684-(2*(H684+F684))</f>
        <v/>
      </c>
      <c r="J684" s="125">
        <f>D684/10 * F684/10 + 2*(E684/10 * G684/10)</f>
        <v/>
      </c>
      <c r="K684" s="125">
        <f>(E684/2)/F684</f>
        <v/>
      </c>
      <c r="L684" s="125">
        <f>I684/G684</f>
        <v/>
      </c>
      <c r="M684" s="125">
        <f>(E684*2+F684*4+((E684-G684)/2-H684)*4+2*PI()*H684+(D684-2*F684-2*H684)*2)/1000</f>
        <v/>
      </c>
      <c r="N684" s="5" t="n">
        <v>397000</v>
      </c>
      <c r="O684" s="5" t="n">
        <v>22900</v>
      </c>
      <c r="P684" s="125" t="n">
        <v>32.9</v>
      </c>
      <c r="Q684" s="125" t="n">
        <v>7.9</v>
      </c>
      <c r="R684" s="5" t="n">
        <v>9930</v>
      </c>
      <c r="S684" s="5" t="n">
        <v>1310</v>
      </c>
      <c r="T684" s="5" t="n">
        <v>11300</v>
      </c>
      <c r="U684" s="5" t="n">
        <v>2030</v>
      </c>
      <c r="Y684">
        <f>SQRT((((VLOOKUP($X$4,$A$4:$D$1021,4,FALSE))-D684)^2)+(((VLOOKUP($X$4,$A$4:$E$1021,5,FALSE))-E684)^2))</f>
        <v/>
      </c>
    </row>
    <row r="685">
      <c r="A685" s="125" t="inlineStr">
        <is>
          <t>HY800X267</t>
        </is>
      </c>
      <c r="B685" s="129" t="inlineStr">
        <is>
          <t>HY</t>
        </is>
      </c>
      <c r="C685" s="125" t="n">
        <v>267</v>
      </c>
      <c r="D685" s="125" t="n">
        <v>800</v>
      </c>
      <c r="E685" s="125" t="n">
        <v>350</v>
      </c>
      <c r="F685" s="125" t="n">
        <v>28</v>
      </c>
      <c r="G685" s="125" t="n">
        <v>19</v>
      </c>
      <c r="H685" s="125" t="n">
        <v>18</v>
      </c>
      <c r="I685" s="125">
        <f>D685-(2*(H685+F685))</f>
        <v/>
      </c>
      <c r="J685" s="125">
        <f>D685/10 * F685/10 + 2*(E685/10 * G685/10)</f>
        <v/>
      </c>
      <c r="K685" s="125">
        <f>(E685/2)/F685</f>
        <v/>
      </c>
      <c r="L685" s="125">
        <f>I685/G685</f>
        <v/>
      </c>
      <c r="M685" s="125">
        <f>(E685*2+F685*4+((E685-G685)/2-H685)*4+2*PI()*H685+(D685-2*F685-2*H685)*2)/1000</f>
        <v/>
      </c>
      <c r="N685" s="5" t="n">
        <v>361000</v>
      </c>
      <c r="O685" s="5" t="n">
        <v>20100</v>
      </c>
      <c r="P685" s="125" t="n">
        <v>32.6</v>
      </c>
      <c r="Q685" s="125" t="n">
        <v>7.7</v>
      </c>
      <c r="R685" s="5" t="n">
        <v>9030</v>
      </c>
      <c r="S685" s="5" t="n">
        <v>1150</v>
      </c>
      <c r="T685" s="5" t="n">
        <v>10300</v>
      </c>
      <c r="U685" s="5" t="n">
        <v>1790</v>
      </c>
      <c r="Y685">
        <f>SQRT((((VLOOKUP($X$4,$A$4:$D$1021,4,FALSE))-D685)^2)+(((VLOOKUP($X$4,$A$4:$E$1021,5,FALSE))-E685)^2))</f>
        <v/>
      </c>
    </row>
    <row r="686">
      <c r="A686" s="125" t="inlineStr">
        <is>
          <t>HY800X251</t>
        </is>
      </c>
      <c r="B686" s="129" t="inlineStr">
        <is>
          <t>HY</t>
        </is>
      </c>
      <c r="C686" s="125" t="n">
        <v>251</v>
      </c>
      <c r="D686" s="125" t="n">
        <v>800</v>
      </c>
      <c r="E686" s="125" t="n">
        <v>350</v>
      </c>
      <c r="F686" s="125" t="n">
        <v>25</v>
      </c>
      <c r="G686" s="125" t="n">
        <v>19</v>
      </c>
      <c r="H686" s="125" t="n">
        <v>18</v>
      </c>
      <c r="I686" s="125">
        <f>D686-(2*(H686+F686))</f>
        <v/>
      </c>
      <c r="J686" s="125">
        <f>D686/10 * F686/10 + 2*(E686/10 * G686/10)</f>
        <v/>
      </c>
      <c r="K686" s="125">
        <f>(E686/2)/F686</f>
        <v/>
      </c>
      <c r="L686" s="125">
        <f>I686/G686</f>
        <v/>
      </c>
      <c r="M686" s="125">
        <f>(E686*2+F686*4+((E686-G686)/2-H686)*4+2*PI()*H686+(D686-2*F686-2*H686)*2)/1000</f>
        <v/>
      </c>
      <c r="N686" s="5" t="n">
        <v>333000</v>
      </c>
      <c r="O686" s="5" t="n">
        <v>17900</v>
      </c>
      <c r="P686" s="125" t="n">
        <v>32.3</v>
      </c>
      <c r="Q686" s="125" t="n">
        <v>7.5</v>
      </c>
      <c r="R686" s="5" t="n">
        <v>8340</v>
      </c>
      <c r="S686" s="5" t="n">
        <v>1020</v>
      </c>
      <c r="T686" s="5" t="n">
        <v>9560</v>
      </c>
      <c r="U686" s="5" t="n">
        <v>1600</v>
      </c>
      <c r="Y686">
        <f>SQRT((((VLOOKUP($X$4,$A$4:$D$1021,4,FALSE))-D686)^2)+(((VLOOKUP($X$4,$A$4:$E$1021,5,FALSE))-E686)^2))</f>
        <v/>
      </c>
    </row>
    <row r="687">
      <c r="A687" s="125" t="inlineStr">
        <is>
          <t>HY800X291</t>
        </is>
      </c>
      <c r="B687" s="129" t="inlineStr">
        <is>
          <t>HY</t>
        </is>
      </c>
      <c r="C687" s="125" t="n">
        <v>291</v>
      </c>
      <c r="D687" s="125" t="n">
        <v>800</v>
      </c>
      <c r="E687" s="125" t="n">
        <v>350</v>
      </c>
      <c r="F687" s="125" t="n">
        <v>36</v>
      </c>
      <c r="G687" s="125" t="n">
        <v>16</v>
      </c>
      <c r="H687" s="125" t="n">
        <v>18</v>
      </c>
      <c r="I687" s="125">
        <f>D687-(2*(H687+F687))</f>
        <v/>
      </c>
      <c r="J687" s="125">
        <f>D687/10 * F687/10 + 2*(E687/10 * G687/10)</f>
        <v/>
      </c>
      <c r="K687" s="125">
        <f>(E687/2)/F687</f>
        <v/>
      </c>
      <c r="L687" s="125">
        <f>I687/G687</f>
        <v/>
      </c>
      <c r="M687" s="125">
        <f>(E687*2+F687*4+((E687-G687)/2-H687)*4+2*PI()*H687+(D687-2*F687-2*H687)*2)/1000</f>
        <v/>
      </c>
      <c r="N687" s="5" t="n">
        <v>423000</v>
      </c>
      <c r="O687" s="5" t="n">
        <v>25800</v>
      </c>
      <c r="P687" s="125" t="n">
        <v>33.8</v>
      </c>
      <c r="Q687" s="125" t="n">
        <v>8.300000000000001</v>
      </c>
      <c r="R687" s="5" t="n">
        <v>10600</v>
      </c>
      <c r="S687" s="5" t="n">
        <v>1470</v>
      </c>
      <c r="T687" s="5" t="n">
        <v>11800</v>
      </c>
      <c r="U687" s="5" t="n">
        <v>2250</v>
      </c>
      <c r="Y687">
        <f>SQRT((((VLOOKUP($X$4,$A$4:$D$1021,4,FALSE))-D687)^2)+(((VLOOKUP($X$4,$A$4:$E$1021,5,FALSE))-E687)^2))</f>
        <v/>
      </c>
    </row>
    <row r="688">
      <c r="A688" s="125" t="inlineStr">
        <is>
          <t>HY800X270</t>
        </is>
      </c>
      <c r="B688" s="129" t="inlineStr">
        <is>
          <t>HY</t>
        </is>
      </c>
      <c r="C688" s="125" t="n">
        <v>270</v>
      </c>
      <c r="D688" s="125" t="n">
        <v>800</v>
      </c>
      <c r="E688" s="125" t="n">
        <v>350</v>
      </c>
      <c r="F688" s="125" t="n">
        <v>32</v>
      </c>
      <c r="G688" s="125" t="n">
        <v>16</v>
      </c>
      <c r="H688" s="125" t="n">
        <v>18</v>
      </c>
      <c r="I688" s="125">
        <f>D688-(2*(H688+F688))</f>
        <v/>
      </c>
      <c r="J688" s="125">
        <f>D688/10 * F688/10 + 2*(E688/10 * G688/10)</f>
        <v/>
      </c>
      <c r="K688" s="125">
        <f>(E688/2)/F688</f>
        <v/>
      </c>
      <c r="L688" s="125">
        <f>I688/G688</f>
        <v/>
      </c>
      <c r="M688" s="125">
        <f>(E688*2+F688*4+((E688-G688)/2-H688)*4+2*PI()*H688+(D688-2*F688-2*H688)*2)/1000</f>
        <v/>
      </c>
      <c r="N688" s="5" t="n">
        <v>387000</v>
      </c>
      <c r="O688" s="5" t="n">
        <v>22900</v>
      </c>
      <c r="P688" s="125" t="n">
        <v>33.5</v>
      </c>
      <c r="Q688" s="125" t="n">
        <v>8.199999999999999</v>
      </c>
      <c r="R688" s="5" t="n">
        <v>9680</v>
      </c>
      <c r="S688" s="5" t="n">
        <v>1310</v>
      </c>
      <c r="T688" s="5" t="n">
        <v>10900</v>
      </c>
      <c r="U688" s="5" t="n">
        <v>2010</v>
      </c>
      <c r="Y688">
        <f>SQRT((((VLOOKUP($X$4,$A$4:$D$1021,4,FALSE))-D688)^2)+(((VLOOKUP($X$4,$A$4:$E$1021,5,FALSE))-E688)^2))</f>
        <v/>
      </c>
    </row>
    <row r="689">
      <c r="A689" s="125" t="inlineStr">
        <is>
          <t>HY800X249</t>
        </is>
      </c>
      <c r="B689" s="129" t="inlineStr">
        <is>
          <t>HY</t>
        </is>
      </c>
      <c r="C689" s="125" t="n">
        <v>249</v>
      </c>
      <c r="D689" s="125" t="n">
        <v>800</v>
      </c>
      <c r="E689" s="125" t="n">
        <v>350</v>
      </c>
      <c r="F689" s="125" t="n">
        <v>28</v>
      </c>
      <c r="G689" s="125" t="n">
        <v>16</v>
      </c>
      <c r="H689" s="125" t="n">
        <v>18</v>
      </c>
      <c r="I689" s="125">
        <f>D689-(2*(H689+F689))</f>
        <v/>
      </c>
      <c r="J689" s="125">
        <f>D689/10 * F689/10 + 2*(E689/10 * G689/10)</f>
        <v/>
      </c>
      <c r="K689" s="125">
        <f>(E689/2)/F689</f>
        <v/>
      </c>
      <c r="L689" s="125">
        <f>I689/G689</f>
        <v/>
      </c>
      <c r="M689" s="125">
        <f>(E689*2+F689*4+((E689-G689)/2-H689)*4+2*PI()*H689+(D689-2*F689-2*H689)*2)/1000</f>
        <v/>
      </c>
      <c r="N689" s="5" t="n">
        <v>351000</v>
      </c>
      <c r="O689" s="5" t="n">
        <v>20000</v>
      </c>
      <c r="P689" s="125" t="n">
        <v>33.2</v>
      </c>
      <c r="Q689" s="125" t="n">
        <v>7.9</v>
      </c>
      <c r="R689" s="5" t="n">
        <v>8770</v>
      </c>
      <c r="S689" s="5" t="n">
        <v>1150</v>
      </c>
      <c r="T689" s="5" t="n">
        <v>9880</v>
      </c>
      <c r="U689" s="5" t="n">
        <v>1770</v>
      </c>
      <c r="Y689">
        <f>SQRT((((VLOOKUP($X$4,$A$4:$D$1021,4,FALSE))-D689)^2)+(((VLOOKUP($X$4,$A$4:$E$1021,5,FALSE))-E689)^2))</f>
        <v/>
      </c>
    </row>
    <row r="690">
      <c r="A690" s="125" t="inlineStr">
        <is>
          <t>HY800X234</t>
        </is>
      </c>
      <c r="B690" s="129" t="inlineStr">
        <is>
          <t>HY</t>
        </is>
      </c>
      <c r="C690" s="125" t="n">
        <v>234</v>
      </c>
      <c r="D690" s="125" t="n">
        <v>800</v>
      </c>
      <c r="E690" s="125" t="n">
        <v>350</v>
      </c>
      <c r="F690" s="125" t="n">
        <v>25</v>
      </c>
      <c r="G690" s="125" t="n">
        <v>16</v>
      </c>
      <c r="H690" s="125" t="n">
        <v>18</v>
      </c>
      <c r="I690" s="125">
        <f>D690-(2*(H690+F690))</f>
        <v/>
      </c>
      <c r="J690" s="125">
        <f>D690/10 * F690/10 + 2*(E690/10 * G690/10)</f>
        <v/>
      </c>
      <c r="K690" s="125">
        <f>(E690/2)/F690</f>
        <v/>
      </c>
      <c r="L690" s="125">
        <f>I690/G690</f>
        <v/>
      </c>
      <c r="M690" s="125">
        <f>(E690*2+F690*4+((E690-G690)/2-H690)*4+2*PI()*H690+(D690-2*F690-2*H690)*2)/1000</f>
        <v/>
      </c>
      <c r="N690" s="5" t="n">
        <v>323000</v>
      </c>
      <c r="O690" s="5" t="n">
        <v>17900</v>
      </c>
      <c r="P690" s="125" t="n">
        <v>32.9</v>
      </c>
      <c r="Q690" s="125" t="n">
        <v>7.8</v>
      </c>
      <c r="R690" s="5" t="n">
        <v>8070</v>
      </c>
      <c r="S690" s="5" t="n">
        <v>1020</v>
      </c>
      <c r="T690" s="5" t="n">
        <v>9130</v>
      </c>
      <c r="U690" s="5" t="n">
        <v>1580</v>
      </c>
      <c r="Y690">
        <f>SQRT((((VLOOKUP($X$4,$A$4:$D$1021,4,FALSE))-D690)^2)+(((VLOOKUP($X$4,$A$4:$E$1021,5,FALSE))-E690)^2))</f>
        <v/>
      </c>
    </row>
    <row r="691">
      <c r="A691" s="125" t="inlineStr">
        <is>
          <t>HY800X259</t>
        </is>
      </c>
      <c r="B691" s="129" t="inlineStr">
        <is>
          <t>HY</t>
        </is>
      </c>
      <c r="C691" s="125" t="n">
        <v>259</v>
      </c>
      <c r="D691" s="125" t="n">
        <v>800</v>
      </c>
      <c r="E691" s="125" t="n">
        <v>350</v>
      </c>
      <c r="F691" s="125" t="n">
        <v>32</v>
      </c>
      <c r="G691" s="125" t="n">
        <v>14</v>
      </c>
      <c r="H691" s="125" t="n">
        <v>18</v>
      </c>
      <c r="I691" s="125">
        <f>D691-(2*(H691+F691))</f>
        <v/>
      </c>
      <c r="J691" s="125">
        <f>D691/10 * F691/10 + 2*(E691/10 * G691/10)</f>
        <v/>
      </c>
      <c r="K691" s="125">
        <f>(E691/2)/F691</f>
        <v/>
      </c>
      <c r="L691" s="125">
        <f>I691/G691</f>
        <v/>
      </c>
      <c r="M691" s="125">
        <f>(E691*2+F691*4+((E691-G691)/2-H691)*4+2*PI()*H691+(D691-2*F691-2*H691)*2)/1000</f>
        <v/>
      </c>
      <c r="N691" s="5" t="n">
        <v>381000</v>
      </c>
      <c r="O691" s="5" t="n">
        <v>22900</v>
      </c>
      <c r="P691" s="125" t="n">
        <v>34</v>
      </c>
      <c r="Q691" s="125" t="n">
        <v>8.300000000000001</v>
      </c>
      <c r="R691" s="5" t="n">
        <v>9520</v>
      </c>
      <c r="S691" s="5" t="n">
        <v>1310</v>
      </c>
      <c r="T691" s="5" t="n">
        <v>10600</v>
      </c>
      <c r="U691" s="5" t="n">
        <v>2000</v>
      </c>
      <c r="Y691">
        <f>SQRT((((VLOOKUP($X$4,$A$4:$D$1021,4,FALSE))-D691)^2)+(((VLOOKUP($X$4,$A$4:$E$1021,5,FALSE))-E691)^2))</f>
        <v/>
      </c>
    </row>
    <row r="692">
      <c r="A692" s="125" t="inlineStr">
        <is>
          <t>HY800X238</t>
        </is>
      </c>
      <c r="B692" s="129" t="inlineStr">
        <is>
          <t>HY</t>
        </is>
      </c>
      <c r="C692" s="125" t="n">
        <v>238</v>
      </c>
      <c r="D692" s="125" t="n">
        <v>800</v>
      </c>
      <c r="E692" s="125" t="n">
        <v>350</v>
      </c>
      <c r="F692" s="125" t="n">
        <v>28</v>
      </c>
      <c r="G692" s="125" t="n">
        <v>14</v>
      </c>
      <c r="H692" s="125" t="n">
        <v>18</v>
      </c>
      <c r="I692" s="125">
        <f>D692-(2*(H692+F692))</f>
        <v/>
      </c>
      <c r="J692" s="125">
        <f>D692/10 * F692/10 + 2*(E692/10 * G692/10)</f>
        <v/>
      </c>
      <c r="K692" s="125">
        <f>(E692/2)/F692</f>
        <v/>
      </c>
      <c r="L692" s="125">
        <f>I692/G692</f>
        <v/>
      </c>
      <c r="M692" s="125">
        <f>(E692*2+F692*4+((E692-G692)/2-H692)*4+2*PI()*H692+(D692-2*F692-2*H692)*2)/1000</f>
        <v/>
      </c>
      <c r="N692" s="5" t="n">
        <v>344000</v>
      </c>
      <c r="O692" s="5" t="n">
        <v>20000</v>
      </c>
      <c r="P692" s="125" t="n">
        <v>33.7</v>
      </c>
      <c r="Q692" s="125" t="n">
        <v>8.1</v>
      </c>
      <c r="R692" s="5" t="n">
        <v>8600</v>
      </c>
      <c r="S692" s="5" t="n">
        <v>1140</v>
      </c>
      <c r="T692" s="5" t="n">
        <v>9610</v>
      </c>
      <c r="U692" s="5" t="n">
        <v>1750</v>
      </c>
      <c r="Y692">
        <f>SQRT((((VLOOKUP($X$4,$A$4:$D$1021,4,FALSE))-D692)^2)+(((VLOOKUP($X$4,$A$4:$E$1021,5,FALSE))-E692)^2))</f>
        <v/>
      </c>
    </row>
    <row r="693">
      <c r="A693" s="125" t="inlineStr">
        <is>
          <t>HY800X222</t>
        </is>
      </c>
      <c r="B693" s="129" t="inlineStr">
        <is>
          <t>HY</t>
        </is>
      </c>
      <c r="C693" s="125" t="n">
        <v>222</v>
      </c>
      <c r="D693" s="125" t="n">
        <v>800</v>
      </c>
      <c r="E693" s="125" t="n">
        <v>350</v>
      </c>
      <c r="F693" s="125" t="n">
        <v>25</v>
      </c>
      <c r="G693" s="125" t="n">
        <v>14</v>
      </c>
      <c r="H693" s="125" t="n">
        <v>18</v>
      </c>
      <c r="I693" s="125">
        <f>D693-(2*(H693+F693))</f>
        <v/>
      </c>
      <c r="J693" s="125">
        <f>D693/10 * F693/10 + 2*(E693/10 * G693/10)</f>
        <v/>
      </c>
      <c r="K693" s="125">
        <f>(E693/2)/F693</f>
        <v/>
      </c>
      <c r="L693" s="125">
        <f>I693/G693</f>
        <v/>
      </c>
      <c r="M693" s="125">
        <f>(E693*2+F693*4+((E693-G693)/2-H693)*4+2*PI()*H693+(D693-2*F693-2*H693)*2)/1000</f>
        <v/>
      </c>
      <c r="N693" s="5" t="n">
        <v>316000</v>
      </c>
      <c r="O693" s="5" t="n">
        <v>17900</v>
      </c>
      <c r="P693" s="125" t="n">
        <v>33.4</v>
      </c>
      <c r="Q693" s="125" t="n">
        <v>8</v>
      </c>
      <c r="R693" s="5" t="n">
        <v>7900</v>
      </c>
      <c r="S693" s="5" t="n">
        <v>1020</v>
      </c>
      <c r="T693" s="5" t="n">
        <v>8850</v>
      </c>
      <c r="U693" s="5" t="n">
        <v>1570</v>
      </c>
      <c r="Y693">
        <f>SQRT((((VLOOKUP($X$4,$A$4:$D$1021,4,FALSE))-D693)^2)+(((VLOOKUP($X$4,$A$4:$E$1021,5,FALSE))-E693)^2))</f>
        <v/>
      </c>
    </row>
    <row r="694">
      <c r="A694" s="125" t="inlineStr">
        <is>
          <t>HY800X315</t>
        </is>
      </c>
      <c r="B694" s="129" t="inlineStr">
        <is>
          <t>HY</t>
        </is>
      </c>
      <c r="C694" s="125" t="n">
        <v>315</v>
      </c>
      <c r="D694" s="125" t="n">
        <v>800</v>
      </c>
      <c r="E694" s="125" t="n">
        <v>300</v>
      </c>
      <c r="F694" s="125" t="n">
        <v>40</v>
      </c>
      <c r="G694" s="125" t="n">
        <v>22</v>
      </c>
      <c r="H694" s="125" t="n">
        <v>18</v>
      </c>
      <c r="I694" s="125">
        <f>D694-(2*(H694+F694))</f>
        <v/>
      </c>
      <c r="J694" s="125">
        <f>D694/10 * F694/10 + 2*(E694/10 * G694/10)</f>
        <v/>
      </c>
      <c r="K694" s="125">
        <f>(E694/2)/F694</f>
        <v/>
      </c>
      <c r="L694" s="125">
        <f>I694/G694</f>
        <v/>
      </c>
      <c r="M694" s="125">
        <f>(E694*2+F694*4+((E694-G694)/2-H694)*4+2*PI()*H694+(D694-2*F694-2*H694)*2)/1000</f>
        <v/>
      </c>
      <c r="N694" s="5" t="n">
        <v>419000</v>
      </c>
      <c r="O694" s="5" t="n">
        <v>18100</v>
      </c>
      <c r="P694" s="125" t="n">
        <v>32.3</v>
      </c>
      <c r="Q694" s="125" t="n">
        <v>6.7</v>
      </c>
      <c r="R694" s="5" t="n">
        <v>10500</v>
      </c>
      <c r="S694" s="5" t="n">
        <v>1200</v>
      </c>
      <c r="T694" s="5" t="n">
        <v>12100</v>
      </c>
      <c r="U694" s="5" t="n">
        <v>1890</v>
      </c>
      <c r="Y694">
        <f>SQRT((((VLOOKUP($X$4,$A$4:$D$1021,4,FALSE))-D694)^2)+(((VLOOKUP($X$4,$A$4:$E$1021,5,FALSE))-E694)^2))</f>
        <v/>
      </c>
    </row>
    <row r="695">
      <c r="A695" s="125" t="inlineStr">
        <is>
          <t>HY800X297</t>
        </is>
      </c>
      <c r="B695" s="129" t="inlineStr">
        <is>
          <t>HY</t>
        </is>
      </c>
      <c r="C695" s="125" t="n">
        <v>297</v>
      </c>
      <c r="D695" s="125" t="n">
        <v>800</v>
      </c>
      <c r="E695" s="125" t="n">
        <v>300</v>
      </c>
      <c r="F695" s="125" t="n">
        <v>36</v>
      </c>
      <c r="G695" s="125" t="n">
        <v>22</v>
      </c>
      <c r="H695" s="125" t="n">
        <v>18</v>
      </c>
      <c r="I695" s="125">
        <f>D695-(2*(H695+F695))</f>
        <v/>
      </c>
      <c r="J695" s="125">
        <f>D695/10 * F695/10 + 2*(E695/10 * G695/10)</f>
        <v/>
      </c>
      <c r="K695" s="125">
        <f>(E695/2)/F695</f>
        <v/>
      </c>
      <c r="L695" s="125">
        <f>I695/G695</f>
        <v/>
      </c>
      <c r="M695" s="125">
        <f>(E695*2+F695*4+((E695-G695)/2-H695)*4+2*PI()*H695+(D695-2*F695-2*H695)*2)/1000</f>
        <v/>
      </c>
      <c r="N695" s="5" t="n">
        <v>390000</v>
      </c>
      <c r="O695" s="5" t="n">
        <v>16300</v>
      </c>
      <c r="P695" s="125" t="n">
        <v>32.1</v>
      </c>
      <c r="Q695" s="125" t="n">
        <v>6.6</v>
      </c>
      <c r="R695" s="5" t="n">
        <v>9740</v>
      </c>
      <c r="S695" s="5" t="n">
        <v>1080</v>
      </c>
      <c r="T695" s="5" t="n">
        <v>11300</v>
      </c>
      <c r="U695" s="5" t="n">
        <v>1710</v>
      </c>
      <c r="Y695">
        <f>SQRT((((VLOOKUP($X$4,$A$4:$D$1021,4,FALSE))-D695)^2)+(((VLOOKUP($X$4,$A$4:$E$1021,5,FALSE))-E695)^2))</f>
        <v/>
      </c>
    </row>
    <row r="696">
      <c r="A696" s="125" t="inlineStr">
        <is>
          <t>HY800X280</t>
        </is>
      </c>
      <c r="B696" s="129" t="inlineStr">
        <is>
          <t>HY</t>
        </is>
      </c>
      <c r="C696" s="125" t="n">
        <v>280</v>
      </c>
      <c r="D696" s="125" t="n">
        <v>800</v>
      </c>
      <c r="E696" s="125" t="n">
        <v>300</v>
      </c>
      <c r="F696" s="125" t="n">
        <v>32</v>
      </c>
      <c r="G696" s="125" t="n">
        <v>22</v>
      </c>
      <c r="H696" s="125" t="n">
        <v>18</v>
      </c>
      <c r="I696" s="125">
        <f>D696-(2*(H696+F696))</f>
        <v/>
      </c>
      <c r="J696" s="125">
        <f>D696/10 * F696/10 + 2*(E696/10 * G696/10)</f>
        <v/>
      </c>
      <c r="K696" s="125">
        <f>(E696/2)/F696</f>
        <v/>
      </c>
      <c r="L696" s="125">
        <f>I696/G696</f>
        <v/>
      </c>
      <c r="M696" s="125">
        <f>(E696*2+F696*4+((E696-G696)/2-H696)*4+2*PI()*H696+(D696-2*F696-2*H696)*2)/1000</f>
        <v/>
      </c>
      <c r="N696" s="5" t="n">
        <v>360000</v>
      </c>
      <c r="O696" s="5" t="n">
        <v>14500</v>
      </c>
      <c r="P696" s="125" t="n">
        <v>31.8</v>
      </c>
      <c r="Q696" s="125" t="n">
        <v>6.4</v>
      </c>
      <c r="R696" s="5" t="n">
        <v>9000</v>
      </c>
      <c r="S696" s="125" t="n">
        <v>965</v>
      </c>
      <c r="T696" s="5" t="n">
        <v>10500</v>
      </c>
      <c r="U696" s="5" t="n">
        <v>1530</v>
      </c>
      <c r="Y696">
        <f>SQRT((((VLOOKUP($X$4,$A$4:$D$1021,4,FALSE))-D696)^2)+(((VLOOKUP($X$4,$A$4:$E$1021,5,FALSE))-E696)^2))</f>
        <v/>
      </c>
    </row>
    <row r="697">
      <c r="A697" s="125" t="inlineStr">
        <is>
          <t>HY800X263</t>
        </is>
      </c>
      <c r="B697" s="129" t="inlineStr">
        <is>
          <t>HY</t>
        </is>
      </c>
      <c r="C697" s="125" t="n">
        <v>263</v>
      </c>
      <c r="D697" s="125" t="n">
        <v>800</v>
      </c>
      <c r="E697" s="125" t="n">
        <v>300</v>
      </c>
      <c r="F697" s="125" t="n">
        <v>28</v>
      </c>
      <c r="G697" s="125" t="n">
        <v>22</v>
      </c>
      <c r="H697" s="125" t="n">
        <v>18</v>
      </c>
      <c r="I697" s="125">
        <f>D697-(2*(H697+F697))</f>
        <v/>
      </c>
      <c r="J697" s="125">
        <f>D697/10 * F697/10 + 2*(E697/10 * G697/10)</f>
        <v/>
      </c>
      <c r="K697" s="125">
        <f>(E697/2)/F697</f>
        <v/>
      </c>
      <c r="L697" s="125">
        <f>I697/G697</f>
        <v/>
      </c>
      <c r="M697" s="125">
        <f>(E697*2+F697*4+((E697-G697)/2-H697)*4+2*PI()*H697+(D697-2*F697-2*H697)*2)/1000</f>
        <v/>
      </c>
      <c r="N697" s="5" t="n">
        <v>330000</v>
      </c>
      <c r="O697" s="5" t="n">
        <v>12700</v>
      </c>
      <c r="P697" s="125" t="n">
        <v>31.4</v>
      </c>
      <c r="Q697" s="125" t="n">
        <v>6.2</v>
      </c>
      <c r="R697" s="5" t="n">
        <v>8240</v>
      </c>
      <c r="S697" s="125" t="n">
        <v>845</v>
      </c>
      <c r="T697" s="5" t="n">
        <v>9630</v>
      </c>
      <c r="U697" s="5" t="n">
        <v>1350</v>
      </c>
      <c r="Y697">
        <f>SQRT((((VLOOKUP($X$4,$A$4:$D$1021,4,FALSE))-D697)^2)+(((VLOOKUP($X$4,$A$4:$E$1021,5,FALSE))-E697)^2))</f>
        <v/>
      </c>
    </row>
    <row r="698">
      <c r="A698" s="125" t="inlineStr">
        <is>
          <t>HY800X249</t>
        </is>
      </c>
      <c r="B698" s="129" t="inlineStr">
        <is>
          <t>HY</t>
        </is>
      </c>
      <c r="C698" s="125" t="n">
        <v>249</v>
      </c>
      <c r="D698" s="125" t="n">
        <v>800</v>
      </c>
      <c r="E698" s="125" t="n">
        <v>300</v>
      </c>
      <c r="F698" s="125" t="n">
        <v>25</v>
      </c>
      <c r="G698" s="125" t="n">
        <v>22</v>
      </c>
      <c r="H698" s="125" t="n">
        <v>18</v>
      </c>
      <c r="I698" s="125">
        <f>D698-(2*(H698+F698))</f>
        <v/>
      </c>
      <c r="J698" s="125">
        <f>D698/10 * F698/10 + 2*(E698/10 * G698/10)</f>
        <v/>
      </c>
      <c r="K698" s="125">
        <f>(E698/2)/F698</f>
        <v/>
      </c>
      <c r="L698" s="125">
        <f>I698/G698</f>
        <v/>
      </c>
      <c r="M698" s="125">
        <f>(E698*2+F698*4+((E698-G698)/2-H698)*4+2*PI()*H698+(D698-2*F698-2*H698)*2)/1000</f>
        <v/>
      </c>
      <c r="N698" s="5" t="n">
        <v>306000</v>
      </c>
      <c r="O698" s="5" t="n">
        <v>11300</v>
      </c>
      <c r="P698" s="125" t="n">
        <v>31.1</v>
      </c>
      <c r="Q698" s="125" t="n">
        <v>6</v>
      </c>
      <c r="R698" s="5" t="n">
        <v>7660</v>
      </c>
      <c r="S698" s="125" t="n">
        <v>755</v>
      </c>
      <c r="T698" s="5" t="n">
        <v>9010</v>
      </c>
      <c r="U698" s="5" t="n">
        <v>1220</v>
      </c>
      <c r="Y698">
        <f>SQRT((((VLOOKUP($X$4,$A$4:$D$1021,4,FALSE))-D698)^2)+(((VLOOKUP($X$4,$A$4:$E$1021,5,FALSE))-E698)^2))</f>
        <v/>
      </c>
    </row>
    <row r="699">
      <c r="A699" s="125" t="inlineStr">
        <is>
          <t>HY800X298</t>
        </is>
      </c>
      <c r="B699" s="129" t="inlineStr">
        <is>
          <t>HY</t>
        </is>
      </c>
      <c r="C699" s="125" t="n">
        <v>298</v>
      </c>
      <c r="D699" s="125" t="n">
        <v>800</v>
      </c>
      <c r="E699" s="125" t="n">
        <v>300</v>
      </c>
      <c r="F699" s="125" t="n">
        <v>40</v>
      </c>
      <c r="G699" s="125" t="n">
        <v>19</v>
      </c>
      <c r="H699" s="125" t="n">
        <v>18</v>
      </c>
      <c r="I699" s="125">
        <f>D699-(2*(H699+F699))</f>
        <v/>
      </c>
      <c r="J699" s="125">
        <f>D699/10 * F699/10 + 2*(E699/10 * G699/10)</f>
        <v/>
      </c>
      <c r="K699" s="125">
        <f>(E699/2)/F699</f>
        <v/>
      </c>
      <c r="L699" s="125">
        <f>I699/G699</f>
        <v/>
      </c>
      <c r="M699" s="125">
        <f>(E699*2+F699*4+((E699-G699)/2-H699)*4+2*PI()*H699+(D699-2*F699-2*H699)*2)/1000</f>
        <v/>
      </c>
      <c r="N699" s="5" t="n">
        <v>410000</v>
      </c>
      <c r="O699" s="5" t="n">
        <v>18000</v>
      </c>
      <c r="P699" s="125" t="n">
        <v>32.8</v>
      </c>
      <c r="Q699" s="125" t="n">
        <v>6.9</v>
      </c>
      <c r="R699" s="5" t="n">
        <v>10200</v>
      </c>
      <c r="S699" s="5" t="n">
        <v>1200</v>
      </c>
      <c r="T699" s="5" t="n">
        <v>11700</v>
      </c>
      <c r="U699" s="5" t="n">
        <v>1870</v>
      </c>
      <c r="Y699">
        <f>SQRT((((VLOOKUP($X$4,$A$4:$D$1021,4,FALSE))-D699)^2)+(((VLOOKUP($X$4,$A$4:$E$1021,5,FALSE))-E699)^2))</f>
        <v/>
      </c>
    </row>
    <row r="700">
      <c r="A700" s="125" t="inlineStr">
        <is>
          <t>HY800X280</t>
        </is>
      </c>
      <c r="B700" s="129" t="inlineStr">
        <is>
          <t>HY</t>
        </is>
      </c>
      <c r="C700" s="125" t="n">
        <v>280</v>
      </c>
      <c r="D700" s="125" t="n">
        <v>800</v>
      </c>
      <c r="E700" s="125" t="n">
        <v>300</v>
      </c>
      <c r="F700" s="125" t="n">
        <v>36</v>
      </c>
      <c r="G700" s="125" t="n">
        <v>19</v>
      </c>
      <c r="H700" s="125" t="n">
        <v>18</v>
      </c>
      <c r="I700" s="125">
        <f>D700-(2*(H700+F700))</f>
        <v/>
      </c>
      <c r="J700" s="125">
        <f>D700/10 * F700/10 + 2*(E700/10 * G700/10)</f>
        <v/>
      </c>
      <c r="K700" s="125">
        <f>(E700/2)/F700</f>
        <v/>
      </c>
      <c r="L700" s="125">
        <f>I700/G700</f>
        <v/>
      </c>
      <c r="M700" s="125">
        <f>(E700*2+F700*4+((E700-G700)/2-H700)*4+2*PI()*H700+(D700-2*F700-2*H700)*2)/1000</f>
        <v/>
      </c>
      <c r="N700" s="5" t="n">
        <v>380000</v>
      </c>
      <c r="O700" s="5" t="n">
        <v>16200</v>
      </c>
      <c r="P700" s="125" t="n">
        <v>32.6</v>
      </c>
      <c r="Q700" s="125" t="n">
        <v>6.8</v>
      </c>
      <c r="R700" s="5" t="n">
        <v>9500</v>
      </c>
      <c r="S700" s="5" t="n">
        <v>1080</v>
      </c>
      <c r="T700" s="5" t="n">
        <v>10900</v>
      </c>
      <c r="U700" s="5" t="n">
        <v>1690</v>
      </c>
      <c r="Y700">
        <f>SQRT((((VLOOKUP($X$4,$A$4:$D$1021,4,FALSE))-D700)^2)+(((VLOOKUP($X$4,$A$4:$E$1021,5,FALSE))-E700)^2))</f>
        <v/>
      </c>
    </row>
    <row r="701">
      <c r="A701" s="125" t="inlineStr">
        <is>
          <t>HY800X263</t>
        </is>
      </c>
      <c r="B701" s="129" t="inlineStr">
        <is>
          <t>HY</t>
        </is>
      </c>
      <c r="C701" s="125" t="n">
        <v>263</v>
      </c>
      <c r="D701" s="125" t="n">
        <v>800</v>
      </c>
      <c r="E701" s="125" t="n">
        <v>300</v>
      </c>
      <c r="F701" s="125" t="n">
        <v>32</v>
      </c>
      <c r="G701" s="125" t="n">
        <v>19</v>
      </c>
      <c r="H701" s="125" t="n">
        <v>18</v>
      </c>
      <c r="I701" s="125">
        <f>D701-(2*(H701+F701))</f>
        <v/>
      </c>
      <c r="J701" s="125">
        <f>D701/10 * F701/10 + 2*(E701/10 * G701/10)</f>
        <v/>
      </c>
      <c r="K701" s="125">
        <f>(E701/2)/F701</f>
        <v/>
      </c>
      <c r="L701" s="125">
        <f>I701/G701</f>
        <v/>
      </c>
      <c r="M701" s="125">
        <f>(E701*2+F701*4+((E701-G701)/2-H701)*4+2*PI()*H701+(D701-2*F701-2*H701)*2)/1000</f>
        <v/>
      </c>
      <c r="N701" s="5" t="n">
        <v>350000</v>
      </c>
      <c r="O701" s="5" t="n">
        <v>14400</v>
      </c>
      <c r="P701" s="125" t="n">
        <v>32.3</v>
      </c>
      <c r="Q701" s="125" t="n">
        <v>6.6</v>
      </c>
      <c r="R701" s="5" t="n">
        <v>8750</v>
      </c>
      <c r="S701" s="125" t="n">
        <v>963</v>
      </c>
      <c r="T701" s="5" t="n">
        <v>10000</v>
      </c>
      <c r="U701" s="5" t="n">
        <v>1510</v>
      </c>
      <c r="Y701">
        <f>SQRT((((VLOOKUP($X$4,$A$4:$D$1021,4,FALSE))-D701)^2)+(((VLOOKUP($X$4,$A$4:$E$1021,5,FALSE))-E701)^2))</f>
        <v/>
      </c>
    </row>
    <row r="702">
      <c r="A702" s="125" t="inlineStr">
        <is>
          <t>HY800X245</t>
        </is>
      </c>
      <c r="B702" s="129" t="inlineStr">
        <is>
          <t>HY</t>
        </is>
      </c>
      <c r="C702" s="125" t="n">
        <v>245</v>
      </c>
      <c r="D702" s="125" t="n">
        <v>800</v>
      </c>
      <c r="E702" s="125" t="n">
        <v>300</v>
      </c>
      <c r="F702" s="125" t="n">
        <v>28</v>
      </c>
      <c r="G702" s="125" t="n">
        <v>19</v>
      </c>
      <c r="H702" s="125" t="n">
        <v>18</v>
      </c>
      <c r="I702" s="125">
        <f>D702-(2*(H702+F702))</f>
        <v/>
      </c>
      <c r="J702" s="125">
        <f>D702/10 * F702/10 + 2*(E702/10 * G702/10)</f>
        <v/>
      </c>
      <c r="K702" s="125">
        <f>(E702/2)/F702</f>
        <v/>
      </c>
      <c r="L702" s="125">
        <f>I702/G702</f>
        <v/>
      </c>
      <c r="M702" s="125">
        <f>(E702*2+F702*4+((E702-G702)/2-H702)*4+2*PI()*H702+(D702-2*F702-2*H702)*2)/1000</f>
        <v/>
      </c>
      <c r="N702" s="5" t="n">
        <v>319000</v>
      </c>
      <c r="O702" s="5" t="n">
        <v>12600</v>
      </c>
      <c r="P702" s="125" t="n">
        <v>32</v>
      </c>
      <c r="Q702" s="125" t="n">
        <v>6.4</v>
      </c>
      <c r="R702" s="5" t="n">
        <v>7980</v>
      </c>
      <c r="S702" s="125" t="n">
        <v>843</v>
      </c>
      <c r="T702" s="5" t="n">
        <v>9220</v>
      </c>
      <c r="U702" s="5" t="n">
        <v>1330</v>
      </c>
      <c r="Y702">
        <f>SQRT((((VLOOKUP($X$4,$A$4:$D$1021,4,FALSE))-D702)^2)+(((VLOOKUP($X$4,$A$4:$E$1021,5,FALSE))-E702)^2))</f>
        <v/>
      </c>
    </row>
    <row r="703">
      <c r="A703" s="125" t="inlineStr">
        <is>
          <t>HY800X232</t>
        </is>
      </c>
      <c r="B703" s="129" t="inlineStr">
        <is>
          <t>HY</t>
        </is>
      </c>
      <c r="C703" s="125" t="n">
        <v>232</v>
      </c>
      <c r="D703" s="125" t="n">
        <v>800</v>
      </c>
      <c r="E703" s="125" t="n">
        <v>300</v>
      </c>
      <c r="F703" s="125" t="n">
        <v>25</v>
      </c>
      <c r="G703" s="125" t="n">
        <v>19</v>
      </c>
      <c r="H703" s="125" t="n">
        <v>18</v>
      </c>
      <c r="I703" s="125">
        <f>D703-(2*(H703+F703))</f>
        <v/>
      </c>
      <c r="J703" s="125">
        <f>D703/10 * F703/10 + 2*(E703/10 * G703/10)</f>
        <v/>
      </c>
      <c r="K703" s="125">
        <f>(E703/2)/F703</f>
        <v/>
      </c>
      <c r="L703" s="125">
        <f>I703/G703</f>
        <v/>
      </c>
      <c r="M703" s="125">
        <f>(E703*2+F703*4+((E703-G703)/2-H703)*4+2*PI()*H703+(D703-2*F703-2*H703)*2)/1000</f>
        <v/>
      </c>
      <c r="N703" s="5" t="n">
        <v>296000</v>
      </c>
      <c r="O703" s="5" t="n">
        <v>11300</v>
      </c>
      <c r="P703" s="125" t="n">
        <v>31.7</v>
      </c>
      <c r="Q703" s="125" t="n">
        <v>6.2</v>
      </c>
      <c r="R703" s="5" t="n">
        <v>7400</v>
      </c>
      <c r="S703" s="125" t="n">
        <v>753</v>
      </c>
      <c r="T703" s="5" t="n">
        <v>8590</v>
      </c>
      <c r="U703" s="5" t="n">
        <v>1200</v>
      </c>
      <c r="Y703">
        <f>SQRT((((VLOOKUP($X$4,$A$4:$D$1021,4,FALSE))-D703)^2)+(((VLOOKUP($X$4,$A$4:$E$1021,5,FALSE))-E703)^2))</f>
        <v/>
      </c>
    </row>
    <row r="704">
      <c r="A704" s="125" t="inlineStr">
        <is>
          <t>HY800X219</t>
        </is>
      </c>
      <c r="B704" s="129" t="inlineStr">
        <is>
          <t>HY</t>
        </is>
      </c>
      <c r="C704" s="125" t="n">
        <v>219</v>
      </c>
      <c r="D704" s="125" t="n">
        <v>800</v>
      </c>
      <c r="E704" s="125" t="n">
        <v>300</v>
      </c>
      <c r="F704" s="125" t="n">
        <v>22</v>
      </c>
      <c r="G704" s="125" t="n">
        <v>19</v>
      </c>
      <c r="H704" s="125" t="n">
        <v>18</v>
      </c>
      <c r="I704" s="125">
        <f>D704-(2*(H704+F704))</f>
        <v/>
      </c>
      <c r="J704" s="125">
        <f>D704/10 * F704/10 + 2*(E704/10 * G704/10)</f>
        <v/>
      </c>
      <c r="K704" s="125">
        <f>(E704/2)/F704</f>
        <v/>
      </c>
      <c r="L704" s="125">
        <f>I704/G704</f>
        <v/>
      </c>
      <c r="M704" s="125">
        <f>(E704*2+F704*4+((E704-G704)/2-H704)*4+2*PI()*H704+(D704-2*F704-2*H704)*2)/1000</f>
        <v/>
      </c>
      <c r="N704" s="5" t="n">
        <v>272000</v>
      </c>
      <c r="O704" s="5" t="n">
        <v>9950</v>
      </c>
      <c r="P704" s="125" t="n">
        <v>31.3</v>
      </c>
      <c r="Q704" s="125" t="n">
        <v>6</v>
      </c>
      <c r="R704" s="5" t="n">
        <v>6800</v>
      </c>
      <c r="S704" s="125" t="n">
        <v>663</v>
      </c>
      <c r="T704" s="5" t="n">
        <v>7950</v>
      </c>
      <c r="U704" s="5" t="n">
        <v>1060</v>
      </c>
      <c r="Y704">
        <f>SQRT((((VLOOKUP($X$4,$A$4:$D$1021,4,FALSE))-D704)^2)+(((VLOOKUP($X$4,$A$4:$E$1021,5,FALSE))-E704)^2))</f>
        <v/>
      </c>
    </row>
    <row r="705">
      <c r="A705" s="125" t="inlineStr">
        <is>
          <t>HY800X263</t>
        </is>
      </c>
      <c r="B705" s="129" t="inlineStr">
        <is>
          <t>HY</t>
        </is>
      </c>
      <c r="C705" s="125" t="n">
        <v>263</v>
      </c>
      <c r="D705" s="125" t="n">
        <v>800</v>
      </c>
      <c r="E705" s="125" t="n">
        <v>300</v>
      </c>
      <c r="F705" s="125" t="n">
        <v>36</v>
      </c>
      <c r="G705" s="125" t="n">
        <v>16</v>
      </c>
      <c r="H705" s="125" t="n">
        <v>18</v>
      </c>
      <c r="I705" s="125">
        <f>D705-(2*(H705+F705))</f>
        <v/>
      </c>
      <c r="J705" s="125">
        <f>D705/10 * F705/10 + 2*(E705/10 * G705/10)</f>
        <v/>
      </c>
      <c r="K705" s="125">
        <f>(E705/2)/F705</f>
        <v/>
      </c>
      <c r="L705" s="125">
        <f>I705/G705</f>
        <v/>
      </c>
      <c r="M705" s="125">
        <f>(E705*2+F705*4+((E705-G705)/2-H705)*4+2*PI()*H705+(D705-2*F705-2*H705)*2)/1000</f>
        <v/>
      </c>
      <c r="N705" s="5" t="n">
        <v>370000</v>
      </c>
      <c r="O705" s="5" t="n">
        <v>16200</v>
      </c>
      <c r="P705" s="125" t="n">
        <v>33.2</v>
      </c>
      <c r="Q705" s="125" t="n">
        <v>7</v>
      </c>
      <c r="R705" s="5" t="n">
        <v>9260</v>
      </c>
      <c r="S705" s="5" t="n">
        <v>1080</v>
      </c>
      <c r="T705" s="5" t="n">
        <v>10500</v>
      </c>
      <c r="U705" s="5" t="n">
        <v>1670</v>
      </c>
      <c r="Y705">
        <f>SQRT((((VLOOKUP($X$4,$A$4:$D$1021,4,FALSE))-D705)^2)+(((VLOOKUP($X$4,$A$4:$E$1021,5,FALSE))-E705)^2))</f>
        <v/>
      </c>
    </row>
    <row r="706">
      <c r="A706" s="125" t="inlineStr">
        <is>
          <t>HY800X245</t>
        </is>
      </c>
      <c r="B706" s="129" t="inlineStr">
        <is>
          <t>HY</t>
        </is>
      </c>
      <c r="C706" s="125" t="n">
        <v>245</v>
      </c>
      <c r="D706" s="125" t="n">
        <v>800</v>
      </c>
      <c r="E706" s="125" t="n">
        <v>300</v>
      </c>
      <c r="F706" s="125" t="n">
        <v>32</v>
      </c>
      <c r="G706" s="125" t="n">
        <v>16</v>
      </c>
      <c r="H706" s="125" t="n">
        <v>18</v>
      </c>
      <c r="I706" s="125">
        <f>D706-(2*(H706+F706))</f>
        <v/>
      </c>
      <c r="J706" s="125">
        <f>D706/10 * F706/10 + 2*(E706/10 * G706/10)</f>
        <v/>
      </c>
      <c r="K706" s="125">
        <f>(E706/2)/F706</f>
        <v/>
      </c>
      <c r="L706" s="125">
        <f>I706/G706</f>
        <v/>
      </c>
      <c r="M706" s="125">
        <f>(E706*2+F706*4+((E706-G706)/2-H706)*4+2*PI()*H706+(D706-2*F706-2*H706)*2)/1000</f>
        <v/>
      </c>
      <c r="N706" s="5" t="n">
        <v>340000</v>
      </c>
      <c r="O706" s="5" t="n">
        <v>14400</v>
      </c>
      <c r="P706" s="125" t="n">
        <v>33</v>
      </c>
      <c r="Q706" s="125" t="n">
        <v>6.8</v>
      </c>
      <c r="R706" s="5" t="n">
        <v>8500</v>
      </c>
      <c r="S706" s="125" t="n">
        <v>962</v>
      </c>
      <c r="T706" s="5" t="n">
        <v>9640</v>
      </c>
      <c r="U706" s="5" t="n">
        <v>1490</v>
      </c>
      <c r="Y706">
        <f>SQRT((((VLOOKUP($X$4,$A$4:$D$1021,4,FALSE))-D706)^2)+(((VLOOKUP($X$4,$A$4:$E$1021,5,FALSE))-E706)^2))</f>
        <v/>
      </c>
    </row>
    <row r="707">
      <c r="A707" s="125" t="inlineStr">
        <is>
          <t>HY800X228</t>
        </is>
      </c>
      <c r="B707" s="129" t="inlineStr">
        <is>
          <t>HY</t>
        </is>
      </c>
      <c r="C707" s="125" t="n">
        <v>228</v>
      </c>
      <c r="D707" s="125" t="n">
        <v>800</v>
      </c>
      <c r="E707" s="125" t="n">
        <v>300</v>
      </c>
      <c r="F707" s="125" t="n">
        <v>28</v>
      </c>
      <c r="G707" s="125" t="n">
        <v>16</v>
      </c>
      <c r="H707" s="125" t="n">
        <v>18</v>
      </c>
      <c r="I707" s="125">
        <f>D707-(2*(H707+F707))</f>
        <v/>
      </c>
      <c r="J707" s="125">
        <f>D707/10 * F707/10 + 2*(E707/10 * G707/10)</f>
        <v/>
      </c>
      <c r="K707" s="125">
        <f>(E707/2)/F707</f>
        <v/>
      </c>
      <c r="L707" s="125">
        <f>I707/G707</f>
        <v/>
      </c>
      <c r="M707" s="125">
        <f>(E707*2+F707*4+((E707-G707)/2-H707)*4+2*PI()*H707+(D707-2*F707-2*H707)*2)/1000</f>
        <v/>
      </c>
      <c r="N707" s="5" t="n">
        <v>309000</v>
      </c>
      <c r="O707" s="5" t="n">
        <v>12600</v>
      </c>
      <c r="P707" s="125" t="n">
        <v>32.7</v>
      </c>
      <c r="Q707" s="125" t="n">
        <v>6.6</v>
      </c>
      <c r="R707" s="5" t="n">
        <v>7730</v>
      </c>
      <c r="S707" s="125" t="n">
        <v>842</v>
      </c>
      <c r="T707" s="5" t="n">
        <v>8800</v>
      </c>
      <c r="U707" s="5" t="n">
        <v>1310</v>
      </c>
      <c r="Y707">
        <f>SQRT((((VLOOKUP($X$4,$A$4:$D$1021,4,FALSE))-D707)^2)+(((VLOOKUP($X$4,$A$4:$E$1021,5,FALSE))-E707)^2))</f>
        <v/>
      </c>
    </row>
    <row r="708">
      <c r="A708" s="125" t="inlineStr">
        <is>
          <t>HY800X214</t>
        </is>
      </c>
      <c r="B708" s="129" t="inlineStr">
        <is>
          <t>HY</t>
        </is>
      </c>
      <c r="C708" s="125" t="n">
        <v>214</v>
      </c>
      <c r="D708" s="125" t="n">
        <v>800</v>
      </c>
      <c r="E708" s="125" t="n">
        <v>300</v>
      </c>
      <c r="F708" s="125" t="n">
        <v>25</v>
      </c>
      <c r="G708" s="125" t="n">
        <v>16</v>
      </c>
      <c r="H708" s="125" t="n">
        <v>18</v>
      </c>
      <c r="I708" s="125">
        <f>D708-(2*(H708+F708))</f>
        <v/>
      </c>
      <c r="J708" s="125">
        <f>D708/10 * F708/10 + 2*(E708/10 * G708/10)</f>
        <v/>
      </c>
      <c r="K708" s="125">
        <f>(E708/2)/F708</f>
        <v/>
      </c>
      <c r="L708" s="125">
        <f>I708/G708</f>
        <v/>
      </c>
      <c r="M708" s="125">
        <f>(E708*2+F708*4+((E708-G708)/2-H708)*4+2*PI()*H708+(D708-2*F708-2*H708)*2)/1000</f>
        <v/>
      </c>
      <c r="N708" s="5" t="n">
        <v>285000</v>
      </c>
      <c r="O708" s="5" t="n">
        <v>11300</v>
      </c>
      <c r="P708" s="125" t="n">
        <v>32.3</v>
      </c>
      <c r="Q708" s="125" t="n">
        <v>6.4</v>
      </c>
      <c r="R708" s="5" t="n">
        <v>7130</v>
      </c>
      <c r="S708" s="125" t="n">
        <v>752</v>
      </c>
      <c r="T708" s="5" t="n">
        <v>8170</v>
      </c>
      <c r="U708" s="5" t="n">
        <v>1180</v>
      </c>
      <c r="Y708">
        <f>SQRT((((VLOOKUP($X$4,$A$4:$D$1021,4,FALSE))-D708)^2)+(((VLOOKUP($X$4,$A$4:$E$1021,5,FALSE))-E708)^2))</f>
        <v/>
      </c>
    </row>
    <row r="709">
      <c r="A709" s="125" t="inlineStr">
        <is>
          <t>HY800X201</t>
        </is>
      </c>
      <c r="B709" s="129" t="inlineStr">
        <is>
          <t>HY</t>
        </is>
      </c>
      <c r="C709" s="125" t="n">
        <v>201</v>
      </c>
      <c r="D709" s="125" t="n">
        <v>800</v>
      </c>
      <c r="E709" s="125" t="n">
        <v>300</v>
      </c>
      <c r="F709" s="125" t="n">
        <v>22</v>
      </c>
      <c r="G709" s="125" t="n">
        <v>16</v>
      </c>
      <c r="H709" s="125" t="n">
        <v>18</v>
      </c>
      <c r="I709" s="125">
        <f>D709-(2*(H709+F709))</f>
        <v/>
      </c>
      <c r="J709" s="125">
        <f>D709/10 * F709/10 + 2*(E709/10 * G709/10)</f>
        <v/>
      </c>
      <c r="K709" s="125">
        <f>(E709/2)/F709</f>
        <v/>
      </c>
      <c r="L709" s="125">
        <f>I709/G709</f>
        <v/>
      </c>
      <c r="M709" s="125">
        <f>(E709*2+F709*4+((E709-G709)/2-H709)*4+2*PI()*H709+(D709-2*F709-2*H709)*2)/1000</f>
        <v/>
      </c>
      <c r="N709" s="5" t="n">
        <v>261000</v>
      </c>
      <c r="O709" s="5" t="n">
        <v>9930</v>
      </c>
      <c r="P709" s="125" t="n">
        <v>32</v>
      </c>
      <c r="Q709" s="125" t="n">
        <v>6.2</v>
      </c>
      <c r="R709" s="5" t="n">
        <v>6530</v>
      </c>
      <c r="S709" s="125" t="n">
        <v>662</v>
      </c>
      <c r="T709" s="5" t="n">
        <v>7520</v>
      </c>
      <c r="U709" s="5" t="n">
        <v>1040</v>
      </c>
      <c r="Y709">
        <f>SQRT((((VLOOKUP($X$4,$A$4:$D$1021,4,FALSE))-D709)^2)+(((VLOOKUP($X$4,$A$4:$E$1021,5,FALSE))-E709)^2))</f>
        <v/>
      </c>
    </row>
    <row r="710">
      <c r="A710" s="125" t="inlineStr">
        <is>
          <t>HY800X234</t>
        </is>
      </c>
      <c r="B710" s="129" t="inlineStr">
        <is>
          <t>HY</t>
        </is>
      </c>
      <c r="C710" s="125" t="n">
        <v>234</v>
      </c>
      <c r="D710" s="125" t="n">
        <v>800</v>
      </c>
      <c r="E710" s="125" t="n">
        <v>300</v>
      </c>
      <c r="F710" s="125" t="n">
        <v>32</v>
      </c>
      <c r="G710" s="125" t="n">
        <v>14</v>
      </c>
      <c r="H710" s="125" t="n">
        <v>18</v>
      </c>
      <c r="I710" s="125">
        <f>D710-(2*(H710+F710))</f>
        <v/>
      </c>
      <c r="J710" s="125">
        <f>D710/10 * F710/10 + 2*(E710/10 * G710/10)</f>
        <v/>
      </c>
      <c r="K710" s="125">
        <f>(E710/2)/F710</f>
        <v/>
      </c>
      <c r="L710" s="125">
        <f>I710/G710</f>
        <v/>
      </c>
      <c r="M710" s="125">
        <f>(E710*2+F710*4+((E710-G710)/2-H710)*4+2*PI()*H710+(D710-2*F710-2*H710)*2)/1000</f>
        <v/>
      </c>
      <c r="N710" s="5" t="n">
        <v>333000</v>
      </c>
      <c r="O710" s="5" t="n">
        <v>14400</v>
      </c>
      <c r="P710" s="125" t="n">
        <v>33.5</v>
      </c>
      <c r="Q710" s="125" t="n">
        <v>7</v>
      </c>
      <c r="R710" s="5" t="n">
        <v>8340</v>
      </c>
      <c r="S710" s="125" t="n">
        <v>961</v>
      </c>
      <c r="T710" s="5" t="n">
        <v>9370</v>
      </c>
      <c r="U710" s="5" t="n">
        <v>1480</v>
      </c>
      <c r="Y710">
        <f>SQRT((((VLOOKUP($X$4,$A$4:$D$1021,4,FALSE))-D710)^2)+(((VLOOKUP($X$4,$A$4:$E$1021,5,FALSE))-E710)^2))</f>
        <v/>
      </c>
    </row>
    <row r="711">
      <c r="A711" s="125" t="inlineStr">
        <is>
          <t>HY800X216</t>
        </is>
      </c>
      <c r="B711" s="129" t="inlineStr">
        <is>
          <t>HY</t>
        </is>
      </c>
      <c r="C711" s="125" t="n">
        <v>216</v>
      </c>
      <c r="D711" s="125" t="n">
        <v>800</v>
      </c>
      <c r="E711" s="125" t="n">
        <v>300</v>
      </c>
      <c r="F711" s="125" t="n">
        <v>28</v>
      </c>
      <c r="G711" s="125" t="n">
        <v>14</v>
      </c>
      <c r="H711" s="125" t="n">
        <v>18</v>
      </c>
      <c r="I711" s="125">
        <f>D711-(2*(H711+F711))</f>
        <v/>
      </c>
      <c r="J711" s="125">
        <f>D711/10 * F711/10 + 2*(E711/10 * G711/10)</f>
        <v/>
      </c>
      <c r="K711" s="125">
        <f>(E711/2)/F711</f>
        <v/>
      </c>
      <c r="L711" s="125">
        <f>I711/G711</f>
        <v/>
      </c>
      <c r="M711" s="125">
        <f>(E711*2+F711*4+((E711-G711)/2-H711)*4+2*PI()*H711+(D711-2*F711-2*H711)*2)/1000</f>
        <v/>
      </c>
      <c r="N711" s="5" t="n">
        <v>302000</v>
      </c>
      <c r="O711" s="5" t="n">
        <v>12600</v>
      </c>
      <c r="P711" s="125" t="n">
        <v>33.2</v>
      </c>
      <c r="Q711" s="125" t="n">
        <v>6.8</v>
      </c>
      <c r="R711" s="5" t="n">
        <v>7560</v>
      </c>
      <c r="S711" s="125" t="n">
        <v>841</v>
      </c>
      <c r="T711" s="5" t="n">
        <v>8520</v>
      </c>
      <c r="U711" s="5" t="n">
        <v>1300</v>
      </c>
      <c r="Y711">
        <f>SQRT((((VLOOKUP($X$4,$A$4:$D$1021,4,FALSE))-D711)^2)+(((VLOOKUP($X$4,$A$4:$E$1021,5,FALSE))-E711)^2))</f>
        <v/>
      </c>
    </row>
    <row r="712">
      <c r="A712" s="125" t="inlineStr">
        <is>
          <t>HY800X202</t>
        </is>
      </c>
      <c r="B712" s="129" t="inlineStr">
        <is>
          <t>HY</t>
        </is>
      </c>
      <c r="C712" s="125" t="n">
        <v>202</v>
      </c>
      <c r="D712" s="125" t="n">
        <v>800</v>
      </c>
      <c r="E712" s="125" t="n">
        <v>300</v>
      </c>
      <c r="F712" s="125" t="n">
        <v>25</v>
      </c>
      <c r="G712" s="125" t="n">
        <v>14</v>
      </c>
      <c r="H712" s="125" t="n">
        <v>18</v>
      </c>
      <c r="I712" s="125">
        <f>D712-(2*(H712+F712))</f>
        <v/>
      </c>
      <c r="J712" s="125">
        <f>D712/10 * F712/10 + 2*(E712/10 * G712/10)</f>
        <v/>
      </c>
      <c r="K712" s="125">
        <f>(E712/2)/F712</f>
        <v/>
      </c>
      <c r="L712" s="125">
        <f>I712/G712</f>
        <v/>
      </c>
      <c r="M712" s="125">
        <f>(E712*2+F712*4+((E712-G712)/2-H712)*4+2*PI()*H712+(D712-2*F712-2*H712)*2)/1000</f>
        <v/>
      </c>
      <c r="N712" s="5" t="n">
        <v>278000</v>
      </c>
      <c r="O712" s="5" t="n">
        <v>11300</v>
      </c>
      <c r="P712" s="125" t="n">
        <v>32.9</v>
      </c>
      <c r="Q712" s="125" t="n">
        <v>6.6</v>
      </c>
      <c r="R712" s="5" t="n">
        <v>6960</v>
      </c>
      <c r="S712" s="125" t="n">
        <v>751</v>
      </c>
      <c r="T712" s="5" t="n">
        <v>7880</v>
      </c>
      <c r="U712" s="5" t="n">
        <v>1160</v>
      </c>
      <c r="Y712">
        <f>SQRT((((VLOOKUP($X$4,$A$4:$D$1021,4,FALSE))-D712)^2)+(((VLOOKUP($X$4,$A$4:$E$1021,5,FALSE))-E712)^2))</f>
        <v/>
      </c>
    </row>
    <row r="713">
      <c r="A713" s="125" t="inlineStr">
        <is>
          <t>HY800X189</t>
        </is>
      </c>
      <c r="B713" s="129" t="inlineStr">
        <is>
          <t>HY</t>
        </is>
      </c>
      <c r="C713" s="125" t="n">
        <v>189</v>
      </c>
      <c r="D713" s="125" t="n">
        <v>800</v>
      </c>
      <c r="E713" s="125" t="n">
        <v>300</v>
      </c>
      <c r="F713" s="125" t="n">
        <v>22</v>
      </c>
      <c r="G713" s="125" t="n">
        <v>14</v>
      </c>
      <c r="H713" s="125" t="n">
        <v>18</v>
      </c>
      <c r="I713" s="125">
        <f>D713-(2*(H713+F713))</f>
        <v/>
      </c>
      <c r="J713" s="125">
        <f>D713/10 * F713/10 + 2*(E713/10 * G713/10)</f>
        <v/>
      </c>
      <c r="K713" s="125">
        <f>(E713/2)/F713</f>
        <v/>
      </c>
      <c r="L713" s="125">
        <f>I713/G713</f>
        <v/>
      </c>
      <c r="M713" s="125">
        <f>(E713*2+F713*4+((E713-G713)/2-H713)*4+2*PI()*H713+(D713-2*F713-2*H713)*2)/1000</f>
        <v/>
      </c>
      <c r="N713" s="5" t="n">
        <v>254000</v>
      </c>
      <c r="O713" s="5" t="n">
        <v>9920</v>
      </c>
      <c r="P713" s="125" t="n">
        <v>32.5</v>
      </c>
      <c r="Q713" s="125" t="n">
        <v>6.4</v>
      </c>
      <c r="R713" s="5" t="n">
        <v>6350</v>
      </c>
      <c r="S713" s="125" t="n">
        <v>661</v>
      </c>
      <c r="T713" s="5" t="n">
        <v>7240</v>
      </c>
      <c r="U713" s="5" t="n">
        <v>1030</v>
      </c>
      <c r="Y713">
        <f>SQRT((((VLOOKUP($X$4,$A$4:$D$1021,4,FALSE))-D713)^2)+(((VLOOKUP($X$4,$A$4:$E$1021,5,FALSE))-E713)^2))</f>
        <v/>
      </c>
    </row>
    <row r="714">
      <c r="A714" s="125" t="inlineStr">
        <is>
          <t>HY800X191</t>
        </is>
      </c>
      <c r="B714" s="129" t="inlineStr">
        <is>
          <t>HY</t>
        </is>
      </c>
      <c r="C714" s="125" t="n">
        <v>191</v>
      </c>
      <c r="D714" s="125" t="n">
        <v>800</v>
      </c>
      <c r="E714" s="125" t="n">
        <v>300</v>
      </c>
      <c r="F714" s="125" t="n">
        <v>25</v>
      </c>
      <c r="G714" s="125" t="n">
        <v>12</v>
      </c>
      <c r="H714" s="125" t="n">
        <v>18</v>
      </c>
      <c r="I714" s="125">
        <f>D714-(2*(H714+F714))</f>
        <v/>
      </c>
      <c r="J714" s="125">
        <f>D714/10 * F714/10 + 2*(E714/10 * G714/10)</f>
        <v/>
      </c>
      <c r="K714" s="125">
        <f>(E714/2)/F714</f>
        <v/>
      </c>
      <c r="L714" s="125">
        <f>I714/G714</f>
        <v/>
      </c>
      <c r="M714" s="125">
        <f>(E714*2+F714*4+((E714-G714)/2-H714)*4+2*PI()*H714+(D714-2*F714-2*H714)*2)/1000</f>
        <v/>
      </c>
      <c r="N714" s="5" t="n">
        <v>271000</v>
      </c>
      <c r="O714" s="5" t="n">
        <v>11300</v>
      </c>
      <c r="P714" s="125" t="n">
        <v>33.4</v>
      </c>
      <c r="Q714" s="125" t="n">
        <v>6.8</v>
      </c>
      <c r="R714" s="5" t="n">
        <v>6780</v>
      </c>
      <c r="S714" s="125" t="n">
        <v>751</v>
      </c>
      <c r="T714" s="5" t="n">
        <v>7600</v>
      </c>
      <c r="U714" s="5" t="n">
        <v>1150</v>
      </c>
      <c r="Y714">
        <f>SQRT((((VLOOKUP($X$4,$A$4:$D$1021,4,FALSE))-D714)^2)+(((VLOOKUP($X$4,$A$4:$E$1021,5,FALSE))-E714)^2))</f>
        <v/>
      </c>
    </row>
    <row r="715">
      <c r="A715" s="125" t="inlineStr">
        <is>
          <t>HY800X177</t>
        </is>
      </c>
      <c r="B715" s="129" t="inlineStr">
        <is>
          <t>HY</t>
        </is>
      </c>
      <c r="C715" s="125" t="n">
        <v>177</v>
      </c>
      <c r="D715" s="125" t="n">
        <v>800</v>
      </c>
      <c r="E715" s="125" t="n">
        <v>300</v>
      </c>
      <c r="F715" s="125" t="n">
        <v>22</v>
      </c>
      <c r="G715" s="125" t="n">
        <v>12</v>
      </c>
      <c r="H715" s="125" t="n">
        <v>18</v>
      </c>
      <c r="I715" s="125">
        <f>D715-(2*(H715+F715))</f>
        <v/>
      </c>
      <c r="J715" s="125">
        <f>D715/10 * F715/10 + 2*(E715/10 * G715/10)</f>
        <v/>
      </c>
      <c r="K715" s="125">
        <f>(E715/2)/F715</f>
        <v/>
      </c>
      <c r="L715" s="125">
        <f>I715/G715</f>
        <v/>
      </c>
      <c r="M715" s="125">
        <f>(E715*2+F715*4+((E715-G715)/2-H715)*4+2*PI()*H715+(D715-2*F715-2*H715)*2)/1000</f>
        <v/>
      </c>
      <c r="N715" s="5" t="n">
        <v>247000</v>
      </c>
      <c r="O715" s="5" t="n">
        <v>9910</v>
      </c>
      <c r="P715" s="125" t="n">
        <v>33.1</v>
      </c>
      <c r="Q715" s="125" t="n">
        <v>6.6</v>
      </c>
      <c r="R715" s="5" t="n">
        <v>6170</v>
      </c>
      <c r="S715" s="125" t="n">
        <v>661</v>
      </c>
      <c r="T715" s="5" t="n">
        <v>6950</v>
      </c>
      <c r="U715" s="5" t="n">
        <v>1020</v>
      </c>
      <c r="Y715">
        <f>SQRT((((VLOOKUP($X$4,$A$4:$D$1021,4,FALSE))-D715)^2)+(((VLOOKUP($X$4,$A$4:$E$1021,5,FALSE))-E715)^2))</f>
        <v/>
      </c>
    </row>
    <row r="716">
      <c r="A716" s="125" t="inlineStr">
        <is>
          <t>HY800X267</t>
        </is>
      </c>
      <c r="B716" s="129" t="inlineStr">
        <is>
          <t>HY</t>
        </is>
      </c>
      <c r="C716" s="125" t="n">
        <v>267</v>
      </c>
      <c r="D716" s="125" t="n">
        <v>800</v>
      </c>
      <c r="E716" s="125" t="n">
        <v>250</v>
      </c>
      <c r="F716" s="125" t="n">
        <v>40</v>
      </c>
      <c r="G716" s="125" t="n">
        <v>19</v>
      </c>
      <c r="H716" s="125" t="n">
        <v>18</v>
      </c>
      <c r="I716" s="125">
        <f>D716-(2*(H716+F716))</f>
        <v/>
      </c>
      <c r="J716" s="125">
        <f>D716/10 * F716/10 + 2*(E716/10 * G716/10)</f>
        <v/>
      </c>
      <c r="K716" s="125">
        <f>(E716/2)/F716</f>
        <v/>
      </c>
      <c r="L716" s="125">
        <f>I716/G716</f>
        <v/>
      </c>
      <c r="M716" s="125">
        <f>(E716*2+F716*4+((E716-G716)/2-H716)*4+2*PI()*H716+(D716-2*F716-2*H716)*2)/1000</f>
        <v/>
      </c>
      <c r="N716" s="5" t="n">
        <v>352000</v>
      </c>
      <c r="O716" s="5" t="n">
        <v>10500</v>
      </c>
      <c r="P716" s="125" t="n">
        <v>32.2</v>
      </c>
      <c r="Q716" s="125" t="n">
        <v>5.6</v>
      </c>
      <c r="R716" s="5" t="n">
        <v>8790</v>
      </c>
      <c r="S716" s="125" t="n">
        <v>837</v>
      </c>
      <c r="T716" s="5" t="n">
        <v>10200</v>
      </c>
      <c r="U716" s="5" t="n">
        <v>1320</v>
      </c>
      <c r="Y716">
        <f>SQRT((((VLOOKUP($X$4,$A$4:$D$1021,4,FALSE))-D716)^2)+(((VLOOKUP($X$4,$A$4:$E$1021,5,FALSE))-E716)^2))</f>
        <v/>
      </c>
    </row>
    <row r="717">
      <c r="A717" s="125" t="inlineStr">
        <is>
          <t>HY800X252</t>
        </is>
      </c>
      <c r="B717" s="129" t="inlineStr">
        <is>
          <t>HY</t>
        </is>
      </c>
      <c r="C717" s="125" t="n">
        <v>252</v>
      </c>
      <c r="D717" s="125" t="n">
        <v>800</v>
      </c>
      <c r="E717" s="125" t="n">
        <v>250</v>
      </c>
      <c r="F717" s="125" t="n">
        <v>36</v>
      </c>
      <c r="G717" s="125" t="n">
        <v>19</v>
      </c>
      <c r="H717" s="125" t="n">
        <v>18</v>
      </c>
      <c r="I717" s="125">
        <f>D717-(2*(H717+F717))</f>
        <v/>
      </c>
      <c r="J717" s="125">
        <f>D717/10 * F717/10 + 2*(E717/10 * G717/10)</f>
        <v/>
      </c>
      <c r="K717" s="125">
        <f>(E717/2)/F717</f>
        <v/>
      </c>
      <c r="L717" s="125">
        <f>I717/G717</f>
        <v/>
      </c>
      <c r="M717" s="125">
        <f>(E717*2+F717*4+((E717-G717)/2-H717)*4+2*PI()*H717+(D717-2*F717-2*H717)*2)/1000</f>
        <v/>
      </c>
      <c r="N717" s="5" t="n">
        <v>328000</v>
      </c>
      <c r="O717" s="5" t="n">
        <v>9420</v>
      </c>
      <c r="P717" s="125" t="n">
        <v>31.9</v>
      </c>
      <c r="Q717" s="125" t="n">
        <v>5.4</v>
      </c>
      <c r="R717" s="5" t="n">
        <v>8190</v>
      </c>
      <c r="S717" s="125" t="n">
        <v>754</v>
      </c>
      <c r="T717" s="5" t="n">
        <v>9490</v>
      </c>
      <c r="U717" s="5" t="n">
        <v>1190</v>
      </c>
      <c r="Y717">
        <f>SQRT((((VLOOKUP($X$4,$A$4:$D$1021,4,FALSE))-D717)^2)+(((VLOOKUP($X$4,$A$4:$E$1021,5,FALSE))-E717)^2))</f>
        <v/>
      </c>
    </row>
    <row r="718">
      <c r="A718" s="125" t="inlineStr">
        <is>
          <t>HY800X238</t>
        </is>
      </c>
      <c r="B718" s="129" t="inlineStr">
        <is>
          <t>HY</t>
        </is>
      </c>
      <c r="C718" s="125" t="n">
        <v>238</v>
      </c>
      <c r="D718" s="125" t="n">
        <v>800</v>
      </c>
      <c r="E718" s="125" t="n">
        <v>250</v>
      </c>
      <c r="F718" s="125" t="n">
        <v>32</v>
      </c>
      <c r="G718" s="125" t="n">
        <v>19</v>
      </c>
      <c r="H718" s="125" t="n">
        <v>18</v>
      </c>
      <c r="I718" s="125">
        <f>D718-(2*(H718+F718))</f>
        <v/>
      </c>
      <c r="J718" s="125">
        <f>D718/10 * F718/10 + 2*(E718/10 * G718/10)</f>
        <v/>
      </c>
      <c r="K718" s="125">
        <f>(E718/2)/F718</f>
        <v/>
      </c>
      <c r="L718" s="125">
        <f>I718/G718</f>
        <v/>
      </c>
      <c r="M718" s="125">
        <f>(E718*2+F718*4+((E718-G718)/2-H718)*4+2*PI()*H718+(D718-2*F718-2*H718)*2)/1000</f>
        <v/>
      </c>
      <c r="N718" s="5" t="n">
        <v>303000</v>
      </c>
      <c r="O718" s="5" t="n">
        <v>8380</v>
      </c>
      <c r="P718" s="125" t="n">
        <v>31.6</v>
      </c>
      <c r="Q718" s="125" t="n">
        <v>5.3</v>
      </c>
      <c r="R718" s="5" t="n">
        <v>7570</v>
      </c>
      <c r="S718" s="125" t="n">
        <v>670</v>
      </c>
      <c r="T718" s="5" t="n">
        <v>8820</v>
      </c>
      <c r="U718" s="5" t="n">
        <v>1070</v>
      </c>
      <c r="Y718">
        <f>SQRT((((VLOOKUP($X$4,$A$4:$D$1021,4,FALSE))-D718)^2)+(((VLOOKUP($X$4,$A$4:$E$1021,5,FALSE))-E718)^2))</f>
        <v/>
      </c>
    </row>
    <row r="719">
      <c r="A719" s="125" t="inlineStr">
        <is>
          <t>HY800X223</t>
        </is>
      </c>
      <c r="B719" s="129" t="inlineStr">
        <is>
          <t>HY</t>
        </is>
      </c>
      <c r="C719" s="125" t="n">
        <v>223</v>
      </c>
      <c r="D719" s="125" t="n">
        <v>800</v>
      </c>
      <c r="E719" s="125" t="n">
        <v>250</v>
      </c>
      <c r="F719" s="125" t="n">
        <v>28</v>
      </c>
      <c r="G719" s="125" t="n">
        <v>19</v>
      </c>
      <c r="H719" s="125" t="n">
        <v>18</v>
      </c>
      <c r="I719" s="125">
        <f>D719-(2*(H719+F719))</f>
        <v/>
      </c>
      <c r="J719" s="125">
        <f>D719/10 * F719/10 + 2*(E719/10 * G719/10)</f>
        <v/>
      </c>
      <c r="K719" s="125">
        <f>(E719/2)/F719</f>
        <v/>
      </c>
      <c r="L719" s="125">
        <f>I719/G719</f>
        <v/>
      </c>
      <c r="M719" s="125">
        <f>(E719*2+F719*4+((E719-G719)/2-H719)*4+2*PI()*H719+(D719-2*F719-2*H719)*2)/1000</f>
        <v/>
      </c>
      <c r="N719" s="5" t="n">
        <v>278000</v>
      </c>
      <c r="O719" s="5" t="n">
        <v>7340</v>
      </c>
      <c r="P719" s="125" t="n">
        <v>31.3</v>
      </c>
      <c r="Q719" s="125" t="n">
        <v>5.1</v>
      </c>
      <c r="R719" s="5" t="n">
        <v>6940</v>
      </c>
      <c r="S719" s="125" t="n">
        <v>587</v>
      </c>
      <c r="T719" s="5" t="n">
        <v>8140</v>
      </c>
      <c r="U719" s="125" t="n">
        <v>946</v>
      </c>
      <c r="Y719">
        <f>SQRT((((VLOOKUP($X$4,$A$4:$D$1021,4,FALSE))-D719)^2)+(((VLOOKUP($X$4,$A$4:$E$1021,5,FALSE))-E719)^2))</f>
        <v/>
      </c>
    </row>
    <row r="720">
      <c r="A720" s="125" t="inlineStr">
        <is>
          <t>HY800X212</t>
        </is>
      </c>
      <c r="B720" s="129" t="inlineStr">
        <is>
          <t>HY</t>
        </is>
      </c>
      <c r="C720" s="125" t="n">
        <v>212</v>
      </c>
      <c r="D720" s="125" t="n">
        <v>800</v>
      </c>
      <c r="E720" s="125" t="n">
        <v>250</v>
      </c>
      <c r="F720" s="125" t="n">
        <v>25</v>
      </c>
      <c r="G720" s="125" t="n">
        <v>19</v>
      </c>
      <c r="H720" s="125" t="n">
        <v>18</v>
      </c>
      <c r="I720" s="125">
        <f>D720-(2*(H720+F720))</f>
        <v/>
      </c>
      <c r="J720" s="125">
        <f>D720/10 * F720/10 + 2*(E720/10 * G720/10)</f>
        <v/>
      </c>
      <c r="K720" s="125">
        <f>(E720/2)/F720</f>
        <v/>
      </c>
      <c r="L720" s="125">
        <f>I720/G720</f>
        <v/>
      </c>
      <c r="M720" s="125">
        <f>(E720*2+F720*4+((E720-G720)/2-H720)*4+2*PI()*H720+(D720-2*F720-2*H720)*2)/1000</f>
        <v/>
      </c>
      <c r="N720" s="5" t="n">
        <v>258000</v>
      </c>
      <c r="O720" s="5" t="n">
        <v>6560</v>
      </c>
      <c r="P720" s="125" t="n">
        <v>30.9</v>
      </c>
      <c r="Q720" s="125" t="n">
        <v>4.9</v>
      </c>
      <c r="R720" s="5" t="n">
        <v>6460</v>
      </c>
      <c r="S720" s="125" t="n">
        <v>525</v>
      </c>
      <c r="T720" s="5" t="n">
        <v>7620</v>
      </c>
      <c r="U720" s="125" t="n">
        <v>853</v>
      </c>
      <c r="Y720">
        <f>SQRT((((VLOOKUP($X$4,$A$4:$D$1021,4,FALSE))-D720)^2)+(((VLOOKUP($X$4,$A$4:$E$1021,5,FALSE))-E720)^2))</f>
        <v/>
      </c>
    </row>
    <row r="721">
      <c r="A721" s="125" t="inlineStr">
        <is>
          <t>HY800X201</t>
        </is>
      </c>
      <c r="B721" s="129" t="inlineStr">
        <is>
          <t>HY</t>
        </is>
      </c>
      <c r="C721" s="125" t="n">
        <v>201</v>
      </c>
      <c r="D721" s="125" t="n">
        <v>800</v>
      </c>
      <c r="E721" s="125" t="n">
        <v>250</v>
      </c>
      <c r="F721" s="125" t="n">
        <v>22</v>
      </c>
      <c r="G721" s="125" t="n">
        <v>19</v>
      </c>
      <c r="H721" s="125" t="n">
        <v>18</v>
      </c>
      <c r="I721" s="125">
        <f>D721-(2*(H721+F721))</f>
        <v/>
      </c>
      <c r="J721" s="125">
        <f>D721/10 * F721/10 + 2*(E721/10 * G721/10)</f>
        <v/>
      </c>
      <c r="K721" s="125">
        <f>(E721/2)/F721</f>
        <v/>
      </c>
      <c r="L721" s="125">
        <f>I721/G721</f>
        <v/>
      </c>
      <c r="M721" s="125">
        <f>(E721*2+F721*4+((E721-G721)/2-H721)*4+2*PI()*H721+(D721-2*F721-2*H721)*2)/1000</f>
        <v/>
      </c>
      <c r="N721" s="5" t="n">
        <v>239000</v>
      </c>
      <c r="O721" s="5" t="n">
        <v>5780</v>
      </c>
      <c r="P721" s="125" t="n">
        <v>30.5</v>
      </c>
      <c r="Q721" s="125" t="n">
        <v>4.8</v>
      </c>
      <c r="R721" s="5" t="n">
        <v>5970</v>
      </c>
      <c r="S721" s="125" t="n">
        <v>462</v>
      </c>
      <c r="T721" s="5" t="n">
        <v>7100</v>
      </c>
      <c r="U721" s="125" t="n">
        <v>759</v>
      </c>
      <c r="Y721">
        <f>SQRT((((VLOOKUP($X$4,$A$4:$D$1021,4,FALSE))-D721)^2)+(((VLOOKUP($X$4,$A$4:$E$1021,5,FALSE))-E721)^2))</f>
        <v/>
      </c>
    </row>
    <row r="722">
      <c r="A722" s="125" t="inlineStr">
        <is>
          <t>HY800X220</t>
        </is>
      </c>
      <c r="B722" s="129" t="inlineStr">
        <is>
          <t>HY</t>
        </is>
      </c>
      <c r="C722" s="125" t="n">
        <v>220</v>
      </c>
      <c r="D722" s="125" t="n">
        <v>800</v>
      </c>
      <c r="E722" s="125" t="n">
        <v>250</v>
      </c>
      <c r="F722" s="125" t="n">
        <v>32</v>
      </c>
      <c r="G722" s="125" t="n">
        <v>16</v>
      </c>
      <c r="H722" s="125" t="n">
        <v>18</v>
      </c>
      <c r="I722" s="125">
        <f>D722-(2*(H722+F722))</f>
        <v/>
      </c>
      <c r="J722" s="125">
        <f>D722/10 * F722/10 + 2*(E722/10 * G722/10)</f>
        <v/>
      </c>
      <c r="K722" s="125">
        <f>(E722/2)/F722</f>
        <v/>
      </c>
      <c r="L722" s="125">
        <f>I722/G722</f>
        <v/>
      </c>
      <c r="M722" s="125">
        <f>(E722*2+F722*4+((E722-G722)/2-H722)*4+2*PI()*H722+(D722-2*F722-2*H722)*2)/1000</f>
        <v/>
      </c>
      <c r="N722" s="5" t="n">
        <v>293000</v>
      </c>
      <c r="O722" s="5" t="n">
        <v>8360</v>
      </c>
      <c r="P722" s="125" t="n">
        <v>32.3</v>
      </c>
      <c r="Q722" s="125" t="n">
        <v>5.5</v>
      </c>
      <c r="R722" s="5" t="n">
        <v>7320</v>
      </c>
      <c r="S722" s="125" t="n">
        <v>669</v>
      </c>
      <c r="T722" s="5" t="n">
        <v>8410</v>
      </c>
      <c r="U722" s="5" t="n">
        <v>1050</v>
      </c>
      <c r="Y722">
        <f>SQRT((((VLOOKUP($X$4,$A$4:$D$1021,4,FALSE))-D722)^2)+(((VLOOKUP($X$4,$A$4:$E$1021,5,FALSE))-E722)^2))</f>
        <v/>
      </c>
    </row>
    <row r="723">
      <c r="A723" s="125" t="inlineStr">
        <is>
          <t>HY800X206</t>
        </is>
      </c>
      <c r="B723" s="129" t="inlineStr">
        <is>
          <t>HY</t>
        </is>
      </c>
      <c r="C723" s="125" t="n">
        <v>206</v>
      </c>
      <c r="D723" s="125" t="n">
        <v>800</v>
      </c>
      <c r="E723" s="125" t="n">
        <v>250</v>
      </c>
      <c r="F723" s="125" t="n">
        <v>28</v>
      </c>
      <c r="G723" s="125" t="n">
        <v>16</v>
      </c>
      <c r="H723" s="125" t="n">
        <v>18</v>
      </c>
      <c r="I723" s="125">
        <f>D723-(2*(H723+F723))</f>
        <v/>
      </c>
      <c r="J723" s="125">
        <f>D723/10 * F723/10 + 2*(E723/10 * G723/10)</f>
        <v/>
      </c>
      <c r="K723" s="125">
        <f>(E723/2)/F723</f>
        <v/>
      </c>
      <c r="L723" s="125">
        <f>I723/G723</f>
        <v/>
      </c>
      <c r="M723" s="125">
        <f>(E723*2+F723*4+((E723-G723)/2-H723)*4+2*PI()*H723+(D723-2*F723-2*H723)*2)/1000</f>
        <v/>
      </c>
      <c r="N723" s="5" t="n">
        <v>267000</v>
      </c>
      <c r="O723" s="5" t="n">
        <v>7320</v>
      </c>
      <c r="P723" s="125" t="n">
        <v>32</v>
      </c>
      <c r="Q723" s="125" t="n">
        <v>5.3</v>
      </c>
      <c r="R723" s="5" t="n">
        <v>6680</v>
      </c>
      <c r="S723" s="125" t="n">
        <v>586</v>
      </c>
      <c r="T723" s="5" t="n">
        <v>7720</v>
      </c>
      <c r="U723" s="125" t="n">
        <v>926</v>
      </c>
      <c r="Y723">
        <f>SQRT((((VLOOKUP($X$4,$A$4:$D$1021,4,FALSE))-D723)^2)+(((VLOOKUP($X$4,$A$4:$E$1021,5,FALSE))-E723)^2))</f>
        <v/>
      </c>
    </row>
    <row r="724">
      <c r="A724" s="125" t="inlineStr">
        <is>
          <t>HY800X195</t>
        </is>
      </c>
      <c r="B724" s="129" t="inlineStr">
        <is>
          <t>HY</t>
        </is>
      </c>
      <c r="C724" s="125" t="n">
        <v>195</v>
      </c>
      <c r="D724" s="125" t="n">
        <v>800</v>
      </c>
      <c r="E724" s="125" t="n">
        <v>250</v>
      </c>
      <c r="F724" s="125" t="n">
        <v>25</v>
      </c>
      <c r="G724" s="125" t="n">
        <v>16</v>
      </c>
      <c r="H724" s="125" t="n">
        <v>18</v>
      </c>
      <c r="I724" s="125">
        <f>D724-(2*(H724+F724))</f>
        <v/>
      </c>
      <c r="J724" s="125">
        <f>D724/10 * F724/10 + 2*(E724/10 * G724/10)</f>
        <v/>
      </c>
      <c r="K724" s="125">
        <f>(E724/2)/F724</f>
        <v/>
      </c>
      <c r="L724" s="125">
        <f>I724/G724</f>
        <v/>
      </c>
      <c r="M724" s="125">
        <f>(E724*2+F724*4+((E724-G724)/2-H724)*4+2*PI()*H724+(D724-2*F724-2*H724)*2)/1000</f>
        <v/>
      </c>
      <c r="N724" s="5" t="n">
        <v>248000</v>
      </c>
      <c r="O724" s="5" t="n">
        <v>6540</v>
      </c>
      <c r="P724" s="125" t="n">
        <v>31.6</v>
      </c>
      <c r="Q724" s="125" t="n">
        <v>5.1</v>
      </c>
      <c r="R724" s="5" t="n">
        <v>6200</v>
      </c>
      <c r="S724" s="125" t="n">
        <v>523</v>
      </c>
      <c r="T724" s="5" t="n">
        <v>7200</v>
      </c>
      <c r="U724" s="125" t="n">
        <v>833</v>
      </c>
      <c r="Y724">
        <f>SQRT((((VLOOKUP($X$4,$A$4:$D$1021,4,FALSE))-D724)^2)+(((VLOOKUP($X$4,$A$4:$E$1021,5,FALSE))-E724)^2))</f>
        <v/>
      </c>
    </row>
    <row r="725">
      <c r="A725" s="125" t="inlineStr">
        <is>
          <t>HY800X183</t>
        </is>
      </c>
      <c r="B725" s="129" t="inlineStr">
        <is>
          <t>HY</t>
        </is>
      </c>
      <c r="C725" s="125" t="n">
        <v>183</v>
      </c>
      <c r="D725" s="125" t="n">
        <v>800</v>
      </c>
      <c r="E725" s="125" t="n">
        <v>250</v>
      </c>
      <c r="F725" s="125" t="n">
        <v>22</v>
      </c>
      <c r="G725" s="125" t="n">
        <v>16</v>
      </c>
      <c r="H725" s="125" t="n">
        <v>18</v>
      </c>
      <c r="I725" s="125">
        <f>D725-(2*(H725+F725))</f>
        <v/>
      </c>
      <c r="J725" s="125">
        <f>D725/10 * F725/10 + 2*(E725/10 * G725/10)</f>
        <v/>
      </c>
      <c r="K725" s="125">
        <f>(E725/2)/F725</f>
        <v/>
      </c>
      <c r="L725" s="125">
        <f>I725/G725</f>
        <v/>
      </c>
      <c r="M725" s="125">
        <f>(E725*2+F725*4+((E725-G725)/2-H725)*4+2*PI()*H725+(D725-2*F725-2*H725)*2)/1000</f>
        <v/>
      </c>
      <c r="N725" s="5" t="n">
        <v>228000</v>
      </c>
      <c r="O725" s="5" t="n">
        <v>5760</v>
      </c>
      <c r="P725" s="125" t="n">
        <v>31.2</v>
      </c>
      <c r="Q725" s="125" t="n">
        <v>5</v>
      </c>
      <c r="R725" s="5" t="n">
        <v>5700</v>
      </c>
      <c r="S725" s="125" t="n">
        <v>461</v>
      </c>
      <c r="T725" s="5" t="n">
        <v>6670</v>
      </c>
      <c r="U725" s="125" t="n">
        <v>739</v>
      </c>
      <c r="Y725">
        <f>SQRT((((VLOOKUP($X$4,$A$4:$D$1021,4,FALSE))-D725)^2)+(((VLOOKUP($X$4,$A$4:$E$1021,5,FALSE))-E725)^2))</f>
        <v/>
      </c>
    </row>
    <row r="726">
      <c r="A726" s="125" t="inlineStr">
        <is>
          <t>HY800X194</t>
        </is>
      </c>
      <c r="B726" s="129" t="inlineStr">
        <is>
          <t>HY</t>
        </is>
      </c>
      <c r="C726" s="125" t="n">
        <v>194</v>
      </c>
      <c r="D726" s="125" t="n">
        <v>800</v>
      </c>
      <c r="E726" s="125" t="n">
        <v>250</v>
      </c>
      <c r="F726" s="125" t="n">
        <v>28</v>
      </c>
      <c r="G726" s="125" t="n">
        <v>14</v>
      </c>
      <c r="H726" s="125" t="n">
        <v>18</v>
      </c>
      <c r="I726" s="125">
        <f>D726-(2*(H726+F726))</f>
        <v/>
      </c>
      <c r="J726" s="125">
        <f>D726/10 * F726/10 + 2*(E726/10 * G726/10)</f>
        <v/>
      </c>
      <c r="K726" s="125">
        <f>(E726/2)/F726</f>
        <v/>
      </c>
      <c r="L726" s="125">
        <f>I726/G726</f>
        <v/>
      </c>
      <c r="M726" s="125">
        <f>(E726*2+F726*4+((E726-G726)/2-H726)*4+2*PI()*H726+(D726-2*F726-2*H726)*2)/1000</f>
        <v/>
      </c>
      <c r="N726" s="5" t="n">
        <v>260000</v>
      </c>
      <c r="O726" s="5" t="n">
        <v>7310</v>
      </c>
      <c r="P726" s="125" t="n">
        <v>32.5</v>
      </c>
      <c r="Q726" s="125" t="n">
        <v>5.4</v>
      </c>
      <c r="R726" s="5" t="n">
        <v>6510</v>
      </c>
      <c r="S726" s="125" t="n">
        <v>585</v>
      </c>
      <c r="T726" s="5" t="n">
        <v>7440</v>
      </c>
      <c r="U726" s="125" t="n">
        <v>915</v>
      </c>
      <c r="Y726">
        <f>SQRT((((VLOOKUP($X$4,$A$4:$D$1021,4,FALSE))-D726)^2)+(((VLOOKUP($X$4,$A$4:$E$1021,5,FALSE))-E726)^2))</f>
        <v/>
      </c>
    </row>
    <row r="727">
      <c r="A727" s="125" t="inlineStr">
        <is>
          <t>HY800X183</t>
        </is>
      </c>
      <c r="B727" s="129" t="inlineStr">
        <is>
          <t>HY</t>
        </is>
      </c>
      <c r="C727" s="125" t="n">
        <v>183</v>
      </c>
      <c r="D727" s="125" t="n">
        <v>800</v>
      </c>
      <c r="E727" s="125" t="n">
        <v>250</v>
      </c>
      <c r="F727" s="125" t="n">
        <v>25</v>
      </c>
      <c r="G727" s="125" t="n">
        <v>14</v>
      </c>
      <c r="H727" s="125" t="n">
        <v>18</v>
      </c>
      <c r="I727" s="125">
        <f>D727-(2*(H727+F727))</f>
        <v/>
      </c>
      <c r="J727" s="125">
        <f>D727/10 * F727/10 + 2*(E727/10 * G727/10)</f>
        <v/>
      </c>
      <c r="K727" s="125">
        <f>(E727/2)/F727</f>
        <v/>
      </c>
      <c r="L727" s="125">
        <f>I727/G727</f>
        <v/>
      </c>
      <c r="M727" s="125">
        <f>(E727*2+F727*4+((E727-G727)/2-H727)*4+2*PI()*H727+(D727-2*F727-2*H727)*2)/1000</f>
        <v/>
      </c>
      <c r="N727" s="5" t="n">
        <v>241000</v>
      </c>
      <c r="O727" s="5" t="n">
        <v>6530</v>
      </c>
      <c r="P727" s="125" t="n">
        <v>32.2</v>
      </c>
      <c r="Q727" s="125" t="n">
        <v>5.3</v>
      </c>
      <c r="R727" s="5" t="n">
        <v>6020</v>
      </c>
      <c r="S727" s="125" t="n">
        <v>523</v>
      </c>
      <c r="T727" s="5" t="n">
        <v>6920</v>
      </c>
      <c r="U727" s="125" t="n">
        <v>821</v>
      </c>
      <c r="Y727">
        <f>SQRT((((VLOOKUP($X$4,$A$4:$D$1021,4,FALSE))-D727)^2)+(((VLOOKUP($X$4,$A$4:$E$1021,5,FALSE))-E727)^2))</f>
        <v/>
      </c>
    </row>
    <row r="728">
      <c r="A728" s="125" t="inlineStr">
        <is>
          <t>HY800X172</t>
        </is>
      </c>
      <c r="B728" s="129" t="inlineStr">
        <is>
          <t>HY</t>
        </is>
      </c>
      <c r="C728" s="125" t="n">
        <v>172</v>
      </c>
      <c r="D728" s="125" t="n">
        <v>800</v>
      </c>
      <c r="E728" s="125" t="n">
        <v>250</v>
      </c>
      <c r="F728" s="125" t="n">
        <v>22</v>
      </c>
      <c r="G728" s="125" t="n">
        <v>14</v>
      </c>
      <c r="H728" s="125" t="n">
        <v>18</v>
      </c>
      <c r="I728" s="125">
        <f>D728-(2*(H728+F728))</f>
        <v/>
      </c>
      <c r="J728" s="125">
        <f>D728/10 * F728/10 + 2*(E728/10 * G728/10)</f>
        <v/>
      </c>
      <c r="K728" s="125">
        <f>(E728/2)/F728</f>
        <v/>
      </c>
      <c r="L728" s="125">
        <f>I728/G728</f>
        <v/>
      </c>
      <c r="M728" s="125">
        <f>(E728*2+F728*4+((E728-G728)/2-H728)*4+2*PI()*H728+(D728-2*F728-2*H728)*2)/1000</f>
        <v/>
      </c>
      <c r="N728" s="5" t="n">
        <v>221000</v>
      </c>
      <c r="O728" s="5" t="n">
        <v>5750</v>
      </c>
      <c r="P728" s="125" t="n">
        <v>31.8</v>
      </c>
      <c r="Q728" s="125" t="n">
        <v>5.1</v>
      </c>
      <c r="R728" s="5" t="n">
        <v>5520</v>
      </c>
      <c r="S728" s="125" t="n">
        <v>460</v>
      </c>
      <c r="T728" s="5" t="n">
        <v>6380</v>
      </c>
      <c r="U728" s="125" t="n">
        <v>728</v>
      </c>
      <c r="Y728">
        <f>SQRT((((VLOOKUP($X$4,$A$4:$D$1021,4,FALSE))-D728)^2)+(((VLOOKUP($X$4,$A$4:$E$1021,5,FALSE))-E728)^2))</f>
        <v/>
      </c>
    </row>
    <row r="729">
      <c r="A729" s="125" t="inlineStr">
        <is>
          <t>HY800X171</t>
        </is>
      </c>
      <c r="B729" s="129" t="inlineStr">
        <is>
          <t>HY</t>
        </is>
      </c>
      <c r="C729" s="125" t="n">
        <v>171</v>
      </c>
      <c r="D729" s="125" t="n">
        <v>800</v>
      </c>
      <c r="E729" s="125" t="n">
        <v>250</v>
      </c>
      <c r="F729" s="125" t="n">
        <v>25</v>
      </c>
      <c r="G729" s="125" t="n">
        <v>12</v>
      </c>
      <c r="H729" s="125" t="n">
        <v>18</v>
      </c>
      <c r="I729" s="125">
        <f>D729-(2*(H729+F729))</f>
        <v/>
      </c>
      <c r="J729" s="125">
        <f>D729/10 * F729/10 + 2*(E729/10 * G729/10)</f>
        <v/>
      </c>
      <c r="K729" s="125">
        <f>(E729/2)/F729</f>
        <v/>
      </c>
      <c r="L729" s="125">
        <f>I729/G729</f>
        <v/>
      </c>
      <c r="M729" s="125">
        <f>(E729*2+F729*4+((E729-G729)/2-H729)*4+2*PI()*H729+(D729-2*F729-2*H729)*2)/1000</f>
        <v/>
      </c>
      <c r="N729" s="5" t="n">
        <v>234000</v>
      </c>
      <c r="O729" s="5" t="n">
        <v>6520</v>
      </c>
      <c r="P729" s="125" t="n">
        <v>32.8</v>
      </c>
      <c r="Q729" s="125" t="n">
        <v>5.5</v>
      </c>
      <c r="R729" s="5" t="n">
        <v>5840</v>
      </c>
      <c r="S729" s="125" t="n">
        <v>522</v>
      </c>
      <c r="T729" s="5" t="n">
        <v>6630</v>
      </c>
      <c r="U729" s="125" t="n">
        <v>811</v>
      </c>
      <c r="Y729">
        <f>SQRT((((VLOOKUP($X$4,$A$4:$D$1021,4,FALSE))-D729)^2)+(((VLOOKUP($X$4,$A$4:$E$1021,5,FALSE))-E729)^2))</f>
        <v/>
      </c>
    </row>
    <row r="730">
      <c r="A730" s="125" t="inlineStr">
        <is>
          <t>HY800X160</t>
        </is>
      </c>
      <c r="B730" s="129" t="inlineStr">
        <is>
          <t>HY</t>
        </is>
      </c>
      <c r="C730" s="125" t="n">
        <v>160</v>
      </c>
      <c r="D730" s="125" t="n">
        <v>800</v>
      </c>
      <c r="E730" s="125" t="n">
        <v>250</v>
      </c>
      <c r="F730" s="125" t="n">
        <v>22</v>
      </c>
      <c r="G730" s="125" t="n">
        <v>12</v>
      </c>
      <c r="H730" s="125" t="n">
        <v>18</v>
      </c>
      <c r="I730" s="125">
        <f>D730-(2*(H730+F730))</f>
        <v/>
      </c>
      <c r="J730" s="125">
        <f>D730/10 * F730/10 + 2*(E730/10 * G730/10)</f>
        <v/>
      </c>
      <c r="K730" s="125">
        <f>(E730/2)/F730</f>
        <v/>
      </c>
      <c r="L730" s="125">
        <f>I730/G730</f>
        <v/>
      </c>
      <c r="M730" s="125">
        <f>(E730*2+F730*4+((E730-G730)/2-H730)*4+2*PI()*H730+(D730-2*F730-2*H730)*2)/1000</f>
        <v/>
      </c>
      <c r="N730" s="5" t="n">
        <v>214000</v>
      </c>
      <c r="O730" s="5" t="n">
        <v>5740</v>
      </c>
      <c r="P730" s="125" t="n">
        <v>32.4</v>
      </c>
      <c r="Q730" s="125" t="n">
        <v>5.3</v>
      </c>
      <c r="R730" s="5" t="n">
        <v>5340</v>
      </c>
      <c r="S730" s="125" t="n">
        <v>459</v>
      </c>
      <c r="T730" s="5" t="n">
        <v>6100</v>
      </c>
      <c r="U730" s="125" t="n">
        <v>718</v>
      </c>
      <c r="Y730">
        <f>SQRT((((VLOOKUP($X$4,$A$4:$D$1021,4,FALSE))-D730)^2)+(((VLOOKUP($X$4,$A$4:$E$1021,5,FALSE))-E730)^2))</f>
        <v/>
      </c>
    </row>
    <row r="731">
      <c r="A731" s="125" t="inlineStr">
        <is>
          <t>HY750X313</t>
        </is>
      </c>
      <c r="B731" s="129" t="inlineStr">
        <is>
          <t>HY</t>
        </is>
      </c>
      <c r="C731" s="125" t="n">
        <v>313</v>
      </c>
      <c r="D731" s="125" t="n">
        <v>750</v>
      </c>
      <c r="E731" s="125" t="n">
        <v>400</v>
      </c>
      <c r="F731" s="125" t="n">
        <v>36</v>
      </c>
      <c r="G731" s="125" t="n">
        <v>16</v>
      </c>
      <c r="H731" s="125" t="n">
        <v>18</v>
      </c>
      <c r="I731" s="125">
        <f>D731-(2*(H731+F731))</f>
        <v/>
      </c>
      <c r="J731" s="125">
        <f>D731/10 * F731/10 + 2*(E731/10 * G731/10)</f>
        <v/>
      </c>
      <c r="K731" s="125">
        <f>(E731/2)/F731</f>
        <v/>
      </c>
      <c r="L731" s="125">
        <f>I731/G731</f>
        <v/>
      </c>
      <c r="M731" s="125">
        <f>(E731*2+F731*4+((E731-G731)/2-H731)*4+2*PI()*H731+(D731-2*F731-2*H731)*2)/1000</f>
        <v/>
      </c>
      <c r="N731" s="5" t="n">
        <v>412000</v>
      </c>
      <c r="O731" s="5" t="n">
        <v>38400</v>
      </c>
      <c r="P731" s="125" t="n">
        <v>32.1</v>
      </c>
      <c r="Q731" s="125" t="n">
        <v>9.800000000000001</v>
      </c>
      <c r="R731" s="5" t="n">
        <v>11000</v>
      </c>
      <c r="S731" s="5" t="n">
        <v>1920</v>
      </c>
      <c r="T731" s="5" t="n">
        <v>12200</v>
      </c>
      <c r="U731" s="5" t="n">
        <v>2930</v>
      </c>
      <c r="Y731">
        <f>SQRT((((VLOOKUP($X$4,$A$4:$D$1021,4,FALSE))-D731)^2)+(((VLOOKUP($X$4,$A$4:$E$1021,5,FALSE))-E731)^2))</f>
        <v/>
      </c>
    </row>
    <row r="732">
      <c r="A732" s="125" t="inlineStr">
        <is>
          <t>HY750X289</t>
        </is>
      </c>
      <c r="B732" s="129" t="inlineStr">
        <is>
          <t>HY</t>
        </is>
      </c>
      <c r="C732" s="125" t="n">
        <v>289</v>
      </c>
      <c r="D732" s="125" t="n">
        <v>750</v>
      </c>
      <c r="E732" s="125" t="n">
        <v>400</v>
      </c>
      <c r="F732" s="125" t="n">
        <v>32</v>
      </c>
      <c r="G732" s="125" t="n">
        <v>16</v>
      </c>
      <c r="H732" s="125" t="n">
        <v>18</v>
      </c>
      <c r="I732" s="125">
        <f>D732-(2*(H732+F732))</f>
        <v/>
      </c>
      <c r="J732" s="125">
        <f>D732/10 * F732/10 + 2*(E732/10 * G732/10)</f>
        <v/>
      </c>
      <c r="K732" s="125">
        <f>(E732/2)/F732</f>
        <v/>
      </c>
      <c r="L732" s="125">
        <f>I732/G732</f>
        <v/>
      </c>
      <c r="M732" s="125">
        <f>(E732*2+F732*4+((E732-G732)/2-H732)*4+2*PI()*H732+(D732-2*F732-2*H732)*2)/1000</f>
        <v/>
      </c>
      <c r="N732" s="5" t="n">
        <v>376000</v>
      </c>
      <c r="O732" s="5" t="n">
        <v>34200</v>
      </c>
      <c r="P732" s="125" t="n">
        <v>32</v>
      </c>
      <c r="Q732" s="125" t="n">
        <v>9.6</v>
      </c>
      <c r="R732" s="5" t="n">
        <v>10000</v>
      </c>
      <c r="S732" s="5" t="n">
        <v>1710</v>
      </c>
      <c r="T732" s="5" t="n">
        <v>11200</v>
      </c>
      <c r="U732" s="5" t="n">
        <v>2610</v>
      </c>
      <c r="Y732">
        <f>SQRT((((VLOOKUP($X$4,$A$4:$D$1021,4,FALSE))-D732)^2)+(((VLOOKUP($X$4,$A$4:$E$1021,5,FALSE))-E732)^2))</f>
        <v/>
      </c>
    </row>
    <row r="733">
      <c r="A733" s="125" t="inlineStr">
        <is>
          <t>HY750X265</t>
        </is>
      </c>
      <c r="B733" s="129" t="inlineStr">
        <is>
          <t>HY</t>
        </is>
      </c>
      <c r="C733" s="125" t="n">
        <v>265</v>
      </c>
      <c r="D733" s="125" t="n">
        <v>750</v>
      </c>
      <c r="E733" s="125" t="n">
        <v>400</v>
      </c>
      <c r="F733" s="125" t="n">
        <v>28</v>
      </c>
      <c r="G733" s="125" t="n">
        <v>16</v>
      </c>
      <c r="H733" s="125" t="n">
        <v>18</v>
      </c>
      <c r="I733" s="125">
        <f>D733-(2*(H733+F733))</f>
        <v/>
      </c>
      <c r="J733" s="125">
        <f>D733/10 * F733/10 + 2*(E733/10 * G733/10)</f>
        <v/>
      </c>
      <c r="K733" s="125">
        <f>(E733/2)/F733</f>
        <v/>
      </c>
      <c r="L733" s="125">
        <f>I733/G733</f>
        <v/>
      </c>
      <c r="M733" s="125">
        <f>(E733*2+F733*4+((E733-G733)/2-H733)*4+2*PI()*H733+(D733-2*F733-2*H733)*2)/1000</f>
        <v/>
      </c>
      <c r="N733" s="5" t="n">
        <v>340000</v>
      </c>
      <c r="O733" s="5" t="n">
        <v>29900</v>
      </c>
      <c r="P733" s="125" t="n">
        <v>31.7</v>
      </c>
      <c r="Q733" s="125" t="n">
        <v>9.4</v>
      </c>
      <c r="R733" s="5" t="n">
        <v>9060</v>
      </c>
      <c r="S733" s="5" t="n">
        <v>1490</v>
      </c>
      <c r="T733" s="5" t="n">
        <v>10100</v>
      </c>
      <c r="U733" s="5" t="n">
        <v>2290</v>
      </c>
      <c r="Y733">
        <f>SQRT((((VLOOKUP($X$4,$A$4:$D$1021,4,FALSE))-D733)^2)+(((VLOOKUP($X$4,$A$4:$E$1021,5,FALSE))-E733)^2))</f>
        <v/>
      </c>
    </row>
    <row r="734">
      <c r="A734" s="125" t="inlineStr">
        <is>
          <t>HY750X247</t>
        </is>
      </c>
      <c r="B734" s="129" t="inlineStr">
        <is>
          <t>HY</t>
        </is>
      </c>
      <c r="C734" s="125" t="n">
        <v>247</v>
      </c>
      <c r="D734" s="125" t="n">
        <v>750</v>
      </c>
      <c r="E734" s="125" t="n">
        <v>400</v>
      </c>
      <c r="F734" s="125" t="n">
        <v>25</v>
      </c>
      <c r="G734" s="125" t="n">
        <v>16</v>
      </c>
      <c r="H734" s="125" t="n">
        <v>18</v>
      </c>
      <c r="I734" s="125">
        <f>D734-(2*(H734+F734))</f>
        <v/>
      </c>
      <c r="J734" s="125">
        <f>D734/10 * F734/10 + 2*(E734/10 * G734/10)</f>
        <v/>
      </c>
      <c r="K734" s="125">
        <f>(E734/2)/F734</f>
        <v/>
      </c>
      <c r="L734" s="125">
        <f>I734/G734</f>
        <v/>
      </c>
      <c r="M734" s="125">
        <f>(E734*2+F734*4+((E734-G734)/2-H734)*4+2*PI()*H734+(D734-2*F734-2*H734)*2)/1000</f>
        <v/>
      </c>
      <c r="N734" s="5" t="n">
        <v>312000</v>
      </c>
      <c r="O734" s="5" t="n">
        <v>26700</v>
      </c>
      <c r="P734" s="125" t="n">
        <v>31.5</v>
      </c>
      <c r="Q734" s="125" t="n">
        <v>9.199999999999999</v>
      </c>
      <c r="R734" s="5" t="n">
        <v>8320</v>
      </c>
      <c r="S734" s="5" t="n">
        <v>1330</v>
      </c>
      <c r="T734" s="5" t="n">
        <v>9310</v>
      </c>
      <c r="U734" s="5" t="n">
        <v>2050</v>
      </c>
      <c r="Y734">
        <f>SQRT((((VLOOKUP($X$4,$A$4:$D$1021,4,FALSE))-D734)^2)+(((VLOOKUP($X$4,$A$4:$E$1021,5,FALSE))-E734)^2))</f>
        <v/>
      </c>
    </row>
    <row r="735">
      <c r="A735" s="125" t="inlineStr">
        <is>
          <t>HY750X279</t>
        </is>
      </c>
      <c r="B735" s="129" t="inlineStr">
        <is>
          <t>HY</t>
        </is>
      </c>
      <c r="C735" s="125" t="n">
        <v>279</v>
      </c>
      <c r="D735" s="125" t="n">
        <v>750</v>
      </c>
      <c r="E735" s="125" t="n">
        <v>400</v>
      </c>
      <c r="F735" s="125" t="n">
        <v>32</v>
      </c>
      <c r="G735" s="125" t="n">
        <v>14</v>
      </c>
      <c r="H735" s="125" t="n">
        <v>18</v>
      </c>
      <c r="I735" s="125">
        <f>D735-(2*(H735+F735))</f>
        <v/>
      </c>
      <c r="J735" s="125">
        <f>D735/10 * F735/10 + 2*(E735/10 * G735/10)</f>
        <v/>
      </c>
      <c r="K735" s="125">
        <f>(E735/2)/F735</f>
        <v/>
      </c>
      <c r="L735" s="125">
        <f>I735/G735</f>
        <v/>
      </c>
      <c r="M735" s="125">
        <f>(E735*2+F735*4+((E735-G735)/2-H735)*4+2*PI()*H735+(D735-2*F735-2*H735)*2)/1000</f>
        <v/>
      </c>
      <c r="N735" s="5" t="n">
        <v>371000</v>
      </c>
      <c r="O735" s="5" t="n">
        <v>34200</v>
      </c>
      <c r="P735" s="125" t="n">
        <v>32.3</v>
      </c>
      <c r="Q735" s="125" t="n">
        <v>9.800000000000001</v>
      </c>
      <c r="R735" s="5" t="n">
        <v>9890</v>
      </c>
      <c r="S735" s="5" t="n">
        <v>1710</v>
      </c>
      <c r="T735" s="5" t="n">
        <v>10900</v>
      </c>
      <c r="U735" s="5" t="n">
        <v>2600</v>
      </c>
      <c r="Y735">
        <f>SQRT((((VLOOKUP($X$4,$A$4:$D$1021,4,FALSE))-D735)^2)+(((VLOOKUP($X$4,$A$4:$E$1021,5,FALSE))-E735)^2))</f>
        <v/>
      </c>
    </row>
    <row r="736">
      <c r="A736" s="125" t="inlineStr">
        <is>
          <t>HY750X254</t>
        </is>
      </c>
      <c r="B736" s="129" t="inlineStr">
        <is>
          <t>HY</t>
        </is>
      </c>
      <c r="C736" s="125" t="n">
        <v>254</v>
      </c>
      <c r="D736" s="125" t="n">
        <v>750</v>
      </c>
      <c r="E736" s="125" t="n">
        <v>400</v>
      </c>
      <c r="F736" s="125" t="n">
        <v>28</v>
      </c>
      <c r="G736" s="125" t="n">
        <v>14</v>
      </c>
      <c r="H736" s="125" t="n">
        <v>18</v>
      </c>
      <c r="I736" s="125">
        <f>D736-(2*(H736+F736))</f>
        <v/>
      </c>
      <c r="J736" s="125">
        <f>D736/10 * F736/10 + 2*(E736/10 * G736/10)</f>
        <v/>
      </c>
      <c r="K736" s="125">
        <f>(E736/2)/F736</f>
        <v/>
      </c>
      <c r="L736" s="125">
        <f>I736/G736</f>
        <v/>
      </c>
      <c r="M736" s="125">
        <f>(E736*2+F736*4+((E736-G736)/2-H736)*4+2*PI()*H736+(D736-2*F736-2*H736)*2)/1000</f>
        <v/>
      </c>
      <c r="N736" s="5" t="n">
        <v>334000</v>
      </c>
      <c r="O736" s="5" t="n">
        <v>29900</v>
      </c>
      <c r="P736" s="125" t="n">
        <v>32.1</v>
      </c>
      <c r="Q736" s="125" t="n">
        <v>9.6</v>
      </c>
      <c r="R736" s="5" t="n">
        <v>8920</v>
      </c>
      <c r="S736" s="5" t="n">
        <v>1490</v>
      </c>
      <c r="T736" s="5" t="n">
        <v>9870</v>
      </c>
      <c r="U736" s="5" t="n">
        <v>2280</v>
      </c>
      <c r="Y736">
        <f>SQRT((((VLOOKUP($X$4,$A$4:$D$1021,4,FALSE))-D736)^2)+(((VLOOKUP($X$4,$A$4:$E$1021,5,FALSE))-E736)^2))</f>
        <v/>
      </c>
    </row>
    <row r="737">
      <c r="A737" s="125" t="inlineStr">
        <is>
          <t>HY750X236</t>
        </is>
      </c>
      <c r="B737" s="129" t="inlineStr">
        <is>
          <t>HY</t>
        </is>
      </c>
      <c r="C737" s="125" t="n">
        <v>236</v>
      </c>
      <c r="D737" s="125" t="n">
        <v>750</v>
      </c>
      <c r="E737" s="125" t="n">
        <v>400</v>
      </c>
      <c r="F737" s="125" t="n">
        <v>25</v>
      </c>
      <c r="G737" s="125" t="n">
        <v>14</v>
      </c>
      <c r="H737" s="125" t="n">
        <v>18</v>
      </c>
      <c r="I737" s="125">
        <f>D737-(2*(H737+F737))</f>
        <v/>
      </c>
      <c r="J737" s="125">
        <f>D737/10 * F737/10 + 2*(E737/10 * G737/10)</f>
        <v/>
      </c>
      <c r="K737" s="125">
        <f>(E737/2)/F737</f>
        <v/>
      </c>
      <c r="L737" s="125">
        <f>I737/G737</f>
        <v/>
      </c>
      <c r="M737" s="125">
        <f>(E737*2+F737*4+((E737-G737)/2-H737)*4+2*PI()*H737+(D737-2*F737-2*H737)*2)/1000</f>
        <v/>
      </c>
      <c r="N737" s="5" t="n">
        <v>306000</v>
      </c>
      <c r="O737" s="5" t="n">
        <v>26700</v>
      </c>
      <c r="P737" s="125" t="n">
        <v>31.9</v>
      </c>
      <c r="Q737" s="125" t="n">
        <v>9.4</v>
      </c>
      <c r="R737" s="5" t="n">
        <v>8170</v>
      </c>
      <c r="S737" s="5" t="n">
        <v>1330</v>
      </c>
      <c r="T737" s="5" t="n">
        <v>9060</v>
      </c>
      <c r="U737" s="5" t="n">
        <v>2040</v>
      </c>
      <c r="Y737">
        <f>SQRT((((VLOOKUP($X$4,$A$4:$D$1021,4,FALSE))-D737)^2)+(((VLOOKUP($X$4,$A$4:$E$1021,5,FALSE))-E737)^2))</f>
        <v/>
      </c>
    </row>
    <row r="738">
      <c r="A738" s="125" t="inlineStr">
        <is>
          <t>HY750X285</t>
        </is>
      </c>
      <c r="B738" s="129" t="inlineStr">
        <is>
          <t>HY</t>
        </is>
      </c>
      <c r="C738" s="125" t="n">
        <v>285</v>
      </c>
      <c r="D738" s="125" t="n">
        <v>750</v>
      </c>
      <c r="E738" s="125" t="n">
        <v>350</v>
      </c>
      <c r="F738" s="125" t="n">
        <v>36</v>
      </c>
      <c r="G738" s="125" t="n">
        <v>16</v>
      </c>
      <c r="H738" s="125" t="n">
        <v>18</v>
      </c>
      <c r="I738" s="125">
        <f>D738-(2*(H738+F738))</f>
        <v/>
      </c>
      <c r="J738" s="125">
        <f>D738/10 * F738/10 + 2*(E738/10 * G738/10)</f>
        <v/>
      </c>
      <c r="K738" s="125">
        <f>(E738/2)/F738</f>
        <v/>
      </c>
      <c r="L738" s="125">
        <f>I738/G738</f>
        <v/>
      </c>
      <c r="M738" s="125">
        <f>(E738*2+F738*4+((E738-G738)/2-H738)*4+2*PI()*H738+(D738-2*F738-2*H738)*2)/1000</f>
        <v/>
      </c>
      <c r="N738" s="5" t="n">
        <v>366000</v>
      </c>
      <c r="O738" s="5" t="n">
        <v>25800</v>
      </c>
      <c r="P738" s="125" t="n">
        <v>31.7</v>
      </c>
      <c r="Q738" s="125" t="n">
        <v>8.4</v>
      </c>
      <c r="R738" s="5" t="n">
        <v>9760</v>
      </c>
      <c r="S738" s="5" t="n">
        <v>1470</v>
      </c>
      <c r="T738" s="5" t="n">
        <v>10900</v>
      </c>
      <c r="U738" s="5" t="n">
        <v>2250</v>
      </c>
      <c r="Y738">
        <f>SQRT((((VLOOKUP($X$4,$A$4:$D$1021,4,FALSE))-D738)^2)+(((VLOOKUP($X$4,$A$4:$E$1021,5,FALSE))-E738)^2))</f>
        <v/>
      </c>
    </row>
    <row r="739">
      <c r="A739" s="125" t="inlineStr">
        <is>
          <t>HY750X264</t>
        </is>
      </c>
      <c r="B739" s="129" t="inlineStr">
        <is>
          <t>HY</t>
        </is>
      </c>
      <c r="C739" s="125" t="n">
        <v>264</v>
      </c>
      <c r="D739" s="125" t="n">
        <v>750</v>
      </c>
      <c r="E739" s="125" t="n">
        <v>350</v>
      </c>
      <c r="F739" s="125" t="n">
        <v>32</v>
      </c>
      <c r="G739" s="125" t="n">
        <v>16</v>
      </c>
      <c r="H739" s="125" t="n">
        <v>18</v>
      </c>
      <c r="I739" s="125">
        <f>D739-(2*(H739+F739))</f>
        <v/>
      </c>
      <c r="J739" s="125">
        <f>D739/10 * F739/10 + 2*(E739/10 * G739/10)</f>
        <v/>
      </c>
      <c r="K739" s="125">
        <f>(E739/2)/F739</f>
        <v/>
      </c>
      <c r="L739" s="125">
        <f>I739/G739</f>
        <v/>
      </c>
      <c r="M739" s="125">
        <f>(E739*2+F739*4+((E739-G739)/2-H739)*4+2*PI()*H739+(D739-2*F739-2*H739)*2)/1000</f>
        <v/>
      </c>
      <c r="N739" s="5" t="n">
        <v>335000</v>
      </c>
      <c r="O739" s="5" t="n">
        <v>22900</v>
      </c>
      <c r="P739" s="125" t="n">
        <v>31.6</v>
      </c>
      <c r="Q739" s="125" t="n">
        <v>8.300000000000001</v>
      </c>
      <c r="R739" s="5" t="n">
        <v>8940</v>
      </c>
      <c r="S739" s="5" t="n">
        <v>1310</v>
      </c>
      <c r="T739" s="5" t="n">
        <v>10000</v>
      </c>
      <c r="U739" s="5" t="n">
        <v>2010</v>
      </c>
      <c r="Y739">
        <f>SQRT((((VLOOKUP($X$4,$A$4:$D$1021,4,FALSE))-D739)^2)+(((VLOOKUP($X$4,$A$4:$E$1021,5,FALSE))-E739)^2))</f>
        <v/>
      </c>
    </row>
    <row r="740">
      <c r="A740" s="125" t="inlineStr">
        <is>
          <t>HY750X243</t>
        </is>
      </c>
      <c r="B740" s="129" t="inlineStr">
        <is>
          <t>HY</t>
        </is>
      </c>
      <c r="C740" s="125" t="n">
        <v>243</v>
      </c>
      <c r="D740" s="125" t="n">
        <v>750</v>
      </c>
      <c r="E740" s="125" t="n">
        <v>350</v>
      </c>
      <c r="F740" s="125" t="n">
        <v>28</v>
      </c>
      <c r="G740" s="125" t="n">
        <v>16</v>
      </c>
      <c r="H740" s="125" t="n">
        <v>18</v>
      </c>
      <c r="I740" s="125">
        <f>D740-(2*(H740+F740))</f>
        <v/>
      </c>
      <c r="J740" s="125">
        <f>D740/10 * F740/10 + 2*(E740/10 * G740/10)</f>
        <v/>
      </c>
      <c r="K740" s="125">
        <f>(E740/2)/F740</f>
        <v/>
      </c>
      <c r="L740" s="125">
        <f>I740/G740</f>
        <v/>
      </c>
      <c r="M740" s="125">
        <f>(E740*2+F740*4+((E740-G740)/2-H740)*4+2*PI()*H740+(D740-2*F740-2*H740)*2)/1000</f>
        <v/>
      </c>
      <c r="N740" s="5" t="n">
        <v>303000</v>
      </c>
      <c r="O740" s="5" t="n">
        <v>20000</v>
      </c>
      <c r="P740" s="125" t="n">
        <v>31.3</v>
      </c>
      <c r="Q740" s="125" t="n">
        <v>8</v>
      </c>
      <c r="R740" s="5" t="n">
        <v>8090</v>
      </c>
      <c r="S740" s="5" t="n">
        <v>1140</v>
      </c>
      <c r="T740" s="5" t="n">
        <v>9100</v>
      </c>
      <c r="U740" s="5" t="n">
        <v>1760</v>
      </c>
      <c r="Y740">
        <f>SQRT((((VLOOKUP($X$4,$A$4:$D$1021,4,FALSE))-D740)^2)+(((VLOOKUP($X$4,$A$4:$E$1021,5,FALSE))-E740)^2))</f>
        <v/>
      </c>
    </row>
    <row r="741">
      <c r="A741" s="125" t="inlineStr">
        <is>
          <t>HY750X227</t>
        </is>
      </c>
      <c r="B741" s="129" t="inlineStr">
        <is>
          <t>HY</t>
        </is>
      </c>
      <c r="C741" s="125" t="n">
        <v>227</v>
      </c>
      <c r="D741" s="125" t="n">
        <v>750</v>
      </c>
      <c r="E741" s="125" t="n">
        <v>350</v>
      </c>
      <c r="F741" s="125" t="n">
        <v>25</v>
      </c>
      <c r="G741" s="125" t="n">
        <v>16</v>
      </c>
      <c r="H741" s="125" t="n">
        <v>18</v>
      </c>
      <c r="I741" s="125">
        <f>D741-(2*(H741+F741))</f>
        <v/>
      </c>
      <c r="J741" s="125">
        <f>D741/10 * F741/10 + 2*(E741/10 * G741/10)</f>
        <v/>
      </c>
      <c r="K741" s="125">
        <f>(E741/2)/F741</f>
        <v/>
      </c>
      <c r="L741" s="125">
        <f>I741/G741</f>
        <v/>
      </c>
      <c r="M741" s="125">
        <f>(E741*2+F741*4+((E741-G741)/2-H741)*4+2*PI()*H741+(D741-2*F741-2*H741)*2)/1000</f>
        <v/>
      </c>
      <c r="N741" s="5" t="n">
        <v>279000</v>
      </c>
      <c r="O741" s="5" t="n">
        <v>17900</v>
      </c>
      <c r="P741" s="125" t="n">
        <v>31</v>
      </c>
      <c r="Q741" s="125" t="n">
        <v>7.9</v>
      </c>
      <c r="R741" s="5" t="n">
        <v>7440</v>
      </c>
      <c r="S741" s="5" t="n">
        <v>1020</v>
      </c>
      <c r="T741" s="5" t="n">
        <v>8400</v>
      </c>
      <c r="U741" s="5" t="n">
        <v>1580</v>
      </c>
      <c r="Y741">
        <f>SQRT((((VLOOKUP($X$4,$A$4:$D$1021,4,FALSE))-D741)^2)+(((VLOOKUP($X$4,$A$4:$E$1021,5,FALSE))-E741)^2))</f>
        <v/>
      </c>
    </row>
    <row r="742">
      <c r="A742" s="125" t="inlineStr">
        <is>
          <t>HY750X253</t>
        </is>
      </c>
      <c r="B742" s="129" t="inlineStr">
        <is>
          <t>HY</t>
        </is>
      </c>
      <c r="C742" s="125" t="n">
        <v>253</v>
      </c>
      <c r="D742" s="125" t="n">
        <v>750</v>
      </c>
      <c r="E742" s="125" t="n">
        <v>350</v>
      </c>
      <c r="F742" s="125" t="n">
        <v>32</v>
      </c>
      <c r="G742" s="125" t="n">
        <v>14</v>
      </c>
      <c r="H742" s="125" t="n">
        <v>18</v>
      </c>
      <c r="I742" s="125">
        <f>D742-(2*(H742+F742))</f>
        <v/>
      </c>
      <c r="J742" s="125">
        <f>D742/10 * F742/10 + 2*(E742/10 * G742/10)</f>
        <v/>
      </c>
      <c r="K742" s="125">
        <f>(E742/2)/F742</f>
        <v/>
      </c>
      <c r="L742" s="125">
        <f>I742/G742</f>
        <v/>
      </c>
      <c r="M742" s="125">
        <f>(E742*2+F742*4+((E742-G742)/2-H742)*4+2*PI()*H742+(D742-2*F742-2*H742)*2)/1000</f>
        <v/>
      </c>
      <c r="N742" s="5" t="n">
        <v>330000</v>
      </c>
      <c r="O742" s="5" t="n">
        <v>22900</v>
      </c>
      <c r="P742" s="125" t="n">
        <v>32</v>
      </c>
      <c r="Q742" s="125" t="n">
        <v>8.4</v>
      </c>
      <c r="R742" s="5" t="n">
        <v>8790</v>
      </c>
      <c r="S742" s="5" t="n">
        <v>1310</v>
      </c>
      <c r="T742" s="5" t="n">
        <v>9780</v>
      </c>
      <c r="U742" s="5" t="n">
        <v>2000</v>
      </c>
      <c r="Y742">
        <f>SQRT((((VLOOKUP($X$4,$A$4:$D$1021,4,FALSE))-D742)^2)+(((VLOOKUP($X$4,$A$4:$E$1021,5,FALSE))-E742)^2))</f>
        <v/>
      </c>
    </row>
    <row r="743">
      <c r="A743" s="125" t="inlineStr">
        <is>
          <t>HY750X232</t>
        </is>
      </c>
      <c r="B743" s="129" t="inlineStr">
        <is>
          <t>HY</t>
        </is>
      </c>
      <c r="C743" s="125" t="n">
        <v>232</v>
      </c>
      <c r="D743" s="125" t="n">
        <v>750</v>
      </c>
      <c r="E743" s="125" t="n">
        <v>350</v>
      </c>
      <c r="F743" s="125" t="n">
        <v>28</v>
      </c>
      <c r="G743" s="125" t="n">
        <v>14</v>
      </c>
      <c r="H743" s="125" t="n">
        <v>18</v>
      </c>
      <c r="I743" s="125">
        <f>D743-(2*(H743+F743))</f>
        <v/>
      </c>
      <c r="J743" s="125">
        <f>D743/10 * F743/10 + 2*(E743/10 * G743/10)</f>
        <v/>
      </c>
      <c r="K743" s="125">
        <f>(E743/2)/F743</f>
        <v/>
      </c>
      <c r="L743" s="125">
        <f>I743/G743</f>
        <v/>
      </c>
      <c r="M743" s="125">
        <f>(E743*2+F743*4+((E743-G743)/2-H743)*4+2*PI()*H743+(D743-2*F743-2*H743)*2)/1000</f>
        <v/>
      </c>
      <c r="N743" s="5" t="n">
        <v>298000</v>
      </c>
      <c r="O743" s="5" t="n">
        <v>20000</v>
      </c>
      <c r="P743" s="125" t="n">
        <v>31.7</v>
      </c>
      <c r="Q743" s="125" t="n">
        <v>8.199999999999999</v>
      </c>
      <c r="R743" s="5" t="n">
        <v>7940</v>
      </c>
      <c r="S743" s="5" t="n">
        <v>1140</v>
      </c>
      <c r="T743" s="5" t="n">
        <v>8860</v>
      </c>
      <c r="U743" s="5" t="n">
        <v>1750</v>
      </c>
      <c r="Y743">
        <f>SQRT((((VLOOKUP($X$4,$A$4:$D$1021,4,FALSE))-D743)^2)+(((VLOOKUP($X$4,$A$4:$E$1021,5,FALSE))-E743)^2))</f>
        <v/>
      </c>
    </row>
    <row r="744">
      <c r="A744" s="125" t="inlineStr">
        <is>
          <t>HY750X216</t>
        </is>
      </c>
      <c r="B744" s="129" t="inlineStr">
        <is>
          <t>HY</t>
        </is>
      </c>
      <c r="C744" s="125" t="n">
        <v>216</v>
      </c>
      <c r="D744" s="125" t="n">
        <v>750</v>
      </c>
      <c r="E744" s="125" t="n">
        <v>350</v>
      </c>
      <c r="F744" s="125" t="n">
        <v>25</v>
      </c>
      <c r="G744" s="125" t="n">
        <v>14</v>
      </c>
      <c r="H744" s="125" t="n">
        <v>18</v>
      </c>
      <c r="I744" s="125">
        <f>D744-(2*(H744+F744))</f>
        <v/>
      </c>
      <c r="J744" s="125">
        <f>D744/10 * F744/10 + 2*(E744/10 * G744/10)</f>
        <v/>
      </c>
      <c r="K744" s="125">
        <f>(E744/2)/F744</f>
        <v/>
      </c>
      <c r="L744" s="125">
        <f>I744/G744</f>
        <v/>
      </c>
      <c r="M744" s="125">
        <f>(E744*2+F744*4+((E744-G744)/2-H744)*4+2*PI()*H744+(D744-2*F744-2*H744)*2)/1000</f>
        <v/>
      </c>
      <c r="N744" s="5" t="n">
        <v>273000</v>
      </c>
      <c r="O744" s="5" t="n">
        <v>17900</v>
      </c>
      <c r="P744" s="125" t="n">
        <v>31.5</v>
      </c>
      <c r="Q744" s="125" t="n">
        <v>8.1</v>
      </c>
      <c r="R744" s="5" t="n">
        <v>7290</v>
      </c>
      <c r="S744" s="5" t="n">
        <v>1020</v>
      </c>
      <c r="T744" s="5" t="n">
        <v>8150</v>
      </c>
      <c r="U744" s="5" t="n">
        <v>1570</v>
      </c>
      <c r="Y744">
        <f>SQRT((((VLOOKUP($X$4,$A$4:$D$1021,4,FALSE))-D744)^2)+(((VLOOKUP($X$4,$A$4:$E$1021,5,FALSE))-E744)^2))</f>
        <v/>
      </c>
    </row>
    <row r="745">
      <c r="A745" s="125" t="inlineStr">
        <is>
          <t>HY750X257</t>
        </is>
      </c>
      <c r="B745" s="129" t="inlineStr">
        <is>
          <t>HY</t>
        </is>
      </c>
      <c r="C745" s="125" t="n">
        <v>257</v>
      </c>
      <c r="D745" s="125" t="n">
        <v>750</v>
      </c>
      <c r="E745" s="125" t="n">
        <v>300</v>
      </c>
      <c r="F745" s="125" t="n">
        <v>36</v>
      </c>
      <c r="G745" s="125" t="n">
        <v>16</v>
      </c>
      <c r="H745" s="125" t="n">
        <v>18</v>
      </c>
      <c r="I745" s="125">
        <f>D745-(2*(H745+F745))</f>
        <v/>
      </c>
      <c r="J745" s="125">
        <f>D745/10 * F745/10 + 2*(E745/10 * G745/10)</f>
        <v/>
      </c>
      <c r="K745" s="125">
        <f>(E745/2)/F745</f>
        <v/>
      </c>
      <c r="L745" s="125">
        <f>I745/G745</f>
        <v/>
      </c>
      <c r="M745" s="125">
        <f>(E745*2+F745*4+((E745-G745)/2-H745)*4+2*PI()*H745+(D745-2*F745-2*H745)*2)/1000</f>
        <v/>
      </c>
      <c r="N745" s="5" t="n">
        <v>320000</v>
      </c>
      <c r="O745" s="5" t="n">
        <v>16200</v>
      </c>
      <c r="P745" s="125" t="n">
        <v>31.3</v>
      </c>
      <c r="Q745" s="125" t="n">
        <v>7</v>
      </c>
      <c r="R745" s="5" t="n">
        <v>8540</v>
      </c>
      <c r="S745" s="5" t="n">
        <v>1080</v>
      </c>
      <c r="T745" s="5" t="n">
        <v>9640</v>
      </c>
      <c r="U745" s="5" t="n">
        <v>1670</v>
      </c>
      <c r="Y745">
        <f>SQRT((((VLOOKUP($X$4,$A$4:$D$1021,4,FALSE))-D745)^2)+(((VLOOKUP($X$4,$A$4:$E$1021,5,FALSE))-E745)^2))</f>
        <v/>
      </c>
    </row>
    <row r="746">
      <c r="A746" s="125" t="inlineStr">
        <is>
          <t>HY750X239</t>
        </is>
      </c>
      <c r="B746" s="129" t="inlineStr">
        <is>
          <t>HY</t>
        </is>
      </c>
      <c r="C746" s="125" t="n">
        <v>239</v>
      </c>
      <c r="D746" s="125" t="n">
        <v>750</v>
      </c>
      <c r="E746" s="125" t="n">
        <v>300</v>
      </c>
      <c r="F746" s="125" t="n">
        <v>32</v>
      </c>
      <c r="G746" s="125" t="n">
        <v>16</v>
      </c>
      <c r="H746" s="125" t="n">
        <v>18</v>
      </c>
      <c r="I746" s="125">
        <f>D746-(2*(H746+F746))</f>
        <v/>
      </c>
      <c r="J746" s="125">
        <f>D746/10 * F746/10 + 2*(E746/10 * G746/10)</f>
        <v/>
      </c>
      <c r="K746" s="125">
        <f>(E746/2)/F746</f>
        <v/>
      </c>
      <c r="L746" s="125">
        <f>I746/G746</f>
        <v/>
      </c>
      <c r="M746" s="125">
        <f>(E746*2+F746*4+((E746-G746)/2-H746)*4+2*PI()*H746+(D746-2*F746-2*H746)*2)/1000</f>
        <v/>
      </c>
      <c r="N746" s="5" t="n">
        <v>294000</v>
      </c>
      <c r="O746" s="5" t="n">
        <v>14400</v>
      </c>
      <c r="P746" s="125" t="n">
        <v>31.1</v>
      </c>
      <c r="Q746" s="125" t="n">
        <v>6.9</v>
      </c>
      <c r="R746" s="5" t="n">
        <v>7840</v>
      </c>
      <c r="S746" s="125" t="n">
        <v>962</v>
      </c>
      <c r="T746" s="5" t="n">
        <v>8870</v>
      </c>
      <c r="U746" s="5" t="n">
        <v>1490</v>
      </c>
      <c r="Y746">
        <f>SQRT((((VLOOKUP($X$4,$A$4:$D$1021,4,FALSE))-D746)^2)+(((VLOOKUP($X$4,$A$4:$E$1021,5,FALSE))-E746)^2))</f>
        <v/>
      </c>
    </row>
    <row r="747">
      <c r="A747" s="125" t="inlineStr">
        <is>
          <t>HY750X221</t>
        </is>
      </c>
      <c r="B747" s="129" t="inlineStr">
        <is>
          <t>HY</t>
        </is>
      </c>
      <c r="C747" s="125" t="n">
        <v>221</v>
      </c>
      <c r="D747" s="125" t="n">
        <v>750</v>
      </c>
      <c r="E747" s="125" t="n">
        <v>300</v>
      </c>
      <c r="F747" s="125" t="n">
        <v>28</v>
      </c>
      <c r="G747" s="125" t="n">
        <v>16</v>
      </c>
      <c r="H747" s="125" t="n">
        <v>18</v>
      </c>
      <c r="I747" s="125">
        <f>D747-(2*(H747+F747))</f>
        <v/>
      </c>
      <c r="J747" s="125">
        <f>D747/10 * F747/10 + 2*(E747/10 * G747/10)</f>
        <v/>
      </c>
      <c r="K747" s="125">
        <f>(E747/2)/F747</f>
        <v/>
      </c>
      <c r="L747" s="125">
        <f>I747/G747</f>
        <v/>
      </c>
      <c r="M747" s="125">
        <f>(E747*2+F747*4+((E747-G747)/2-H747)*4+2*PI()*H747+(D747-2*F747-2*H747)*2)/1000</f>
        <v/>
      </c>
      <c r="N747" s="5" t="n">
        <v>267000</v>
      </c>
      <c r="O747" s="5" t="n">
        <v>12600</v>
      </c>
      <c r="P747" s="125" t="n">
        <v>30.8</v>
      </c>
      <c r="Q747" s="125" t="n">
        <v>6.7</v>
      </c>
      <c r="R747" s="5" t="n">
        <v>7120</v>
      </c>
      <c r="S747" s="125" t="n">
        <v>842</v>
      </c>
      <c r="T747" s="5" t="n">
        <v>8090</v>
      </c>
      <c r="U747" s="5" t="n">
        <v>1310</v>
      </c>
      <c r="Y747">
        <f>SQRT((((VLOOKUP($X$4,$A$4:$D$1021,4,FALSE))-D747)^2)+(((VLOOKUP($X$4,$A$4:$E$1021,5,FALSE))-E747)^2))</f>
        <v/>
      </c>
    </row>
    <row r="748">
      <c r="A748" s="125" t="inlineStr">
        <is>
          <t>HY750X208</t>
        </is>
      </c>
      <c r="B748" s="129" t="inlineStr">
        <is>
          <t>HY</t>
        </is>
      </c>
      <c r="C748" s="125" t="n">
        <v>208</v>
      </c>
      <c r="D748" s="125" t="n">
        <v>750</v>
      </c>
      <c r="E748" s="125" t="n">
        <v>300</v>
      </c>
      <c r="F748" s="125" t="n">
        <v>25</v>
      </c>
      <c r="G748" s="125" t="n">
        <v>16</v>
      </c>
      <c r="H748" s="125" t="n">
        <v>18</v>
      </c>
      <c r="I748" s="125">
        <f>D748-(2*(H748+F748))</f>
        <v/>
      </c>
      <c r="J748" s="125">
        <f>D748/10 * F748/10 + 2*(E748/10 * G748/10)</f>
        <v/>
      </c>
      <c r="K748" s="125">
        <f>(E748/2)/F748</f>
        <v/>
      </c>
      <c r="L748" s="125">
        <f>I748/G748</f>
        <v/>
      </c>
      <c r="M748" s="125">
        <f>(E748*2+F748*4+((E748-G748)/2-H748)*4+2*PI()*H748+(D748-2*F748-2*H748)*2)/1000</f>
        <v/>
      </c>
      <c r="N748" s="5" t="n">
        <v>246000</v>
      </c>
      <c r="O748" s="5" t="n">
        <v>11300</v>
      </c>
      <c r="P748" s="125" t="n">
        <v>30.5</v>
      </c>
      <c r="Q748" s="125" t="n">
        <v>6.5</v>
      </c>
      <c r="R748" s="5" t="n">
        <v>6570</v>
      </c>
      <c r="S748" s="125" t="n">
        <v>752</v>
      </c>
      <c r="T748" s="5" t="n">
        <v>7490</v>
      </c>
      <c r="U748" s="5" t="n">
        <v>1170</v>
      </c>
      <c r="Y748">
        <f>SQRT((((VLOOKUP($X$4,$A$4:$D$1021,4,FALSE))-D748)^2)+(((VLOOKUP($X$4,$A$4:$E$1021,5,FALSE))-E748)^2))</f>
        <v/>
      </c>
    </row>
    <row r="749">
      <c r="A749" s="125" t="inlineStr">
        <is>
          <t>HY750X194</t>
        </is>
      </c>
      <c r="B749" s="129" t="inlineStr">
        <is>
          <t>HY</t>
        </is>
      </c>
      <c r="C749" s="125" t="n">
        <v>194</v>
      </c>
      <c r="D749" s="125" t="n">
        <v>750</v>
      </c>
      <c r="E749" s="125" t="n">
        <v>300</v>
      </c>
      <c r="F749" s="125" t="n">
        <v>22</v>
      </c>
      <c r="G749" s="125" t="n">
        <v>16</v>
      </c>
      <c r="H749" s="125" t="n">
        <v>18</v>
      </c>
      <c r="I749" s="125">
        <f>D749-(2*(H749+F749))</f>
        <v/>
      </c>
      <c r="J749" s="125">
        <f>D749/10 * F749/10 + 2*(E749/10 * G749/10)</f>
        <v/>
      </c>
      <c r="K749" s="125">
        <f>(E749/2)/F749</f>
        <v/>
      </c>
      <c r="L749" s="125">
        <f>I749/G749</f>
        <v/>
      </c>
      <c r="M749" s="125">
        <f>(E749*2+F749*4+((E749-G749)/2-H749)*4+2*PI()*H749+(D749-2*F749-2*H749)*2)/1000</f>
        <v/>
      </c>
      <c r="N749" s="5" t="n">
        <v>225000</v>
      </c>
      <c r="O749" s="5" t="n">
        <v>9930</v>
      </c>
      <c r="P749" s="125" t="n">
        <v>30.2</v>
      </c>
      <c r="Q749" s="125" t="n">
        <v>6.3</v>
      </c>
      <c r="R749" s="5" t="n">
        <v>6010</v>
      </c>
      <c r="S749" s="125" t="n">
        <v>662</v>
      </c>
      <c r="T749" s="5" t="n">
        <v>6900</v>
      </c>
      <c r="U749" s="5" t="n">
        <v>1040</v>
      </c>
      <c r="Y749">
        <f>SQRT((((VLOOKUP($X$4,$A$4:$D$1021,4,FALSE))-D749)^2)+(((VLOOKUP($X$4,$A$4:$E$1021,5,FALSE))-E749)^2))</f>
        <v/>
      </c>
    </row>
    <row r="750">
      <c r="A750" s="125" t="inlineStr">
        <is>
          <t>HY750X228</t>
        </is>
      </c>
      <c r="B750" s="129" t="inlineStr">
        <is>
          <t>HY</t>
        </is>
      </c>
      <c r="C750" s="125" t="n">
        <v>228</v>
      </c>
      <c r="D750" s="125" t="n">
        <v>750</v>
      </c>
      <c r="E750" s="125" t="n">
        <v>300</v>
      </c>
      <c r="F750" s="125" t="n">
        <v>32</v>
      </c>
      <c r="G750" s="125" t="n">
        <v>14</v>
      </c>
      <c r="H750" s="125" t="n">
        <v>18</v>
      </c>
      <c r="I750" s="125">
        <f>D750-(2*(H750+F750))</f>
        <v/>
      </c>
      <c r="J750" s="125">
        <f>D750/10 * F750/10 + 2*(E750/10 * G750/10)</f>
        <v/>
      </c>
      <c r="K750" s="125">
        <f>(E750/2)/F750</f>
        <v/>
      </c>
      <c r="L750" s="125">
        <f>I750/G750</f>
        <v/>
      </c>
      <c r="M750" s="125">
        <f>(E750*2+F750*4+((E750-G750)/2-H750)*4+2*PI()*H750+(D750-2*F750-2*H750)*2)/1000</f>
        <v/>
      </c>
      <c r="N750" s="5" t="n">
        <v>288000</v>
      </c>
      <c r="O750" s="5" t="n">
        <v>14400</v>
      </c>
      <c r="P750" s="125" t="n">
        <v>31.5</v>
      </c>
      <c r="Q750" s="125" t="n">
        <v>7</v>
      </c>
      <c r="R750" s="5" t="n">
        <v>7690</v>
      </c>
      <c r="S750" s="125" t="n">
        <v>961</v>
      </c>
      <c r="T750" s="5" t="n">
        <v>8630</v>
      </c>
      <c r="U750" s="5" t="n">
        <v>1480</v>
      </c>
      <c r="Y750">
        <f>SQRT((((VLOOKUP($X$4,$A$4:$D$1021,4,FALSE))-D750)^2)+(((VLOOKUP($X$4,$A$4:$E$1021,5,FALSE))-E750)^2))</f>
        <v/>
      </c>
    </row>
    <row r="751">
      <c r="A751" s="125" t="inlineStr">
        <is>
          <t>HY750X210</t>
        </is>
      </c>
      <c r="B751" s="129" t="inlineStr">
        <is>
          <t>HY</t>
        </is>
      </c>
      <c r="C751" s="125" t="n">
        <v>210</v>
      </c>
      <c r="D751" s="125" t="n">
        <v>750</v>
      </c>
      <c r="E751" s="125" t="n">
        <v>300</v>
      </c>
      <c r="F751" s="125" t="n">
        <v>28</v>
      </c>
      <c r="G751" s="125" t="n">
        <v>14</v>
      </c>
      <c r="H751" s="125" t="n">
        <v>18</v>
      </c>
      <c r="I751" s="125">
        <f>D751-(2*(H751+F751))</f>
        <v/>
      </c>
      <c r="J751" s="125">
        <f>D751/10 * F751/10 + 2*(E751/10 * G751/10)</f>
        <v/>
      </c>
      <c r="K751" s="125">
        <f>(E751/2)/F751</f>
        <v/>
      </c>
      <c r="L751" s="125">
        <f>I751/G751</f>
        <v/>
      </c>
      <c r="M751" s="125">
        <f>(E751*2+F751*4+((E751-G751)/2-H751)*4+2*PI()*H751+(D751-2*F751-2*H751)*2)/1000</f>
        <v/>
      </c>
      <c r="N751" s="5" t="n">
        <v>261000</v>
      </c>
      <c r="O751" s="5" t="n">
        <v>12600</v>
      </c>
      <c r="P751" s="125" t="n">
        <v>31.2</v>
      </c>
      <c r="Q751" s="125" t="n">
        <v>6.9</v>
      </c>
      <c r="R751" s="5" t="n">
        <v>6970</v>
      </c>
      <c r="S751" s="125" t="n">
        <v>841</v>
      </c>
      <c r="T751" s="5" t="n">
        <v>7850</v>
      </c>
      <c r="U751" s="5" t="n">
        <v>1300</v>
      </c>
      <c r="Y751">
        <f>SQRT((((VLOOKUP($X$4,$A$4:$D$1021,4,FALSE))-D751)^2)+(((VLOOKUP($X$4,$A$4:$E$1021,5,FALSE))-E751)^2))</f>
        <v/>
      </c>
    </row>
    <row r="752">
      <c r="A752" s="125" t="inlineStr">
        <is>
          <t>HY750X197</t>
        </is>
      </c>
      <c r="B752" s="129" t="inlineStr">
        <is>
          <t>HY</t>
        </is>
      </c>
      <c r="C752" s="125" t="n">
        <v>197</v>
      </c>
      <c r="D752" s="125" t="n">
        <v>750</v>
      </c>
      <c r="E752" s="125" t="n">
        <v>300</v>
      </c>
      <c r="F752" s="125" t="n">
        <v>25</v>
      </c>
      <c r="G752" s="125" t="n">
        <v>14</v>
      </c>
      <c r="H752" s="125" t="n">
        <v>18</v>
      </c>
      <c r="I752" s="125">
        <f>D752-(2*(H752+F752))</f>
        <v/>
      </c>
      <c r="J752" s="125">
        <f>D752/10 * F752/10 + 2*(E752/10 * G752/10)</f>
        <v/>
      </c>
      <c r="K752" s="125">
        <f>(E752/2)/F752</f>
        <v/>
      </c>
      <c r="L752" s="125">
        <f>I752/G752</f>
        <v/>
      </c>
      <c r="M752" s="125">
        <f>(E752*2+F752*4+((E752-G752)/2-H752)*4+2*PI()*H752+(D752-2*F752-2*H752)*2)/1000</f>
        <v/>
      </c>
      <c r="N752" s="5" t="n">
        <v>241000</v>
      </c>
      <c r="O752" s="5" t="n">
        <v>11300</v>
      </c>
      <c r="P752" s="125" t="n">
        <v>31</v>
      </c>
      <c r="Q752" s="125" t="n">
        <v>6.7</v>
      </c>
      <c r="R752" s="5" t="n">
        <v>6410</v>
      </c>
      <c r="S752" s="125" t="n">
        <v>751</v>
      </c>
      <c r="T752" s="5" t="n">
        <v>7250</v>
      </c>
      <c r="U752" s="5" t="n">
        <v>1160</v>
      </c>
      <c r="Y752">
        <f>SQRT((((VLOOKUP($X$4,$A$4:$D$1021,4,FALSE))-D752)^2)+(((VLOOKUP($X$4,$A$4:$E$1021,5,FALSE))-E752)^2))</f>
        <v/>
      </c>
    </row>
    <row r="753">
      <c r="A753" s="125" t="inlineStr">
        <is>
          <t>HY750X183</t>
        </is>
      </c>
      <c r="B753" s="129" t="inlineStr">
        <is>
          <t>HY</t>
        </is>
      </c>
      <c r="C753" s="125" t="n">
        <v>183</v>
      </c>
      <c r="D753" s="125" t="n">
        <v>750</v>
      </c>
      <c r="E753" s="125" t="n">
        <v>300</v>
      </c>
      <c r="F753" s="125" t="n">
        <v>22</v>
      </c>
      <c r="G753" s="125" t="n">
        <v>14</v>
      </c>
      <c r="H753" s="125" t="n">
        <v>18</v>
      </c>
      <c r="I753" s="125">
        <f>D753-(2*(H753+F753))</f>
        <v/>
      </c>
      <c r="J753" s="125">
        <f>D753/10 * F753/10 + 2*(E753/10 * G753/10)</f>
        <v/>
      </c>
      <c r="K753" s="125">
        <f>(E753/2)/F753</f>
        <v/>
      </c>
      <c r="L753" s="125">
        <f>I753/G753</f>
        <v/>
      </c>
      <c r="M753" s="125">
        <f>(E753*2+F753*4+((E753-G753)/2-H753)*4+2*PI()*H753+(D753-2*F753-2*H753)*2)/1000</f>
        <v/>
      </c>
      <c r="N753" s="5" t="n">
        <v>219000</v>
      </c>
      <c r="O753" s="5" t="n">
        <v>9920</v>
      </c>
      <c r="P753" s="125" t="n">
        <v>30.6</v>
      </c>
      <c r="Q753" s="125" t="n">
        <v>6.5</v>
      </c>
      <c r="R753" s="5" t="n">
        <v>5850</v>
      </c>
      <c r="S753" s="125" t="n">
        <v>661</v>
      </c>
      <c r="T753" s="5" t="n">
        <v>6650</v>
      </c>
      <c r="U753" s="5" t="n">
        <v>1030</v>
      </c>
      <c r="Y753">
        <f>SQRT((((VLOOKUP($X$4,$A$4:$D$1021,4,FALSE))-D753)^2)+(((VLOOKUP($X$4,$A$4:$E$1021,5,FALSE))-E753)^2))</f>
        <v/>
      </c>
    </row>
    <row r="754">
      <c r="A754" s="125" t="inlineStr">
        <is>
          <t>HY750X170</t>
        </is>
      </c>
      <c r="B754" s="129" t="inlineStr">
        <is>
          <t>HY</t>
        </is>
      </c>
      <c r="C754" s="125" t="n">
        <v>170</v>
      </c>
      <c r="D754" s="125" t="n">
        <v>750</v>
      </c>
      <c r="E754" s="125" t="n">
        <v>300</v>
      </c>
      <c r="F754" s="125" t="n">
        <v>19</v>
      </c>
      <c r="G754" s="125" t="n">
        <v>14</v>
      </c>
      <c r="H754" s="125" t="n">
        <v>18</v>
      </c>
      <c r="I754" s="125">
        <f>D754-(2*(H754+F754))</f>
        <v/>
      </c>
      <c r="J754" s="125">
        <f>D754/10 * F754/10 + 2*(E754/10 * G754/10)</f>
        <v/>
      </c>
      <c r="K754" s="125">
        <f>(E754/2)/F754</f>
        <v/>
      </c>
      <c r="L754" s="125">
        <f>I754/G754</f>
        <v/>
      </c>
      <c r="M754" s="125">
        <f>(E754*2+F754*4+((E754-G754)/2-H754)*4+2*PI()*H754+(D754-2*F754-2*H754)*2)/1000</f>
        <v/>
      </c>
      <c r="N754" s="5" t="n">
        <v>198000</v>
      </c>
      <c r="O754" s="5" t="n">
        <v>8570</v>
      </c>
      <c r="P754" s="125" t="n">
        <v>30.2</v>
      </c>
      <c r="Q754" s="125" t="n">
        <v>6.3</v>
      </c>
      <c r="R754" s="5" t="n">
        <v>5280</v>
      </c>
      <c r="S754" s="125" t="n">
        <v>571</v>
      </c>
      <c r="T754" s="5" t="n">
        <v>6040</v>
      </c>
      <c r="U754" s="125" t="n">
        <v>893</v>
      </c>
      <c r="Y754">
        <f>SQRT((((VLOOKUP($X$4,$A$4:$D$1021,4,FALSE))-D754)^2)+(((VLOOKUP($X$4,$A$4:$E$1021,5,FALSE))-E754)^2))</f>
        <v/>
      </c>
    </row>
    <row r="755">
      <c r="A755" s="125" t="inlineStr">
        <is>
          <t>HY750X186</t>
        </is>
      </c>
      <c r="B755" s="129" t="inlineStr">
        <is>
          <t>HY</t>
        </is>
      </c>
      <c r="C755" s="125" t="n">
        <v>186</v>
      </c>
      <c r="D755" s="125" t="n">
        <v>750</v>
      </c>
      <c r="E755" s="125" t="n">
        <v>300</v>
      </c>
      <c r="F755" s="125" t="n">
        <v>25</v>
      </c>
      <c r="G755" s="125" t="n">
        <v>12</v>
      </c>
      <c r="H755" s="125" t="n">
        <v>18</v>
      </c>
      <c r="I755" s="125">
        <f>D755-(2*(H755+F755))</f>
        <v/>
      </c>
      <c r="J755" s="125">
        <f>D755/10 * F755/10 + 2*(E755/10 * G755/10)</f>
        <v/>
      </c>
      <c r="K755" s="125">
        <f>(E755/2)/F755</f>
        <v/>
      </c>
      <c r="L755" s="125">
        <f>I755/G755</f>
        <v/>
      </c>
      <c r="M755" s="125">
        <f>(E755*2+F755*4+((E755-G755)/2-H755)*4+2*PI()*H755+(D755-2*F755-2*H755)*2)/1000</f>
        <v/>
      </c>
      <c r="N755" s="5" t="n">
        <v>235000</v>
      </c>
      <c r="O755" s="5" t="n">
        <v>11300</v>
      </c>
      <c r="P755" s="125" t="n">
        <v>31.5</v>
      </c>
      <c r="Q755" s="125" t="n">
        <v>6.9</v>
      </c>
      <c r="R755" s="5" t="n">
        <v>6260</v>
      </c>
      <c r="S755" s="125" t="n">
        <v>751</v>
      </c>
      <c r="T755" s="5" t="n">
        <v>7000</v>
      </c>
      <c r="U755" s="5" t="n">
        <v>1150</v>
      </c>
      <c r="Y755">
        <f>SQRT((((VLOOKUP($X$4,$A$4:$D$1021,4,FALSE))-D755)^2)+(((VLOOKUP($X$4,$A$4:$E$1021,5,FALSE))-E755)^2))</f>
        <v/>
      </c>
    </row>
    <row r="756">
      <c r="A756" s="125" t="inlineStr">
        <is>
          <t>HY750X172</t>
        </is>
      </c>
      <c r="B756" s="129" t="inlineStr">
        <is>
          <t>HY</t>
        </is>
      </c>
      <c r="C756" s="125" t="n">
        <v>172</v>
      </c>
      <c r="D756" s="125" t="n">
        <v>750</v>
      </c>
      <c r="E756" s="125" t="n">
        <v>300</v>
      </c>
      <c r="F756" s="125" t="n">
        <v>22</v>
      </c>
      <c r="G756" s="125" t="n">
        <v>12</v>
      </c>
      <c r="H756" s="125" t="n">
        <v>18</v>
      </c>
      <c r="I756" s="125">
        <f>D756-(2*(H756+F756))</f>
        <v/>
      </c>
      <c r="J756" s="125">
        <f>D756/10 * F756/10 + 2*(E756/10 * G756/10)</f>
        <v/>
      </c>
      <c r="K756" s="125">
        <f>(E756/2)/F756</f>
        <v/>
      </c>
      <c r="L756" s="125">
        <f>I756/G756</f>
        <v/>
      </c>
      <c r="M756" s="125">
        <f>(E756*2+F756*4+((E756-G756)/2-H756)*4+2*PI()*H756+(D756-2*F756-2*H756)*2)/1000</f>
        <v/>
      </c>
      <c r="N756" s="5" t="n">
        <v>214000</v>
      </c>
      <c r="O756" s="5" t="n">
        <v>9910</v>
      </c>
      <c r="P756" s="125" t="n">
        <v>31.2</v>
      </c>
      <c r="Q756" s="125" t="n">
        <v>6.7</v>
      </c>
      <c r="R756" s="5" t="n">
        <v>5690</v>
      </c>
      <c r="S756" s="125" t="n">
        <v>661</v>
      </c>
      <c r="T756" s="5" t="n">
        <v>6400</v>
      </c>
      <c r="U756" s="5" t="n">
        <v>1020</v>
      </c>
      <c r="Y756">
        <f>SQRT((((VLOOKUP($X$4,$A$4:$D$1021,4,FALSE))-D756)^2)+(((VLOOKUP($X$4,$A$4:$E$1021,5,FALSE))-E756)^2))</f>
        <v/>
      </c>
    </row>
    <row r="757">
      <c r="A757" s="125" t="inlineStr">
        <is>
          <t>HY750X159</t>
        </is>
      </c>
      <c r="B757" s="129" t="inlineStr">
        <is>
          <t>HY</t>
        </is>
      </c>
      <c r="C757" s="125" t="n">
        <v>159</v>
      </c>
      <c r="D757" s="125" t="n">
        <v>750</v>
      </c>
      <c r="E757" s="125" t="n">
        <v>300</v>
      </c>
      <c r="F757" s="125" t="n">
        <v>19</v>
      </c>
      <c r="G757" s="125" t="n">
        <v>12</v>
      </c>
      <c r="H757" s="125" t="n">
        <v>18</v>
      </c>
      <c r="I757" s="125">
        <f>D757-(2*(H757+F757))</f>
        <v/>
      </c>
      <c r="J757" s="125">
        <f>D757/10 * F757/10 + 2*(E757/10 * G757/10)</f>
        <v/>
      </c>
      <c r="K757" s="125">
        <f>(E757/2)/F757</f>
        <v/>
      </c>
      <c r="L757" s="125">
        <f>I757/G757</f>
        <v/>
      </c>
      <c r="M757" s="125">
        <f>(E757*2+F757*4+((E757-G757)/2-H757)*4+2*PI()*H757+(D757-2*F757-2*H757)*2)/1000</f>
        <v/>
      </c>
      <c r="N757" s="5" t="n">
        <v>192000</v>
      </c>
      <c r="O757" s="5" t="n">
        <v>8560</v>
      </c>
      <c r="P757" s="125" t="n">
        <v>30.8</v>
      </c>
      <c r="Q757" s="125" t="n">
        <v>6.5</v>
      </c>
      <c r="R757" s="5" t="n">
        <v>5120</v>
      </c>
      <c r="S757" s="125" t="n">
        <v>571</v>
      </c>
      <c r="T757" s="5" t="n">
        <v>5790</v>
      </c>
      <c r="U757" s="125" t="n">
        <v>883</v>
      </c>
      <c r="Y757">
        <f>SQRT((((VLOOKUP($X$4,$A$4:$D$1021,4,FALSE))-D757)^2)+(((VLOOKUP($X$4,$A$4:$E$1021,5,FALSE))-E757)^2))</f>
        <v/>
      </c>
    </row>
    <row r="758">
      <c r="A758" s="125" t="inlineStr">
        <is>
          <t>HY750X229</t>
        </is>
      </c>
      <c r="B758" s="129" t="inlineStr">
        <is>
          <t>HY</t>
        </is>
      </c>
      <c r="C758" s="125" t="n">
        <v>229</v>
      </c>
      <c r="D758" s="125" t="n">
        <v>750</v>
      </c>
      <c r="E758" s="125" t="n">
        <v>250</v>
      </c>
      <c r="F758" s="125" t="n">
        <v>36</v>
      </c>
      <c r="G758" s="125" t="n">
        <v>16</v>
      </c>
      <c r="H758" s="125" t="n">
        <v>18</v>
      </c>
      <c r="I758" s="125">
        <f>D758-(2*(H758+F758))</f>
        <v/>
      </c>
      <c r="J758" s="125">
        <f>D758/10 * F758/10 + 2*(E758/10 * G758/10)</f>
        <v/>
      </c>
      <c r="K758" s="125">
        <f>(E758/2)/F758</f>
        <v/>
      </c>
      <c r="L758" s="125">
        <f>I758/G758</f>
        <v/>
      </c>
      <c r="M758" s="125">
        <f>(E758*2+F758*4+((E758-G758)/2-H758)*4+2*PI()*H758+(D758-2*F758-2*H758)*2)/1000</f>
        <v/>
      </c>
      <c r="N758" s="5" t="n">
        <v>274000</v>
      </c>
      <c r="O758" s="5" t="n">
        <v>9400</v>
      </c>
      <c r="P758" s="125" t="n">
        <v>30.7</v>
      </c>
      <c r="Q758" s="125" t="n">
        <v>5.7</v>
      </c>
      <c r="R758" s="5" t="n">
        <v>7310</v>
      </c>
      <c r="S758" s="125" t="n">
        <v>752</v>
      </c>
      <c r="T758" s="5" t="n">
        <v>8360</v>
      </c>
      <c r="U758" s="5" t="n">
        <v>1170</v>
      </c>
      <c r="Y758">
        <f>SQRT((((VLOOKUP($X$4,$A$4:$D$1021,4,FALSE))-D758)^2)+(((VLOOKUP($X$4,$A$4:$E$1021,5,FALSE))-E758)^2))</f>
        <v/>
      </c>
    </row>
    <row r="759">
      <c r="A759" s="125" t="inlineStr">
        <is>
          <t>HY750X214</t>
        </is>
      </c>
      <c r="B759" s="129" t="inlineStr">
        <is>
          <t>HY</t>
        </is>
      </c>
      <c r="C759" s="125" t="n">
        <v>214</v>
      </c>
      <c r="D759" s="125" t="n">
        <v>750</v>
      </c>
      <c r="E759" s="125" t="n">
        <v>250</v>
      </c>
      <c r="F759" s="125" t="n">
        <v>32</v>
      </c>
      <c r="G759" s="125" t="n">
        <v>16</v>
      </c>
      <c r="H759" s="125" t="n">
        <v>18</v>
      </c>
      <c r="I759" s="125">
        <f>D759-(2*(H759+F759))</f>
        <v/>
      </c>
      <c r="J759" s="125">
        <f>D759/10 * F759/10 + 2*(E759/10 * G759/10)</f>
        <v/>
      </c>
      <c r="K759" s="125">
        <f>(E759/2)/F759</f>
        <v/>
      </c>
      <c r="L759" s="125">
        <f>I759/G759</f>
        <v/>
      </c>
      <c r="M759" s="125">
        <f>(E759*2+F759*4+((E759-G759)/2-H759)*4+2*PI()*H759+(D759-2*F759-2*H759)*2)/1000</f>
        <v/>
      </c>
      <c r="N759" s="5" t="n">
        <v>253000</v>
      </c>
      <c r="O759" s="5" t="n">
        <v>8360</v>
      </c>
      <c r="P759" s="125" t="n">
        <v>30.4</v>
      </c>
      <c r="Q759" s="125" t="n">
        <v>5.5</v>
      </c>
      <c r="R759" s="5" t="n">
        <v>6740</v>
      </c>
      <c r="S759" s="125" t="n">
        <v>669</v>
      </c>
      <c r="T759" s="5" t="n">
        <v>7720</v>
      </c>
      <c r="U759" s="5" t="n">
        <v>1050</v>
      </c>
      <c r="Y759">
        <f>SQRT((((VLOOKUP($X$4,$A$4:$D$1021,4,FALSE))-D759)^2)+(((VLOOKUP($X$4,$A$4:$E$1021,5,FALSE))-E759)^2))</f>
        <v/>
      </c>
    </row>
    <row r="760">
      <c r="A760" s="125" t="inlineStr">
        <is>
          <t>HY750X199</t>
        </is>
      </c>
      <c r="B760" s="129" t="inlineStr">
        <is>
          <t>HY</t>
        </is>
      </c>
      <c r="C760" s="125" t="n">
        <v>199</v>
      </c>
      <c r="D760" s="125" t="n">
        <v>750</v>
      </c>
      <c r="E760" s="125" t="n">
        <v>250</v>
      </c>
      <c r="F760" s="125" t="n">
        <v>28</v>
      </c>
      <c r="G760" s="125" t="n">
        <v>16</v>
      </c>
      <c r="H760" s="125" t="n">
        <v>18</v>
      </c>
      <c r="I760" s="125">
        <f>D760-(2*(H760+F760))</f>
        <v/>
      </c>
      <c r="J760" s="125">
        <f>D760/10 * F760/10 + 2*(E760/10 * G760/10)</f>
        <v/>
      </c>
      <c r="K760" s="125">
        <f>(E760/2)/F760</f>
        <v/>
      </c>
      <c r="L760" s="125">
        <f>I760/G760</f>
        <v/>
      </c>
      <c r="M760" s="125">
        <f>(E760*2+F760*4+((E760-G760)/2-H760)*4+2*PI()*H760+(D760-2*F760-2*H760)*2)/1000</f>
        <v/>
      </c>
      <c r="N760" s="5" t="n">
        <v>230000</v>
      </c>
      <c r="O760" s="5" t="n">
        <v>7320</v>
      </c>
      <c r="P760" s="125" t="n">
        <v>30.1</v>
      </c>
      <c r="Q760" s="125" t="n">
        <v>5.4</v>
      </c>
      <c r="R760" s="5" t="n">
        <v>6140</v>
      </c>
      <c r="S760" s="125" t="n">
        <v>586</v>
      </c>
      <c r="T760" s="5" t="n">
        <v>7080</v>
      </c>
      <c r="U760" s="125" t="n">
        <v>923</v>
      </c>
      <c r="Y760">
        <f>SQRT((((VLOOKUP($X$4,$A$4:$D$1021,4,FALSE))-D760)^2)+(((VLOOKUP($X$4,$A$4:$E$1021,5,FALSE))-E760)^2))</f>
        <v/>
      </c>
    </row>
    <row r="761">
      <c r="A761" s="125" t="inlineStr">
        <is>
          <t>HY750X188</t>
        </is>
      </c>
      <c r="B761" s="129" t="inlineStr">
        <is>
          <t>HY</t>
        </is>
      </c>
      <c r="C761" s="125" t="n">
        <v>188</v>
      </c>
      <c r="D761" s="125" t="n">
        <v>750</v>
      </c>
      <c r="E761" s="125" t="n">
        <v>250</v>
      </c>
      <c r="F761" s="125" t="n">
        <v>25</v>
      </c>
      <c r="G761" s="125" t="n">
        <v>16</v>
      </c>
      <c r="H761" s="125" t="n">
        <v>18</v>
      </c>
      <c r="I761" s="125">
        <f>D761-(2*(H761+F761))</f>
        <v/>
      </c>
      <c r="J761" s="125">
        <f>D761/10 * F761/10 + 2*(E761/10 * G761/10)</f>
        <v/>
      </c>
      <c r="K761" s="125">
        <f>(E761/2)/F761</f>
        <v/>
      </c>
      <c r="L761" s="125">
        <f>I761/G761</f>
        <v/>
      </c>
      <c r="M761" s="125">
        <f>(E761*2+F761*4+((E761-G761)/2-H761)*4+2*PI()*H761+(D761-2*F761-2*H761)*2)/1000</f>
        <v/>
      </c>
      <c r="N761" s="5" t="n">
        <v>213000</v>
      </c>
      <c r="O761" s="5" t="n">
        <v>6540</v>
      </c>
      <c r="P761" s="125" t="n">
        <v>29.8</v>
      </c>
      <c r="Q761" s="125" t="n">
        <v>5.2</v>
      </c>
      <c r="R761" s="5" t="n">
        <v>5690</v>
      </c>
      <c r="S761" s="125" t="n">
        <v>523</v>
      </c>
      <c r="T761" s="5" t="n">
        <v>6590</v>
      </c>
      <c r="U761" s="125" t="n">
        <v>829</v>
      </c>
      <c r="Y761">
        <f>SQRT((((VLOOKUP($X$4,$A$4:$D$1021,4,FALSE))-D761)^2)+(((VLOOKUP($X$4,$A$4:$E$1021,5,FALSE))-E761)^2))</f>
        <v/>
      </c>
    </row>
    <row r="762">
      <c r="A762" s="125" t="inlineStr">
        <is>
          <t>HY750X177</t>
        </is>
      </c>
      <c r="B762" s="129" t="inlineStr">
        <is>
          <t>HY</t>
        </is>
      </c>
      <c r="C762" s="125" t="n">
        <v>177</v>
      </c>
      <c r="D762" s="125" t="n">
        <v>750</v>
      </c>
      <c r="E762" s="125" t="n">
        <v>250</v>
      </c>
      <c r="F762" s="125" t="n">
        <v>22</v>
      </c>
      <c r="G762" s="125" t="n">
        <v>16</v>
      </c>
      <c r="H762" s="125" t="n">
        <v>18</v>
      </c>
      <c r="I762" s="125">
        <f>D762-(2*(H762+F762))</f>
        <v/>
      </c>
      <c r="J762" s="125">
        <f>D762/10 * F762/10 + 2*(E762/10 * G762/10)</f>
        <v/>
      </c>
      <c r="K762" s="125">
        <f>(E762/2)/F762</f>
        <v/>
      </c>
      <c r="L762" s="125">
        <f>I762/G762</f>
        <v/>
      </c>
      <c r="M762" s="125">
        <f>(E762*2+F762*4+((E762-G762)/2-H762)*4+2*PI()*H762+(D762-2*F762-2*H762)*2)/1000</f>
        <v/>
      </c>
      <c r="N762" s="5" t="n">
        <v>196000</v>
      </c>
      <c r="O762" s="5" t="n">
        <v>5760</v>
      </c>
      <c r="P762" s="125" t="n">
        <v>29.5</v>
      </c>
      <c r="Q762" s="125" t="n">
        <v>5.1</v>
      </c>
      <c r="R762" s="5" t="n">
        <v>5230</v>
      </c>
      <c r="S762" s="125" t="n">
        <v>461</v>
      </c>
      <c r="T762" s="5" t="n">
        <v>6090</v>
      </c>
      <c r="U762" s="125" t="n">
        <v>736</v>
      </c>
      <c r="Y762">
        <f>SQRT((((VLOOKUP($X$4,$A$4:$D$1021,4,FALSE))-D762)^2)+(((VLOOKUP($X$4,$A$4:$E$1021,5,FALSE))-E762)^2))</f>
        <v/>
      </c>
    </row>
    <row r="763">
      <c r="A763" s="125" t="inlineStr">
        <is>
          <t>HY750X203</t>
        </is>
      </c>
      <c r="B763" s="129" t="inlineStr">
        <is>
          <t>HY</t>
        </is>
      </c>
      <c r="C763" s="125" t="n">
        <v>203</v>
      </c>
      <c r="D763" s="125" t="n">
        <v>750</v>
      </c>
      <c r="E763" s="125" t="n">
        <v>250</v>
      </c>
      <c r="F763" s="125" t="n">
        <v>32</v>
      </c>
      <c r="G763" s="125" t="n">
        <v>14</v>
      </c>
      <c r="H763" s="125" t="n">
        <v>18</v>
      </c>
      <c r="I763" s="125">
        <f>D763-(2*(H763+F763))</f>
        <v/>
      </c>
      <c r="J763" s="125">
        <f>D763/10 * F763/10 + 2*(E763/10 * G763/10)</f>
        <v/>
      </c>
      <c r="K763" s="125">
        <f>(E763/2)/F763</f>
        <v/>
      </c>
      <c r="L763" s="125">
        <f>I763/G763</f>
        <v/>
      </c>
      <c r="M763" s="125">
        <f>(E763*2+F763*4+((E763-G763)/2-H763)*4+2*PI()*H763+(D763-2*F763-2*H763)*2)/1000</f>
        <v/>
      </c>
      <c r="N763" s="5" t="n">
        <v>247000</v>
      </c>
      <c r="O763" s="5" t="n">
        <v>8350</v>
      </c>
      <c r="P763" s="125" t="n">
        <v>30.9</v>
      </c>
      <c r="Q763" s="125" t="n">
        <v>5.7</v>
      </c>
      <c r="R763" s="5" t="n">
        <v>6590</v>
      </c>
      <c r="S763" s="125" t="n">
        <v>668</v>
      </c>
      <c r="T763" s="5" t="n">
        <v>7490</v>
      </c>
      <c r="U763" s="5" t="n">
        <v>1040</v>
      </c>
      <c r="Y763">
        <f>SQRT((((VLOOKUP($X$4,$A$4:$D$1021,4,FALSE))-D763)^2)+(((VLOOKUP($X$4,$A$4:$E$1021,5,FALSE))-E763)^2))</f>
        <v/>
      </c>
    </row>
    <row r="764">
      <c r="A764" s="125" t="inlineStr">
        <is>
          <t>HY750X188</t>
        </is>
      </c>
      <c r="B764" s="129" t="inlineStr">
        <is>
          <t>HY</t>
        </is>
      </c>
      <c r="C764" s="125" t="n">
        <v>188</v>
      </c>
      <c r="D764" s="125" t="n">
        <v>750</v>
      </c>
      <c r="E764" s="125" t="n">
        <v>250</v>
      </c>
      <c r="F764" s="125" t="n">
        <v>28</v>
      </c>
      <c r="G764" s="125" t="n">
        <v>14</v>
      </c>
      <c r="H764" s="125" t="n">
        <v>18</v>
      </c>
      <c r="I764" s="125">
        <f>D764-(2*(H764+F764))</f>
        <v/>
      </c>
      <c r="J764" s="125">
        <f>D764/10 * F764/10 + 2*(E764/10 * G764/10)</f>
        <v/>
      </c>
      <c r="K764" s="125">
        <f>(E764/2)/F764</f>
        <v/>
      </c>
      <c r="L764" s="125">
        <f>I764/G764</f>
        <v/>
      </c>
      <c r="M764" s="125">
        <f>(E764*2+F764*4+((E764-G764)/2-H764)*4+2*PI()*H764+(D764-2*F764-2*H764)*2)/1000</f>
        <v/>
      </c>
      <c r="N764" s="5" t="n">
        <v>225000</v>
      </c>
      <c r="O764" s="5" t="n">
        <v>7310</v>
      </c>
      <c r="P764" s="125" t="n">
        <v>30.6</v>
      </c>
      <c r="Q764" s="125" t="n">
        <v>5.5</v>
      </c>
      <c r="R764" s="5" t="n">
        <v>5990</v>
      </c>
      <c r="S764" s="125" t="n">
        <v>585</v>
      </c>
      <c r="T764" s="5" t="n">
        <v>6840</v>
      </c>
      <c r="U764" s="125" t="n">
        <v>912</v>
      </c>
      <c r="Y764">
        <f>SQRT((((VLOOKUP($X$4,$A$4:$D$1021,4,FALSE))-D764)^2)+(((VLOOKUP($X$4,$A$4:$E$1021,5,FALSE))-E764)^2))</f>
        <v/>
      </c>
    </row>
    <row r="765">
      <c r="A765" s="125" t="inlineStr">
        <is>
          <t>HY750X177</t>
        </is>
      </c>
      <c r="B765" s="129" t="inlineStr">
        <is>
          <t>HY</t>
        </is>
      </c>
      <c r="C765" s="125" t="n">
        <v>177</v>
      </c>
      <c r="D765" s="125" t="n">
        <v>750</v>
      </c>
      <c r="E765" s="125" t="n">
        <v>250</v>
      </c>
      <c r="F765" s="125" t="n">
        <v>25</v>
      </c>
      <c r="G765" s="125" t="n">
        <v>14</v>
      </c>
      <c r="H765" s="125" t="n">
        <v>18</v>
      </c>
      <c r="I765" s="125">
        <f>D765-(2*(H765+F765))</f>
        <v/>
      </c>
      <c r="J765" s="125">
        <f>D765/10 * F765/10 + 2*(E765/10 * G765/10)</f>
        <v/>
      </c>
      <c r="K765" s="125">
        <f>(E765/2)/F765</f>
        <v/>
      </c>
      <c r="L765" s="125">
        <f>I765/G765</f>
        <v/>
      </c>
      <c r="M765" s="125">
        <f>(E765*2+F765*4+((E765-G765)/2-H765)*4+2*PI()*H765+(D765-2*F765-2*H765)*2)/1000</f>
        <v/>
      </c>
      <c r="N765" s="5" t="n">
        <v>208000</v>
      </c>
      <c r="O765" s="5" t="n">
        <v>6530</v>
      </c>
      <c r="P765" s="125" t="n">
        <v>30.3</v>
      </c>
      <c r="Q765" s="125" t="n">
        <v>5.4</v>
      </c>
      <c r="R765" s="5" t="n">
        <v>5540</v>
      </c>
      <c r="S765" s="125" t="n">
        <v>522</v>
      </c>
      <c r="T765" s="5" t="n">
        <v>6340</v>
      </c>
      <c r="U765" s="125" t="n">
        <v>819</v>
      </c>
      <c r="Y765">
        <f>SQRT((((VLOOKUP($X$4,$A$4:$D$1021,4,FALSE))-D765)^2)+(((VLOOKUP($X$4,$A$4:$E$1021,5,FALSE))-E765)^2))</f>
        <v/>
      </c>
    </row>
    <row r="766">
      <c r="A766" s="125" t="inlineStr">
        <is>
          <t>HY750X166</t>
        </is>
      </c>
      <c r="B766" s="129" t="inlineStr">
        <is>
          <t>HY</t>
        </is>
      </c>
      <c r="C766" s="125" t="n">
        <v>166</v>
      </c>
      <c r="D766" s="125" t="n">
        <v>750</v>
      </c>
      <c r="E766" s="125" t="n">
        <v>250</v>
      </c>
      <c r="F766" s="125" t="n">
        <v>22</v>
      </c>
      <c r="G766" s="125" t="n">
        <v>14</v>
      </c>
      <c r="H766" s="125" t="n">
        <v>18</v>
      </c>
      <c r="I766" s="125">
        <f>D766-(2*(H766+F766))</f>
        <v/>
      </c>
      <c r="J766" s="125">
        <f>D766/10 * F766/10 + 2*(E766/10 * G766/10)</f>
        <v/>
      </c>
      <c r="K766" s="125">
        <f>(E766/2)/F766</f>
        <v/>
      </c>
      <c r="L766" s="125">
        <f>I766/G766</f>
        <v/>
      </c>
      <c r="M766" s="125">
        <f>(E766*2+F766*4+((E766-G766)/2-H766)*4+2*PI()*H766+(D766-2*F766-2*H766)*2)/1000</f>
        <v/>
      </c>
      <c r="N766" s="5" t="n">
        <v>190000</v>
      </c>
      <c r="O766" s="5" t="n">
        <v>5750</v>
      </c>
      <c r="P766" s="125" t="n">
        <v>30</v>
      </c>
      <c r="Q766" s="125" t="n">
        <v>5.2</v>
      </c>
      <c r="R766" s="5" t="n">
        <v>5070</v>
      </c>
      <c r="S766" s="125" t="n">
        <v>460</v>
      </c>
      <c r="T766" s="5" t="n">
        <v>5850</v>
      </c>
      <c r="U766" s="125" t="n">
        <v>725</v>
      </c>
      <c r="Y766">
        <f>SQRT((((VLOOKUP($X$4,$A$4:$D$1021,4,FALSE))-D766)^2)+(((VLOOKUP($X$4,$A$4:$E$1021,5,FALSE))-E766)^2))</f>
        <v/>
      </c>
    </row>
    <row r="767">
      <c r="A767" s="125" t="inlineStr">
        <is>
          <t>HY750X155</t>
        </is>
      </c>
      <c r="B767" s="129" t="inlineStr">
        <is>
          <t>HY</t>
        </is>
      </c>
      <c r="C767" s="125" t="n">
        <v>155</v>
      </c>
      <c r="D767" s="125" t="n">
        <v>750</v>
      </c>
      <c r="E767" s="125" t="n">
        <v>250</v>
      </c>
      <c r="F767" s="125" t="n">
        <v>19</v>
      </c>
      <c r="G767" s="125" t="n">
        <v>14</v>
      </c>
      <c r="H767" s="125" t="n">
        <v>18</v>
      </c>
      <c r="I767" s="125">
        <f>D767-(2*(H767+F767))</f>
        <v/>
      </c>
      <c r="J767" s="125">
        <f>D767/10 * F767/10 + 2*(E767/10 * G767/10)</f>
        <v/>
      </c>
      <c r="K767" s="125">
        <f>(E767/2)/F767</f>
        <v/>
      </c>
      <c r="L767" s="125">
        <f>I767/G767</f>
        <v/>
      </c>
      <c r="M767" s="125">
        <f>(E767*2+F767*4+((E767-G767)/2-H767)*4+2*PI()*H767+(D767-2*F767-2*H767)*2)/1000</f>
        <v/>
      </c>
      <c r="N767" s="5" t="n">
        <v>172000</v>
      </c>
      <c r="O767" s="5" t="n">
        <v>4970</v>
      </c>
      <c r="P767" s="125" t="n">
        <v>29.6</v>
      </c>
      <c r="Q767" s="125" t="n">
        <v>5</v>
      </c>
      <c r="R767" s="5" t="n">
        <v>4600</v>
      </c>
      <c r="S767" s="125" t="n">
        <v>397</v>
      </c>
      <c r="T767" s="5" t="n">
        <v>5340</v>
      </c>
      <c r="U767" s="125" t="n">
        <v>632</v>
      </c>
      <c r="Y767">
        <f>SQRT((((VLOOKUP($X$4,$A$4:$D$1021,4,FALSE))-D767)^2)+(((VLOOKUP($X$4,$A$4:$E$1021,5,FALSE))-E767)^2))</f>
        <v/>
      </c>
    </row>
    <row r="768">
      <c r="A768" s="125" t="inlineStr">
        <is>
          <t>HY750X166</t>
        </is>
      </c>
      <c r="B768" s="129" t="inlineStr">
        <is>
          <t>HY</t>
        </is>
      </c>
      <c r="C768" s="125" t="n">
        <v>166</v>
      </c>
      <c r="D768" s="125" t="n">
        <v>750</v>
      </c>
      <c r="E768" s="125" t="n">
        <v>250</v>
      </c>
      <c r="F768" s="125" t="n">
        <v>25</v>
      </c>
      <c r="G768" s="125" t="n">
        <v>12</v>
      </c>
      <c r="H768" s="125" t="n">
        <v>18</v>
      </c>
      <c r="I768" s="125">
        <f>D768-(2*(H768+F768))</f>
        <v/>
      </c>
      <c r="J768" s="125">
        <f>D768/10 * F768/10 + 2*(E768/10 * G768/10)</f>
        <v/>
      </c>
      <c r="K768" s="125">
        <f>(E768/2)/F768</f>
        <v/>
      </c>
      <c r="L768" s="125">
        <f>I768/G768</f>
        <v/>
      </c>
      <c r="M768" s="125">
        <f>(E768*2+F768*4+((E768-G768)/2-H768)*4+2*PI()*H768+(D768-2*F768-2*H768)*2)/1000</f>
        <v/>
      </c>
      <c r="N768" s="5" t="n">
        <v>202000</v>
      </c>
      <c r="O768" s="5" t="n">
        <v>6520</v>
      </c>
      <c r="P768" s="125" t="n">
        <v>30.9</v>
      </c>
      <c r="Q768" s="125" t="n">
        <v>5.6</v>
      </c>
      <c r="R768" s="5" t="n">
        <v>5390</v>
      </c>
      <c r="S768" s="125" t="n">
        <v>522</v>
      </c>
      <c r="T768" s="5" t="n">
        <v>6100</v>
      </c>
      <c r="U768" s="125" t="n">
        <v>809</v>
      </c>
      <c r="Y768">
        <f>SQRT((((VLOOKUP($X$4,$A$4:$D$1021,4,FALSE))-D768)^2)+(((VLOOKUP($X$4,$A$4:$E$1021,5,FALSE))-E768)^2))</f>
        <v/>
      </c>
    </row>
    <row r="769">
      <c r="A769" s="125" t="inlineStr">
        <is>
          <t>HY750X155</t>
        </is>
      </c>
      <c r="B769" s="129" t="inlineStr">
        <is>
          <t>HY</t>
        </is>
      </c>
      <c r="C769" s="125" t="n">
        <v>155</v>
      </c>
      <c r="D769" s="125" t="n">
        <v>750</v>
      </c>
      <c r="E769" s="125" t="n">
        <v>250</v>
      </c>
      <c r="F769" s="125" t="n">
        <v>22</v>
      </c>
      <c r="G769" s="125" t="n">
        <v>12</v>
      </c>
      <c r="H769" s="125" t="n">
        <v>18</v>
      </c>
      <c r="I769" s="125">
        <f>D769-(2*(H769+F769))</f>
        <v/>
      </c>
      <c r="J769" s="125">
        <f>D769/10 * F769/10 + 2*(E769/10 * G769/10)</f>
        <v/>
      </c>
      <c r="K769" s="125">
        <f>(E769/2)/F769</f>
        <v/>
      </c>
      <c r="L769" s="125">
        <f>I769/G769</f>
        <v/>
      </c>
      <c r="M769" s="125">
        <f>(E769*2+F769*4+((E769-G769)/2-H769)*4+2*PI()*H769+(D769-2*F769-2*H769)*2)/1000</f>
        <v/>
      </c>
      <c r="N769" s="5" t="n">
        <v>184000</v>
      </c>
      <c r="O769" s="5" t="n">
        <v>5740</v>
      </c>
      <c r="P769" s="125" t="n">
        <v>30.6</v>
      </c>
      <c r="Q769" s="125" t="n">
        <v>5.4</v>
      </c>
      <c r="R769" s="5" t="n">
        <v>4920</v>
      </c>
      <c r="S769" s="125" t="n">
        <v>459</v>
      </c>
      <c r="T769" s="5" t="n">
        <v>5600</v>
      </c>
      <c r="U769" s="125" t="n">
        <v>716</v>
      </c>
      <c r="Y769">
        <f>SQRT((((VLOOKUP($X$4,$A$4:$D$1021,4,FALSE))-D769)^2)+(((VLOOKUP($X$4,$A$4:$E$1021,5,FALSE))-E769)^2))</f>
        <v/>
      </c>
    </row>
    <row r="770">
      <c r="A770" s="125" t="inlineStr">
        <is>
          <t>HY750X144</t>
        </is>
      </c>
      <c r="B770" s="129" t="inlineStr">
        <is>
          <t>HY</t>
        </is>
      </c>
      <c r="C770" s="125" t="n">
        <v>144</v>
      </c>
      <c r="D770" s="125" t="n">
        <v>750</v>
      </c>
      <c r="E770" s="125" t="n">
        <v>250</v>
      </c>
      <c r="F770" s="125" t="n">
        <v>19</v>
      </c>
      <c r="G770" s="125" t="n">
        <v>12</v>
      </c>
      <c r="H770" s="125" t="n">
        <v>18</v>
      </c>
      <c r="I770" s="125">
        <f>D770-(2*(H770+F770))</f>
        <v/>
      </c>
      <c r="J770" s="125">
        <f>D770/10 * F770/10 + 2*(E770/10 * G770/10)</f>
        <v/>
      </c>
      <c r="K770" s="125">
        <f>(E770/2)/F770</f>
        <v/>
      </c>
      <c r="L770" s="125">
        <f>I770/G770</f>
        <v/>
      </c>
      <c r="M770" s="125">
        <f>(E770*2+F770*4+((E770-G770)/2-H770)*4+2*PI()*H770+(D770-2*F770-2*H770)*2)/1000</f>
        <v/>
      </c>
      <c r="N770" s="5" t="n">
        <v>166000</v>
      </c>
      <c r="O770" s="5" t="n">
        <v>4960</v>
      </c>
      <c r="P770" s="125" t="n">
        <v>30.1</v>
      </c>
      <c r="Q770" s="125" t="n">
        <v>5.2</v>
      </c>
      <c r="R770" s="5" t="n">
        <v>4440</v>
      </c>
      <c r="S770" s="125" t="n">
        <v>397</v>
      </c>
      <c r="T770" s="5" t="n">
        <v>5090</v>
      </c>
      <c r="U770" s="125" t="n">
        <v>622</v>
      </c>
      <c r="Y770">
        <f>SQRT((((VLOOKUP($X$4,$A$4:$D$1021,4,FALSE))-D770)^2)+(((VLOOKUP($X$4,$A$4:$E$1021,5,FALSE))-E770)^2))</f>
        <v/>
      </c>
    </row>
    <row r="771">
      <c r="A771" s="125" t="inlineStr">
        <is>
          <t>HY700X337</t>
        </is>
      </c>
      <c r="B771" s="129" t="inlineStr">
        <is>
          <t>HY</t>
        </is>
      </c>
      <c r="C771" s="125" t="n">
        <v>337</v>
      </c>
      <c r="D771" s="125" t="n">
        <v>700</v>
      </c>
      <c r="E771" s="125" t="n">
        <v>400</v>
      </c>
      <c r="F771" s="125" t="n">
        <v>36</v>
      </c>
      <c r="G771" s="125" t="n">
        <v>22</v>
      </c>
      <c r="H771" s="125" t="n">
        <v>18</v>
      </c>
      <c r="I771" s="125">
        <f>D771-(2*(H771+F771))</f>
        <v/>
      </c>
      <c r="J771" s="125">
        <f>D771/10 * F771/10 + 2*(E771/10 * G771/10)</f>
        <v/>
      </c>
      <c r="K771" s="125">
        <f>(E771/2)/F771</f>
        <v/>
      </c>
      <c r="L771" s="125">
        <f>I771/G771</f>
        <v/>
      </c>
      <c r="M771" s="125">
        <f>(E771*2+F771*4+((E771-G771)/2-H771)*4+2*PI()*H771+(D771-2*F771-2*H771)*2)/1000</f>
        <v/>
      </c>
      <c r="N771" s="5" t="n">
        <v>366000</v>
      </c>
      <c r="O771" s="5" t="n">
        <v>38500</v>
      </c>
      <c r="P771" s="125" t="n">
        <v>29.2</v>
      </c>
      <c r="Q771" s="125" t="n">
        <v>9.5</v>
      </c>
      <c r="R771" s="5" t="n">
        <v>10500</v>
      </c>
      <c r="S771" s="5" t="n">
        <v>1920</v>
      </c>
      <c r="T771" s="5" t="n">
        <v>11800</v>
      </c>
      <c r="U771" s="5" t="n">
        <v>2960</v>
      </c>
      <c r="Y771">
        <f>SQRT((((VLOOKUP($X$4,$A$4:$D$1021,4,FALSE))-D771)^2)+(((VLOOKUP($X$4,$A$4:$E$1021,5,FALSE))-E771)^2))</f>
        <v/>
      </c>
    </row>
    <row r="772">
      <c r="A772" s="125" t="inlineStr">
        <is>
          <t>HY700X313</t>
        </is>
      </c>
      <c r="B772" s="129" t="inlineStr">
        <is>
          <t>HY</t>
        </is>
      </c>
      <c r="C772" s="125" t="n">
        <v>313</v>
      </c>
      <c r="D772" s="125" t="n">
        <v>700</v>
      </c>
      <c r="E772" s="125" t="n">
        <v>400</v>
      </c>
      <c r="F772" s="125" t="n">
        <v>32</v>
      </c>
      <c r="G772" s="125" t="n">
        <v>22</v>
      </c>
      <c r="H772" s="125" t="n">
        <v>18</v>
      </c>
      <c r="I772" s="125">
        <f>D772-(2*(H772+F772))</f>
        <v/>
      </c>
      <c r="J772" s="125">
        <f>D772/10 * F772/10 + 2*(E772/10 * G772/10)</f>
        <v/>
      </c>
      <c r="K772" s="125">
        <f>(E772/2)/F772</f>
        <v/>
      </c>
      <c r="L772" s="125">
        <f>I772/G772</f>
        <v/>
      </c>
      <c r="M772" s="125">
        <f>(E772*2+F772*4+((E772-G772)/2-H772)*4+2*PI()*H772+(D772-2*F772-2*H772)*2)/1000</f>
        <v/>
      </c>
      <c r="N772" s="5" t="n">
        <v>336000</v>
      </c>
      <c r="O772" s="5" t="n">
        <v>34200</v>
      </c>
      <c r="P772" s="125" t="n">
        <v>29</v>
      </c>
      <c r="Q772" s="125" t="n">
        <v>9.300000000000001</v>
      </c>
      <c r="R772" s="5" t="n">
        <v>9590</v>
      </c>
      <c r="S772" s="5" t="n">
        <v>1710</v>
      </c>
      <c r="T772" s="5" t="n">
        <v>10900</v>
      </c>
      <c r="U772" s="5" t="n">
        <v>2640</v>
      </c>
      <c r="Y772">
        <f>SQRT((((VLOOKUP($X$4,$A$4:$D$1021,4,FALSE))-D772)^2)+(((VLOOKUP($X$4,$A$4:$E$1021,5,FALSE))-E772)^2))</f>
        <v/>
      </c>
    </row>
    <row r="773">
      <c r="A773" s="125" t="inlineStr">
        <is>
          <t>HY700X289</t>
        </is>
      </c>
      <c r="B773" s="129" t="inlineStr">
        <is>
          <t>HY</t>
        </is>
      </c>
      <c r="C773" s="125" t="n">
        <v>289</v>
      </c>
      <c r="D773" s="125" t="n">
        <v>700</v>
      </c>
      <c r="E773" s="125" t="n">
        <v>400</v>
      </c>
      <c r="F773" s="125" t="n">
        <v>28</v>
      </c>
      <c r="G773" s="125" t="n">
        <v>22</v>
      </c>
      <c r="H773" s="125" t="n">
        <v>18</v>
      </c>
      <c r="I773" s="125">
        <f>D773-(2*(H773+F773))</f>
        <v/>
      </c>
      <c r="J773" s="125">
        <f>D773/10 * F773/10 + 2*(E773/10 * G773/10)</f>
        <v/>
      </c>
      <c r="K773" s="125">
        <f>(E773/2)/F773</f>
        <v/>
      </c>
      <c r="L773" s="125">
        <f>I773/G773</f>
        <v/>
      </c>
      <c r="M773" s="125">
        <f>(E773*2+F773*4+((E773-G773)/2-H773)*4+2*PI()*H773+(D773-2*F773-2*H773)*2)/1000</f>
        <v/>
      </c>
      <c r="N773" s="5" t="n">
        <v>305000</v>
      </c>
      <c r="O773" s="5" t="n">
        <v>29900</v>
      </c>
      <c r="P773" s="125" t="n">
        <v>28.8</v>
      </c>
      <c r="Q773" s="125" t="n">
        <v>9</v>
      </c>
      <c r="R773" s="5" t="n">
        <v>8710</v>
      </c>
      <c r="S773" s="5" t="n">
        <v>1500</v>
      </c>
      <c r="T773" s="5" t="n">
        <v>9900</v>
      </c>
      <c r="U773" s="5" t="n">
        <v>2320</v>
      </c>
      <c r="Y773">
        <f>SQRT((((VLOOKUP($X$4,$A$4:$D$1021,4,FALSE))-D773)^2)+(((VLOOKUP($X$4,$A$4:$E$1021,5,FALSE))-E773)^2))</f>
        <v/>
      </c>
    </row>
    <row r="774">
      <c r="A774" s="125" t="inlineStr">
        <is>
          <t>HY700X322</t>
        </is>
      </c>
      <c r="B774" s="129" t="inlineStr">
        <is>
          <t>HY</t>
        </is>
      </c>
      <c r="C774" s="125" t="n">
        <v>322</v>
      </c>
      <c r="D774" s="125" t="n">
        <v>700</v>
      </c>
      <c r="E774" s="125" t="n">
        <v>400</v>
      </c>
      <c r="F774" s="125" t="n">
        <v>36</v>
      </c>
      <c r="G774" s="125" t="n">
        <v>19</v>
      </c>
      <c r="H774" s="125" t="n">
        <v>18</v>
      </c>
      <c r="I774" s="125">
        <f>D774-(2*(H774+F774))</f>
        <v/>
      </c>
      <c r="J774" s="125">
        <f>D774/10 * F774/10 + 2*(E774/10 * G774/10)</f>
        <v/>
      </c>
      <c r="K774" s="125">
        <f>(E774/2)/F774</f>
        <v/>
      </c>
      <c r="L774" s="125">
        <f>I774/G774</f>
        <v/>
      </c>
      <c r="M774" s="125">
        <f>(E774*2+F774*4+((E774-G774)/2-H774)*4+2*PI()*H774+(D774-2*F774-2*H774)*2)/1000</f>
        <v/>
      </c>
      <c r="N774" s="5" t="n">
        <v>360000</v>
      </c>
      <c r="O774" s="5" t="n">
        <v>38400</v>
      </c>
      <c r="P774" s="125" t="n">
        <v>29.6</v>
      </c>
      <c r="Q774" s="125" t="n">
        <v>9.699999999999999</v>
      </c>
      <c r="R774" s="5" t="n">
        <v>10300</v>
      </c>
      <c r="S774" s="5" t="n">
        <v>1920</v>
      </c>
      <c r="T774" s="5" t="n">
        <v>11500</v>
      </c>
      <c r="U774" s="5" t="n">
        <v>2940</v>
      </c>
      <c r="Y774">
        <f>SQRT((((VLOOKUP($X$4,$A$4:$D$1021,4,FALSE))-D774)^2)+(((VLOOKUP($X$4,$A$4:$E$1021,5,FALSE))-E774)^2))</f>
        <v/>
      </c>
    </row>
    <row r="775">
      <c r="A775" s="125" t="inlineStr">
        <is>
          <t>HY700X298</t>
        </is>
      </c>
      <c r="B775" s="129" t="inlineStr">
        <is>
          <t>HY</t>
        </is>
      </c>
      <c r="C775" s="125" t="n">
        <v>298</v>
      </c>
      <c r="D775" s="125" t="n">
        <v>700</v>
      </c>
      <c r="E775" s="125" t="n">
        <v>400</v>
      </c>
      <c r="F775" s="125" t="n">
        <v>32</v>
      </c>
      <c r="G775" s="125" t="n">
        <v>19</v>
      </c>
      <c r="H775" s="125" t="n">
        <v>18</v>
      </c>
      <c r="I775" s="125">
        <f>D775-(2*(H775+F775))</f>
        <v/>
      </c>
      <c r="J775" s="125">
        <f>D775/10 * F775/10 + 2*(E775/10 * G775/10)</f>
        <v/>
      </c>
      <c r="K775" s="125">
        <f>(E775/2)/F775</f>
        <v/>
      </c>
      <c r="L775" s="125">
        <f>I775/G775</f>
        <v/>
      </c>
      <c r="M775" s="125">
        <f>(E775*2+F775*4+((E775-G775)/2-H775)*4+2*PI()*H775+(D775-2*F775-2*H775)*2)/1000</f>
        <v/>
      </c>
      <c r="N775" s="5" t="n">
        <v>329000</v>
      </c>
      <c r="O775" s="5" t="n">
        <v>34200</v>
      </c>
      <c r="P775" s="125" t="n">
        <v>29.5</v>
      </c>
      <c r="Q775" s="125" t="n">
        <v>9.5</v>
      </c>
      <c r="R775" s="5" t="n">
        <v>9410</v>
      </c>
      <c r="S775" s="5" t="n">
        <v>1710</v>
      </c>
      <c r="T775" s="5" t="n">
        <v>10600</v>
      </c>
      <c r="U775" s="5" t="n">
        <v>2620</v>
      </c>
      <c r="Y775">
        <f>SQRT((((VLOOKUP($X$4,$A$4:$D$1021,4,FALSE))-D775)^2)+(((VLOOKUP($X$4,$A$4:$E$1021,5,FALSE))-E775)^2))</f>
        <v/>
      </c>
    </row>
    <row r="776">
      <c r="A776" s="125" t="inlineStr">
        <is>
          <t>HY700X274</t>
        </is>
      </c>
      <c r="B776" s="129" t="inlineStr">
        <is>
          <t>HY</t>
        </is>
      </c>
      <c r="C776" s="125" t="n">
        <v>274</v>
      </c>
      <c r="D776" s="125" t="n">
        <v>700</v>
      </c>
      <c r="E776" s="125" t="n">
        <v>400</v>
      </c>
      <c r="F776" s="125" t="n">
        <v>28</v>
      </c>
      <c r="G776" s="125" t="n">
        <v>19</v>
      </c>
      <c r="H776" s="125" t="n">
        <v>18</v>
      </c>
      <c r="I776" s="125">
        <f>D776-(2*(H776+F776))</f>
        <v/>
      </c>
      <c r="J776" s="125">
        <f>D776/10 * F776/10 + 2*(E776/10 * G776/10)</f>
        <v/>
      </c>
      <c r="K776" s="125">
        <f>(E776/2)/F776</f>
        <v/>
      </c>
      <c r="L776" s="125">
        <f>I776/G776</f>
        <v/>
      </c>
      <c r="M776" s="125">
        <f>(E776*2+F776*4+((E776-G776)/2-H776)*4+2*PI()*H776+(D776-2*F776-2*H776)*2)/1000</f>
        <v/>
      </c>
      <c r="N776" s="5" t="n">
        <v>298000</v>
      </c>
      <c r="O776" s="5" t="n">
        <v>29900</v>
      </c>
      <c r="P776" s="125" t="n">
        <v>29.2</v>
      </c>
      <c r="Q776" s="125" t="n">
        <v>9.300000000000001</v>
      </c>
      <c r="R776" s="5" t="n">
        <v>8520</v>
      </c>
      <c r="S776" s="5" t="n">
        <v>1500</v>
      </c>
      <c r="T776" s="5" t="n">
        <v>9580</v>
      </c>
      <c r="U776" s="5" t="n">
        <v>2300</v>
      </c>
      <c r="Y776">
        <f>SQRT((((VLOOKUP($X$4,$A$4:$D$1021,4,FALSE))-D776)^2)+(((VLOOKUP($X$4,$A$4:$E$1021,5,FALSE))-E776)^2))</f>
        <v/>
      </c>
    </row>
    <row r="777">
      <c r="A777" s="125" t="inlineStr">
        <is>
          <t>HY700X307</t>
        </is>
      </c>
      <c r="B777" s="129" t="inlineStr">
        <is>
          <t>HY</t>
        </is>
      </c>
      <c r="C777" s="125" t="n">
        <v>307</v>
      </c>
      <c r="D777" s="125" t="n">
        <v>700</v>
      </c>
      <c r="E777" s="125" t="n">
        <v>400</v>
      </c>
      <c r="F777" s="125" t="n">
        <v>36</v>
      </c>
      <c r="G777" s="125" t="n">
        <v>16</v>
      </c>
      <c r="H777" s="125" t="n">
        <v>18</v>
      </c>
      <c r="I777" s="125">
        <f>D777-(2*(H777+F777))</f>
        <v/>
      </c>
      <c r="J777" s="125">
        <f>D777/10 * F777/10 + 2*(E777/10 * G777/10)</f>
        <v/>
      </c>
      <c r="K777" s="125">
        <f>(E777/2)/F777</f>
        <v/>
      </c>
      <c r="L777" s="125">
        <f>I777/G777</f>
        <v/>
      </c>
      <c r="M777" s="125">
        <f>(E777*2+F777*4+((E777-G777)/2-H777)*4+2*PI()*H777+(D777-2*F777-2*H777)*2)/1000</f>
        <v/>
      </c>
      <c r="N777" s="5" t="n">
        <v>353000</v>
      </c>
      <c r="O777" s="5" t="n">
        <v>38400</v>
      </c>
      <c r="P777" s="125" t="n">
        <v>30.1</v>
      </c>
      <c r="Q777" s="125" t="n">
        <v>9.9</v>
      </c>
      <c r="R777" s="5" t="n">
        <v>10100</v>
      </c>
      <c r="S777" s="5" t="n">
        <v>1920</v>
      </c>
      <c r="T777" s="5" t="n">
        <v>11200</v>
      </c>
      <c r="U777" s="5" t="n">
        <v>2920</v>
      </c>
      <c r="Y777">
        <f>SQRT((((VLOOKUP($X$4,$A$4:$D$1021,4,FALSE))-D777)^2)+(((VLOOKUP($X$4,$A$4:$E$1021,5,FALSE))-E777)^2))</f>
        <v/>
      </c>
    </row>
    <row r="778">
      <c r="A778" s="125" t="inlineStr">
        <is>
          <t>HY700X283</t>
        </is>
      </c>
      <c r="B778" s="129" t="inlineStr">
        <is>
          <t>HY</t>
        </is>
      </c>
      <c r="C778" s="125" t="n">
        <v>283</v>
      </c>
      <c r="D778" s="125" t="n">
        <v>700</v>
      </c>
      <c r="E778" s="125" t="n">
        <v>400</v>
      </c>
      <c r="F778" s="125" t="n">
        <v>32</v>
      </c>
      <c r="G778" s="125" t="n">
        <v>16</v>
      </c>
      <c r="H778" s="125" t="n">
        <v>18</v>
      </c>
      <c r="I778" s="125">
        <f>D778-(2*(H778+F778))</f>
        <v/>
      </c>
      <c r="J778" s="125">
        <f>D778/10 * F778/10 + 2*(E778/10 * G778/10)</f>
        <v/>
      </c>
      <c r="K778" s="125">
        <f>(E778/2)/F778</f>
        <v/>
      </c>
      <c r="L778" s="125">
        <f>I778/G778</f>
        <v/>
      </c>
      <c r="M778" s="125">
        <f>(E778*2+F778*4+((E778-G778)/2-H778)*4+2*PI()*H778+(D778-2*F778-2*H778)*2)/1000</f>
        <v/>
      </c>
      <c r="N778" s="5" t="n">
        <v>323000</v>
      </c>
      <c r="O778" s="5" t="n">
        <v>34200</v>
      </c>
      <c r="P778" s="125" t="n">
        <v>29.9</v>
      </c>
      <c r="Q778" s="125" t="n">
        <v>9.699999999999999</v>
      </c>
      <c r="R778" s="5" t="n">
        <v>9220</v>
      </c>
      <c r="S778" s="5" t="n">
        <v>1710</v>
      </c>
      <c r="T778" s="5" t="n">
        <v>10300</v>
      </c>
      <c r="U778" s="5" t="n">
        <v>2600</v>
      </c>
      <c r="Y778">
        <f>SQRT((((VLOOKUP($X$4,$A$4:$D$1021,4,FALSE))-D778)^2)+(((VLOOKUP($X$4,$A$4:$E$1021,5,FALSE))-E778)^2))</f>
        <v/>
      </c>
    </row>
    <row r="779">
      <c r="A779" s="125" t="inlineStr">
        <is>
          <t>HY700X259</t>
        </is>
      </c>
      <c r="B779" s="129" t="inlineStr">
        <is>
          <t>HY</t>
        </is>
      </c>
      <c r="C779" s="125" t="n">
        <v>259</v>
      </c>
      <c r="D779" s="125" t="n">
        <v>700</v>
      </c>
      <c r="E779" s="125" t="n">
        <v>400</v>
      </c>
      <c r="F779" s="125" t="n">
        <v>28</v>
      </c>
      <c r="G779" s="125" t="n">
        <v>16</v>
      </c>
      <c r="H779" s="125" t="n">
        <v>18</v>
      </c>
      <c r="I779" s="125">
        <f>D779-(2*(H779+F779))</f>
        <v/>
      </c>
      <c r="J779" s="125">
        <f>D779/10 * F779/10 + 2*(E779/10 * G779/10)</f>
        <v/>
      </c>
      <c r="K779" s="125">
        <f>(E779/2)/F779</f>
        <v/>
      </c>
      <c r="L779" s="125">
        <f>I779/G779</f>
        <v/>
      </c>
      <c r="M779" s="125">
        <f>(E779*2+F779*4+((E779-G779)/2-H779)*4+2*PI()*H779+(D779-2*F779-2*H779)*2)/1000</f>
        <v/>
      </c>
      <c r="N779" s="5" t="n">
        <v>291000</v>
      </c>
      <c r="O779" s="5" t="n">
        <v>29900</v>
      </c>
      <c r="P779" s="125" t="n">
        <v>29.7</v>
      </c>
      <c r="Q779" s="125" t="n">
        <v>9.5</v>
      </c>
      <c r="R779" s="5" t="n">
        <v>8330</v>
      </c>
      <c r="S779" s="5" t="n">
        <v>1490</v>
      </c>
      <c r="T779" s="5" t="n">
        <v>9270</v>
      </c>
      <c r="U779" s="5" t="n">
        <v>2280</v>
      </c>
      <c r="Y779">
        <f>SQRT((((VLOOKUP($X$4,$A$4:$D$1021,4,FALSE))-D779)^2)+(((VLOOKUP($X$4,$A$4:$E$1021,5,FALSE))-E779)^2))</f>
        <v/>
      </c>
    </row>
    <row r="780">
      <c r="A780" s="125" t="inlineStr">
        <is>
          <t>HY700X241</t>
        </is>
      </c>
      <c r="B780" s="129" t="inlineStr">
        <is>
          <t>HY</t>
        </is>
      </c>
      <c r="C780" s="125" t="n">
        <v>241</v>
      </c>
      <c r="D780" s="125" t="n">
        <v>700</v>
      </c>
      <c r="E780" s="125" t="n">
        <v>400</v>
      </c>
      <c r="F780" s="125" t="n">
        <v>25</v>
      </c>
      <c r="G780" s="125" t="n">
        <v>16</v>
      </c>
      <c r="H780" s="125" t="n">
        <v>18</v>
      </c>
      <c r="I780" s="125">
        <f>D780-(2*(H780+F780))</f>
        <v/>
      </c>
      <c r="J780" s="125">
        <f>D780/10 * F780/10 + 2*(E780/10 * G780/10)</f>
        <v/>
      </c>
      <c r="K780" s="125">
        <f>(E780/2)/F780</f>
        <v/>
      </c>
      <c r="L780" s="125">
        <f>I780/G780</f>
        <v/>
      </c>
      <c r="M780" s="125">
        <f>(E780*2+F780*4+((E780-G780)/2-H780)*4+2*PI()*H780+(D780-2*F780-2*H780)*2)/1000</f>
        <v/>
      </c>
      <c r="N780" s="5" t="n">
        <v>267000</v>
      </c>
      <c r="O780" s="5" t="n">
        <v>26700</v>
      </c>
      <c r="P780" s="125" t="n">
        <v>29.5</v>
      </c>
      <c r="Q780" s="125" t="n">
        <v>9.300000000000001</v>
      </c>
      <c r="R780" s="5" t="n">
        <v>7640</v>
      </c>
      <c r="S780" s="5" t="n">
        <v>1330</v>
      </c>
      <c r="T780" s="5" t="n">
        <v>8530</v>
      </c>
      <c r="U780" s="5" t="n">
        <v>2040</v>
      </c>
      <c r="Y780">
        <f>SQRT((((VLOOKUP($X$4,$A$4:$D$1021,4,FALSE))-D780)^2)+(((VLOOKUP($X$4,$A$4:$E$1021,5,FALSE))-E780)^2))</f>
        <v/>
      </c>
    </row>
    <row r="781">
      <c r="A781" s="125" t="inlineStr">
        <is>
          <t>HY700X223</t>
        </is>
      </c>
      <c r="B781" s="129" t="inlineStr">
        <is>
          <t>HY</t>
        </is>
      </c>
      <c r="C781" s="125" t="n">
        <v>223</v>
      </c>
      <c r="D781" s="125" t="n">
        <v>700</v>
      </c>
      <c r="E781" s="125" t="n">
        <v>400</v>
      </c>
      <c r="F781" s="125" t="n">
        <v>22</v>
      </c>
      <c r="G781" s="125" t="n">
        <v>16</v>
      </c>
      <c r="H781" s="125" t="n">
        <v>18</v>
      </c>
      <c r="I781" s="125">
        <f>D781-(2*(H781+F781))</f>
        <v/>
      </c>
      <c r="J781" s="125">
        <f>D781/10 * F781/10 + 2*(E781/10 * G781/10)</f>
        <v/>
      </c>
      <c r="K781" s="125">
        <f>(E781/2)/F781</f>
        <v/>
      </c>
      <c r="L781" s="125">
        <f>I781/G781</f>
        <v/>
      </c>
      <c r="M781" s="125">
        <f>(E781*2+F781*4+((E781-G781)/2-H781)*4+2*PI()*H781+(D781-2*F781-2*H781)*2)/1000</f>
        <v/>
      </c>
      <c r="N781" s="5" t="n">
        <v>243000</v>
      </c>
      <c r="O781" s="5" t="n">
        <v>23500</v>
      </c>
      <c r="P781" s="125" t="n">
        <v>29.3</v>
      </c>
      <c r="Q781" s="125" t="n">
        <v>9.1</v>
      </c>
      <c r="R781" s="5" t="n">
        <v>6940</v>
      </c>
      <c r="S781" s="5" t="n">
        <v>1170</v>
      </c>
      <c r="T781" s="5" t="n">
        <v>7780</v>
      </c>
      <c r="U781" s="5" t="n">
        <v>1810</v>
      </c>
      <c r="Y781">
        <f>SQRT((((VLOOKUP($X$4,$A$4:$D$1021,4,FALSE))-D781)^2)+(((VLOOKUP($X$4,$A$4:$E$1021,5,FALSE))-E781)^2))</f>
        <v/>
      </c>
    </row>
    <row r="782">
      <c r="A782" s="125" t="inlineStr">
        <is>
          <t>HY700X273</t>
        </is>
      </c>
      <c r="B782" s="129" t="inlineStr">
        <is>
          <t>HY</t>
        </is>
      </c>
      <c r="C782" s="125" t="n">
        <v>273</v>
      </c>
      <c r="D782" s="125" t="n">
        <v>700</v>
      </c>
      <c r="E782" s="125" t="n">
        <v>400</v>
      </c>
      <c r="F782" s="125" t="n">
        <v>32</v>
      </c>
      <c r="G782" s="125" t="n">
        <v>14</v>
      </c>
      <c r="H782" s="125" t="n">
        <v>18</v>
      </c>
      <c r="I782" s="125">
        <f>D782-(2*(H782+F782))</f>
        <v/>
      </c>
      <c r="J782" s="125">
        <f>D782/10 * F782/10 + 2*(E782/10 * G782/10)</f>
        <v/>
      </c>
      <c r="K782" s="125">
        <f>(E782/2)/F782</f>
        <v/>
      </c>
      <c r="L782" s="125">
        <f>I782/G782</f>
        <v/>
      </c>
      <c r="M782" s="125">
        <f>(E782*2+F782*4+((E782-G782)/2-H782)*4+2*PI()*H782+(D782-2*F782-2*H782)*2)/1000</f>
        <v/>
      </c>
      <c r="N782" s="5" t="n">
        <v>319000</v>
      </c>
      <c r="O782" s="5" t="n">
        <v>34200</v>
      </c>
      <c r="P782" s="125" t="n">
        <v>30.3</v>
      </c>
      <c r="Q782" s="125" t="n">
        <v>9.9</v>
      </c>
      <c r="R782" s="5" t="n">
        <v>9100</v>
      </c>
      <c r="S782" s="5" t="n">
        <v>1710</v>
      </c>
      <c r="T782" s="5" t="n">
        <v>10100</v>
      </c>
      <c r="U782" s="5" t="n">
        <v>2590</v>
      </c>
      <c r="Y782">
        <f>SQRT((((VLOOKUP($X$4,$A$4:$D$1021,4,FALSE))-D782)^2)+(((VLOOKUP($X$4,$A$4:$E$1021,5,FALSE))-E782)^2))</f>
        <v/>
      </c>
    </row>
    <row r="783">
      <c r="A783" s="125" t="inlineStr">
        <is>
          <t>HY700X249</t>
        </is>
      </c>
      <c r="B783" s="129" t="inlineStr">
        <is>
          <t>HY</t>
        </is>
      </c>
      <c r="C783" s="125" t="n">
        <v>249</v>
      </c>
      <c r="D783" s="125" t="n">
        <v>700</v>
      </c>
      <c r="E783" s="125" t="n">
        <v>400</v>
      </c>
      <c r="F783" s="125" t="n">
        <v>28</v>
      </c>
      <c r="G783" s="125" t="n">
        <v>14</v>
      </c>
      <c r="H783" s="125" t="n">
        <v>18</v>
      </c>
      <c r="I783" s="125">
        <f>D783-(2*(H783+F783))</f>
        <v/>
      </c>
      <c r="J783" s="125">
        <f>D783/10 * F783/10 + 2*(E783/10 * G783/10)</f>
        <v/>
      </c>
      <c r="K783" s="125">
        <f>(E783/2)/F783</f>
        <v/>
      </c>
      <c r="L783" s="125">
        <f>I783/G783</f>
        <v/>
      </c>
      <c r="M783" s="125">
        <f>(E783*2+F783*4+((E783-G783)/2-H783)*4+2*PI()*H783+(D783-2*F783-2*H783)*2)/1000</f>
        <v/>
      </c>
      <c r="N783" s="5" t="n">
        <v>287000</v>
      </c>
      <c r="O783" s="5" t="n">
        <v>29900</v>
      </c>
      <c r="P783" s="125" t="n">
        <v>30.1</v>
      </c>
      <c r="Q783" s="125" t="n">
        <v>9.699999999999999</v>
      </c>
      <c r="R783" s="5" t="n">
        <v>8200</v>
      </c>
      <c r="S783" s="5" t="n">
        <v>1490</v>
      </c>
      <c r="T783" s="5" t="n">
        <v>9070</v>
      </c>
      <c r="U783" s="5" t="n">
        <v>2270</v>
      </c>
      <c r="Y783">
        <f>SQRT((((VLOOKUP($X$4,$A$4:$D$1021,4,FALSE))-D783)^2)+(((VLOOKUP($X$4,$A$4:$E$1021,5,FALSE))-E783)^2))</f>
        <v/>
      </c>
    </row>
    <row r="784">
      <c r="A784" s="125" t="inlineStr">
        <is>
          <t>HY700X231</t>
        </is>
      </c>
      <c r="B784" s="129" t="inlineStr">
        <is>
          <t>HY</t>
        </is>
      </c>
      <c r="C784" s="125" t="n">
        <v>231</v>
      </c>
      <c r="D784" s="125" t="n">
        <v>700</v>
      </c>
      <c r="E784" s="125" t="n">
        <v>400</v>
      </c>
      <c r="F784" s="125" t="n">
        <v>25</v>
      </c>
      <c r="G784" s="125" t="n">
        <v>14</v>
      </c>
      <c r="H784" s="125" t="n">
        <v>18</v>
      </c>
      <c r="I784" s="125">
        <f>D784-(2*(H784+F784))</f>
        <v/>
      </c>
      <c r="J784" s="125">
        <f>D784/10 * F784/10 + 2*(E784/10 * G784/10)</f>
        <v/>
      </c>
      <c r="K784" s="125">
        <f>(E784/2)/F784</f>
        <v/>
      </c>
      <c r="L784" s="125">
        <f>I784/G784</f>
        <v/>
      </c>
      <c r="M784" s="125">
        <f>(E784*2+F784*4+((E784-G784)/2-H784)*4+2*PI()*H784+(D784-2*F784-2*H784)*2)/1000</f>
        <v/>
      </c>
      <c r="N784" s="5" t="n">
        <v>263000</v>
      </c>
      <c r="O784" s="5" t="n">
        <v>26700</v>
      </c>
      <c r="P784" s="125" t="n">
        <v>29.9</v>
      </c>
      <c r="Q784" s="125" t="n">
        <v>9.5</v>
      </c>
      <c r="R784" s="5" t="n">
        <v>7510</v>
      </c>
      <c r="S784" s="5" t="n">
        <v>1330</v>
      </c>
      <c r="T784" s="5" t="n">
        <v>8320</v>
      </c>
      <c r="U784" s="5" t="n">
        <v>2030</v>
      </c>
      <c r="Y784">
        <f>SQRT((((VLOOKUP($X$4,$A$4:$D$1021,4,FALSE))-D784)^2)+(((VLOOKUP($X$4,$A$4:$E$1021,5,FALSE))-E784)^2))</f>
        <v/>
      </c>
    </row>
    <row r="785">
      <c r="A785" s="125" t="inlineStr">
        <is>
          <t>HY700X212</t>
        </is>
      </c>
      <c r="B785" s="129" t="inlineStr">
        <is>
          <t>HY</t>
        </is>
      </c>
      <c r="C785" s="125" t="n">
        <v>212</v>
      </c>
      <c r="D785" s="125" t="n">
        <v>700</v>
      </c>
      <c r="E785" s="125" t="n">
        <v>400</v>
      </c>
      <c r="F785" s="125" t="n">
        <v>22</v>
      </c>
      <c r="G785" s="125" t="n">
        <v>14</v>
      </c>
      <c r="H785" s="125" t="n">
        <v>18</v>
      </c>
      <c r="I785" s="125">
        <f>D785-(2*(H785+F785))</f>
        <v/>
      </c>
      <c r="J785" s="125">
        <f>D785/10 * F785/10 + 2*(E785/10 * G785/10)</f>
        <v/>
      </c>
      <c r="K785" s="125">
        <f>(E785/2)/F785</f>
        <v/>
      </c>
      <c r="L785" s="125">
        <f>I785/G785</f>
        <v/>
      </c>
      <c r="M785" s="125">
        <f>(E785*2+F785*4+((E785-G785)/2-H785)*4+2*PI()*H785+(D785-2*F785-2*H785)*2)/1000</f>
        <v/>
      </c>
      <c r="N785" s="5" t="n">
        <v>238000</v>
      </c>
      <c r="O785" s="5" t="n">
        <v>23500</v>
      </c>
      <c r="P785" s="125" t="n">
        <v>29.7</v>
      </c>
      <c r="Q785" s="125" t="n">
        <v>9.300000000000001</v>
      </c>
      <c r="R785" s="5" t="n">
        <v>6810</v>
      </c>
      <c r="S785" s="5" t="n">
        <v>1170</v>
      </c>
      <c r="T785" s="5" t="n">
        <v>7560</v>
      </c>
      <c r="U785" s="5" t="n">
        <v>1800</v>
      </c>
      <c r="Y785">
        <f>SQRT((((VLOOKUP($X$4,$A$4:$D$1021,4,FALSE))-D785)^2)+(((VLOOKUP($X$4,$A$4:$E$1021,5,FALSE))-E785)^2))</f>
        <v/>
      </c>
    </row>
    <row r="786">
      <c r="A786" s="125" t="inlineStr">
        <is>
          <t>HY700X220</t>
        </is>
      </c>
      <c r="B786" s="129" t="inlineStr">
        <is>
          <t>HY</t>
        </is>
      </c>
      <c r="C786" s="125" t="n">
        <v>220</v>
      </c>
      <c r="D786" s="125" t="n">
        <v>700</v>
      </c>
      <c r="E786" s="125" t="n">
        <v>400</v>
      </c>
      <c r="F786" s="125" t="n">
        <v>25</v>
      </c>
      <c r="G786" s="125" t="n">
        <v>12</v>
      </c>
      <c r="H786" s="125" t="n">
        <v>18</v>
      </c>
      <c r="I786" s="125">
        <f>D786-(2*(H786+F786))</f>
        <v/>
      </c>
      <c r="J786" s="125">
        <f>D786/10 * F786/10 + 2*(E786/10 * G786/10)</f>
        <v/>
      </c>
      <c r="K786" s="125">
        <f>(E786/2)/F786</f>
        <v/>
      </c>
      <c r="L786" s="125">
        <f>I786/G786</f>
        <v/>
      </c>
      <c r="M786" s="125">
        <f>(E786*2+F786*4+((E786-G786)/2-H786)*4+2*PI()*H786+(D786-2*F786-2*H786)*2)/1000</f>
        <v/>
      </c>
      <c r="N786" s="5" t="n">
        <v>258000</v>
      </c>
      <c r="O786" s="5" t="n">
        <v>26700</v>
      </c>
      <c r="P786" s="125" t="n">
        <v>30.3</v>
      </c>
      <c r="Q786" s="125" t="n">
        <v>9.800000000000001</v>
      </c>
      <c r="R786" s="5" t="n">
        <v>7380</v>
      </c>
      <c r="S786" s="5" t="n">
        <v>1330</v>
      </c>
      <c r="T786" s="5" t="n">
        <v>8110</v>
      </c>
      <c r="U786" s="5" t="n">
        <v>2030</v>
      </c>
      <c r="Y786">
        <f>SQRT((((VLOOKUP($X$4,$A$4:$D$1021,4,FALSE))-D786)^2)+(((VLOOKUP($X$4,$A$4:$E$1021,5,FALSE))-E786)^2))</f>
        <v/>
      </c>
    </row>
    <row r="787">
      <c r="A787" s="125" t="inlineStr">
        <is>
          <t>HY700X202</t>
        </is>
      </c>
      <c r="B787" s="129" t="inlineStr">
        <is>
          <t>HY</t>
        </is>
      </c>
      <c r="C787" s="125" t="n">
        <v>202</v>
      </c>
      <c r="D787" s="125" t="n">
        <v>700</v>
      </c>
      <c r="E787" s="125" t="n">
        <v>400</v>
      </c>
      <c r="F787" s="125" t="n">
        <v>22</v>
      </c>
      <c r="G787" s="125" t="n">
        <v>12</v>
      </c>
      <c r="H787" s="125" t="n">
        <v>18</v>
      </c>
      <c r="I787" s="125">
        <f>D787-(2*(H787+F787))</f>
        <v/>
      </c>
      <c r="J787" s="125">
        <f>D787/10 * F787/10 + 2*(E787/10 * G787/10)</f>
        <v/>
      </c>
      <c r="K787" s="125">
        <f>(E787/2)/F787</f>
        <v/>
      </c>
      <c r="L787" s="125">
        <f>I787/G787</f>
        <v/>
      </c>
      <c r="M787" s="125">
        <f>(E787*2+F787*4+((E787-G787)/2-H787)*4+2*PI()*H787+(D787-2*F787-2*H787)*2)/1000</f>
        <v/>
      </c>
      <c r="N787" s="5" t="n">
        <v>233000</v>
      </c>
      <c r="O787" s="5" t="n">
        <v>23500</v>
      </c>
      <c r="P787" s="125" t="n">
        <v>30.1</v>
      </c>
      <c r="Q787" s="125" t="n">
        <v>9.6</v>
      </c>
      <c r="R787" s="5" t="n">
        <v>6670</v>
      </c>
      <c r="S787" s="5" t="n">
        <v>1170</v>
      </c>
      <c r="T787" s="5" t="n">
        <v>7350</v>
      </c>
      <c r="U787" s="5" t="n">
        <v>1790</v>
      </c>
      <c r="Y787">
        <f>SQRT((((VLOOKUP($X$4,$A$4:$D$1021,4,FALSE))-D787)^2)+(((VLOOKUP($X$4,$A$4:$E$1021,5,FALSE))-E787)^2))</f>
        <v/>
      </c>
    </row>
    <row r="788">
      <c r="A788" s="125" t="inlineStr">
        <is>
          <t>HY700X308</t>
        </is>
      </c>
      <c r="B788" s="129" t="inlineStr">
        <is>
          <t>HY</t>
        </is>
      </c>
      <c r="C788" s="125" t="n">
        <v>308</v>
      </c>
      <c r="D788" s="125" t="n">
        <v>700</v>
      </c>
      <c r="E788" s="125" t="n">
        <v>350</v>
      </c>
      <c r="F788" s="125" t="n">
        <v>36</v>
      </c>
      <c r="G788" s="125" t="n">
        <v>22</v>
      </c>
      <c r="H788" s="125" t="n">
        <v>18</v>
      </c>
      <c r="I788" s="125">
        <f>D788-(2*(H788+F788))</f>
        <v/>
      </c>
      <c r="J788" s="125">
        <f>D788/10 * F788/10 + 2*(E788/10 * G788/10)</f>
        <v/>
      </c>
      <c r="K788" s="125">
        <f>(E788/2)/F788</f>
        <v/>
      </c>
      <c r="L788" s="125">
        <f>I788/G788</f>
        <v/>
      </c>
      <c r="M788" s="125">
        <f>(E788*2+F788*4+((E788-G788)/2-H788)*4+2*PI()*H788+(D788-2*F788-2*H788)*2)/1000</f>
        <v/>
      </c>
      <c r="N788" s="5" t="n">
        <v>326000</v>
      </c>
      <c r="O788" s="5" t="n">
        <v>25800</v>
      </c>
      <c r="P788" s="125" t="n">
        <v>28.8</v>
      </c>
      <c r="Q788" s="125" t="n">
        <v>8.1</v>
      </c>
      <c r="R788" s="5" t="n">
        <v>9320</v>
      </c>
      <c r="S788" s="5" t="n">
        <v>1470</v>
      </c>
      <c r="T788" s="5" t="n">
        <v>10600</v>
      </c>
      <c r="U788" s="5" t="n">
        <v>2290</v>
      </c>
      <c r="Y788">
        <f>SQRT((((VLOOKUP($X$4,$A$4:$D$1021,4,FALSE))-D788)^2)+(((VLOOKUP($X$4,$A$4:$E$1021,5,FALSE))-E788)^2))</f>
        <v/>
      </c>
    </row>
    <row r="789">
      <c r="A789" s="125" t="inlineStr">
        <is>
          <t>HY700X288</t>
        </is>
      </c>
      <c r="B789" s="129" t="inlineStr">
        <is>
          <t>HY</t>
        </is>
      </c>
      <c r="C789" s="125" t="n">
        <v>288</v>
      </c>
      <c r="D789" s="125" t="n">
        <v>700</v>
      </c>
      <c r="E789" s="125" t="n">
        <v>350</v>
      </c>
      <c r="F789" s="125" t="n">
        <v>32</v>
      </c>
      <c r="G789" s="125" t="n">
        <v>22</v>
      </c>
      <c r="H789" s="125" t="n">
        <v>18</v>
      </c>
      <c r="I789" s="125">
        <f>D789-(2*(H789+F789))</f>
        <v/>
      </c>
      <c r="J789" s="125">
        <f>D789/10 * F789/10 + 2*(E789/10 * G789/10)</f>
        <v/>
      </c>
      <c r="K789" s="125">
        <f>(E789/2)/F789</f>
        <v/>
      </c>
      <c r="L789" s="125">
        <f>I789/G789</f>
        <v/>
      </c>
      <c r="M789" s="125">
        <f>(E789*2+F789*4+((E789-G789)/2-H789)*4+2*PI()*H789+(D789-2*F789-2*H789)*2)/1000</f>
        <v/>
      </c>
      <c r="N789" s="5" t="n">
        <v>300000</v>
      </c>
      <c r="O789" s="5" t="n">
        <v>22900</v>
      </c>
      <c r="P789" s="125" t="n">
        <v>28.6</v>
      </c>
      <c r="Q789" s="125" t="n">
        <v>7.9</v>
      </c>
      <c r="R789" s="5" t="n">
        <v>8570</v>
      </c>
      <c r="S789" s="5" t="n">
        <v>1310</v>
      </c>
      <c r="T789" s="5" t="n">
        <v>9790</v>
      </c>
      <c r="U789" s="5" t="n">
        <v>2040</v>
      </c>
      <c r="Y789">
        <f>SQRT((((VLOOKUP($X$4,$A$4:$D$1021,4,FALSE))-D789)^2)+(((VLOOKUP($X$4,$A$4:$E$1021,5,FALSE))-E789)^2))</f>
        <v/>
      </c>
    </row>
    <row r="790">
      <c r="A790" s="125" t="inlineStr">
        <is>
          <t>HY700X267</t>
        </is>
      </c>
      <c r="B790" s="129" t="inlineStr">
        <is>
          <t>HY</t>
        </is>
      </c>
      <c r="C790" s="125" t="n">
        <v>267</v>
      </c>
      <c r="D790" s="125" t="n">
        <v>700</v>
      </c>
      <c r="E790" s="125" t="n">
        <v>350</v>
      </c>
      <c r="F790" s="125" t="n">
        <v>28</v>
      </c>
      <c r="G790" s="125" t="n">
        <v>22</v>
      </c>
      <c r="H790" s="125" t="n">
        <v>18</v>
      </c>
      <c r="I790" s="125">
        <f>D790-(2*(H790+F790))</f>
        <v/>
      </c>
      <c r="J790" s="125">
        <f>D790/10 * F790/10 + 2*(E790/10 * G790/10)</f>
        <v/>
      </c>
      <c r="K790" s="125">
        <f>(E790/2)/F790</f>
        <v/>
      </c>
      <c r="L790" s="125">
        <f>I790/G790</f>
        <v/>
      </c>
      <c r="M790" s="125">
        <f>(E790*2+F790*4+((E790-G790)/2-H790)*4+2*PI()*H790+(D790-2*F790-2*H790)*2)/1000</f>
        <v/>
      </c>
      <c r="N790" s="5" t="n">
        <v>273000</v>
      </c>
      <c r="O790" s="5" t="n">
        <v>20100</v>
      </c>
      <c r="P790" s="125" t="n">
        <v>28.3</v>
      </c>
      <c r="Q790" s="125" t="n">
        <v>7.7</v>
      </c>
      <c r="R790" s="5" t="n">
        <v>7810</v>
      </c>
      <c r="S790" s="5" t="n">
        <v>1150</v>
      </c>
      <c r="T790" s="5" t="n">
        <v>8960</v>
      </c>
      <c r="U790" s="5" t="n">
        <v>1800</v>
      </c>
      <c r="Y790">
        <f>SQRT((((VLOOKUP($X$4,$A$4:$D$1021,4,FALSE))-D790)^2)+(((VLOOKUP($X$4,$A$4:$E$1021,5,FALSE))-E790)^2))</f>
        <v/>
      </c>
    </row>
    <row r="791">
      <c r="A791" s="125" t="inlineStr">
        <is>
          <t>HY700X294</t>
        </is>
      </c>
      <c r="B791" s="129" t="inlineStr">
        <is>
          <t>HY</t>
        </is>
      </c>
      <c r="C791" s="125" t="n">
        <v>294</v>
      </c>
      <c r="D791" s="125" t="n">
        <v>700</v>
      </c>
      <c r="E791" s="125" t="n">
        <v>350</v>
      </c>
      <c r="F791" s="125" t="n">
        <v>36</v>
      </c>
      <c r="G791" s="125" t="n">
        <v>19</v>
      </c>
      <c r="H791" s="125" t="n">
        <v>18</v>
      </c>
      <c r="I791" s="125">
        <f>D791-(2*(H791+F791))</f>
        <v/>
      </c>
      <c r="J791" s="125">
        <f>D791/10 * F791/10 + 2*(E791/10 * G791/10)</f>
        <v/>
      </c>
      <c r="K791" s="125">
        <f>(E791/2)/F791</f>
        <v/>
      </c>
      <c r="L791" s="125">
        <f>I791/G791</f>
        <v/>
      </c>
      <c r="M791" s="125">
        <f>(E791*2+F791*4+((E791-G791)/2-H791)*4+2*PI()*H791+(D791-2*F791-2*H791)*2)/1000</f>
        <v/>
      </c>
      <c r="N791" s="5" t="n">
        <v>320000</v>
      </c>
      <c r="O791" s="5" t="n">
        <v>25800</v>
      </c>
      <c r="P791" s="125" t="n">
        <v>29.2</v>
      </c>
      <c r="Q791" s="125" t="n">
        <v>8.300000000000001</v>
      </c>
      <c r="R791" s="5" t="n">
        <v>9140</v>
      </c>
      <c r="S791" s="5" t="n">
        <v>1470</v>
      </c>
      <c r="T791" s="5" t="n">
        <v>10300</v>
      </c>
      <c r="U791" s="5" t="n">
        <v>2270</v>
      </c>
      <c r="Y791">
        <f>SQRT((((VLOOKUP($X$4,$A$4:$D$1021,4,FALSE))-D791)^2)+(((VLOOKUP($X$4,$A$4:$E$1021,5,FALSE))-E791)^2))</f>
        <v/>
      </c>
    </row>
    <row r="792">
      <c r="A792" s="125" t="inlineStr">
        <is>
          <t>HY700X273</t>
        </is>
      </c>
      <c r="B792" s="129" t="inlineStr">
        <is>
          <t>HY</t>
        </is>
      </c>
      <c r="C792" s="125" t="n">
        <v>273</v>
      </c>
      <c r="D792" s="125" t="n">
        <v>700</v>
      </c>
      <c r="E792" s="125" t="n">
        <v>350</v>
      </c>
      <c r="F792" s="125" t="n">
        <v>32</v>
      </c>
      <c r="G792" s="125" t="n">
        <v>19</v>
      </c>
      <c r="H792" s="125" t="n">
        <v>18</v>
      </c>
      <c r="I792" s="125">
        <f>D792-(2*(H792+F792))</f>
        <v/>
      </c>
      <c r="J792" s="125">
        <f>D792/10 * F792/10 + 2*(E792/10 * G792/10)</f>
        <v/>
      </c>
      <c r="K792" s="125">
        <f>(E792/2)/F792</f>
        <v/>
      </c>
      <c r="L792" s="125">
        <f>I792/G792</f>
        <v/>
      </c>
      <c r="M792" s="125">
        <f>(E792*2+F792*4+((E792-G792)/2-H792)*4+2*PI()*H792+(D792-2*F792-2*H792)*2)/1000</f>
        <v/>
      </c>
      <c r="N792" s="5" t="n">
        <v>294000</v>
      </c>
      <c r="O792" s="5" t="n">
        <v>22900</v>
      </c>
      <c r="P792" s="125" t="n">
        <v>29.1</v>
      </c>
      <c r="Q792" s="125" t="n">
        <v>8.1</v>
      </c>
      <c r="R792" s="5" t="n">
        <v>8390</v>
      </c>
      <c r="S792" s="5" t="n">
        <v>1310</v>
      </c>
      <c r="T792" s="5" t="n">
        <v>9490</v>
      </c>
      <c r="U792" s="5" t="n">
        <v>2020</v>
      </c>
      <c r="Y792">
        <f>SQRT((((VLOOKUP($X$4,$A$4:$D$1021,4,FALSE))-D792)^2)+(((VLOOKUP($X$4,$A$4:$E$1021,5,FALSE))-E792)^2))</f>
        <v/>
      </c>
    </row>
    <row r="793">
      <c r="A793" s="125" t="inlineStr">
        <is>
          <t>HY700X252</t>
        </is>
      </c>
      <c r="B793" s="129" t="inlineStr">
        <is>
          <t>HY</t>
        </is>
      </c>
      <c r="C793" s="125" t="n">
        <v>252</v>
      </c>
      <c r="D793" s="125" t="n">
        <v>700</v>
      </c>
      <c r="E793" s="125" t="n">
        <v>350</v>
      </c>
      <c r="F793" s="125" t="n">
        <v>28</v>
      </c>
      <c r="G793" s="125" t="n">
        <v>19</v>
      </c>
      <c r="H793" s="125" t="n">
        <v>18</v>
      </c>
      <c r="I793" s="125">
        <f>D793-(2*(H793+F793))</f>
        <v/>
      </c>
      <c r="J793" s="125">
        <f>D793/10 * F793/10 + 2*(E793/10 * G793/10)</f>
        <v/>
      </c>
      <c r="K793" s="125">
        <f>(E793/2)/F793</f>
        <v/>
      </c>
      <c r="L793" s="125">
        <f>I793/G793</f>
        <v/>
      </c>
      <c r="M793" s="125">
        <f>(E793*2+F793*4+((E793-G793)/2-H793)*4+2*PI()*H793+(D793-2*F793-2*H793)*2)/1000</f>
        <v/>
      </c>
      <c r="N793" s="5" t="n">
        <v>267000</v>
      </c>
      <c r="O793" s="5" t="n">
        <v>20100</v>
      </c>
      <c r="P793" s="125" t="n">
        <v>28.8</v>
      </c>
      <c r="Q793" s="125" t="n">
        <v>7.9</v>
      </c>
      <c r="R793" s="5" t="n">
        <v>7610</v>
      </c>
      <c r="S793" s="5" t="n">
        <v>1150</v>
      </c>
      <c r="T793" s="5" t="n">
        <v>8640</v>
      </c>
      <c r="U793" s="5" t="n">
        <v>1780</v>
      </c>
      <c r="Y793">
        <f>SQRT((((VLOOKUP($X$4,$A$4:$D$1021,4,FALSE))-D793)^2)+(((VLOOKUP($X$4,$A$4:$E$1021,5,FALSE))-E793)^2))</f>
        <v/>
      </c>
    </row>
    <row r="794">
      <c r="A794" s="125" t="inlineStr">
        <is>
          <t>HY700X279</t>
        </is>
      </c>
      <c r="B794" s="129" t="inlineStr">
        <is>
          <t>HY</t>
        </is>
      </c>
      <c r="C794" s="125" t="n">
        <v>279</v>
      </c>
      <c r="D794" s="125" t="n">
        <v>700</v>
      </c>
      <c r="E794" s="125" t="n">
        <v>350</v>
      </c>
      <c r="F794" s="125" t="n">
        <v>36</v>
      </c>
      <c r="G794" s="125" t="n">
        <v>16</v>
      </c>
      <c r="H794" s="125" t="n">
        <v>18</v>
      </c>
      <c r="I794" s="125">
        <f>D794-(2*(H794+F794))</f>
        <v/>
      </c>
      <c r="J794" s="125">
        <f>D794/10 * F794/10 + 2*(E794/10 * G794/10)</f>
        <v/>
      </c>
      <c r="K794" s="125">
        <f>(E794/2)/F794</f>
        <v/>
      </c>
      <c r="L794" s="125">
        <f>I794/G794</f>
        <v/>
      </c>
      <c r="M794" s="125">
        <f>(E794*2+F794*4+((E794-G794)/2-H794)*4+2*PI()*H794+(D794-2*F794-2*H794)*2)/1000</f>
        <v/>
      </c>
      <c r="N794" s="5" t="n">
        <v>314000</v>
      </c>
      <c r="O794" s="5" t="n">
        <v>25800</v>
      </c>
      <c r="P794" s="125" t="n">
        <v>29.7</v>
      </c>
      <c r="Q794" s="125" t="n">
        <v>8.5</v>
      </c>
      <c r="R794" s="5" t="n">
        <v>8960</v>
      </c>
      <c r="S794" s="5" t="n">
        <v>1470</v>
      </c>
      <c r="T794" s="5" t="n">
        <v>10000</v>
      </c>
      <c r="U794" s="5" t="n">
        <v>2250</v>
      </c>
      <c r="Y794">
        <f>SQRT((((VLOOKUP($X$4,$A$4:$D$1021,4,FALSE))-D794)^2)+(((VLOOKUP($X$4,$A$4:$E$1021,5,FALSE))-E794)^2))</f>
        <v/>
      </c>
    </row>
    <row r="795">
      <c r="A795" s="125" t="inlineStr">
        <is>
          <t>HY700X258</t>
        </is>
      </c>
      <c r="B795" s="129" t="inlineStr">
        <is>
          <t>HY</t>
        </is>
      </c>
      <c r="C795" s="125" t="n">
        <v>258</v>
      </c>
      <c r="D795" s="125" t="n">
        <v>700</v>
      </c>
      <c r="E795" s="125" t="n">
        <v>350</v>
      </c>
      <c r="F795" s="125" t="n">
        <v>32</v>
      </c>
      <c r="G795" s="125" t="n">
        <v>16</v>
      </c>
      <c r="H795" s="125" t="n">
        <v>18</v>
      </c>
      <c r="I795" s="125">
        <f>D795-(2*(H795+F795))</f>
        <v/>
      </c>
      <c r="J795" s="125">
        <f>D795/10 * F795/10 + 2*(E795/10 * G795/10)</f>
        <v/>
      </c>
      <c r="K795" s="125">
        <f>(E795/2)/F795</f>
        <v/>
      </c>
      <c r="L795" s="125">
        <f>I795/G795</f>
        <v/>
      </c>
      <c r="M795" s="125">
        <f>(E795*2+F795*4+((E795-G795)/2-H795)*4+2*PI()*H795+(D795-2*F795-2*H795)*2)/1000</f>
        <v/>
      </c>
      <c r="N795" s="5" t="n">
        <v>287000</v>
      </c>
      <c r="O795" s="5" t="n">
        <v>22900</v>
      </c>
      <c r="P795" s="125" t="n">
        <v>29.6</v>
      </c>
      <c r="Q795" s="125" t="n">
        <v>8.4</v>
      </c>
      <c r="R795" s="5" t="n">
        <v>8200</v>
      </c>
      <c r="S795" s="5" t="n">
        <v>1310</v>
      </c>
      <c r="T795" s="5" t="n">
        <v>9190</v>
      </c>
      <c r="U795" s="5" t="n">
        <v>2000</v>
      </c>
      <c r="Y795">
        <f>SQRT((((VLOOKUP($X$4,$A$4:$D$1021,4,FALSE))-D795)^2)+(((VLOOKUP($X$4,$A$4:$E$1021,5,FALSE))-E795)^2))</f>
        <v/>
      </c>
    </row>
    <row r="796">
      <c r="A796" s="125" t="inlineStr">
        <is>
          <t>HY700X237</t>
        </is>
      </c>
      <c r="B796" s="129" t="inlineStr">
        <is>
          <t>HY</t>
        </is>
      </c>
      <c r="C796" s="125" t="n">
        <v>237</v>
      </c>
      <c r="D796" s="125" t="n">
        <v>700</v>
      </c>
      <c r="E796" s="125" t="n">
        <v>350</v>
      </c>
      <c r="F796" s="125" t="n">
        <v>28</v>
      </c>
      <c r="G796" s="125" t="n">
        <v>16</v>
      </c>
      <c r="H796" s="125" t="n">
        <v>18</v>
      </c>
      <c r="I796" s="125">
        <f>D796-(2*(H796+F796))</f>
        <v/>
      </c>
      <c r="J796" s="125">
        <f>D796/10 * F796/10 + 2*(E796/10 * G796/10)</f>
        <v/>
      </c>
      <c r="K796" s="125">
        <f>(E796/2)/F796</f>
        <v/>
      </c>
      <c r="L796" s="125">
        <f>I796/G796</f>
        <v/>
      </c>
      <c r="M796" s="125">
        <f>(E796*2+F796*4+((E796-G796)/2-H796)*4+2*PI()*H796+(D796-2*F796-2*H796)*2)/1000</f>
        <v/>
      </c>
      <c r="N796" s="5" t="n">
        <v>260000</v>
      </c>
      <c r="O796" s="5" t="n">
        <v>20000</v>
      </c>
      <c r="P796" s="125" t="n">
        <v>29.3</v>
      </c>
      <c r="Q796" s="125" t="n">
        <v>8.199999999999999</v>
      </c>
      <c r="R796" s="5" t="n">
        <v>7420</v>
      </c>
      <c r="S796" s="5" t="n">
        <v>1140</v>
      </c>
      <c r="T796" s="5" t="n">
        <v>8330</v>
      </c>
      <c r="U796" s="5" t="n">
        <v>1760</v>
      </c>
      <c r="Y796">
        <f>SQRT((((VLOOKUP($X$4,$A$4:$D$1021,4,FALSE))-D796)^2)+(((VLOOKUP($X$4,$A$4:$E$1021,5,FALSE))-E796)^2))</f>
        <v/>
      </c>
    </row>
    <row r="797">
      <c r="A797" s="125" t="inlineStr">
        <is>
          <t>HY700X221</t>
        </is>
      </c>
      <c r="B797" s="129" t="inlineStr">
        <is>
          <t>HY</t>
        </is>
      </c>
      <c r="C797" s="125" t="n">
        <v>221</v>
      </c>
      <c r="D797" s="125" t="n">
        <v>700</v>
      </c>
      <c r="E797" s="125" t="n">
        <v>350</v>
      </c>
      <c r="F797" s="125" t="n">
        <v>25</v>
      </c>
      <c r="G797" s="125" t="n">
        <v>16</v>
      </c>
      <c r="H797" s="125" t="n">
        <v>18</v>
      </c>
      <c r="I797" s="125">
        <f>D797-(2*(H797+F797))</f>
        <v/>
      </c>
      <c r="J797" s="125">
        <f>D797/10 * F797/10 + 2*(E797/10 * G797/10)</f>
        <v/>
      </c>
      <c r="K797" s="125">
        <f>(E797/2)/F797</f>
        <v/>
      </c>
      <c r="L797" s="125">
        <f>I797/G797</f>
        <v/>
      </c>
      <c r="M797" s="125">
        <f>(E797*2+F797*4+((E797-G797)/2-H797)*4+2*PI()*H797+(D797-2*F797-2*H797)*2)/1000</f>
        <v/>
      </c>
      <c r="N797" s="5" t="n">
        <v>239000</v>
      </c>
      <c r="O797" s="5" t="n">
        <v>17900</v>
      </c>
      <c r="P797" s="125" t="n">
        <v>29.1</v>
      </c>
      <c r="Q797" s="125" t="n">
        <v>8</v>
      </c>
      <c r="R797" s="5" t="n">
        <v>6830</v>
      </c>
      <c r="S797" s="5" t="n">
        <v>1020</v>
      </c>
      <c r="T797" s="5" t="n">
        <v>7690</v>
      </c>
      <c r="U797" s="5" t="n">
        <v>1580</v>
      </c>
      <c r="Y797">
        <f>SQRT((((VLOOKUP($X$4,$A$4:$D$1021,4,FALSE))-D797)^2)+(((VLOOKUP($X$4,$A$4:$E$1021,5,FALSE))-E797)^2))</f>
        <v/>
      </c>
    </row>
    <row r="798">
      <c r="A798" s="125" t="inlineStr">
        <is>
          <t>HY700X205</t>
        </is>
      </c>
      <c r="B798" s="129" t="inlineStr">
        <is>
          <t>HY</t>
        </is>
      </c>
      <c r="C798" s="125" t="n">
        <v>205</v>
      </c>
      <c r="D798" s="125" t="n">
        <v>700</v>
      </c>
      <c r="E798" s="125" t="n">
        <v>350</v>
      </c>
      <c r="F798" s="125" t="n">
        <v>22</v>
      </c>
      <c r="G798" s="125" t="n">
        <v>16</v>
      </c>
      <c r="H798" s="125" t="n">
        <v>18</v>
      </c>
      <c r="I798" s="125">
        <f>D798-(2*(H798+F798))</f>
        <v/>
      </c>
      <c r="J798" s="125">
        <f>D798/10 * F798/10 + 2*(E798/10 * G798/10)</f>
        <v/>
      </c>
      <c r="K798" s="125">
        <f>(E798/2)/F798</f>
        <v/>
      </c>
      <c r="L798" s="125">
        <f>I798/G798</f>
        <v/>
      </c>
      <c r="M798" s="125">
        <f>(E798*2+F798*4+((E798-G798)/2-H798)*4+2*PI()*H798+(D798-2*F798-2*H798)*2)/1000</f>
        <v/>
      </c>
      <c r="N798" s="5" t="n">
        <v>218000</v>
      </c>
      <c r="O798" s="5" t="n">
        <v>15700</v>
      </c>
      <c r="P798" s="125" t="n">
        <v>28.8</v>
      </c>
      <c r="Q798" s="125" t="n">
        <v>7.8</v>
      </c>
      <c r="R798" s="5" t="n">
        <v>6220</v>
      </c>
      <c r="S798" s="125" t="n">
        <v>900</v>
      </c>
      <c r="T798" s="5" t="n">
        <v>7030</v>
      </c>
      <c r="U798" s="5" t="n">
        <v>1390</v>
      </c>
      <c r="Y798">
        <f>SQRT((((VLOOKUP($X$4,$A$4:$D$1021,4,FALSE))-D798)^2)+(((VLOOKUP($X$4,$A$4:$E$1021,5,FALSE))-E798)^2))</f>
        <v/>
      </c>
    </row>
    <row r="799">
      <c r="A799" s="125" t="inlineStr">
        <is>
          <t>HY700X248</t>
        </is>
      </c>
      <c r="B799" s="129" t="inlineStr">
        <is>
          <t>HY</t>
        </is>
      </c>
      <c r="C799" s="125" t="n">
        <v>248</v>
      </c>
      <c r="D799" s="125" t="n">
        <v>700</v>
      </c>
      <c r="E799" s="125" t="n">
        <v>350</v>
      </c>
      <c r="F799" s="125" t="n">
        <v>32</v>
      </c>
      <c r="G799" s="125" t="n">
        <v>14</v>
      </c>
      <c r="H799" s="125" t="n">
        <v>18</v>
      </c>
      <c r="I799" s="125">
        <f>D799-(2*(H799+F799))</f>
        <v/>
      </c>
      <c r="J799" s="125">
        <f>D799/10 * F799/10 + 2*(E799/10 * G799/10)</f>
        <v/>
      </c>
      <c r="K799" s="125">
        <f>(E799/2)/F799</f>
        <v/>
      </c>
      <c r="L799" s="125">
        <f>I799/G799</f>
        <v/>
      </c>
      <c r="M799" s="125">
        <f>(E799*2+F799*4+((E799-G799)/2-H799)*4+2*PI()*H799+(D799-2*F799-2*H799)*2)/1000</f>
        <v/>
      </c>
      <c r="N799" s="5" t="n">
        <v>283000</v>
      </c>
      <c r="O799" s="5" t="n">
        <v>22900</v>
      </c>
      <c r="P799" s="125" t="n">
        <v>29.9</v>
      </c>
      <c r="Q799" s="125" t="n">
        <v>8.5</v>
      </c>
      <c r="R799" s="5" t="n">
        <v>8080</v>
      </c>
      <c r="S799" s="5" t="n">
        <v>1310</v>
      </c>
      <c r="T799" s="5" t="n">
        <v>8980</v>
      </c>
      <c r="U799" s="5" t="n">
        <v>1990</v>
      </c>
      <c r="Y799">
        <f>SQRT((((VLOOKUP($X$4,$A$4:$D$1021,4,FALSE))-D799)^2)+(((VLOOKUP($X$4,$A$4:$E$1021,5,FALSE))-E799)^2))</f>
        <v/>
      </c>
    </row>
    <row r="800">
      <c r="A800" s="125" t="inlineStr">
        <is>
          <t>HY700X227</t>
        </is>
      </c>
      <c r="B800" s="129" t="inlineStr">
        <is>
          <t>HY</t>
        </is>
      </c>
      <c r="C800" s="125" t="n">
        <v>227</v>
      </c>
      <c r="D800" s="125" t="n">
        <v>700</v>
      </c>
      <c r="E800" s="125" t="n">
        <v>350</v>
      </c>
      <c r="F800" s="125" t="n">
        <v>28</v>
      </c>
      <c r="G800" s="125" t="n">
        <v>14</v>
      </c>
      <c r="H800" s="125" t="n">
        <v>18</v>
      </c>
      <c r="I800" s="125">
        <f>D800-(2*(H800+F800))</f>
        <v/>
      </c>
      <c r="J800" s="125">
        <f>D800/10 * F800/10 + 2*(E800/10 * G800/10)</f>
        <v/>
      </c>
      <c r="K800" s="125">
        <f>(E800/2)/F800</f>
        <v/>
      </c>
      <c r="L800" s="125">
        <f>I800/G800</f>
        <v/>
      </c>
      <c r="M800" s="125">
        <f>(E800*2+F800*4+((E800-G800)/2-H800)*4+2*PI()*H800+(D800-2*F800-2*H800)*2)/1000</f>
        <v/>
      </c>
      <c r="N800" s="5" t="n">
        <v>255000</v>
      </c>
      <c r="O800" s="5" t="n">
        <v>20000</v>
      </c>
      <c r="P800" s="125" t="n">
        <v>29.7</v>
      </c>
      <c r="Q800" s="125" t="n">
        <v>8.300000000000001</v>
      </c>
      <c r="R800" s="5" t="n">
        <v>7300</v>
      </c>
      <c r="S800" s="5" t="n">
        <v>1140</v>
      </c>
      <c r="T800" s="5" t="n">
        <v>8130</v>
      </c>
      <c r="U800" s="5" t="n">
        <v>1750</v>
      </c>
      <c r="Y800">
        <f>SQRT((((VLOOKUP($X$4,$A$4:$D$1021,4,FALSE))-D800)^2)+(((VLOOKUP($X$4,$A$4:$E$1021,5,FALSE))-E800)^2))</f>
        <v/>
      </c>
    </row>
    <row r="801">
      <c r="A801" s="125" t="inlineStr">
        <is>
          <t>HY700X211</t>
        </is>
      </c>
      <c r="B801" s="129" t="inlineStr">
        <is>
          <t>HY</t>
        </is>
      </c>
      <c r="C801" s="125" t="n">
        <v>211</v>
      </c>
      <c r="D801" s="125" t="n">
        <v>700</v>
      </c>
      <c r="E801" s="125" t="n">
        <v>350</v>
      </c>
      <c r="F801" s="125" t="n">
        <v>25</v>
      </c>
      <c r="G801" s="125" t="n">
        <v>14</v>
      </c>
      <c r="H801" s="125" t="n">
        <v>18</v>
      </c>
      <c r="I801" s="125">
        <f>D801-(2*(H801+F801))</f>
        <v/>
      </c>
      <c r="J801" s="125">
        <f>D801/10 * F801/10 + 2*(E801/10 * G801/10)</f>
        <v/>
      </c>
      <c r="K801" s="125">
        <f>(E801/2)/F801</f>
        <v/>
      </c>
      <c r="L801" s="125">
        <f>I801/G801</f>
        <v/>
      </c>
      <c r="M801" s="125">
        <f>(E801*2+F801*4+((E801-G801)/2-H801)*4+2*PI()*H801+(D801-2*F801-2*H801)*2)/1000</f>
        <v/>
      </c>
      <c r="N801" s="5" t="n">
        <v>234000</v>
      </c>
      <c r="O801" s="5" t="n">
        <v>17900</v>
      </c>
      <c r="P801" s="125" t="n">
        <v>29.5</v>
      </c>
      <c r="Q801" s="125" t="n">
        <v>8.199999999999999</v>
      </c>
      <c r="R801" s="5" t="n">
        <v>6700</v>
      </c>
      <c r="S801" s="5" t="n">
        <v>1020</v>
      </c>
      <c r="T801" s="5" t="n">
        <v>7470</v>
      </c>
      <c r="U801" s="5" t="n">
        <v>1570</v>
      </c>
      <c r="Y801">
        <f>SQRT((((VLOOKUP($X$4,$A$4:$D$1021,4,FALSE))-D801)^2)+(((VLOOKUP($X$4,$A$4:$E$1021,5,FALSE))-E801)^2))</f>
        <v/>
      </c>
    </row>
    <row r="802">
      <c r="A802" s="125" t="inlineStr">
        <is>
          <t>HY700X195</t>
        </is>
      </c>
      <c r="B802" s="129" t="inlineStr">
        <is>
          <t>HY</t>
        </is>
      </c>
      <c r="C802" s="125" t="n">
        <v>195</v>
      </c>
      <c r="D802" s="125" t="n">
        <v>700</v>
      </c>
      <c r="E802" s="125" t="n">
        <v>350</v>
      </c>
      <c r="F802" s="125" t="n">
        <v>22</v>
      </c>
      <c r="G802" s="125" t="n">
        <v>14</v>
      </c>
      <c r="H802" s="125" t="n">
        <v>18</v>
      </c>
      <c r="I802" s="125">
        <f>D802-(2*(H802+F802))</f>
        <v/>
      </c>
      <c r="J802" s="125">
        <f>D802/10 * F802/10 + 2*(E802/10 * G802/10)</f>
        <v/>
      </c>
      <c r="K802" s="125">
        <f>(E802/2)/F802</f>
        <v/>
      </c>
      <c r="L802" s="125">
        <f>I802/G802</f>
        <v/>
      </c>
      <c r="M802" s="125">
        <f>(E802*2+F802*4+((E802-G802)/2-H802)*4+2*PI()*H802+(D802-2*F802-2*H802)*2)/1000</f>
        <v/>
      </c>
      <c r="N802" s="5" t="n">
        <v>213000</v>
      </c>
      <c r="O802" s="5" t="n">
        <v>15700</v>
      </c>
      <c r="P802" s="125" t="n">
        <v>29.3</v>
      </c>
      <c r="Q802" s="125" t="n">
        <v>8</v>
      </c>
      <c r="R802" s="5" t="n">
        <v>6080</v>
      </c>
      <c r="S802" s="125" t="n">
        <v>899</v>
      </c>
      <c r="T802" s="5" t="n">
        <v>6820</v>
      </c>
      <c r="U802" s="5" t="n">
        <v>1380</v>
      </c>
      <c r="Y802">
        <f>SQRT((((VLOOKUP($X$4,$A$4:$D$1021,4,FALSE))-D802)^2)+(((VLOOKUP($X$4,$A$4:$E$1021,5,FALSE))-E802)^2))</f>
        <v/>
      </c>
    </row>
    <row r="803">
      <c r="A803" s="125" t="inlineStr">
        <is>
          <t>HY700X201</t>
        </is>
      </c>
      <c r="B803" s="129" t="inlineStr">
        <is>
          <t>HY</t>
        </is>
      </c>
      <c r="C803" s="125" t="n">
        <v>201</v>
      </c>
      <c r="D803" s="125" t="n">
        <v>700</v>
      </c>
      <c r="E803" s="125" t="n">
        <v>350</v>
      </c>
      <c r="F803" s="125" t="n">
        <v>25</v>
      </c>
      <c r="G803" s="125" t="n">
        <v>12</v>
      </c>
      <c r="H803" s="125" t="n">
        <v>18</v>
      </c>
      <c r="I803" s="125">
        <f>D803-(2*(H803+F803))</f>
        <v/>
      </c>
      <c r="J803" s="125">
        <f>D803/10 * F803/10 + 2*(E803/10 * G803/10)</f>
        <v/>
      </c>
      <c r="K803" s="125">
        <f>(E803/2)/F803</f>
        <v/>
      </c>
      <c r="L803" s="125">
        <f>I803/G803</f>
        <v/>
      </c>
      <c r="M803" s="125">
        <f>(E803*2+F803*4+((E803-G803)/2-H803)*4+2*PI()*H803+(D803-2*F803-2*H803)*2)/1000</f>
        <v/>
      </c>
      <c r="N803" s="5" t="n">
        <v>230000</v>
      </c>
      <c r="O803" s="5" t="n">
        <v>17900</v>
      </c>
      <c r="P803" s="125" t="n">
        <v>30</v>
      </c>
      <c r="Q803" s="125" t="n">
        <v>8.4</v>
      </c>
      <c r="R803" s="5" t="n">
        <v>6560</v>
      </c>
      <c r="S803" s="5" t="n">
        <v>1020</v>
      </c>
      <c r="T803" s="5" t="n">
        <v>7260</v>
      </c>
      <c r="U803" s="5" t="n">
        <v>1560</v>
      </c>
      <c r="Y803">
        <f>SQRT((((VLOOKUP($X$4,$A$4:$D$1021,4,FALSE))-D803)^2)+(((VLOOKUP($X$4,$A$4:$E$1021,5,FALSE))-E803)^2))</f>
        <v/>
      </c>
    </row>
    <row r="804">
      <c r="A804" s="125" t="inlineStr">
        <is>
          <t>HY700X185</t>
        </is>
      </c>
      <c r="B804" s="129" t="inlineStr">
        <is>
          <t>HY</t>
        </is>
      </c>
      <c r="C804" s="125" t="n">
        <v>185</v>
      </c>
      <c r="D804" s="125" t="n">
        <v>700</v>
      </c>
      <c r="E804" s="125" t="n">
        <v>350</v>
      </c>
      <c r="F804" s="125" t="n">
        <v>22</v>
      </c>
      <c r="G804" s="125" t="n">
        <v>12</v>
      </c>
      <c r="H804" s="125" t="n">
        <v>18</v>
      </c>
      <c r="I804" s="125">
        <f>D804-(2*(H804+F804))</f>
        <v/>
      </c>
      <c r="J804" s="125">
        <f>D804/10 * F804/10 + 2*(E804/10 * G804/10)</f>
        <v/>
      </c>
      <c r="K804" s="125">
        <f>(E804/2)/F804</f>
        <v/>
      </c>
      <c r="L804" s="125">
        <f>I804/G804</f>
        <v/>
      </c>
      <c r="M804" s="125">
        <f>(E804*2+F804*4+((E804-G804)/2-H804)*4+2*PI()*H804+(D804-2*F804-2*H804)*2)/1000</f>
        <v/>
      </c>
      <c r="N804" s="5" t="n">
        <v>208000</v>
      </c>
      <c r="O804" s="5" t="n">
        <v>15700</v>
      </c>
      <c r="P804" s="125" t="n">
        <v>29.7</v>
      </c>
      <c r="Q804" s="125" t="n">
        <v>8.199999999999999</v>
      </c>
      <c r="R804" s="5" t="n">
        <v>5950</v>
      </c>
      <c r="S804" s="125" t="n">
        <v>899</v>
      </c>
      <c r="T804" s="5" t="n">
        <v>6600</v>
      </c>
      <c r="U804" s="5" t="n">
        <v>1370</v>
      </c>
      <c r="Y804">
        <f>SQRT((((VLOOKUP($X$4,$A$4:$D$1021,4,FALSE))-D804)^2)+(((VLOOKUP($X$4,$A$4:$E$1021,5,FALSE))-E804)^2))</f>
        <v/>
      </c>
    </row>
    <row r="805">
      <c r="A805" s="125" t="inlineStr">
        <is>
          <t>HY700X280</t>
        </is>
      </c>
      <c r="B805" s="129" t="inlineStr">
        <is>
          <t>HY</t>
        </is>
      </c>
      <c r="C805" s="125" t="n">
        <v>280</v>
      </c>
      <c r="D805" s="125" t="n">
        <v>700</v>
      </c>
      <c r="E805" s="125" t="n">
        <v>300</v>
      </c>
      <c r="F805" s="125" t="n">
        <v>36</v>
      </c>
      <c r="G805" s="125" t="n">
        <v>22</v>
      </c>
      <c r="H805" s="125" t="n">
        <v>18</v>
      </c>
      <c r="I805" s="125">
        <f>D805-(2*(H805+F805))</f>
        <v/>
      </c>
      <c r="J805" s="125">
        <f>D805/10 * F805/10 + 2*(E805/10 * G805/10)</f>
        <v/>
      </c>
      <c r="K805" s="125">
        <f>(E805/2)/F805</f>
        <v/>
      </c>
      <c r="L805" s="125">
        <f>I805/G805</f>
        <v/>
      </c>
      <c r="M805" s="125">
        <f>(E805*2+F805*4+((E805-G805)/2-H805)*4+2*PI()*H805+(D805-2*F805-2*H805)*2)/1000</f>
        <v/>
      </c>
      <c r="N805" s="5" t="n">
        <v>286000</v>
      </c>
      <c r="O805" s="5" t="n">
        <v>16300</v>
      </c>
      <c r="P805" s="125" t="n">
        <v>28.3</v>
      </c>
      <c r="Q805" s="125" t="n">
        <v>6.8</v>
      </c>
      <c r="R805" s="5" t="n">
        <v>8180</v>
      </c>
      <c r="S805" s="5" t="n">
        <v>1080</v>
      </c>
      <c r="T805" s="5" t="n">
        <v>9430</v>
      </c>
      <c r="U805" s="5" t="n">
        <v>1700</v>
      </c>
      <c r="Y805">
        <f>SQRT((((VLOOKUP($X$4,$A$4:$D$1021,4,FALSE))-D805)^2)+(((VLOOKUP($X$4,$A$4:$E$1021,5,FALSE))-E805)^2))</f>
        <v/>
      </c>
    </row>
    <row r="806">
      <c r="A806" s="125" t="inlineStr">
        <is>
          <t>HY700X263</t>
        </is>
      </c>
      <c r="B806" s="129" t="inlineStr">
        <is>
          <t>HY</t>
        </is>
      </c>
      <c r="C806" s="125" t="n">
        <v>263</v>
      </c>
      <c r="D806" s="125" t="n">
        <v>700</v>
      </c>
      <c r="E806" s="125" t="n">
        <v>300</v>
      </c>
      <c r="F806" s="125" t="n">
        <v>32</v>
      </c>
      <c r="G806" s="125" t="n">
        <v>22</v>
      </c>
      <c r="H806" s="125" t="n">
        <v>18</v>
      </c>
      <c r="I806" s="125">
        <f>D806-(2*(H806+F806))</f>
        <v/>
      </c>
      <c r="J806" s="125">
        <f>D806/10 * F806/10 + 2*(E806/10 * G806/10)</f>
        <v/>
      </c>
      <c r="K806" s="125">
        <f>(E806/2)/F806</f>
        <v/>
      </c>
      <c r="L806" s="125">
        <f>I806/G806</f>
        <v/>
      </c>
      <c r="M806" s="125">
        <f>(E806*2+F806*4+((E806-G806)/2-H806)*4+2*PI()*H806+(D806-2*F806-2*H806)*2)/1000</f>
        <v/>
      </c>
      <c r="N806" s="5" t="n">
        <v>264000</v>
      </c>
      <c r="O806" s="5" t="n">
        <v>14500</v>
      </c>
      <c r="P806" s="125" t="n">
        <v>28.1</v>
      </c>
      <c r="Q806" s="125" t="n">
        <v>6.6</v>
      </c>
      <c r="R806" s="5" t="n">
        <v>7550</v>
      </c>
      <c r="S806" s="125" t="n">
        <v>964</v>
      </c>
      <c r="T806" s="5" t="n">
        <v>8720</v>
      </c>
      <c r="U806" s="5" t="n">
        <v>1520</v>
      </c>
      <c r="Y806">
        <f>SQRT((((VLOOKUP($X$4,$A$4:$D$1021,4,FALSE))-D806)^2)+(((VLOOKUP($X$4,$A$4:$E$1021,5,FALSE))-E806)^2))</f>
        <v/>
      </c>
    </row>
    <row r="807">
      <c r="A807" s="125" t="inlineStr">
        <is>
          <t>HY700X245</t>
        </is>
      </c>
      <c r="B807" s="129" t="inlineStr">
        <is>
          <t>HY</t>
        </is>
      </c>
      <c r="C807" s="125" t="n">
        <v>245</v>
      </c>
      <c r="D807" s="125" t="n">
        <v>700</v>
      </c>
      <c r="E807" s="125" t="n">
        <v>300</v>
      </c>
      <c r="F807" s="125" t="n">
        <v>28</v>
      </c>
      <c r="G807" s="125" t="n">
        <v>22</v>
      </c>
      <c r="H807" s="125" t="n">
        <v>18</v>
      </c>
      <c r="I807" s="125">
        <f>D807-(2*(H807+F807))</f>
        <v/>
      </c>
      <c r="J807" s="125">
        <f>D807/10 * F807/10 + 2*(E807/10 * G807/10)</f>
        <v/>
      </c>
      <c r="K807" s="125">
        <f>(E807/2)/F807</f>
        <v/>
      </c>
      <c r="L807" s="125">
        <f>I807/G807</f>
        <v/>
      </c>
      <c r="M807" s="125">
        <f>(E807*2+F807*4+((E807-G807)/2-H807)*4+2*PI()*H807+(D807-2*F807-2*H807)*2)/1000</f>
        <v/>
      </c>
      <c r="N807" s="5" t="n">
        <v>242000</v>
      </c>
      <c r="O807" s="5" t="n">
        <v>12700</v>
      </c>
      <c r="P807" s="125" t="n">
        <v>27.8</v>
      </c>
      <c r="Q807" s="125" t="n">
        <v>6.4</v>
      </c>
      <c r="R807" s="5" t="n">
        <v>6900</v>
      </c>
      <c r="S807" s="125" t="n">
        <v>844</v>
      </c>
      <c r="T807" s="5" t="n">
        <v>8010</v>
      </c>
      <c r="U807" s="5" t="n">
        <v>1340</v>
      </c>
      <c r="Y807">
        <f>SQRT((((VLOOKUP($X$4,$A$4:$D$1021,4,FALSE))-D807)^2)+(((VLOOKUP($X$4,$A$4:$E$1021,5,FALSE))-E807)^2))</f>
        <v/>
      </c>
    </row>
    <row r="808">
      <c r="A808" s="125" t="inlineStr">
        <is>
          <t>HY700X232</t>
        </is>
      </c>
      <c r="B808" s="129" t="inlineStr">
        <is>
          <t>HY</t>
        </is>
      </c>
      <c r="C808" s="125" t="n">
        <v>232</v>
      </c>
      <c r="D808" s="125" t="n">
        <v>700</v>
      </c>
      <c r="E808" s="125" t="n">
        <v>300</v>
      </c>
      <c r="F808" s="125" t="n">
        <v>25</v>
      </c>
      <c r="G808" s="125" t="n">
        <v>22</v>
      </c>
      <c r="H808" s="125" t="n">
        <v>18</v>
      </c>
      <c r="I808" s="125">
        <f>D808-(2*(H808+F808))</f>
        <v/>
      </c>
      <c r="J808" s="125">
        <f>D808/10 * F808/10 + 2*(E808/10 * G808/10)</f>
        <v/>
      </c>
      <c r="K808" s="125">
        <f>(E808/2)/F808</f>
        <v/>
      </c>
      <c r="L808" s="125">
        <f>I808/G808</f>
        <v/>
      </c>
      <c r="M808" s="125">
        <f>(E808*2+F808*4+((E808-G808)/2-H808)*4+2*PI()*H808+(D808-2*F808-2*H808)*2)/1000</f>
        <v/>
      </c>
      <c r="N808" s="5" t="n">
        <v>224000</v>
      </c>
      <c r="O808" s="5" t="n">
        <v>11300</v>
      </c>
      <c r="P808" s="125" t="n">
        <v>27.5</v>
      </c>
      <c r="Q808" s="125" t="n">
        <v>6.2</v>
      </c>
      <c r="R808" s="5" t="n">
        <v>6400</v>
      </c>
      <c r="S808" s="125" t="n">
        <v>754</v>
      </c>
      <c r="T808" s="5" t="n">
        <v>7480</v>
      </c>
      <c r="U808" s="5" t="n">
        <v>1210</v>
      </c>
      <c r="Y808">
        <f>SQRT((((VLOOKUP($X$4,$A$4:$D$1021,4,FALSE))-D808)^2)+(((VLOOKUP($X$4,$A$4:$E$1021,5,FALSE))-E808)^2))</f>
        <v/>
      </c>
    </row>
    <row r="809">
      <c r="A809" s="125" t="inlineStr">
        <is>
          <t>HY700X265</t>
        </is>
      </c>
      <c r="B809" s="129" t="inlineStr">
        <is>
          <t>HY</t>
        </is>
      </c>
      <c r="C809" s="125" t="n">
        <v>265</v>
      </c>
      <c r="D809" s="125" t="n">
        <v>700</v>
      </c>
      <c r="E809" s="125" t="n">
        <v>300</v>
      </c>
      <c r="F809" s="125" t="n">
        <v>36</v>
      </c>
      <c r="G809" s="125" t="n">
        <v>19</v>
      </c>
      <c r="H809" s="125" t="n">
        <v>18</v>
      </c>
      <c r="I809" s="125">
        <f>D809-(2*(H809+F809))</f>
        <v/>
      </c>
      <c r="J809" s="125">
        <f>D809/10 * F809/10 + 2*(E809/10 * G809/10)</f>
        <v/>
      </c>
      <c r="K809" s="125">
        <f>(E809/2)/F809</f>
        <v/>
      </c>
      <c r="L809" s="125">
        <f>I809/G809</f>
        <v/>
      </c>
      <c r="M809" s="125">
        <f>(E809*2+F809*4+((E809-G809)/2-H809)*4+2*PI()*H809+(D809-2*F809-2*H809)*2)/1000</f>
        <v/>
      </c>
      <c r="N809" s="5" t="n">
        <v>280000</v>
      </c>
      <c r="O809" s="5" t="n">
        <v>16200</v>
      </c>
      <c r="P809" s="125" t="n">
        <v>28.8</v>
      </c>
      <c r="Q809" s="125" t="n">
        <v>6.9</v>
      </c>
      <c r="R809" s="5" t="n">
        <v>8010</v>
      </c>
      <c r="S809" s="5" t="n">
        <v>1080</v>
      </c>
      <c r="T809" s="5" t="n">
        <v>9130</v>
      </c>
      <c r="U809" s="5" t="n">
        <v>1680</v>
      </c>
      <c r="Y809">
        <f>SQRT((((VLOOKUP($X$4,$A$4:$D$1021,4,FALSE))-D809)^2)+(((VLOOKUP($X$4,$A$4:$E$1021,5,FALSE))-E809)^2))</f>
        <v/>
      </c>
    </row>
    <row r="810">
      <c r="A810" s="125" t="inlineStr">
        <is>
          <t>HY700X248</t>
        </is>
      </c>
      <c r="B810" s="129" t="inlineStr">
        <is>
          <t>HY</t>
        </is>
      </c>
      <c r="C810" s="125" t="n">
        <v>248</v>
      </c>
      <c r="D810" s="125" t="n">
        <v>700</v>
      </c>
      <c r="E810" s="125" t="n">
        <v>300</v>
      </c>
      <c r="F810" s="125" t="n">
        <v>32</v>
      </c>
      <c r="G810" s="125" t="n">
        <v>19</v>
      </c>
      <c r="H810" s="125" t="n">
        <v>18</v>
      </c>
      <c r="I810" s="125">
        <f>D810-(2*(H810+F810))</f>
        <v/>
      </c>
      <c r="J810" s="125">
        <f>D810/10 * F810/10 + 2*(E810/10 * G810/10)</f>
        <v/>
      </c>
      <c r="K810" s="125">
        <f>(E810/2)/F810</f>
        <v/>
      </c>
      <c r="L810" s="125">
        <f>I810/G810</f>
        <v/>
      </c>
      <c r="M810" s="125">
        <f>(E810*2+F810*4+((E810-G810)/2-H810)*4+2*PI()*H810+(D810-2*F810-2*H810)*2)/1000</f>
        <v/>
      </c>
      <c r="N810" s="5" t="n">
        <v>258000</v>
      </c>
      <c r="O810" s="5" t="n">
        <v>14400</v>
      </c>
      <c r="P810" s="125" t="n">
        <v>28.6</v>
      </c>
      <c r="Q810" s="125" t="n">
        <v>6.8</v>
      </c>
      <c r="R810" s="5" t="n">
        <v>7370</v>
      </c>
      <c r="S810" s="125" t="n">
        <v>963</v>
      </c>
      <c r="T810" s="5" t="n">
        <v>8420</v>
      </c>
      <c r="U810" s="5" t="n">
        <v>1500</v>
      </c>
      <c r="Y810">
        <f>SQRT((((VLOOKUP($X$4,$A$4:$D$1021,4,FALSE))-D810)^2)+(((VLOOKUP($X$4,$A$4:$E$1021,5,FALSE))-E810)^2))</f>
        <v/>
      </c>
    </row>
    <row r="811">
      <c r="A811" s="125" t="inlineStr">
        <is>
          <t>HY700X230</t>
        </is>
      </c>
      <c r="B811" s="129" t="inlineStr">
        <is>
          <t>HY</t>
        </is>
      </c>
      <c r="C811" s="125" t="n">
        <v>230</v>
      </c>
      <c r="D811" s="125" t="n">
        <v>700</v>
      </c>
      <c r="E811" s="125" t="n">
        <v>300</v>
      </c>
      <c r="F811" s="125" t="n">
        <v>28</v>
      </c>
      <c r="G811" s="125" t="n">
        <v>19</v>
      </c>
      <c r="H811" s="125" t="n">
        <v>18</v>
      </c>
      <c r="I811" s="125">
        <f>D811-(2*(H811+F811))</f>
        <v/>
      </c>
      <c r="J811" s="125">
        <f>D811/10 * F811/10 + 2*(E811/10 * G811/10)</f>
        <v/>
      </c>
      <c r="K811" s="125">
        <f>(E811/2)/F811</f>
        <v/>
      </c>
      <c r="L811" s="125">
        <f>I811/G811</f>
        <v/>
      </c>
      <c r="M811" s="125">
        <f>(E811*2+F811*4+((E811-G811)/2-H811)*4+2*PI()*H811+(D811-2*F811-2*H811)*2)/1000</f>
        <v/>
      </c>
      <c r="N811" s="5" t="n">
        <v>235000</v>
      </c>
      <c r="O811" s="5" t="n">
        <v>12600</v>
      </c>
      <c r="P811" s="125" t="n">
        <v>28.3</v>
      </c>
      <c r="Q811" s="125" t="n">
        <v>6.6</v>
      </c>
      <c r="R811" s="5" t="n">
        <v>6710</v>
      </c>
      <c r="S811" s="125" t="n">
        <v>843</v>
      </c>
      <c r="T811" s="5" t="n">
        <v>7700</v>
      </c>
      <c r="U811" s="5" t="n">
        <v>1320</v>
      </c>
      <c r="Y811">
        <f>SQRT((((VLOOKUP($X$4,$A$4:$D$1021,4,FALSE))-D811)^2)+(((VLOOKUP($X$4,$A$4:$E$1021,5,FALSE))-E811)^2))</f>
        <v/>
      </c>
    </row>
    <row r="812">
      <c r="A812" s="125" t="inlineStr">
        <is>
          <t>HY700X217</t>
        </is>
      </c>
      <c r="B812" s="129" t="inlineStr">
        <is>
          <t>HY</t>
        </is>
      </c>
      <c r="C812" s="125" t="n">
        <v>217</v>
      </c>
      <c r="D812" s="125" t="n">
        <v>700</v>
      </c>
      <c r="E812" s="125" t="n">
        <v>300</v>
      </c>
      <c r="F812" s="125" t="n">
        <v>25</v>
      </c>
      <c r="G812" s="125" t="n">
        <v>19</v>
      </c>
      <c r="H812" s="125" t="n">
        <v>18</v>
      </c>
      <c r="I812" s="125">
        <f>D812-(2*(H812+F812))</f>
        <v/>
      </c>
      <c r="J812" s="125">
        <f>D812/10 * F812/10 + 2*(E812/10 * G812/10)</f>
        <v/>
      </c>
      <c r="K812" s="125">
        <f>(E812/2)/F812</f>
        <v/>
      </c>
      <c r="L812" s="125">
        <f>I812/G812</f>
        <v/>
      </c>
      <c r="M812" s="125">
        <f>(E812*2+F812*4+((E812-G812)/2-H812)*4+2*PI()*H812+(D812-2*F812-2*H812)*2)/1000</f>
        <v/>
      </c>
      <c r="N812" s="5" t="n">
        <v>217000</v>
      </c>
      <c r="O812" s="5" t="n">
        <v>11300</v>
      </c>
      <c r="P812" s="125" t="n">
        <v>28</v>
      </c>
      <c r="Q812" s="125" t="n">
        <v>6.4</v>
      </c>
      <c r="R812" s="5" t="n">
        <v>6210</v>
      </c>
      <c r="S812" s="125" t="n">
        <v>753</v>
      </c>
      <c r="T812" s="5" t="n">
        <v>7160</v>
      </c>
      <c r="U812" s="5" t="n">
        <v>1190</v>
      </c>
      <c r="Y812">
        <f>SQRT((((VLOOKUP($X$4,$A$4:$D$1021,4,FALSE))-D812)^2)+(((VLOOKUP($X$4,$A$4:$E$1021,5,FALSE))-E812)^2))</f>
        <v/>
      </c>
    </row>
    <row r="813">
      <c r="A813" s="125" t="inlineStr">
        <is>
          <t>HY700X251</t>
        </is>
      </c>
      <c r="B813" s="129" t="inlineStr">
        <is>
          <t>HY</t>
        </is>
      </c>
      <c r="C813" s="125" t="n">
        <v>251</v>
      </c>
      <c r="D813" s="125" t="n">
        <v>700</v>
      </c>
      <c r="E813" s="125" t="n">
        <v>300</v>
      </c>
      <c r="F813" s="125" t="n">
        <v>36</v>
      </c>
      <c r="G813" s="125" t="n">
        <v>16</v>
      </c>
      <c r="H813" s="125" t="n">
        <v>18</v>
      </c>
      <c r="I813" s="125">
        <f>D813-(2*(H813+F813))</f>
        <v/>
      </c>
      <c r="J813" s="125">
        <f>D813/10 * F813/10 + 2*(E813/10 * G813/10)</f>
        <v/>
      </c>
      <c r="K813" s="125">
        <f>(E813/2)/F813</f>
        <v/>
      </c>
      <c r="L813" s="125">
        <f>I813/G813</f>
        <v/>
      </c>
      <c r="M813" s="125">
        <f>(E813*2+F813*4+((E813-G813)/2-H813)*4+2*PI()*H813+(D813-2*F813-2*H813)*2)/1000</f>
        <v/>
      </c>
      <c r="N813" s="5" t="n">
        <v>274000</v>
      </c>
      <c r="O813" s="5" t="n">
        <v>16200</v>
      </c>
      <c r="P813" s="125" t="n">
        <v>29.3</v>
      </c>
      <c r="Q813" s="125" t="n">
        <v>7.1</v>
      </c>
      <c r="R813" s="5" t="n">
        <v>7830</v>
      </c>
      <c r="S813" s="5" t="n">
        <v>1080</v>
      </c>
      <c r="T813" s="5" t="n">
        <v>8830</v>
      </c>
      <c r="U813" s="5" t="n">
        <v>1660</v>
      </c>
      <c r="Y813">
        <f>SQRT((((VLOOKUP($X$4,$A$4:$D$1021,4,FALSE))-D813)^2)+(((VLOOKUP($X$4,$A$4:$E$1021,5,FALSE))-E813)^2))</f>
        <v/>
      </c>
    </row>
    <row r="814">
      <c r="A814" s="125" t="inlineStr">
        <is>
          <t>HY700X233</t>
        </is>
      </c>
      <c r="B814" s="129" t="inlineStr">
        <is>
          <t>HY</t>
        </is>
      </c>
      <c r="C814" s="125" t="n">
        <v>233</v>
      </c>
      <c r="D814" s="125" t="n">
        <v>700</v>
      </c>
      <c r="E814" s="125" t="n">
        <v>300</v>
      </c>
      <c r="F814" s="125" t="n">
        <v>32</v>
      </c>
      <c r="G814" s="125" t="n">
        <v>16</v>
      </c>
      <c r="H814" s="125" t="n">
        <v>18</v>
      </c>
      <c r="I814" s="125">
        <f>D814-(2*(H814+F814))</f>
        <v/>
      </c>
      <c r="J814" s="125">
        <f>D814/10 * F814/10 + 2*(E814/10 * G814/10)</f>
        <v/>
      </c>
      <c r="K814" s="125">
        <f>(E814/2)/F814</f>
        <v/>
      </c>
      <c r="L814" s="125">
        <f>I814/G814</f>
        <v/>
      </c>
      <c r="M814" s="125">
        <f>(E814*2+F814*4+((E814-G814)/2-H814)*4+2*PI()*H814+(D814-2*F814-2*H814)*2)/1000</f>
        <v/>
      </c>
      <c r="N814" s="5" t="n">
        <v>251000</v>
      </c>
      <c r="O814" s="5" t="n">
        <v>14400</v>
      </c>
      <c r="P814" s="125" t="n">
        <v>29.1</v>
      </c>
      <c r="Q814" s="125" t="n">
        <v>7</v>
      </c>
      <c r="R814" s="5" t="n">
        <v>7180</v>
      </c>
      <c r="S814" s="125" t="n">
        <v>962</v>
      </c>
      <c r="T814" s="5" t="n">
        <v>8120</v>
      </c>
      <c r="U814" s="5" t="n">
        <v>1480</v>
      </c>
      <c r="Y814">
        <f>SQRT((((VLOOKUP($X$4,$A$4:$D$1021,4,FALSE))-D814)^2)+(((VLOOKUP($X$4,$A$4:$E$1021,5,FALSE))-E814)^2))</f>
        <v/>
      </c>
    </row>
    <row r="815">
      <c r="A815" s="125" t="inlineStr">
        <is>
          <t>HY700X215</t>
        </is>
      </c>
      <c r="B815" s="129" t="inlineStr">
        <is>
          <t>HY</t>
        </is>
      </c>
      <c r="C815" s="125" t="n">
        <v>215</v>
      </c>
      <c r="D815" s="125" t="n">
        <v>700</v>
      </c>
      <c r="E815" s="125" t="n">
        <v>300</v>
      </c>
      <c r="F815" s="125" t="n">
        <v>28</v>
      </c>
      <c r="G815" s="125" t="n">
        <v>16</v>
      </c>
      <c r="H815" s="125" t="n">
        <v>18</v>
      </c>
      <c r="I815" s="125">
        <f>D815-(2*(H815+F815))</f>
        <v/>
      </c>
      <c r="J815" s="125">
        <f>D815/10 * F815/10 + 2*(E815/10 * G815/10)</f>
        <v/>
      </c>
      <c r="K815" s="125">
        <f>(E815/2)/F815</f>
        <v/>
      </c>
      <c r="L815" s="125">
        <f>I815/G815</f>
        <v/>
      </c>
      <c r="M815" s="125">
        <f>(E815*2+F815*4+((E815-G815)/2-H815)*4+2*PI()*H815+(D815-2*F815-2*H815)*2)/1000</f>
        <v/>
      </c>
      <c r="N815" s="5" t="n">
        <v>228000</v>
      </c>
      <c r="O815" s="5" t="n">
        <v>12600</v>
      </c>
      <c r="P815" s="125" t="n">
        <v>28.9</v>
      </c>
      <c r="Q815" s="125" t="n">
        <v>6.8</v>
      </c>
      <c r="R815" s="5" t="n">
        <v>6520</v>
      </c>
      <c r="S815" s="125" t="n">
        <v>842</v>
      </c>
      <c r="T815" s="5" t="n">
        <v>7390</v>
      </c>
      <c r="U815" s="5" t="n">
        <v>1300</v>
      </c>
      <c r="Y815">
        <f>SQRT((((VLOOKUP($X$4,$A$4:$D$1021,4,FALSE))-D815)^2)+(((VLOOKUP($X$4,$A$4:$E$1021,5,FALSE))-E815)^2))</f>
        <v/>
      </c>
    </row>
    <row r="816">
      <c r="A816" s="125" t="inlineStr">
        <is>
          <t>HY700X202</t>
        </is>
      </c>
      <c r="B816" s="129" t="inlineStr">
        <is>
          <t>HY</t>
        </is>
      </c>
      <c r="C816" s="125" t="n">
        <v>202</v>
      </c>
      <c r="D816" s="125" t="n">
        <v>700</v>
      </c>
      <c r="E816" s="125" t="n">
        <v>300</v>
      </c>
      <c r="F816" s="125" t="n">
        <v>25</v>
      </c>
      <c r="G816" s="125" t="n">
        <v>16</v>
      </c>
      <c r="H816" s="125" t="n">
        <v>18</v>
      </c>
      <c r="I816" s="125">
        <f>D816-(2*(H816+F816))</f>
        <v/>
      </c>
      <c r="J816" s="125">
        <f>D816/10 * F816/10 + 2*(E816/10 * G816/10)</f>
        <v/>
      </c>
      <c r="K816" s="125">
        <f>(E816/2)/F816</f>
        <v/>
      </c>
      <c r="L816" s="125">
        <f>I816/G816</f>
        <v/>
      </c>
      <c r="M816" s="125">
        <f>(E816*2+F816*4+((E816-G816)/2-H816)*4+2*PI()*H816+(D816-2*F816-2*H816)*2)/1000</f>
        <v/>
      </c>
      <c r="N816" s="5" t="n">
        <v>210000</v>
      </c>
      <c r="O816" s="5" t="n">
        <v>11300</v>
      </c>
      <c r="P816" s="125" t="n">
        <v>28.6</v>
      </c>
      <c r="Q816" s="125" t="n">
        <v>6.6</v>
      </c>
      <c r="R816" s="5" t="n">
        <v>6010</v>
      </c>
      <c r="S816" s="125" t="n">
        <v>752</v>
      </c>
      <c r="T816" s="5" t="n">
        <v>6840</v>
      </c>
      <c r="U816" s="5" t="n">
        <v>1170</v>
      </c>
      <c r="Y816">
        <f>SQRT((((VLOOKUP($X$4,$A$4:$D$1021,4,FALSE))-D816)^2)+(((VLOOKUP($X$4,$A$4:$E$1021,5,FALSE))-E816)^2))</f>
        <v/>
      </c>
    </row>
    <row r="817">
      <c r="A817" s="125" t="inlineStr">
        <is>
          <t>HY700X188</t>
        </is>
      </c>
      <c r="B817" s="129" t="inlineStr">
        <is>
          <t>HY</t>
        </is>
      </c>
      <c r="C817" s="125" t="n">
        <v>188</v>
      </c>
      <c r="D817" s="125" t="n">
        <v>700</v>
      </c>
      <c r="E817" s="125" t="n">
        <v>300</v>
      </c>
      <c r="F817" s="125" t="n">
        <v>22</v>
      </c>
      <c r="G817" s="125" t="n">
        <v>16</v>
      </c>
      <c r="H817" s="125" t="n">
        <v>18</v>
      </c>
      <c r="I817" s="125">
        <f>D817-(2*(H817+F817))</f>
        <v/>
      </c>
      <c r="J817" s="125">
        <f>D817/10 * F817/10 + 2*(E817/10 * G817/10)</f>
        <v/>
      </c>
      <c r="K817" s="125">
        <f>(E817/2)/F817</f>
        <v/>
      </c>
      <c r="L817" s="125">
        <f>I817/G817</f>
        <v/>
      </c>
      <c r="M817" s="125">
        <f>(E817*2+F817*4+((E817-G817)/2-H817)*4+2*PI()*H817+(D817-2*F817-2*H817)*2)/1000</f>
        <v/>
      </c>
      <c r="N817" s="5" t="n">
        <v>192000</v>
      </c>
      <c r="O817" s="5" t="n">
        <v>9930</v>
      </c>
      <c r="P817" s="125" t="n">
        <v>28.3</v>
      </c>
      <c r="Q817" s="125" t="n">
        <v>6.4</v>
      </c>
      <c r="R817" s="5" t="n">
        <v>5490</v>
      </c>
      <c r="S817" s="125" t="n">
        <v>662</v>
      </c>
      <c r="T817" s="5" t="n">
        <v>6290</v>
      </c>
      <c r="U817" s="5" t="n">
        <v>1040</v>
      </c>
      <c r="Y817">
        <f>SQRT((((VLOOKUP($X$4,$A$4:$D$1021,4,FALSE))-D817)^2)+(((VLOOKUP($X$4,$A$4:$E$1021,5,FALSE))-E817)^2))</f>
        <v/>
      </c>
    </row>
    <row r="818">
      <c r="A818" s="125" t="inlineStr">
        <is>
          <t>HY700X223</t>
        </is>
      </c>
      <c r="B818" s="129" t="inlineStr">
        <is>
          <t>HY</t>
        </is>
      </c>
      <c r="C818" s="125" t="n">
        <v>223</v>
      </c>
      <c r="D818" s="125" t="n">
        <v>700</v>
      </c>
      <c r="E818" s="125" t="n">
        <v>300</v>
      </c>
      <c r="F818" s="125" t="n">
        <v>32</v>
      </c>
      <c r="G818" s="125" t="n">
        <v>14</v>
      </c>
      <c r="H818" s="125" t="n">
        <v>18</v>
      </c>
      <c r="I818" s="125">
        <f>D818-(2*(H818+F818))</f>
        <v/>
      </c>
      <c r="J818" s="125">
        <f>D818/10 * F818/10 + 2*(E818/10 * G818/10)</f>
        <v/>
      </c>
      <c r="K818" s="125">
        <f>(E818/2)/F818</f>
        <v/>
      </c>
      <c r="L818" s="125">
        <f>I818/G818</f>
        <v/>
      </c>
      <c r="M818" s="125">
        <f>(E818*2+F818*4+((E818-G818)/2-H818)*4+2*PI()*H818+(D818-2*F818-2*H818)*2)/1000</f>
        <v/>
      </c>
      <c r="N818" s="5" t="n">
        <v>247000</v>
      </c>
      <c r="O818" s="5" t="n">
        <v>14400</v>
      </c>
      <c r="P818" s="125" t="n">
        <v>29.5</v>
      </c>
      <c r="Q818" s="125" t="n">
        <v>7.1</v>
      </c>
      <c r="R818" s="5" t="n">
        <v>7060</v>
      </c>
      <c r="S818" s="125" t="n">
        <v>961</v>
      </c>
      <c r="T818" s="5" t="n">
        <v>7920</v>
      </c>
      <c r="U818" s="5" t="n">
        <v>1470</v>
      </c>
      <c r="Y818">
        <f>SQRT((((VLOOKUP($X$4,$A$4:$D$1021,4,FALSE))-D818)^2)+(((VLOOKUP($X$4,$A$4:$E$1021,5,FALSE))-E818)^2))</f>
        <v/>
      </c>
    </row>
    <row r="819">
      <c r="A819" s="125" t="inlineStr">
        <is>
          <t>HY700X205</t>
        </is>
      </c>
      <c r="B819" s="129" t="inlineStr">
        <is>
          <t>HY</t>
        </is>
      </c>
      <c r="C819" s="125" t="n">
        <v>205</v>
      </c>
      <c r="D819" s="125" t="n">
        <v>700</v>
      </c>
      <c r="E819" s="125" t="n">
        <v>300</v>
      </c>
      <c r="F819" s="125" t="n">
        <v>28</v>
      </c>
      <c r="G819" s="125" t="n">
        <v>14</v>
      </c>
      <c r="H819" s="125" t="n">
        <v>18</v>
      </c>
      <c r="I819" s="125">
        <f>D819-(2*(H819+F819))</f>
        <v/>
      </c>
      <c r="J819" s="125">
        <f>D819/10 * F819/10 + 2*(E819/10 * G819/10)</f>
        <v/>
      </c>
      <c r="K819" s="125">
        <f>(E819/2)/F819</f>
        <v/>
      </c>
      <c r="L819" s="125">
        <f>I819/G819</f>
        <v/>
      </c>
      <c r="M819" s="125">
        <f>(E819*2+F819*4+((E819-G819)/2-H819)*4+2*PI()*H819+(D819-2*F819-2*H819)*2)/1000</f>
        <v/>
      </c>
      <c r="N819" s="5" t="n">
        <v>224000</v>
      </c>
      <c r="O819" s="5" t="n">
        <v>12600</v>
      </c>
      <c r="P819" s="125" t="n">
        <v>29.3</v>
      </c>
      <c r="Q819" s="125" t="n">
        <v>7</v>
      </c>
      <c r="R819" s="5" t="n">
        <v>6390</v>
      </c>
      <c r="S819" s="125" t="n">
        <v>841</v>
      </c>
      <c r="T819" s="5" t="n">
        <v>7180</v>
      </c>
      <c r="U819" s="5" t="n">
        <v>1290</v>
      </c>
      <c r="Y819">
        <f>SQRT((((VLOOKUP($X$4,$A$4:$D$1021,4,FALSE))-D819)^2)+(((VLOOKUP($X$4,$A$4:$E$1021,5,FALSE))-E819)^2))</f>
        <v/>
      </c>
    </row>
    <row r="820">
      <c r="A820" s="125" t="inlineStr">
        <is>
          <t>HY700X191</t>
        </is>
      </c>
      <c r="B820" s="129" t="inlineStr">
        <is>
          <t>HY</t>
        </is>
      </c>
      <c r="C820" s="125" t="n">
        <v>191</v>
      </c>
      <c r="D820" s="125" t="n">
        <v>700</v>
      </c>
      <c r="E820" s="125" t="n">
        <v>300</v>
      </c>
      <c r="F820" s="125" t="n">
        <v>25</v>
      </c>
      <c r="G820" s="125" t="n">
        <v>14</v>
      </c>
      <c r="H820" s="125" t="n">
        <v>18</v>
      </c>
      <c r="I820" s="125">
        <f>D820-(2*(H820+F820))</f>
        <v/>
      </c>
      <c r="J820" s="125">
        <f>D820/10 * F820/10 + 2*(E820/10 * G820/10)</f>
        <v/>
      </c>
      <c r="K820" s="125">
        <f>(E820/2)/F820</f>
        <v/>
      </c>
      <c r="L820" s="125">
        <f>I820/G820</f>
        <v/>
      </c>
      <c r="M820" s="125">
        <f>(E820*2+F820*4+((E820-G820)/2-H820)*4+2*PI()*H820+(D820-2*F820-2*H820)*2)/1000</f>
        <v/>
      </c>
      <c r="N820" s="5" t="n">
        <v>206000</v>
      </c>
      <c r="O820" s="5" t="n">
        <v>11300</v>
      </c>
      <c r="P820" s="125" t="n">
        <v>29.1</v>
      </c>
      <c r="Q820" s="125" t="n">
        <v>6.8</v>
      </c>
      <c r="R820" s="5" t="n">
        <v>5880</v>
      </c>
      <c r="S820" s="125" t="n">
        <v>751</v>
      </c>
      <c r="T820" s="5" t="n">
        <v>6630</v>
      </c>
      <c r="U820" s="5" t="n">
        <v>1160</v>
      </c>
      <c r="Y820">
        <f>SQRT((((VLOOKUP($X$4,$A$4:$D$1021,4,FALSE))-D820)^2)+(((VLOOKUP($X$4,$A$4:$E$1021,5,FALSE))-E820)^2))</f>
        <v/>
      </c>
    </row>
    <row r="821">
      <c r="A821" s="125" t="inlineStr">
        <is>
          <t>HY700X178</t>
        </is>
      </c>
      <c r="B821" s="129" t="inlineStr">
        <is>
          <t>HY</t>
        </is>
      </c>
      <c r="C821" s="125" t="n">
        <v>178</v>
      </c>
      <c r="D821" s="125" t="n">
        <v>700</v>
      </c>
      <c r="E821" s="125" t="n">
        <v>300</v>
      </c>
      <c r="F821" s="125" t="n">
        <v>22</v>
      </c>
      <c r="G821" s="125" t="n">
        <v>14</v>
      </c>
      <c r="H821" s="125" t="n">
        <v>18</v>
      </c>
      <c r="I821" s="125">
        <f>D821-(2*(H821+F821))</f>
        <v/>
      </c>
      <c r="J821" s="125">
        <f>D821/10 * F821/10 + 2*(E821/10 * G821/10)</f>
        <v/>
      </c>
      <c r="K821" s="125">
        <f>(E821/2)/F821</f>
        <v/>
      </c>
      <c r="L821" s="125">
        <f>I821/G821</f>
        <v/>
      </c>
      <c r="M821" s="125">
        <f>(E821*2+F821*4+((E821-G821)/2-H821)*4+2*PI()*H821+(D821-2*F821-2*H821)*2)/1000</f>
        <v/>
      </c>
      <c r="N821" s="5" t="n">
        <v>188000</v>
      </c>
      <c r="O821" s="5" t="n">
        <v>9920</v>
      </c>
      <c r="P821" s="125" t="n">
        <v>28.8</v>
      </c>
      <c r="Q821" s="125" t="n">
        <v>6.6</v>
      </c>
      <c r="R821" s="5" t="n">
        <v>5360</v>
      </c>
      <c r="S821" s="125" t="n">
        <v>661</v>
      </c>
      <c r="T821" s="5" t="n">
        <v>6070</v>
      </c>
      <c r="U821" s="5" t="n">
        <v>1030</v>
      </c>
      <c r="Y821">
        <f>SQRT((((VLOOKUP($X$4,$A$4:$D$1021,4,FALSE))-D821)^2)+(((VLOOKUP($X$4,$A$4:$E$1021,5,FALSE))-E821)^2))</f>
        <v/>
      </c>
    </row>
    <row r="822">
      <c r="A822" s="125" t="inlineStr">
        <is>
          <t>HY700X164</t>
        </is>
      </c>
      <c r="B822" s="129" t="inlineStr">
        <is>
          <t>HY</t>
        </is>
      </c>
      <c r="C822" s="125" t="n">
        <v>164</v>
      </c>
      <c r="D822" s="125" t="n">
        <v>700</v>
      </c>
      <c r="E822" s="125" t="n">
        <v>300</v>
      </c>
      <c r="F822" s="125" t="n">
        <v>19</v>
      </c>
      <c r="G822" s="125" t="n">
        <v>14</v>
      </c>
      <c r="H822" s="125" t="n">
        <v>18</v>
      </c>
      <c r="I822" s="125">
        <f>D822-(2*(H822+F822))</f>
        <v/>
      </c>
      <c r="J822" s="125">
        <f>D822/10 * F822/10 + 2*(E822/10 * G822/10)</f>
        <v/>
      </c>
      <c r="K822" s="125">
        <f>(E822/2)/F822</f>
        <v/>
      </c>
      <c r="L822" s="125">
        <f>I822/G822</f>
        <v/>
      </c>
      <c r="M822" s="125">
        <f>(E822*2+F822*4+((E822-G822)/2-H822)*4+2*PI()*H822+(D822-2*F822-2*H822)*2)/1000</f>
        <v/>
      </c>
      <c r="N822" s="5" t="n">
        <v>169000</v>
      </c>
      <c r="O822" s="5" t="n">
        <v>8570</v>
      </c>
      <c r="P822" s="125" t="n">
        <v>28.4</v>
      </c>
      <c r="Q822" s="125" t="n">
        <v>6.4</v>
      </c>
      <c r="R822" s="5" t="n">
        <v>4830</v>
      </c>
      <c r="S822" s="125" t="n">
        <v>571</v>
      </c>
      <c r="T822" s="5" t="n">
        <v>5510</v>
      </c>
      <c r="U822" s="125" t="n">
        <v>891</v>
      </c>
      <c r="Y822">
        <f>SQRT((((VLOOKUP($X$4,$A$4:$D$1021,4,FALSE))-D822)^2)+(((VLOOKUP($X$4,$A$4:$E$1021,5,FALSE))-E822)^2))</f>
        <v/>
      </c>
    </row>
    <row r="823">
      <c r="A823" s="125" t="inlineStr">
        <is>
          <t>HY700X195</t>
        </is>
      </c>
      <c r="B823" s="129" t="inlineStr">
        <is>
          <t>HY</t>
        </is>
      </c>
      <c r="C823" s="125" t="n">
        <v>195</v>
      </c>
      <c r="D823" s="125" t="n">
        <v>700</v>
      </c>
      <c r="E823" s="125" t="n">
        <v>300</v>
      </c>
      <c r="F823" s="125" t="n">
        <v>28</v>
      </c>
      <c r="G823" s="125" t="n">
        <v>12</v>
      </c>
      <c r="H823" s="125" t="n">
        <v>18</v>
      </c>
      <c r="I823" s="125">
        <f>D823-(2*(H823+F823))</f>
        <v/>
      </c>
      <c r="J823" s="125">
        <f>D823/10 * F823/10 + 2*(E823/10 * G823/10)</f>
        <v/>
      </c>
      <c r="K823" s="125">
        <f>(E823/2)/F823</f>
        <v/>
      </c>
      <c r="L823" s="125">
        <f>I823/G823</f>
        <v/>
      </c>
      <c r="M823" s="125">
        <f>(E823*2+F823*4+((E823-G823)/2-H823)*4+2*PI()*H823+(D823-2*F823-2*H823)*2)/1000</f>
        <v/>
      </c>
      <c r="N823" s="5" t="n">
        <v>219000</v>
      </c>
      <c r="O823" s="5" t="n">
        <v>12600</v>
      </c>
      <c r="P823" s="125" t="n">
        <v>29.7</v>
      </c>
      <c r="Q823" s="125" t="n">
        <v>7.1</v>
      </c>
      <c r="R823" s="5" t="n">
        <v>6270</v>
      </c>
      <c r="S823" s="125" t="n">
        <v>841</v>
      </c>
      <c r="T823" s="5" t="n">
        <v>6980</v>
      </c>
      <c r="U823" s="5" t="n">
        <v>1290</v>
      </c>
      <c r="Y823">
        <f>SQRT((((VLOOKUP($X$4,$A$4:$D$1021,4,FALSE))-D823)^2)+(((VLOOKUP($X$4,$A$4:$E$1021,5,FALSE))-E823)^2))</f>
        <v/>
      </c>
    </row>
    <row r="824">
      <c r="A824" s="125" t="inlineStr">
        <is>
          <t>HY700X181</t>
        </is>
      </c>
      <c r="B824" s="129" t="inlineStr">
        <is>
          <t>HY</t>
        </is>
      </c>
      <c r="C824" s="125" t="n">
        <v>181</v>
      </c>
      <c r="D824" s="125" t="n">
        <v>700</v>
      </c>
      <c r="E824" s="125" t="n">
        <v>300</v>
      </c>
      <c r="F824" s="125" t="n">
        <v>25</v>
      </c>
      <c r="G824" s="125" t="n">
        <v>12</v>
      </c>
      <c r="H824" s="125" t="n">
        <v>18</v>
      </c>
      <c r="I824" s="125">
        <f>D824-(2*(H824+F824))</f>
        <v/>
      </c>
      <c r="J824" s="125">
        <f>D824/10 * F824/10 + 2*(E824/10 * G824/10)</f>
        <v/>
      </c>
      <c r="K824" s="125">
        <f>(E824/2)/F824</f>
        <v/>
      </c>
      <c r="L824" s="125">
        <f>I824/G824</f>
        <v/>
      </c>
      <c r="M824" s="125">
        <f>(E824*2+F824*4+((E824-G824)/2-H824)*4+2*PI()*H824+(D824-2*F824-2*H824)*2)/1000</f>
        <v/>
      </c>
      <c r="N824" s="5" t="n">
        <v>201000</v>
      </c>
      <c r="O824" s="5" t="n">
        <v>11300</v>
      </c>
      <c r="P824" s="125" t="n">
        <v>29.5</v>
      </c>
      <c r="Q824" s="125" t="n">
        <v>7</v>
      </c>
      <c r="R824" s="5" t="n">
        <v>5750</v>
      </c>
      <c r="S824" s="125" t="n">
        <v>751</v>
      </c>
      <c r="T824" s="5" t="n">
        <v>6420</v>
      </c>
      <c r="U824" s="5" t="n">
        <v>1150</v>
      </c>
      <c r="Y824">
        <f>SQRT((((VLOOKUP($X$4,$A$4:$D$1021,4,FALSE))-D824)^2)+(((VLOOKUP($X$4,$A$4:$E$1021,5,FALSE))-E824)^2))</f>
        <v/>
      </c>
    </row>
    <row r="825">
      <c r="A825" s="125" t="inlineStr">
        <is>
          <t>HY700X168</t>
        </is>
      </c>
      <c r="B825" s="129" t="inlineStr">
        <is>
          <t>HY</t>
        </is>
      </c>
      <c r="C825" s="125" t="n">
        <v>168</v>
      </c>
      <c r="D825" s="125" t="n">
        <v>700</v>
      </c>
      <c r="E825" s="125" t="n">
        <v>300</v>
      </c>
      <c r="F825" s="125" t="n">
        <v>22</v>
      </c>
      <c r="G825" s="125" t="n">
        <v>12</v>
      </c>
      <c r="H825" s="125" t="n">
        <v>18</v>
      </c>
      <c r="I825" s="125">
        <f>D825-(2*(H825+F825))</f>
        <v/>
      </c>
      <c r="J825" s="125">
        <f>D825/10 * F825/10 + 2*(E825/10 * G825/10)</f>
        <v/>
      </c>
      <c r="K825" s="125">
        <f>(E825/2)/F825</f>
        <v/>
      </c>
      <c r="L825" s="125">
        <f>I825/G825</f>
        <v/>
      </c>
      <c r="M825" s="125">
        <f>(E825*2+F825*4+((E825-G825)/2-H825)*4+2*PI()*H825+(D825-2*F825-2*H825)*2)/1000</f>
        <v/>
      </c>
      <c r="N825" s="5" t="n">
        <v>183000</v>
      </c>
      <c r="O825" s="5" t="n">
        <v>9910</v>
      </c>
      <c r="P825" s="125" t="n">
        <v>29.3</v>
      </c>
      <c r="Q825" s="125" t="n">
        <v>6.8</v>
      </c>
      <c r="R825" s="5" t="n">
        <v>5230</v>
      </c>
      <c r="S825" s="125" t="n">
        <v>661</v>
      </c>
      <c r="T825" s="5" t="n">
        <v>5860</v>
      </c>
      <c r="U825" s="5" t="n">
        <v>1020</v>
      </c>
      <c r="Y825">
        <f>SQRT((((VLOOKUP($X$4,$A$4:$D$1021,4,FALSE))-D825)^2)+(((VLOOKUP($X$4,$A$4:$E$1021,5,FALSE))-E825)^2))</f>
        <v/>
      </c>
    </row>
    <row r="826">
      <c r="A826" s="125" t="inlineStr">
        <is>
          <t>HY700X154</t>
        </is>
      </c>
      <c r="B826" s="129" t="inlineStr">
        <is>
          <t>HY</t>
        </is>
      </c>
      <c r="C826" s="125" t="n">
        <v>154</v>
      </c>
      <c r="D826" s="125" t="n">
        <v>700</v>
      </c>
      <c r="E826" s="125" t="n">
        <v>300</v>
      </c>
      <c r="F826" s="125" t="n">
        <v>19</v>
      </c>
      <c r="G826" s="125" t="n">
        <v>12</v>
      </c>
      <c r="H826" s="125" t="n">
        <v>18</v>
      </c>
      <c r="I826" s="125">
        <f>D826-(2*(H826+F826))</f>
        <v/>
      </c>
      <c r="J826" s="125">
        <f>D826/10 * F826/10 + 2*(E826/10 * G826/10)</f>
        <v/>
      </c>
      <c r="K826" s="125">
        <f>(E826/2)/F826</f>
        <v/>
      </c>
      <c r="L826" s="125">
        <f>I826/G826</f>
        <v/>
      </c>
      <c r="M826" s="125">
        <f>(E826*2+F826*4+((E826-G826)/2-H826)*4+2*PI()*H826+(D826-2*F826-2*H826)*2)/1000</f>
        <v/>
      </c>
      <c r="N826" s="5" t="n">
        <v>164000</v>
      </c>
      <c r="O826" s="5" t="n">
        <v>8560</v>
      </c>
      <c r="P826" s="125" t="n">
        <v>28.9</v>
      </c>
      <c r="Q826" s="125" t="n">
        <v>6.6</v>
      </c>
      <c r="R826" s="5" t="n">
        <v>4690</v>
      </c>
      <c r="S826" s="125" t="n">
        <v>571</v>
      </c>
      <c r="T826" s="5" t="n">
        <v>5290</v>
      </c>
      <c r="U826" s="125" t="n">
        <v>882</v>
      </c>
      <c r="Y826">
        <f>SQRT((((VLOOKUP($X$4,$A$4:$D$1021,4,FALSE))-D826)^2)+(((VLOOKUP($X$4,$A$4:$E$1021,5,FALSE))-E826)^2))</f>
        <v/>
      </c>
    </row>
    <row r="827">
      <c r="A827" s="125" t="inlineStr">
        <is>
          <t>HY700X140</t>
        </is>
      </c>
      <c r="B827" s="129" t="inlineStr">
        <is>
          <t>HY</t>
        </is>
      </c>
      <c r="C827" s="125" t="n">
        <v>140</v>
      </c>
      <c r="D827" s="125" t="n">
        <v>700</v>
      </c>
      <c r="E827" s="125" t="n">
        <v>300</v>
      </c>
      <c r="F827" s="125" t="n">
        <v>16</v>
      </c>
      <c r="G827" s="125" t="n">
        <v>12</v>
      </c>
      <c r="H827" s="125" t="n">
        <v>18</v>
      </c>
      <c r="I827" s="125">
        <f>D827-(2*(H827+F827))</f>
        <v/>
      </c>
      <c r="J827" s="125">
        <f>D827/10 * F827/10 + 2*(E827/10 * G827/10)</f>
        <v/>
      </c>
      <c r="K827" s="125">
        <f>(E827/2)/F827</f>
        <v/>
      </c>
      <c r="L827" s="125">
        <f>I827/G827</f>
        <v/>
      </c>
      <c r="M827" s="125">
        <f>(E827*2+F827*4+((E827-G827)/2-H827)*4+2*PI()*H827+(D827-2*F827-2*H827)*2)/1000</f>
        <v/>
      </c>
      <c r="N827" s="5" t="n">
        <v>145000</v>
      </c>
      <c r="O827" s="5" t="n">
        <v>7210</v>
      </c>
      <c r="P827" s="125" t="n">
        <v>28.5</v>
      </c>
      <c r="Q827" s="125" t="n">
        <v>6.4</v>
      </c>
      <c r="R827" s="5" t="n">
        <v>4150</v>
      </c>
      <c r="S827" s="125" t="n">
        <v>481</v>
      </c>
      <c r="T827" s="5" t="n">
        <v>4710</v>
      </c>
      <c r="U827" s="125" t="n">
        <v>747</v>
      </c>
      <c r="Y827">
        <f>SQRT((((VLOOKUP($X$4,$A$4:$D$1021,4,FALSE))-D827)^2)+(((VLOOKUP($X$4,$A$4:$E$1021,5,FALSE))-E827)^2))</f>
        <v/>
      </c>
    </row>
    <row r="828">
      <c r="A828" s="125" t="inlineStr">
        <is>
          <t>HY700X213</t>
        </is>
      </c>
      <c r="B828" s="129" t="inlineStr">
        <is>
          <t>HY</t>
        </is>
      </c>
      <c r="C828" s="125" t="n">
        <v>213</v>
      </c>
      <c r="D828" s="125" t="n">
        <v>700</v>
      </c>
      <c r="E828" s="125" t="n">
        <v>250</v>
      </c>
      <c r="F828" s="125" t="n">
        <v>25</v>
      </c>
      <c r="G828" s="125" t="n">
        <v>22</v>
      </c>
      <c r="H828" s="125" t="n">
        <v>18</v>
      </c>
      <c r="I828" s="125">
        <f>D828-(2*(H828+F828))</f>
        <v/>
      </c>
      <c r="J828" s="125">
        <f>D828/10 * F828/10 + 2*(E828/10 * G828/10)</f>
        <v/>
      </c>
      <c r="K828" s="125">
        <f>(E828/2)/F828</f>
        <v/>
      </c>
      <c r="L828" s="125">
        <f>I828/G828</f>
        <v/>
      </c>
      <c r="M828" s="125">
        <f>(E828*2+F828*4+((E828-G828)/2-H828)*4+2*PI()*H828+(D828-2*F828-2*H828)*2)/1000</f>
        <v/>
      </c>
      <c r="N828" s="5" t="n">
        <v>196000</v>
      </c>
      <c r="O828" s="5" t="n">
        <v>6570</v>
      </c>
      <c r="P828" s="125" t="n">
        <v>26.9</v>
      </c>
      <c r="Q828" s="125" t="n">
        <v>4.9</v>
      </c>
      <c r="R828" s="5" t="n">
        <v>5590</v>
      </c>
      <c r="S828" s="125" t="n">
        <v>526</v>
      </c>
      <c r="T828" s="5" t="n">
        <v>6630</v>
      </c>
      <c r="U828" s="125" t="n">
        <v>864</v>
      </c>
      <c r="Y828">
        <f>SQRT((((VLOOKUP($X$4,$A$4:$D$1021,4,FALSE))-D828)^2)+(((VLOOKUP($X$4,$A$4:$E$1021,5,FALSE))-E828)^2))</f>
        <v/>
      </c>
    </row>
    <row r="829">
      <c r="A829" s="125" t="inlineStr">
        <is>
          <t>HY700X223</t>
        </is>
      </c>
      <c r="B829" s="129" t="inlineStr">
        <is>
          <t>HY</t>
        </is>
      </c>
      <c r="C829" s="125" t="n">
        <v>223</v>
      </c>
      <c r="D829" s="125" t="n">
        <v>700</v>
      </c>
      <c r="E829" s="125" t="n">
        <v>250</v>
      </c>
      <c r="F829" s="125" t="n">
        <v>32</v>
      </c>
      <c r="G829" s="125" t="n">
        <v>19</v>
      </c>
      <c r="H829" s="125" t="n">
        <v>18</v>
      </c>
      <c r="I829" s="125">
        <f>D829-(2*(H829+F829))</f>
        <v/>
      </c>
      <c r="J829" s="125">
        <f>D829/10 * F829/10 + 2*(E829/10 * G829/10)</f>
        <v/>
      </c>
      <c r="K829" s="125">
        <f>(E829/2)/F829</f>
        <v/>
      </c>
      <c r="L829" s="125">
        <f>I829/G829</f>
        <v/>
      </c>
      <c r="M829" s="125">
        <f>(E829*2+F829*4+((E829-G829)/2-H829)*4+2*PI()*H829+(D829-2*F829-2*H829)*2)/1000</f>
        <v/>
      </c>
      <c r="N829" s="5" t="n">
        <v>222000</v>
      </c>
      <c r="O829" s="5" t="n">
        <v>8380</v>
      </c>
      <c r="P829" s="125" t="n">
        <v>28</v>
      </c>
      <c r="Q829" s="125" t="n">
        <v>5.4</v>
      </c>
      <c r="R829" s="5" t="n">
        <v>6350</v>
      </c>
      <c r="S829" s="125" t="n">
        <v>670</v>
      </c>
      <c r="T829" s="5" t="n">
        <v>7350</v>
      </c>
      <c r="U829" s="5" t="n">
        <v>1060</v>
      </c>
      <c r="Y829">
        <f>SQRT((((VLOOKUP($X$4,$A$4:$D$1021,4,FALSE))-D829)^2)+(((VLOOKUP($X$4,$A$4:$E$1021,5,FALSE))-E829)^2))</f>
        <v/>
      </c>
    </row>
    <row r="830">
      <c r="A830" s="125" t="inlineStr">
        <is>
          <t>HY700X208</t>
        </is>
      </c>
      <c r="B830" s="129" t="inlineStr">
        <is>
          <t>HY</t>
        </is>
      </c>
      <c r="C830" s="125" t="n">
        <v>208</v>
      </c>
      <c r="D830" s="125" t="n">
        <v>700</v>
      </c>
      <c r="E830" s="125" t="n">
        <v>250</v>
      </c>
      <c r="F830" s="125" t="n">
        <v>28</v>
      </c>
      <c r="G830" s="125" t="n">
        <v>19</v>
      </c>
      <c r="H830" s="125" t="n">
        <v>18</v>
      </c>
      <c r="I830" s="125">
        <f>D830-(2*(H830+F830))</f>
        <v/>
      </c>
      <c r="J830" s="125">
        <f>D830/10 * F830/10 + 2*(E830/10 * G830/10)</f>
        <v/>
      </c>
      <c r="K830" s="125">
        <f>(E830/2)/F830</f>
        <v/>
      </c>
      <c r="L830" s="125">
        <f>I830/G830</f>
        <v/>
      </c>
      <c r="M830" s="125">
        <f>(E830*2+F830*4+((E830-G830)/2-H830)*4+2*PI()*H830+(D830-2*F830-2*H830)*2)/1000</f>
        <v/>
      </c>
      <c r="N830" s="5" t="n">
        <v>203000</v>
      </c>
      <c r="O830" s="5" t="n">
        <v>7330</v>
      </c>
      <c r="P830" s="125" t="n">
        <v>27.7</v>
      </c>
      <c r="Q830" s="125" t="n">
        <v>5.3</v>
      </c>
      <c r="R830" s="5" t="n">
        <v>5810</v>
      </c>
      <c r="S830" s="125" t="n">
        <v>587</v>
      </c>
      <c r="T830" s="5" t="n">
        <v>6760</v>
      </c>
      <c r="U830" s="125" t="n">
        <v>937</v>
      </c>
      <c r="Y830">
        <f>SQRT((((VLOOKUP($X$4,$A$4:$D$1021,4,FALSE))-D830)^2)+(((VLOOKUP($X$4,$A$4:$E$1021,5,FALSE))-E830)^2))</f>
        <v/>
      </c>
    </row>
    <row r="831">
      <c r="A831" s="125" t="inlineStr">
        <is>
          <t>HY700X197</t>
        </is>
      </c>
      <c r="B831" s="129" t="inlineStr">
        <is>
          <t>HY</t>
        </is>
      </c>
      <c r="C831" s="125" t="n">
        <v>197</v>
      </c>
      <c r="D831" s="125" t="n">
        <v>700</v>
      </c>
      <c r="E831" s="125" t="n">
        <v>250</v>
      </c>
      <c r="F831" s="125" t="n">
        <v>25</v>
      </c>
      <c r="G831" s="125" t="n">
        <v>19</v>
      </c>
      <c r="H831" s="125" t="n">
        <v>18</v>
      </c>
      <c r="I831" s="125">
        <f>D831-(2*(H831+F831))</f>
        <v/>
      </c>
      <c r="J831" s="125">
        <f>D831/10 * F831/10 + 2*(E831/10 * G831/10)</f>
        <v/>
      </c>
      <c r="K831" s="125">
        <f>(E831/2)/F831</f>
        <v/>
      </c>
      <c r="L831" s="125">
        <f>I831/G831</f>
        <v/>
      </c>
      <c r="M831" s="125">
        <f>(E831*2+F831*4+((E831-G831)/2-H831)*4+2*PI()*H831+(D831-2*F831-2*H831)*2)/1000</f>
        <v/>
      </c>
      <c r="N831" s="5" t="n">
        <v>189000</v>
      </c>
      <c r="O831" s="5" t="n">
        <v>6550</v>
      </c>
      <c r="P831" s="125" t="n">
        <v>27.4</v>
      </c>
      <c r="Q831" s="125" t="n">
        <v>5.1</v>
      </c>
      <c r="R831" s="5" t="n">
        <v>5390</v>
      </c>
      <c r="S831" s="125" t="n">
        <v>524</v>
      </c>
      <c r="T831" s="5" t="n">
        <v>6310</v>
      </c>
      <c r="U831" s="125" t="n">
        <v>844</v>
      </c>
      <c r="Y831">
        <f>SQRT((((VLOOKUP($X$4,$A$4:$D$1021,4,FALSE))-D831)^2)+(((VLOOKUP($X$4,$A$4:$E$1021,5,FALSE))-E831)^2))</f>
        <v/>
      </c>
    </row>
    <row r="832">
      <c r="A832" s="125" t="inlineStr">
        <is>
          <t>HY700X222</t>
        </is>
      </c>
      <c r="B832" s="129" t="inlineStr">
        <is>
          <t>HY</t>
        </is>
      </c>
      <c r="C832" s="125" t="n">
        <v>222</v>
      </c>
      <c r="D832" s="125" t="n">
        <v>700</v>
      </c>
      <c r="E832" s="125" t="n">
        <v>250</v>
      </c>
      <c r="F832" s="125" t="n">
        <v>36</v>
      </c>
      <c r="G832" s="125" t="n">
        <v>16</v>
      </c>
      <c r="H832" s="125" t="n">
        <v>18</v>
      </c>
      <c r="I832" s="125">
        <f>D832-(2*(H832+F832))</f>
        <v/>
      </c>
      <c r="J832" s="125">
        <f>D832/10 * F832/10 + 2*(E832/10 * G832/10)</f>
        <v/>
      </c>
      <c r="K832" s="125">
        <f>(E832/2)/F832</f>
        <v/>
      </c>
      <c r="L832" s="125">
        <f>I832/G832</f>
        <v/>
      </c>
      <c r="M832" s="125">
        <f>(E832*2+F832*4+((E832-G832)/2-H832)*4+2*PI()*H832+(D832-2*F832-2*H832)*2)/1000</f>
        <v/>
      </c>
      <c r="N832" s="5" t="n">
        <v>234000</v>
      </c>
      <c r="O832" s="5" t="n">
        <v>9400</v>
      </c>
      <c r="P832" s="125" t="n">
        <v>28.8</v>
      </c>
      <c r="Q832" s="125" t="n">
        <v>5.8</v>
      </c>
      <c r="R832" s="5" t="n">
        <v>6690</v>
      </c>
      <c r="S832" s="125" t="n">
        <v>752</v>
      </c>
      <c r="T832" s="5" t="n">
        <v>7640</v>
      </c>
      <c r="U832" s="5" t="n">
        <v>1170</v>
      </c>
      <c r="Y832">
        <f>SQRT((((VLOOKUP($X$4,$A$4:$D$1021,4,FALSE))-D832)^2)+(((VLOOKUP($X$4,$A$4:$E$1021,5,FALSE))-E832)^2))</f>
        <v/>
      </c>
    </row>
    <row r="833">
      <c r="A833" s="125" t="inlineStr">
        <is>
          <t>HY700X208</t>
        </is>
      </c>
      <c r="B833" s="129" t="inlineStr">
        <is>
          <t>HY</t>
        </is>
      </c>
      <c r="C833" s="125" t="n">
        <v>208</v>
      </c>
      <c r="D833" s="125" t="n">
        <v>700</v>
      </c>
      <c r="E833" s="125" t="n">
        <v>250</v>
      </c>
      <c r="F833" s="125" t="n">
        <v>32</v>
      </c>
      <c r="G833" s="125" t="n">
        <v>16</v>
      </c>
      <c r="H833" s="125" t="n">
        <v>18</v>
      </c>
      <c r="I833" s="125">
        <f>D833-(2*(H833+F833))</f>
        <v/>
      </c>
      <c r="J833" s="125">
        <f>D833/10 * F833/10 + 2*(E833/10 * G833/10)</f>
        <v/>
      </c>
      <c r="K833" s="125">
        <f>(E833/2)/F833</f>
        <v/>
      </c>
      <c r="L833" s="125">
        <f>I833/G833</f>
        <v/>
      </c>
      <c r="M833" s="125">
        <f>(E833*2+F833*4+((E833-G833)/2-H833)*4+2*PI()*H833+(D833-2*F833-2*H833)*2)/1000</f>
        <v/>
      </c>
      <c r="N833" s="5" t="n">
        <v>216000</v>
      </c>
      <c r="O833" s="5" t="n">
        <v>8360</v>
      </c>
      <c r="P833" s="125" t="n">
        <v>28.6</v>
      </c>
      <c r="Q833" s="125" t="n">
        <v>5.6</v>
      </c>
      <c r="R833" s="5" t="n">
        <v>6160</v>
      </c>
      <c r="S833" s="125" t="n">
        <v>669</v>
      </c>
      <c r="T833" s="5" t="n">
        <v>7050</v>
      </c>
      <c r="U833" s="5" t="n">
        <v>1040</v>
      </c>
      <c r="Y833">
        <f>SQRT((((VLOOKUP($X$4,$A$4:$D$1021,4,FALSE))-D833)^2)+(((VLOOKUP($X$4,$A$4:$E$1021,5,FALSE))-E833)^2))</f>
        <v/>
      </c>
    </row>
    <row r="834">
      <c r="A834" s="125" t="inlineStr">
        <is>
          <t>HY700X193</t>
        </is>
      </c>
      <c r="B834" s="129" t="inlineStr">
        <is>
          <t>HY</t>
        </is>
      </c>
      <c r="C834" s="125" t="n">
        <v>193</v>
      </c>
      <c r="D834" s="125" t="n">
        <v>700</v>
      </c>
      <c r="E834" s="125" t="n">
        <v>250</v>
      </c>
      <c r="F834" s="125" t="n">
        <v>28</v>
      </c>
      <c r="G834" s="125" t="n">
        <v>16</v>
      </c>
      <c r="H834" s="125" t="n">
        <v>18</v>
      </c>
      <c r="I834" s="125">
        <f>D834-(2*(H834+F834))</f>
        <v/>
      </c>
      <c r="J834" s="125">
        <f>D834/10 * F834/10 + 2*(E834/10 * G834/10)</f>
        <v/>
      </c>
      <c r="K834" s="125">
        <f>(E834/2)/F834</f>
        <v/>
      </c>
      <c r="L834" s="125">
        <f>I834/G834</f>
        <v/>
      </c>
      <c r="M834" s="125">
        <f>(E834*2+F834*4+((E834-G834)/2-H834)*4+2*PI()*H834+(D834-2*F834-2*H834)*2)/1000</f>
        <v/>
      </c>
      <c r="N834" s="5" t="n">
        <v>197000</v>
      </c>
      <c r="O834" s="5" t="n">
        <v>7320</v>
      </c>
      <c r="P834" s="125" t="n">
        <v>28.3</v>
      </c>
      <c r="Q834" s="125" t="n">
        <v>5.5</v>
      </c>
      <c r="R834" s="5" t="n">
        <v>5620</v>
      </c>
      <c r="S834" s="125" t="n">
        <v>585</v>
      </c>
      <c r="T834" s="5" t="n">
        <v>6450</v>
      </c>
      <c r="U834" s="125" t="n">
        <v>920</v>
      </c>
      <c r="Y834">
        <f>SQRT((((VLOOKUP($X$4,$A$4:$D$1021,4,FALSE))-D834)^2)+(((VLOOKUP($X$4,$A$4:$E$1021,5,FALSE))-E834)^2))</f>
        <v/>
      </c>
    </row>
    <row r="835">
      <c r="A835" s="125" t="inlineStr">
        <is>
          <t>HY700X182</t>
        </is>
      </c>
      <c r="B835" s="129" t="inlineStr">
        <is>
          <t>HY</t>
        </is>
      </c>
      <c r="C835" s="125" t="n">
        <v>182</v>
      </c>
      <c r="D835" s="125" t="n">
        <v>700</v>
      </c>
      <c r="E835" s="125" t="n">
        <v>250</v>
      </c>
      <c r="F835" s="125" t="n">
        <v>25</v>
      </c>
      <c r="G835" s="125" t="n">
        <v>16</v>
      </c>
      <c r="H835" s="125" t="n">
        <v>18</v>
      </c>
      <c r="I835" s="125">
        <f>D835-(2*(H835+F835))</f>
        <v/>
      </c>
      <c r="J835" s="125">
        <f>D835/10 * F835/10 + 2*(E835/10 * G835/10)</f>
        <v/>
      </c>
      <c r="K835" s="125">
        <f>(E835/2)/F835</f>
        <v/>
      </c>
      <c r="L835" s="125">
        <f>I835/G835</f>
        <v/>
      </c>
      <c r="M835" s="125">
        <f>(E835*2+F835*4+((E835-G835)/2-H835)*4+2*PI()*H835+(D835-2*F835-2*H835)*2)/1000</f>
        <v/>
      </c>
      <c r="N835" s="5" t="n">
        <v>182000</v>
      </c>
      <c r="O835" s="5" t="n">
        <v>6540</v>
      </c>
      <c r="P835" s="125" t="n">
        <v>28</v>
      </c>
      <c r="Q835" s="125" t="n">
        <v>5.3</v>
      </c>
      <c r="R835" s="5" t="n">
        <v>5200</v>
      </c>
      <c r="S835" s="125" t="n">
        <v>523</v>
      </c>
      <c r="T835" s="5" t="n">
        <v>6000</v>
      </c>
      <c r="U835" s="125" t="n">
        <v>826</v>
      </c>
      <c r="Y835">
        <f>SQRT((((VLOOKUP($X$4,$A$4:$D$1021,4,FALSE))-D835)^2)+(((VLOOKUP($X$4,$A$4:$E$1021,5,FALSE))-E835)^2))</f>
        <v/>
      </c>
    </row>
    <row r="836">
      <c r="A836" s="125" t="inlineStr">
        <is>
          <t>HY700X171</t>
        </is>
      </c>
      <c r="B836" s="129" t="inlineStr">
        <is>
          <t>HY</t>
        </is>
      </c>
      <c r="C836" s="125" t="n">
        <v>171</v>
      </c>
      <c r="D836" s="125" t="n">
        <v>700</v>
      </c>
      <c r="E836" s="125" t="n">
        <v>250</v>
      </c>
      <c r="F836" s="125" t="n">
        <v>22</v>
      </c>
      <c r="G836" s="125" t="n">
        <v>16</v>
      </c>
      <c r="H836" s="125" t="n">
        <v>18</v>
      </c>
      <c r="I836" s="125">
        <f>D836-(2*(H836+F836))</f>
        <v/>
      </c>
      <c r="J836" s="125">
        <f>D836/10 * F836/10 + 2*(E836/10 * G836/10)</f>
        <v/>
      </c>
      <c r="K836" s="125">
        <f>(E836/2)/F836</f>
        <v/>
      </c>
      <c r="L836" s="125">
        <f>I836/G836</f>
        <v/>
      </c>
      <c r="M836" s="125">
        <f>(E836*2+F836*4+((E836-G836)/2-H836)*4+2*PI()*H836+(D836-2*F836-2*H836)*2)/1000</f>
        <v/>
      </c>
      <c r="N836" s="5" t="n">
        <v>167000</v>
      </c>
      <c r="O836" s="5" t="n">
        <v>5760</v>
      </c>
      <c r="P836" s="125" t="n">
        <v>27.7</v>
      </c>
      <c r="Q836" s="125" t="n">
        <v>5.1</v>
      </c>
      <c r="R836" s="5" t="n">
        <v>4770</v>
      </c>
      <c r="S836" s="125" t="n">
        <v>460</v>
      </c>
      <c r="T836" s="5" t="n">
        <v>5540</v>
      </c>
      <c r="U836" s="125" t="n">
        <v>733</v>
      </c>
      <c r="Y836">
        <f>SQRT((((VLOOKUP($X$4,$A$4:$D$1021,4,FALSE))-D836)^2)+(((VLOOKUP($X$4,$A$4:$E$1021,5,FALSE))-E836)^2))</f>
        <v/>
      </c>
    </row>
    <row r="837">
      <c r="A837" s="125" t="inlineStr">
        <is>
          <t>HY700X198</t>
        </is>
      </c>
      <c r="B837" s="129" t="inlineStr">
        <is>
          <t>HY</t>
        </is>
      </c>
      <c r="C837" s="125" t="n">
        <v>198</v>
      </c>
      <c r="D837" s="125" t="n">
        <v>700</v>
      </c>
      <c r="E837" s="125" t="n">
        <v>250</v>
      </c>
      <c r="F837" s="125" t="n">
        <v>32</v>
      </c>
      <c r="G837" s="125" t="n">
        <v>14</v>
      </c>
      <c r="H837" s="125" t="n">
        <v>18</v>
      </c>
      <c r="I837" s="125">
        <f>D837-(2*(H837+F837))</f>
        <v/>
      </c>
      <c r="J837" s="125">
        <f>D837/10 * F837/10 + 2*(E837/10 * G837/10)</f>
        <v/>
      </c>
      <c r="K837" s="125">
        <f>(E837/2)/F837</f>
        <v/>
      </c>
      <c r="L837" s="125">
        <f>I837/G837</f>
        <v/>
      </c>
      <c r="M837" s="125">
        <f>(E837*2+F837*4+((E837-G837)/2-H837)*4+2*PI()*H837+(D837-2*F837-2*H837)*2)/1000</f>
        <v/>
      </c>
      <c r="N837" s="5" t="n">
        <v>211000</v>
      </c>
      <c r="O837" s="5" t="n">
        <v>8350</v>
      </c>
      <c r="P837" s="125" t="n">
        <v>29</v>
      </c>
      <c r="Q837" s="125" t="n">
        <v>5.8</v>
      </c>
      <c r="R837" s="5" t="n">
        <v>6040</v>
      </c>
      <c r="S837" s="125" t="n">
        <v>668</v>
      </c>
      <c r="T837" s="5" t="n">
        <v>6850</v>
      </c>
      <c r="U837" s="5" t="n">
        <v>1030</v>
      </c>
      <c r="Y837">
        <f>SQRT((((VLOOKUP($X$4,$A$4:$D$1021,4,FALSE))-D837)^2)+(((VLOOKUP($X$4,$A$4:$E$1021,5,FALSE))-E837)^2))</f>
        <v/>
      </c>
    </row>
    <row r="838">
      <c r="A838" s="125" t="inlineStr">
        <is>
          <t>HY700X183</t>
        </is>
      </c>
      <c r="B838" s="129" t="inlineStr">
        <is>
          <t>HY</t>
        </is>
      </c>
      <c r="C838" s="125" t="n">
        <v>183</v>
      </c>
      <c r="D838" s="125" t="n">
        <v>700</v>
      </c>
      <c r="E838" s="125" t="n">
        <v>250</v>
      </c>
      <c r="F838" s="125" t="n">
        <v>28</v>
      </c>
      <c r="G838" s="125" t="n">
        <v>14</v>
      </c>
      <c r="H838" s="125" t="n">
        <v>18</v>
      </c>
      <c r="I838" s="125">
        <f>D838-(2*(H838+F838))</f>
        <v/>
      </c>
      <c r="J838" s="125">
        <f>D838/10 * F838/10 + 2*(E838/10 * G838/10)</f>
        <v/>
      </c>
      <c r="K838" s="125">
        <f>(E838/2)/F838</f>
        <v/>
      </c>
      <c r="L838" s="125">
        <f>I838/G838</f>
        <v/>
      </c>
      <c r="M838" s="125">
        <f>(E838*2+F838*4+((E838-G838)/2-H838)*4+2*PI()*H838+(D838-2*F838-2*H838)*2)/1000</f>
        <v/>
      </c>
      <c r="N838" s="5" t="n">
        <v>192000</v>
      </c>
      <c r="O838" s="5" t="n">
        <v>7310</v>
      </c>
      <c r="P838" s="125" t="n">
        <v>28.7</v>
      </c>
      <c r="Q838" s="125" t="n">
        <v>5.6</v>
      </c>
      <c r="R838" s="5" t="n">
        <v>5490</v>
      </c>
      <c r="S838" s="125" t="n">
        <v>585</v>
      </c>
      <c r="T838" s="5" t="n">
        <v>6240</v>
      </c>
      <c r="U838" s="125" t="n">
        <v>910</v>
      </c>
      <c r="Y838">
        <f>SQRT((((VLOOKUP($X$4,$A$4:$D$1021,4,FALSE))-D838)^2)+(((VLOOKUP($X$4,$A$4:$E$1021,5,FALSE))-E838)^2))</f>
        <v/>
      </c>
    </row>
    <row r="839">
      <c r="A839" s="125" t="inlineStr">
        <is>
          <t>HY700X172</t>
        </is>
      </c>
      <c r="B839" s="129" t="inlineStr">
        <is>
          <t>HY</t>
        </is>
      </c>
      <c r="C839" s="125" t="n">
        <v>172</v>
      </c>
      <c r="D839" s="125" t="n">
        <v>700</v>
      </c>
      <c r="E839" s="125" t="n">
        <v>250</v>
      </c>
      <c r="F839" s="125" t="n">
        <v>25</v>
      </c>
      <c r="G839" s="125" t="n">
        <v>14</v>
      </c>
      <c r="H839" s="125" t="n">
        <v>18</v>
      </c>
      <c r="I839" s="125">
        <f>D839-(2*(H839+F839))</f>
        <v/>
      </c>
      <c r="J839" s="125">
        <f>D839/10 * F839/10 + 2*(E839/10 * G839/10)</f>
        <v/>
      </c>
      <c r="K839" s="125">
        <f>(E839/2)/F839</f>
        <v/>
      </c>
      <c r="L839" s="125">
        <f>I839/G839</f>
        <v/>
      </c>
      <c r="M839" s="125">
        <f>(E839*2+F839*4+((E839-G839)/2-H839)*4+2*PI()*H839+(D839-2*F839-2*H839)*2)/1000</f>
        <v/>
      </c>
      <c r="N839" s="5" t="n">
        <v>177000</v>
      </c>
      <c r="O839" s="5" t="n">
        <v>6530</v>
      </c>
      <c r="P839" s="125" t="n">
        <v>28.5</v>
      </c>
      <c r="Q839" s="125" t="n">
        <v>5.5</v>
      </c>
      <c r="R839" s="5" t="n">
        <v>5070</v>
      </c>
      <c r="S839" s="125" t="n">
        <v>522</v>
      </c>
      <c r="T839" s="5" t="n">
        <v>5790</v>
      </c>
      <c r="U839" s="125" t="n">
        <v>816</v>
      </c>
      <c r="Y839">
        <f>SQRT((((VLOOKUP($X$4,$A$4:$D$1021,4,FALSE))-D839)^2)+(((VLOOKUP($X$4,$A$4:$E$1021,5,FALSE))-E839)^2))</f>
        <v/>
      </c>
    </row>
    <row r="840">
      <c r="A840" s="125" t="inlineStr">
        <is>
          <t>HY700X161</t>
        </is>
      </c>
      <c r="B840" s="129" t="inlineStr">
        <is>
          <t>HY</t>
        </is>
      </c>
      <c r="C840" s="125" t="n">
        <v>161</v>
      </c>
      <c r="D840" s="125" t="n">
        <v>700</v>
      </c>
      <c r="E840" s="125" t="n">
        <v>250</v>
      </c>
      <c r="F840" s="125" t="n">
        <v>22</v>
      </c>
      <c r="G840" s="125" t="n">
        <v>14</v>
      </c>
      <c r="H840" s="125" t="n">
        <v>18</v>
      </c>
      <c r="I840" s="125">
        <f>D840-(2*(H840+F840))</f>
        <v/>
      </c>
      <c r="J840" s="125">
        <f>D840/10 * F840/10 + 2*(E840/10 * G840/10)</f>
        <v/>
      </c>
      <c r="K840" s="125">
        <f>(E840/2)/F840</f>
        <v/>
      </c>
      <c r="L840" s="125">
        <f>I840/G840</f>
        <v/>
      </c>
      <c r="M840" s="125">
        <f>(E840*2+F840*4+((E840-G840)/2-H840)*4+2*PI()*H840+(D840-2*F840-2*H840)*2)/1000</f>
        <v/>
      </c>
      <c r="N840" s="5" t="n">
        <v>162000</v>
      </c>
      <c r="O840" s="5" t="n">
        <v>5750</v>
      </c>
      <c r="P840" s="125" t="n">
        <v>28.2</v>
      </c>
      <c r="Q840" s="125" t="n">
        <v>5.3</v>
      </c>
      <c r="R840" s="5" t="n">
        <v>4640</v>
      </c>
      <c r="S840" s="125" t="n">
        <v>460</v>
      </c>
      <c r="T840" s="5" t="n">
        <v>5330</v>
      </c>
      <c r="U840" s="125" t="n">
        <v>723</v>
      </c>
      <c r="Y840">
        <f>SQRT((((VLOOKUP($X$4,$A$4:$D$1021,4,FALSE))-D840)^2)+(((VLOOKUP($X$4,$A$4:$E$1021,5,FALSE))-E840)^2))</f>
        <v/>
      </c>
    </row>
    <row r="841">
      <c r="A841" s="125" t="inlineStr">
        <is>
          <t>HY700X150</t>
        </is>
      </c>
      <c r="B841" s="129" t="inlineStr">
        <is>
          <t>HY</t>
        </is>
      </c>
      <c r="C841" s="125" t="n">
        <v>150</v>
      </c>
      <c r="D841" s="125" t="n">
        <v>700</v>
      </c>
      <c r="E841" s="125" t="n">
        <v>250</v>
      </c>
      <c r="F841" s="125" t="n">
        <v>19</v>
      </c>
      <c r="G841" s="125" t="n">
        <v>14</v>
      </c>
      <c r="H841" s="125" t="n">
        <v>18</v>
      </c>
      <c r="I841" s="125">
        <f>D841-(2*(H841+F841))</f>
        <v/>
      </c>
      <c r="J841" s="125">
        <f>D841/10 * F841/10 + 2*(E841/10 * G841/10)</f>
        <v/>
      </c>
      <c r="K841" s="125">
        <f>(E841/2)/F841</f>
        <v/>
      </c>
      <c r="L841" s="125">
        <f>I841/G841</f>
        <v/>
      </c>
      <c r="M841" s="125">
        <f>(E841*2+F841*4+((E841-G841)/2-H841)*4+2*PI()*H841+(D841-2*F841-2*H841)*2)/1000</f>
        <v/>
      </c>
      <c r="N841" s="5" t="n">
        <v>147000</v>
      </c>
      <c r="O841" s="5" t="n">
        <v>4970</v>
      </c>
      <c r="P841" s="125" t="n">
        <v>27.8</v>
      </c>
      <c r="Q841" s="125" t="n">
        <v>5.1</v>
      </c>
      <c r="R841" s="5" t="n">
        <v>4200</v>
      </c>
      <c r="S841" s="125" t="n">
        <v>397</v>
      </c>
      <c r="T841" s="5" t="n">
        <v>4860</v>
      </c>
      <c r="U841" s="125" t="n">
        <v>629</v>
      </c>
      <c r="Y841">
        <f>SQRT((((VLOOKUP($X$4,$A$4:$D$1021,4,FALSE))-D841)^2)+(((VLOOKUP($X$4,$A$4:$E$1021,5,FALSE))-E841)^2))</f>
        <v/>
      </c>
    </row>
    <row r="842">
      <c r="A842" s="125" t="inlineStr">
        <is>
          <t>HY700X173</t>
        </is>
      </c>
      <c r="B842" s="129" t="inlineStr">
        <is>
          <t>HY</t>
        </is>
      </c>
      <c r="C842" s="125" t="n">
        <v>173</v>
      </c>
      <c r="D842" s="125" t="n">
        <v>700</v>
      </c>
      <c r="E842" s="125" t="n">
        <v>250</v>
      </c>
      <c r="F842" s="125" t="n">
        <v>28</v>
      </c>
      <c r="G842" s="125" t="n">
        <v>12</v>
      </c>
      <c r="H842" s="125" t="n">
        <v>18</v>
      </c>
      <c r="I842" s="125">
        <f>D842-(2*(H842+F842))</f>
        <v/>
      </c>
      <c r="J842" s="125">
        <f>D842/10 * F842/10 + 2*(E842/10 * G842/10)</f>
        <v/>
      </c>
      <c r="K842" s="125">
        <f>(E842/2)/F842</f>
        <v/>
      </c>
      <c r="L842" s="125">
        <f>I842/G842</f>
        <v/>
      </c>
      <c r="M842" s="125">
        <f>(E842*2+F842*4+((E842-G842)/2-H842)*4+2*PI()*H842+(D842-2*F842-2*H842)*2)/1000</f>
        <v/>
      </c>
      <c r="N842" s="5" t="n">
        <v>188000</v>
      </c>
      <c r="O842" s="5" t="n">
        <v>7300</v>
      </c>
      <c r="P842" s="125" t="n">
        <v>29.2</v>
      </c>
      <c r="Q842" s="125" t="n">
        <v>5.8</v>
      </c>
      <c r="R842" s="5" t="n">
        <v>5360</v>
      </c>
      <c r="S842" s="125" t="n">
        <v>584</v>
      </c>
      <c r="T842" s="5" t="n">
        <v>6040</v>
      </c>
      <c r="U842" s="125" t="n">
        <v>901</v>
      </c>
      <c r="Y842">
        <f>SQRT((((VLOOKUP($X$4,$A$4:$D$1021,4,FALSE))-D842)^2)+(((VLOOKUP($X$4,$A$4:$E$1021,5,FALSE))-E842)^2))</f>
        <v/>
      </c>
    </row>
    <row r="843">
      <c r="A843" s="125" t="inlineStr">
        <is>
          <t>HY700X162</t>
        </is>
      </c>
      <c r="B843" s="129" t="inlineStr">
        <is>
          <t>HY</t>
        </is>
      </c>
      <c r="C843" s="125" t="n">
        <v>162</v>
      </c>
      <c r="D843" s="125" t="n">
        <v>700</v>
      </c>
      <c r="E843" s="125" t="n">
        <v>250</v>
      </c>
      <c r="F843" s="125" t="n">
        <v>25</v>
      </c>
      <c r="G843" s="125" t="n">
        <v>12</v>
      </c>
      <c r="H843" s="125" t="n">
        <v>18</v>
      </c>
      <c r="I843" s="125">
        <f>D843-(2*(H843+F843))</f>
        <v/>
      </c>
      <c r="J843" s="125">
        <f>D843/10 * F843/10 + 2*(E843/10 * G843/10)</f>
        <v/>
      </c>
      <c r="K843" s="125">
        <f>(E843/2)/F843</f>
        <v/>
      </c>
      <c r="L843" s="125">
        <f>I843/G843</f>
        <v/>
      </c>
      <c r="M843" s="125">
        <f>(E843*2+F843*4+((E843-G843)/2-H843)*4+2*PI()*H843+(D843-2*F843-2*H843)*2)/1000</f>
        <v/>
      </c>
      <c r="N843" s="5" t="n">
        <v>173000</v>
      </c>
      <c r="O843" s="5" t="n">
        <v>6520</v>
      </c>
      <c r="P843" s="125" t="n">
        <v>29</v>
      </c>
      <c r="Q843" s="125" t="n">
        <v>5.6</v>
      </c>
      <c r="R843" s="5" t="n">
        <v>4940</v>
      </c>
      <c r="S843" s="125" t="n">
        <v>522</v>
      </c>
      <c r="T843" s="5" t="n">
        <v>5580</v>
      </c>
      <c r="U843" s="125" t="n">
        <v>807</v>
      </c>
      <c r="Y843">
        <f>SQRT((((VLOOKUP($X$4,$A$4:$D$1021,4,FALSE))-D843)^2)+(((VLOOKUP($X$4,$A$4:$E$1021,5,FALSE))-E843)^2))</f>
        <v/>
      </c>
    </row>
    <row r="844">
      <c r="A844" s="125" t="inlineStr">
        <is>
          <t>HY700X150</t>
        </is>
      </c>
      <c r="B844" s="129" t="inlineStr">
        <is>
          <t>HY</t>
        </is>
      </c>
      <c r="C844" s="125" t="n">
        <v>150</v>
      </c>
      <c r="D844" s="125" t="n">
        <v>700</v>
      </c>
      <c r="E844" s="125" t="n">
        <v>250</v>
      </c>
      <c r="F844" s="125" t="n">
        <v>22</v>
      </c>
      <c r="G844" s="125" t="n">
        <v>12</v>
      </c>
      <c r="H844" s="125" t="n">
        <v>18</v>
      </c>
      <c r="I844" s="125">
        <f>D844-(2*(H844+F844))</f>
        <v/>
      </c>
      <c r="J844" s="125">
        <f>D844/10 * F844/10 + 2*(E844/10 * G844/10)</f>
        <v/>
      </c>
      <c r="K844" s="125">
        <f>(E844/2)/F844</f>
        <v/>
      </c>
      <c r="L844" s="125">
        <f>I844/G844</f>
        <v/>
      </c>
      <c r="M844" s="125">
        <f>(E844*2+F844*4+((E844-G844)/2-H844)*4+2*PI()*H844+(D844-2*F844-2*H844)*2)/1000</f>
        <v/>
      </c>
      <c r="N844" s="5" t="n">
        <v>158000</v>
      </c>
      <c r="O844" s="5" t="n">
        <v>5740</v>
      </c>
      <c r="P844" s="125" t="n">
        <v>28.7</v>
      </c>
      <c r="Q844" s="125" t="n">
        <v>5.5</v>
      </c>
      <c r="R844" s="5" t="n">
        <v>4500</v>
      </c>
      <c r="S844" s="125" t="n">
        <v>459</v>
      </c>
      <c r="T844" s="5" t="n">
        <v>5110</v>
      </c>
      <c r="U844" s="125" t="n">
        <v>714</v>
      </c>
      <c r="Y844">
        <f>SQRT((((VLOOKUP($X$4,$A$4:$D$1021,4,FALSE))-D844)^2)+(((VLOOKUP($X$4,$A$4:$E$1021,5,FALSE))-E844)^2))</f>
        <v/>
      </c>
    </row>
    <row r="845">
      <c r="A845" s="125" t="inlineStr">
        <is>
          <t>HY700X139</t>
        </is>
      </c>
      <c r="B845" s="129" t="inlineStr">
        <is>
          <t>HY</t>
        </is>
      </c>
      <c r="C845" s="125" t="n">
        <v>139</v>
      </c>
      <c r="D845" s="125" t="n">
        <v>700</v>
      </c>
      <c r="E845" s="125" t="n">
        <v>250</v>
      </c>
      <c r="F845" s="125" t="n">
        <v>19</v>
      </c>
      <c r="G845" s="125" t="n">
        <v>12</v>
      </c>
      <c r="H845" s="125" t="n">
        <v>18</v>
      </c>
      <c r="I845" s="125">
        <f>D845-(2*(H845+F845))</f>
        <v/>
      </c>
      <c r="J845" s="125">
        <f>D845/10 * F845/10 + 2*(E845/10 * G845/10)</f>
        <v/>
      </c>
      <c r="K845" s="125">
        <f>(E845/2)/F845</f>
        <v/>
      </c>
      <c r="L845" s="125">
        <f>I845/G845</f>
        <v/>
      </c>
      <c r="M845" s="125">
        <f>(E845*2+F845*4+((E845-G845)/2-H845)*4+2*PI()*H845+(D845-2*F845-2*H845)*2)/1000</f>
        <v/>
      </c>
      <c r="N845" s="5" t="n">
        <v>142000</v>
      </c>
      <c r="O845" s="5" t="n">
        <v>4960</v>
      </c>
      <c r="P845" s="125" t="n">
        <v>28.3</v>
      </c>
      <c r="Q845" s="125" t="n">
        <v>5.3</v>
      </c>
      <c r="R845" s="5" t="n">
        <v>4060</v>
      </c>
      <c r="S845" s="125" t="n">
        <v>397</v>
      </c>
      <c r="T845" s="5" t="n">
        <v>4640</v>
      </c>
      <c r="U845" s="125" t="n">
        <v>620</v>
      </c>
      <c r="Y845">
        <f>SQRT((((VLOOKUP($X$4,$A$4:$D$1021,4,FALSE))-D845)^2)+(((VLOOKUP($X$4,$A$4:$E$1021,5,FALSE))-E845)^2))</f>
        <v/>
      </c>
    </row>
    <row r="846">
      <c r="A846" s="125" t="inlineStr">
        <is>
          <t>HY700X128</t>
        </is>
      </c>
      <c r="B846" s="129" t="inlineStr">
        <is>
          <t>HY</t>
        </is>
      </c>
      <c r="C846" s="125" t="n">
        <v>128</v>
      </c>
      <c r="D846" s="125" t="n">
        <v>700</v>
      </c>
      <c r="E846" s="125" t="n">
        <v>250</v>
      </c>
      <c r="F846" s="125" t="n">
        <v>16</v>
      </c>
      <c r="G846" s="125" t="n">
        <v>12</v>
      </c>
      <c r="H846" s="125" t="n">
        <v>18</v>
      </c>
      <c r="I846" s="125">
        <f>D846-(2*(H846+F846))</f>
        <v/>
      </c>
      <c r="J846" s="125">
        <f>D846/10 * F846/10 + 2*(E846/10 * G846/10)</f>
        <v/>
      </c>
      <c r="K846" s="125">
        <f>(E846/2)/F846</f>
        <v/>
      </c>
      <c r="L846" s="125">
        <f>I846/G846</f>
        <v/>
      </c>
      <c r="M846" s="125">
        <f>(E846*2+F846*4+((E846-G846)/2-H846)*4+2*PI()*H846+(D846-2*F846-2*H846)*2)/1000</f>
        <v/>
      </c>
      <c r="N846" s="5" t="n">
        <v>126000</v>
      </c>
      <c r="O846" s="5" t="n">
        <v>4180</v>
      </c>
      <c r="P846" s="125" t="n">
        <v>27.9</v>
      </c>
      <c r="Q846" s="125" t="n">
        <v>5.1</v>
      </c>
      <c r="R846" s="5" t="n">
        <v>3610</v>
      </c>
      <c r="S846" s="125" t="n">
        <v>334</v>
      </c>
      <c r="T846" s="5" t="n">
        <v>4170</v>
      </c>
      <c r="U846" s="125" t="n">
        <v>527</v>
      </c>
      <c r="Y846">
        <f>SQRT((((VLOOKUP($X$4,$A$4:$D$1021,4,FALSE))-D846)^2)+(((VLOOKUP($X$4,$A$4:$E$1021,5,FALSE))-E846)^2))</f>
        <v/>
      </c>
    </row>
    <row r="847">
      <c r="A847" s="125" t="inlineStr">
        <is>
          <t>HY700X124</t>
        </is>
      </c>
      <c r="B847" s="129" t="inlineStr">
        <is>
          <t>HY</t>
        </is>
      </c>
      <c r="C847" s="125" t="n">
        <v>124</v>
      </c>
      <c r="D847" s="125" t="n">
        <v>700</v>
      </c>
      <c r="E847" s="125" t="n">
        <v>250</v>
      </c>
      <c r="F847" s="125" t="n">
        <v>19</v>
      </c>
      <c r="G847" s="125" t="n">
        <v>9</v>
      </c>
      <c r="H847" s="125" t="n">
        <v>18</v>
      </c>
      <c r="I847" s="125">
        <f>D847-(2*(H847+F847))</f>
        <v/>
      </c>
      <c r="J847" s="125">
        <f>D847/10 * F847/10 + 2*(E847/10 * G847/10)</f>
        <v/>
      </c>
      <c r="K847" s="125">
        <f>(E847/2)/F847</f>
        <v/>
      </c>
      <c r="L847" s="125">
        <f>I847/G847</f>
        <v/>
      </c>
      <c r="M847" s="125">
        <f>(E847*2+F847*4+((E847-G847)/2-H847)*4+2*PI()*H847+(D847-2*F847-2*H847)*2)/1000</f>
        <v/>
      </c>
      <c r="N847" s="5" t="n">
        <v>135000</v>
      </c>
      <c r="O847" s="5" t="n">
        <v>4950</v>
      </c>
      <c r="P847" s="125" t="n">
        <v>29.3</v>
      </c>
      <c r="Q847" s="125" t="n">
        <v>5.6</v>
      </c>
      <c r="R847" s="5" t="n">
        <v>3850</v>
      </c>
      <c r="S847" s="125" t="n">
        <v>396</v>
      </c>
      <c r="T847" s="5" t="n">
        <v>4310</v>
      </c>
      <c r="U847" s="125" t="n">
        <v>610</v>
      </c>
      <c r="Y847">
        <f>SQRT((((VLOOKUP($X$4,$A$4:$D$1021,4,FALSE))-D847)^2)+(((VLOOKUP($X$4,$A$4:$E$1021,5,FALSE))-E847)^2))</f>
        <v/>
      </c>
    </row>
    <row r="848">
      <c r="A848" s="125" t="inlineStr">
        <is>
          <t>HY700X112</t>
        </is>
      </c>
      <c r="B848" s="129" t="inlineStr">
        <is>
          <t>HY</t>
        </is>
      </c>
      <c r="C848" s="125" t="n">
        <v>112</v>
      </c>
      <c r="D848" s="125" t="n">
        <v>700</v>
      </c>
      <c r="E848" s="125" t="n">
        <v>250</v>
      </c>
      <c r="F848" s="125" t="n">
        <v>16</v>
      </c>
      <c r="G848" s="125" t="n">
        <v>9</v>
      </c>
      <c r="H848" s="125" t="n">
        <v>18</v>
      </c>
      <c r="I848" s="125">
        <f>D848-(2*(H848+F848))</f>
        <v/>
      </c>
      <c r="J848" s="125">
        <f>D848/10 * F848/10 + 2*(E848/10 * G848/10)</f>
        <v/>
      </c>
      <c r="K848" s="125">
        <f>(E848/2)/F848</f>
        <v/>
      </c>
      <c r="L848" s="125">
        <f>I848/G848</f>
        <v/>
      </c>
      <c r="M848" s="125">
        <f>(E848*2+F848*4+((E848-G848)/2-H848)*4+2*PI()*H848+(D848-2*F848-2*H848)*2)/1000</f>
        <v/>
      </c>
      <c r="N848" s="5" t="n">
        <v>119000</v>
      </c>
      <c r="O848" s="5" t="n">
        <v>4170</v>
      </c>
      <c r="P848" s="125" t="n">
        <v>28.9</v>
      </c>
      <c r="Q848" s="125" t="n">
        <v>5.4</v>
      </c>
      <c r="R848" s="5" t="n">
        <v>3400</v>
      </c>
      <c r="S848" s="125" t="n">
        <v>334</v>
      </c>
      <c r="T848" s="5" t="n">
        <v>3830</v>
      </c>
      <c r="U848" s="125" t="n">
        <v>516</v>
      </c>
      <c r="Y848">
        <f>SQRT((((VLOOKUP($X$4,$A$4:$D$1021,4,FALSE))-D848)^2)+(((VLOOKUP($X$4,$A$4:$E$1021,5,FALSE))-E848)^2))</f>
        <v/>
      </c>
    </row>
    <row r="849">
      <c r="A849" s="125" t="inlineStr">
        <is>
          <t>HY700X161</t>
        </is>
      </c>
      <c r="B849" s="129" t="inlineStr">
        <is>
          <t>HY</t>
        </is>
      </c>
      <c r="C849" s="125" t="n">
        <v>161</v>
      </c>
      <c r="D849" s="125" t="n">
        <v>700</v>
      </c>
      <c r="E849" s="125" t="n">
        <v>200</v>
      </c>
      <c r="F849" s="125" t="n">
        <v>28</v>
      </c>
      <c r="G849" s="125" t="n">
        <v>14</v>
      </c>
      <c r="H849" s="125" t="n">
        <v>18</v>
      </c>
      <c r="I849" s="125">
        <f>D849-(2*(H849+F849))</f>
        <v/>
      </c>
      <c r="J849" s="125">
        <f>D849/10 * F849/10 + 2*(E849/10 * G849/10)</f>
        <v/>
      </c>
      <c r="K849" s="125">
        <f>(E849/2)/F849</f>
        <v/>
      </c>
      <c r="L849" s="125">
        <f>I849/G849</f>
        <v/>
      </c>
      <c r="M849" s="125">
        <f>(E849*2+F849*4+((E849-G849)/2-H849)*4+2*PI()*H849+(D849-2*F849-2*H849)*2)/1000</f>
        <v/>
      </c>
      <c r="N849" s="5" t="n">
        <v>160000</v>
      </c>
      <c r="O849" s="5" t="n">
        <v>3750</v>
      </c>
      <c r="P849" s="125" t="n">
        <v>28</v>
      </c>
      <c r="Q849" s="125" t="n">
        <v>4.3</v>
      </c>
      <c r="R849" s="5" t="n">
        <v>4590</v>
      </c>
      <c r="S849" s="125" t="n">
        <v>375</v>
      </c>
      <c r="T849" s="5" t="n">
        <v>5300</v>
      </c>
      <c r="U849" s="125" t="n">
        <v>595</v>
      </c>
      <c r="Y849">
        <f>SQRT((((VLOOKUP($X$4,$A$4:$D$1021,4,FALSE))-D849)^2)+(((VLOOKUP($X$4,$A$4:$E$1021,5,FALSE))-E849)^2))</f>
        <v/>
      </c>
    </row>
    <row r="850">
      <c r="A850" s="125" t="inlineStr">
        <is>
          <t>HY700X152</t>
        </is>
      </c>
      <c r="B850" s="129" t="inlineStr">
        <is>
          <t>HY</t>
        </is>
      </c>
      <c r="C850" s="125" t="n">
        <v>152</v>
      </c>
      <c r="D850" s="125" t="n">
        <v>700</v>
      </c>
      <c r="E850" s="125" t="n">
        <v>200</v>
      </c>
      <c r="F850" s="125" t="n">
        <v>25</v>
      </c>
      <c r="G850" s="125" t="n">
        <v>14</v>
      </c>
      <c r="H850" s="125" t="n">
        <v>18</v>
      </c>
      <c r="I850" s="125">
        <f>D850-(2*(H850+F850))</f>
        <v/>
      </c>
      <c r="J850" s="125">
        <f>D850/10 * F850/10 + 2*(E850/10 * G850/10)</f>
        <v/>
      </c>
      <c r="K850" s="125">
        <f>(E850/2)/F850</f>
        <v/>
      </c>
      <c r="L850" s="125">
        <f>I850/G850</f>
        <v/>
      </c>
      <c r="M850" s="125">
        <f>(E850*2+F850*4+((E850-G850)/2-H850)*4+2*PI()*H850+(D850-2*F850-2*H850)*2)/1000</f>
        <v/>
      </c>
      <c r="N850" s="5" t="n">
        <v>149000</v>
      </c>
      <c r="O850" s="5" t="n">
        <v>3350</v>
      </c>
      <c r="P850" s="125" t="n">
        <v>27.7</v>
      </c>
      <c r="Q850" s="125" t="n">
        <v>4.2</v>
      </c>
      <c r="R850" s="5" t="n">
        <v>4250</v>
      </c>
      <c r="S850" s="125" t="n">
        <v>335</v>
      </c>
      <c r="T850" s="5" t="n">
        <v>4940</v>
      </c>
      <c r="U850" s="125" t="n">
        <v>535</v>
      </c>
      <c r="Y850">
        <f>SQRT((((VLOOKUP($X$4,$A$4:$D$1021,4,FALSE))-D850)^2)+(((VLOOKUP($X$4,$A$4:$E$1021,5,FALSE))-E850)^2))</f>
        <v/>
      </c>
    </row>
    <row r="851">
      <c r="A851" s="125" t="inlineStr">
        <is>
          <t>HY700X143</t>
        </is>
      </c>
      <c r="B851" s="129" t="inlineStr">
        <is>
          <t>HY</t>
        </is>
      </c>
      <c r="C851" s="125" t="n">
        <v>143</v>
      </c>
      <c r="D851" s="125" t="n">
        <v>700</v>
      </c>
      <c r="E851" s="125" t="n">
        <v>200</v>
      </c>
      <c r="F851" s="125" t="n">
        <v>22</v>
      </c>
      <c r="G851" s="125" t="n">
        <v>14</v>
      </c>
      <c r="H851" s="125" t="n">
        <v>18</v>
      </c>
      <c r="I851" s="125">
        <f>D851-(2*(H851+F851))</f>
        <v/>
      </c>
      <c r="J851" s="125">
        <f>D851/10 * F851/10 + 2*(E851/10 * G851/10)</f>
        <v/>
      </c>
      <c r="K851" s="125">
        <f>(E851/2)/F851</f>
        <v/>
      </c>
      <c r="L851" s="125">
        <f>I851/G851</f>
        <v/>
      </c>
      <c r="M851" s="125">
        <f>(E851*2+F851*4+((E851-G851)/2-H851)*4+2*PI()*H851+(D851-2*F851-2*H851)*2)/1000</f>
        <v/>
      </c>
      <c r="N851" s="5" t="n">
        <v>137000</v>
      </c>
      <c r="O851" s="5" t="n">
        <v>2950</v>
      </c>
      <c r="P851" s="125" t="n">
        <v>27.4</v>
      </c>
      <c r="Q851" s="125" t="n">
        <v>4</v>
      </c>
      <c r="R851" s="5" t="n">
        <v>3910</v>
      </c>
      <c r="S851" s="125" t="n">
        <v>295</v>
      </c>
      <c r="T851" s="5" t="n">
        <v>4580</v>
      </c>
      <c r="U851" s="125" t="n">
        <v>475</v>
      </c>
      <c r="Y851">
        <f>SQRT((((VLOOKUP($X$4,$A$4:$D$1021,4,FALSE))-D851)^2)+(((VLOOKUP($X$4,$A$4:$E$1021,5,FALSE))-E851)^2))</f>
        <v/>
      </c>
    </row>
    <row r="852">
      <c r="A852" s="125" t="inlineStr">
        <is>
          <t>HY700X135</t>
        </is>
      </c>
      <c r="B852" s="129" t="inlineStr">
        <is>
          <t>HY</t>
        </is>
      </c>
      <c r="C852" s="125" t="n">
        <v>135</v>
      </c>
      <c r="D852" s="125" t="n">
        <v>700</v>
      </c>
      <c r="E852" s="125" t="n">
        <v>200</v>
      </c>
      <c r="F852" s="125" t="n">
        <v>19</v>
      </c>
      <c r="G852" s="125" t="n">
        <v>14</v>
      </c>
      <c r="H852" s="125" t="n">
        <v>18</v>
      </c>
      <c r="I852" s="125">
        <f>D852-(2*(H852+F852))</f>
        <v/>
      </c>
      <c r="J852" s="125">
        <f>D852/10 * F852/10 + 2*(E852/10 * G852/10)</f>
        <v/>
      </c>
      <c r="K852" s="125">
        <f>(E852/2)/F852</f>
        <v/>
      </c>
      <c r="L852" s="125">
        <f>I852/G852</f>
        <v/>
      </c>
      <c r="M852" s="125">
        <f>(E852*2+F852*4+((E852-G852)/2-H852)*4+2*PI()*H852+(D852-2*F852-2*H852)*2)/1000</f>
        <v/>
      </c>
      <c r="N852" s="5" t="n">
        <v>125000</v>
      </c>
      <c r="O852" s="5" t="n">
        <v>2550</v>
      </c>
      <c r="P852" s="125" t="n">
        <v>27</v>
      </c>
      <c r="Q852" s="125" t="n">
        <v>3.9</v>
      </c>
      <c r="R852" s="5" t="n">
        <v>3570</v>
      </c>
      <c r="S852" s="125" t="n">
        <v>255</v>
      </c>
      <c r="T852" s="5" t="n">
        <v>4210</v>
      </c>
      <c r="U852" s="125" t="n">
        <v>416</v>
      </c>
      <c r="Y852">
        <f>SQRT((((VLOOKUP($X$4,$A$4:$D$1021,4,FALSE))-D852)^2)+(((VLOOKUP($X$4,$A$4:$E$1021,5,FALSE))-E852)^2))</f>
        <v/>
      </c>
    </row>
    <row r="853">
      <c r="A853" s="125" t="inlineStr">
        <is>
          <t>HY700X151</t>
        </is>
      </c>
      <c r="B853" s="129" t="inlineStr">
        <is>
          <t>HY</t>
        </is>
      </c>
      <c r="C853" s="125" t="n">
        <v>151</v>
      </c>
      <c r="D853" s="125" t="n">
        <v>700</v>
      </c>
      <c r="E853" s="125" t="n">
        <v>200</v>
      </c>
      <c r="F853" s="125" t="n">
        <v>28</v>
      </c>
      <c r="G853" s="125" t="n">
        <v>12</v>
      </c>
      <c r="H853" s="125" t="n">
        <v>18</v>
      </c>
      <c r="I853" s="125">
        <f>D853-(2*(H853+F853))</f>
        <v/>
      </c>
      <c r="J853" s="125">
        <f>D853/10 * F853/10 + 2*(E853/10 * G853/10)</f>
        <v/>
      </c>
      <c r="K853" s="125">
        <f>(E853/2)/F853</f>
        <v/>
      </c>
      <c r="L853" s="125">
        <f>I853/G853</f>
        <v/>
      </c>
      <c r="M853" s="125">
        <f>(E853*2+F853*4+((E853-G853)/2-H853)*4+2*PI()*H853+(D853-2*F853-2*H853)*2)/1000</f>
        <v/>
      </c>
      <c r="N853" s="5" t="n">
        <v>156000</v>
      </c>
      <c r="O853" s="5" t="n">
        <v>3750</v>
      </c>
      <c r="P853" s="125" t="n">
        <v>28.5</v>
      </c>
      <c r="Q853" s="125" t="n">
        <v>4.4</v>
      </c>
      <c r="R853" s="5" t="n">
        <v>4460</v>
      </c>
      <c r="S853" s="125" t="n">
        <v>375</v>
      </c>
      <c r="T853" s="5" t="n">
        <v>5100</v>
      </c>
      <c r="U853" s="125" t="n">
        <v>586</v>
      </c>
      <c r="Y853">
        <f>SQRT((((VLOOKUP($X$4,$A$4:$D$1021,4,FALSE))-D853)^2)+(((VLOOKUP($X$4,$A$4:$E$1021,5,FALSE))-E853)^2))</f>
        <v/>
      </c>
    </row>
    <row r="854">
      <c r="A854" s="125" t="inlineStr">
        <is>
          <t>HY700X142</t>
        </is>
      </c>
      <c r="B854" s="129" t="inlineStr">
        <is>
          <t>HY</t>
        </is>
      </c>
      <c r="C854" s="125" t="n">
        <v>142</v>
      </c>
      <c r="D854" s="125" t="n">
        <v>700</v>
      </c>
      <c r="E854" s="125" t="n">
        <v>200</v>
      </c>
      <c r="F854" s="125" t="n">
        <v>25</v>
      </c>
      <c r="G854" s="125" t="n">
        <v>12</v>
      </c>
      <c r="H854" s="125" t="n">
        <v>18</v>
      </c>
      <c r="I854" s="125">
        <f>D854-(2*(H854+F854))</f>
        <v/>
      </c>
      <c r="J854" s="125">
        <f>D854/10 * F854/10 + 2*(E854/10 * G854/10)</f>
        <v/>
      </c>
      <c r="K854" s="125">
        <f>(E854/2)/F854</f>
        <v/>
      </c>
      <c r="L854" s="125">
        <f>I854/G854</f>
        <v/>
      </c>
      <c r="M854" s="125">
        <f>(E854*2+F854*4+((E854-G854)/2-H854)*4+2*PI()*H854+(D854-2*F854-2*H854)*2)/1000</f>
        <v/>
      </c>
      <c r="N854" s="5" t="n">
        <v>144000</v>
      </c>
      <c r="O854" s="5" t="n">
        <v>3350</v>
      </c>
      <c r="P854" s="125" t="n">
        <v>28.3</v>
      </c>
      <c r="Q854" s="125" t="n">
        <v>4.3</v>
      </c>
      <c r="R854" s="5" t="n">
        <v>4120</v>
      </c>
      <c r="S854" s="125" t="n">
        <v>335</v>
      </c>
      <c r="T854" s="5" t="n">
        <v>4730</v>
      </c>
      <c r="U854" s="125" t="n">
        <v>526</v>
      </c>
      <c r="Y854">
        <f>SQRT((((VLOOKUP($X$4,$A$4:$D$1021,4,FALSE))-D854)^2)+(((VLOOKUP($X$4,$A$4:$E$1021,5,FALSE))-E854)^2))</f>
        <v/>
      </c>
    </row>
    <row r="855">
      <c r="A855" s="125" t="inlineStr">
        <is>
          <t>HY700X133</t>
        </is>
      </c>
      <c r="B855" s="129" t="inlineStr">
        <is>
          <t>HY</t>
        </is>
      </c>
      <c r="C855" s="125" t="n">
        <v>133</v>
      </c>
      <c r="D855" s="125" t="n">
        <v>700</v>
      </c>
      <c r="E855" s="125" t="n">
        <v>200</v>
      </c>
      <c r="F855" s="125" t="n">
        <v>22</v>
      </c>
      <c r="G855" s="125" t="n">
        <v>12</v>
      </c>
      <c r="H855" s="125" t="n">
        <v>18</v>
      </c>
      <c r="I855" s="125">
        <f>D855-(2*(H855+F855))</f>
        <v/>
      </c>
      <c r="J855" s="125">
        <f>D855/10 * F855/10 + 2*(E855/10 * G855/10)</f>
        <v/>
      </c>
      <c r="K855" s="125">
        <f>(E855/2)/F855</f>
        <v/>
      </c>
      <c r="L855" s="125">
        <f>I855/G855</f>
        <v/>
      </c>
      <c r="M855" s="125">
        <f>(E855*2+F855*4+((E855-G855)/2-H855)*4+2*PI()*H855+(D855-2*F855-2*H855)*2)/1000</f>
        <v/>
      </c>
      <c r="N855" s="5" t="n">
        <v>132000</v>
      </c>
      <c r="O855" s="5" t="n">
        <v>2950</v>
      </c>
      <c r="P855" s="125" t="n">
        <v>27.9</v>
      </c>
      <c r="Q855" s="125" t="n">
        <v>4.2</v>
      </c>
      <c r="R855" s="5" t="n">
        <v>3780</v>
      </c>
      <c r="S855" s="125" t="n">
        <v>295</v>
      </c>
      <c r="T855" s="5" t="n">
        <v>4360</v>
      </c>
      <c r="U855" s="125" t="n">
        <v>466</v>
      </c>
      <c r="Y855">
        <f>SQRT((((VLOOKUP($X$4,$A$4:$D$1021,4,FALSE))-D855)^2)+(((VLOOKUP($X$4,$A$4:$E$1021,5,FALSE))-E855)^2))</f>
        <v/>
      </c>
    </row>
    <row r="856">
      <c r="A856" s="125" t="inlineStr">
        <is>
          <t>HY700X124</t>
        </is>
      </c>
      <c r="B856" s="129" t="inlineStr">
        <is>
          <t>HY</t>
        </is>
      </c>
      <c r="C856" s="125" t="n">
        <v>124</v>
      </c>
      <c r="D856" s="125" t="n">
        <v>700</v>
      </c>
      <c r="E856" s="125" t="n">
        <v>200</v>
      </c>
      <c r="F856" s="125" t="n">
        <v>19</v>
      </c>
      <c r="G856" s="125" t="n">
        <v>12</v>
      </c>
      <c r="H856" s="125" t="n">
        <v>18</v>
      </c>
      <c r="I856" s="125">
        <f>D856-(2*(H856+F856))</f>
        <v/>
      </c>
      <c r="J856" s="125">
        <f>D856/10 * F856/10 + 2*(E856/10 * G856/10)</f>
        <v/>
      </c>
      <c r="K856" s="125">
        <f>(E856/2)/F856</f>
        <v/>
      </c>
      <c r="L856" s="125">
        <f>I856/G856</f>
        <v/>
      </c>
      <c r="M856" s="125">
        <f>(E856*2+F856*4+((E856-G856)/2-H856)*4+2*PI()*H856+(D856-2*F856-2*H856)*2)/1000</f>
        <v/>
      </c>
      <c r="N856" s="5" t="n">
        <v>120000</v>
      </c>
      <c r="O856" s="5" t="n">
        <v>2550</v>
      </c>
      <c r="P856" s="125" t="n">
        <v>27.6</v>
      </c>
      <c r="Q856" s="125" t="n">
        <v>4</v>
      </c>
      <c r="R856" s="5" t="n">
        <v>3430</v>
      </c>
      <c r="S856" s="125" t="n">
        <v>255</v>
      </c>
      <c r="T856" s="5" t="n">
        <v>3990</v>
      </c>
      <c r="U856" s="125" t="n">
        <v>407</v>
      </c>
      <c r="Y856">
        <f>SQRT((((VLOOKUP($X$4,$A$4:$D$1021,4,FALSE))-D856)^2)+(((VLOOKUP($X$4,$A$4:$E$1021,5,FALSE))-E856)^2))</f>
        <v/>
      </c>
    </row>
    <row r="857">
      <c r="A857" s="125" t="inlineStr">
        <is>
          <t>HY700X115</t>
        </is>
      </c>
      <c r="B857" s="129" t="inlineStr">
        <is>
          <t>HY</t>
        </is>
      </c>
      <c r="C857" s="125" t="n">
        <v>115</v>
      </c>
      <c r="D857" s="125" t="n">
        <v>700</v>
      </c>
      <c r="E857" s="125" t="n">
        <v>200</v>
      </c>
      <c r="F857" s="125" t="n">
        <v>16</v>
      </c>
      <c r="G857" s="125" t="n">
        <v>12</v>
      </c>
      <c r="H857" s="125" t="n">
        <v>18</v>
      </c>
      <c r="I857" s="125">
        <f>D857-(2*(H857+F857))</f>
        <v/>
      </c>
      <c r="J857" s="125">
        <f>D857/10 * F857/10 + 2*(E857/10 * G857/10)</f>
        <v/>
      </c>
      <c r="K857" s="125">
        <f>(E857/2)/F857</f>
        <v/>
      </c>
      <c r="L857" s="125">
        <f>I857/G857</f>
        <v/>
      </c>
      <c r="M857" s="125">
        <f>(E857*2+F857*4+((E857-G857)/2-H857)*4+2*PI()*H857+(D857-2*F857-2*H857)*2)/1000</f>
        <v/>
      </c>
      <c r="N857" s="5" t="n">
        <v>108000</v>
      </c>
      <c r="O857" s="5" t="n">
        <v>2150</v>
      </c>
      <c r="P857" s="125" t="n">
        <v>27.1</v>
      </c>
      <c r="Q857" s="125" t="n">
        <v>3.8</v>
      </c>
      <c r="R857" s="5" t="n">
        <v>3080</v>
      </c>
      <c r="S857" s="125" t="n">
        <v>215</v>
      </c>
      <c r="T857" s="5" t="n">
        <v>3620</v>
      </c>
      <c r="U857" s="125" t="n">
        <v>347</v>
      </c>
      <c r="Y857">
        <f>SQRT((((VLOOKUP($X$4,$A$4:$D$1021,4,FALSE))-D857)^2)+(((VLOOKUP($X$4,$A$4:$E$1021,5,FALSE))-E857)^2))</f>
        <v/>
      </c>
    </row>
    <row r="858">
      <c r="A858" s="125" t="inlineStr">
        <is>
          <t>HY700X118</t>
        </is>
      </c>
      <c r="B858" s="129" t="inlineStr">
        <is>
          <t>HY</t>
        </is>
      </c>
      <c r="C858" s="125" t="n">
        <v>118</v>
      </c>
      <c r="D858" s="125" t="n">
        <v>700</v>
      </c>
      <c r="E858" s="125" t="n">
        <v>200</v>
      </c>
      <c r="F858" s="125" t="n">
        <v>22</v>
      </c>
      <c r="G858" s="125" t="n">
        <v>9</v>
      </c>
      <c r="H858" s="125" t="n">
        <v>18</v>
      </c>
      <c r="I858" s="125">
        <f>D858-(2*(H858+F858))</f>
        <v/>
      </c>
      <c r="J858" s="125">
        <f>D858/10 * F858/10 + 2*(E858/10 * G858/10)</f>
        <v/>
      </c>
      <c r="K858" s="125">
        <f>(E858/2)/F858</f>
        <v/>
      </c>
      <c r="L858" s="125">
        <f>I858/G858</f>
        <v/>
      </c>
      <c r="M858" s="125">
        <f>(E858*2+F858*4+((E858-G858)/2-H858)*4+2*PI()*H858+(D858-2*F858-2*H858)*2)/1000</f>
        <v/>
      </c>
      <c r="N858" s="5" t="n">
        <v>125000</v>
      </c>
      <c r="O858" s="5" t="n">
        <v>2940</v>
      </c>
      <c r="P858" s="125" t="n">
        <v>28.9</v>
      </c>
      <c r="Q858" s="125" t="n">
        <v>4.4</v>
      </c>
      <c r="R858" s="5" t="n">
        <v>3580</v>
      </c>
      <c r="S858" s="125" t="n">
        <v>294</v>
      </c>
      <c r="T858" s="5" t="n">
        <v>4040</v>
      </c>
      <c r="U858" s="125" t="n">
        <v>456</v>
      </c>
      <c r="Y858">
        <f>SQRT((((VLOOKUP($X$4,$A$4:$D$1021,4,FALSE))-D858)^2)+(((VLOOKUP($X$4,$A$4:$E$1021,5,FALSE))-E858)^2))</f>
        <v/>
      </c>
    </row>
    <row r="859">
      <c r="A859" s="125" t="inlineStr">
        <is>
          <t>HY700X109</t>
        </is>
      </c>
      <c r="B859" s="129" t="inlineStr">
        <is>
          <t>HY</t>
        </is>
      </c>
      <c r="C859" s="125" t="n">
        <v>109</v>
      </c>
      <c r="D859" s="125" t="n">
        <v>700</v>
      </c>
      <c r="E859" s="125" t="n">
        <v>200</v>
      </c>
      <c r="F859" s="125" t="n">
        <v>19</v>
      </c>
      <c r="G859" s="125" t="n">
        <v>9</v>
      </c>
      <c r="H859" s="125" t="n">
        <v>18</v>
      </c>
      <c r="I859" s="125">
        <f>D859-(2*(H859+F859))</f>
        <v/>
      </c>
      <c r="J859" s="125">
        <f>D859/10 * F859/10 + 2*(E859/10 * G859/10)</f>
        <v/>
      </c>
      <c r="K859" s="125">
        <f>(E859/2)/F859</f>
        <v/>
      </c>
      <c r="L859" s="125">
        <f>I859/G859</f>
        <v/>
      </c>
      <c r="M859" s="125">
        <f>(E859*2+F859*4+((E859-G859)/2-H859)*4+2*PI()*H859+(D859-2*F859-2*H859)*2)/1000</f>
        <v/>
      </c>
      <c r="N859" s="5" t="n">
        <v>113000</v>
      </c>
      <c r="O859" s="5" t="n">
        <v>2540</v>
      </c>
      <c r="P859" s="125" t="n">
        <v>28.6</v>
      </c>
      <c r="Q859" s="125" t="n">
        <v>4.3</v>
      </c>
      <c r="R859" s="5" t="n">
        <v>3220</v>
      </c>
      <c r="S859" s="125" t="n">
        <v>254</v>
      </c>
      <c r="T859" s="5" t="n">
        <v>3660</v>
      </c>
      <c r="U859" s="125" t="n">
        <v>396</v>
      </c>
      <c r="Y859">
        <f>SQRT((((VLOOKUP($X$4,$A$4:$D$1021,4,FALSE))-D859)^2)+(((VLOOKUP($X$4,$A$4:$E$1021,5,FALSE))-E859)^2))</f>
        <v/>
      </c>
    </row>
    <row r="860">
      <c r="A860" s="125" t="inlineStr">
        <is>
          <t>HY700X99.6</t>
        </is>
      </c>
      <c r="B860" s="129" t="inlineStr">
        <is>
          <t>HY</t>
        </is>
      </c>
      <c r="C860" s="125" t="n">
        <v>99.59999999999999</v>
      </c>
      <c r="D860" s="125" t="n">
        <v>700</v>
      </c>
      <c r="E860" s="125" t="n">
        <v>200</v>
      </c>
      <c r="F860" s="125" t="n">
        <v>16</v>
      </c>
      <c r="G860" s="125" t="n">
        <v>9</v>
      </c>
      <c r="H860" s="125" t="n">
        <v>18</v>
      </c>
      <c r="I860" s="125">
        <f>D860-(2*(H860+F860))</f>
        <v/>
      </c>
      <c r="J860" s="125">
        <f>D860/10 * F860/10 + 2*(E860/10 * G860/10)</f>
        <v/>
      </c>
      <c r="K860" s="125">
        <f>(E860/2)/F860</f>
        <v/>
      </c>
      <c r="L860" s="125">
        <f>I860/G860</f>
        <v/>
      </c>
      <c r="M860" s="125">
        <f>(E860*2+F860*4+((E860-G860)/2-H860)*4+2*PI()*H860+(D860-2*F860-2*H860)*2)/1000</f>
        <v/>
      </c>
      <c r="N860" s="5" t="n">
        <v>100000</v>
      </c>
      <c r="O860" s="5" t="n">
        <v>2140</v>
      </c>
      <c r="P860" s="125" t="n">
        <v>28.1</v>
      </c>
      <c r="Q860" s="125" t="n">
        <v>4.1</v>
      </c>
      <c r="R860" s="5" t="n">
        <v>2860</v>
      </c>
      <c r="S860" s="125" t="n">
        <v>214</v>
      </c>
      <c r="T860" s="5" t="n">
        <v>3280</v>
      </c>
      <c r="U860" s="125" t="n">
        <v>336</v>
      </c>
      <c r="Y860">
        <f>SQRT((((VLOOKUP($X$4,$A$4:$D$1021,4,FALSE))-D860)^2)+(((VLOOKUP($X$4,$A$4:$E$1021,5,FALSE))-E860)^2))</f>
        <v/>
      </c>
    </row>
    <row r="861">
      <c r="A861" s="125" t="inlineStr">
        <is>
          <t>HY700X87.6</t>
        </is>
      </c>
      <c r="B861" s="129" t="inlineStr">
        <is>
          <t>HY</t>
        </is>
      </c>
      <c r="C861" s="125" t="n">
        <v>87.59999999999999</v>
      </c>
      <c r="D861" s="125" t="n">
        <v>700</v>
      </c>
      <c r="E861" s="125" t="n">
        <v>200</v>
      </c>
      <c r="F861" s="125" t="n">
        <v>12</v>
      </c>
      <c r="G861" s="125" t="n">
        <v>9</v>
      </c>
      <c r="H861" s="125" t="n">
        <v>18</v>
      </c>
      <c r="I861" s="125">
        <f>D861-(2*(H861+F861))</f>
        <v/>
      </c>
      <c r="J861" s="125">
        <f>D861/10 * F861/10 + 2*(E861/10 * G861/10)</f>
        <v/>
      </c>
      <c r="K861" s="125">
        <f>(E861/2)/F861</f>
        <v/>
      </c>
      <c r="L861" s="125">
        <f>I861/G861</f>
        <v/>
      </c>
      <c r="M861" s="125">
        <f>(E861*2+F861*4+((E861-G861)/2-H861)*4+2*PI()*H861+(D861-2*F861-2*H861)*2)/1000</f>
        <v/>
      </c>
      <c r="N861" s="5" t="n">
        <v>83100</v>
      </c>
      <c r="O861" s="5" t="n">
        <v>1610</v>
      </c>
      <c r="P861" s="125" t="n">
        <v>27.3</v>
      </c>
      <c r="Q861" s="125" t="n">
        <v>3.8</v>
      </c>
      <c r="R861" s="5" t="n">
        <v>2370</v>
      </c>
      <c r="S861" s="125" t="n">
        <v>161</v>
      </c>
      <c r="T861" s="5" t="n">
        <v>2770</v>
      </c>
      <c r="U861" s="125" t="n">
        <v>256</v>
      </c>
      <c r="Y861">
        <f>SQRT((((VLOOKUP($X$4,$A$4:$D$1021,4,FALSE))-D861)^2)+(((VLOOKUP($X$4,$A$4:$E$1021,5,FALSE))-E861)^2))</f>
        <v/>
      </c>
    </row>
    <row r="862">
      <c r="A862" s="125" t="inlineStr">
        <is>
          <t>HY650X225</t>
        </is>
      </c>
      <c r="B862" s="129" t="inlineStr">
        <is>
          <t>HY</t>
        </is>
      </c>
      <c r="C862" s="125" t="n">
        <v>225</v>
      </c>
      <c r="D862" s="125" t="n">
        <v>650</v>
      </c>
      <c r="E862" s="125" t="n">
        <v>300</v>
      </c>
      <c r="F862" s="125" t="n">
        <v>32</v>
      </c>
      <c r="G862" s="125" t="n">
        <v>16</v>
      </c>
      <c r="H862" s="125" t="n">
        <v>13</v>
      </c>
      <c r="I862" s="125">
        <f>D862-(2*(H862+F862))</f>
        <v/>
      </c>
      <c r="J862" s="125">
        <f>D862/10 * F862/10 + 2*(E862/10 * G862/10)</f>
        <v/>
      </c>
      <c r="K862" s="125">
        <f>(E862/2)/F862</f>
        <v/>
      </c>
      <c r="L862" s="125">
        <f>I862/G862</f>
        <v/>
      </c>
      <c r="M862" s="125">
        <f>(E862*2+F862*4+((E862-G862)/2-H862)*4+2*PI()*H862+(D862-2*F862-2*H862)*2)/1000</f>
        <v/>
      </c>
      <c r="N862" s="5" t="n">
        <v>212000</v>
      </c>
      <c r="O862" s="5" t="n">
        <v>14400</v>
      </c>
      <c r="P862" s="125" t="n">
        <v>27.1</v>
      </c>
      <c r="Q862" s="125" t="n">
        <v>7.1</v>
      </c>
      <c r="R862" s="5" t="n">
        <v>6510</v>
      </c>
      <c r="S862" s="125" t="n">
        <v>961</v>
      </c>
      <c r="T862" s="5" t="n">
        <v>7350</v>
      </c>
      <c r="U862" s="5" t="n">
        <v>1480</v>
      </c>
      <c r="Y862">
        <f>SQRT((((VLOOKUP($X$4,$A$4:$D$1021,4,FALSE))-D862)^2)+(((VLOOKUP($X$4,$A$4:$E$1021,5,FALSE))-E862)^2))</f>
        <v/>
      </c>
    </row>
    <row r="863">
      <c r="A863" s="125" t="inlineStr">
        <is>
          <t>HY650X208</t>
        </is>
      </c>
      <c r="B863" s="129" t="inlineStr">
        <is>
          <t>HY</t>
        </is>
      </c>
      <c r="C863" s="125" t="n">
        <v>208</v>
      </c>
      <c r="D863" s="125" t="n">
        <v>650</v>
      </c>
      <c r="E863" s="125" t="n">
        <v>300</v>
      </c>
      <c r="F863" s="125" t="n">
        <v>28</v>
      </c>
      <c r="G863" s="125" t="n">
        <v>16</v>
      </c>
      <c r="H863" s="125" t="n">
        <v>13</v>
      </c>
      <c r="I863" s="125">
        <f>D863-(2*(H863+F863))</f>
        <v/>
      </c>
      <c r="J863" s="125">
        <f>D863/10 * F863/10 + 2*(E863/10 * G863/10)</f>
        <v/>
      </c>
      <c r="K863" s="125">
        <f>(E863/2)/F863</f>
        <v/>
      </c>
      <c r="L863" s="125">
        <f>I863/G863</f>
        <v/>
      </c>
      <c r="M863" s="125">
        <f>(E863*2+F863*4+((E863-G863)/2-H863)*4+2*PI()*H863+(D863-2*F863-2*H863)*2)/1000</f>
        <v/>
      </c>
      <c r="N863" s="5" t="n">
        <v>192000</v>
      </c>
      <c r="O863" s="5" t="n">
        <v>12600</v>
      </c>
      <c r="P863" s="125" t="n">
        <v>26.9</v>
      </c>
      <c r="Q863" s="125" t="n">
        <v>6.9</v>
      </c>
      <c r="R863" s="5" t="n">
        <v>5900</v>
      </c>
      <c r="S863" s="125" t="n">
        <v>841</v>
      </c>
      <c r="T863" s="5" t="n">
        <v>6680</v>
      </c>
      <c r="U863" s="5" t="n">
        <v>1300</v>
      </c>
      <c r="Y863">
        <f>SQRT((((VLOOKUP($X$4,$A$4:$D$1021,4,FALSE))-D863)^2)+(((VLOOKUP($X$4,$A$4:$E$1021,5,FALSE))-E863)^2))</f>
        <v/>
      </c>
    </row>
    <row r="864">
      <c r="A864" s="125" t="inlineStr">
        <is>
          <t>HY650X194</t>
        </is>
      </c>
      <c r="B864" s="129" t="inlineStr">
        <is>
          <t>HY</t>
        </is>
      </c>
      <c r="C864" s="125" t="n">
        <v>194</v>
      </c>
      <c r="D864" s="125" t="n">
        <v>650</v>
      </c>
      <c r="E864" s="125" t="n">
        <v>300</v>
      </c>
      <c r="F864" s="125" t="n">
        <v>25</v>
      </c>
      <c r="G864" s="125" t="n">
        <v>16</v>
      </c>
      <c r="H864" s="125" t="n">
        <v>13</v>
      </c>
      <c r="I864" s="125">
        <f>D864-(2*(H864+F864))</f>
        <v/>
      </c>
      <c r="J864" s="125">
        <f>D864/10 * F864/10 + 2*(E864/10 * G864/10)</f>
        <v/>
      </c>
      <c r="K864" s="125">
        <f>(E864/2)/F864</f>
        <v/>
      </c>
      <c r="L864" s="125">
        <f>I864/G864</f>
        <v/>
      </c>
      <c r="M864" s="125">
        <f>(E864*2+F864*4+((E864-G864)/2-H864)*4+2*PI()*H864+(D864-2*F864-2*H864)*2)/1000</f>
        <v/>
      </c>
      <c r="N864" s="5" t="n">
        <v>177000</v>
      </c>
      <c r="O864" s="5" t="n">
        <v>11300</v>
      </c>
      <c r="P864" s="125" t="n">
        <v>26.7</v>
      </c>
      <c r="Q864" s="125" t="n">
        <v>6.8</v>
      </c>
      <c r="R864" s="5" t="n">
        <v>5440</v>
      </c>
      <c r="S864" s="125" t="n">
        <v>751</v>
      </c>
      <c r="T864" s="5" t="n">
        <v>6170</v>
      </c>
      <c r="U864" s="5" t="n">
        <v>1160</v>
      </c>
      <c r="Y864">
        <f>SQRT((((VLOOKUP($X$4,$A$4:$D$1021,4,FALSE))-D864)^2)+(((VLOOKUP($X$4,$A$4:$E$1021,5,FALSE))-E864)^2))</f>
        <v/>
      </c>
    </row>
    <row r="865">
      <c r="A865" s="125" t="inlineStr">
        <is>
          <t>HY650X181</t>
        </is>
      </c>
      <c r="B865" s="129" t="inlineStr">
        <is>
          <t>HY</t>
        </is>
      </c>
      <c r="C865" s="125" t="n">
        <v>181</v>
      </c>
      <c r="D865" s="125" t="n">
        <v>650</v>
      </c>
      <c r="E865" s="125" t="n">
        <v>300</v>
      </c>
      <c r="F865" s="125" t="n">
        <v>22</v>
      </c>
      <c r="G865" s="125" t="n">
        <v>16</v>
      </c>
      <c r="H865" s="125" t="n">
        <v>13</v>
      </c>
      <c r="I865" s="125">
        <f>D865-(2*(H865+F865))</f>
        <v/>
      </c>
      <c r="J865" s="125">
        <f>D865/10 * F865/10 + 2*(E865/10 * G865/10)</f>
        <v/>
      </c>
      <c r="K865" s="125">
        <f>(E865/2)/F865</f>
        <v/>
      </c>
      <c r="L865" s="125">
        <f>I865/G865</f>
        <v/>
      </c>
      <c r="M865" s="125">
        <f>(E865*2+F865*4+((E865-G865)/2-H865)*4+2*PI()*H865+(D865-2*F865-2*H865)*2)/1000</f>
        <v/>
      </c>
      <c r="N865" s="5" t="n">
        <v>161000</v>
      </c>
      <c r="O865" s="5" t="n">
        <v>9920</v>
      </c>
      <c r="P865" s="125" t="n">
        <v>26.4</v>
      </c>
      <c r="Q865" s="125" t="n">
        <v>6.6</v>
      </c>
      <c r="R865" s="5" t="n">
        <v>4960</v>
      </c>
      <c r="S865" s="125" t="n">
        <v>661</v>
      </c>
      <c r="T865" s="5" t="n">
        <v>5660</v>
      </c>
      <c r="U865" s="5" t="n">
        <v>1030</v>
      </c>
      <c r="Y865">
        <f>SQRT((((VLOOKUP($X$4,$A$4:$D$1021,4,FALSE))-D865)^2)+(((VLOOKUP($X$4,$A$4:$E$1021,5,FALSE))-E865)^2))</f>
        <v/>
      </c>
    </row>
    <row r="866">
      <c r="A866" s="125" t="inlineStr">
        <is>
          <t>HY650X175</t>
        </is>
      </c>
      <c r="B866" s="129" t="inlineStr">
        <is>
          <t>HY</t>
        </is>
      </c>
      <c r="C866" s="125" t="n">
        <v>175</v>
      </c>
      <c r="D866" s="125" t="n">
        <v>650</v>
      </c>
      <c r="E866" s="125" t="n">
        <v>300</v>
      </c>
      <c r="F866" s="125" t="n">
        <v>25</v>
      </c>
      <c r="G866" s="125" t="n">
        <v>12</v>
      </c>
      <c r="H866" s="125" t="n">
        <v>13</v>
      </c>
      <c r="I866" s="125">
        <f>D866-(2*(H866+F866))</f>
        <v/>
      </c>
      <c r="J866" s="125">
        <f>D866/10 * F866/10 + 2*(E866/10 * G866/10)</f>
        <v/>
      </c>
      <c r="K866" s="125">
        <f>(E866/2)/F866</f>
        <v/>
      </c>
      <c r="L866" s="125">
        <f>I866/G866</f>
        <v/>
      </c>
      <c r="M866" s="125">
        <f>(E866*2+F866*4+((E866-G866)/2-H866)*4+2*PI()*H866+(D866-2*F866-2*H866)*2)/1000</f>
        <v/>
      </c>
      <c r="N866" s="5" t="n">
        <v>169000</v>
      </c>
      <c r="O866" s="5" t="n">
        <v>11300</v>
      </c>
      <c r="P866" s="125" t="n">
        <v>27.5</v>
      </c>
      <c r="Q866" s="125" t="n">
        <v>7.1</v>
      </c>
      <c r="R866" s="5" t="n">
        <v>5210</v>
      </c>
      <c r="S866" s="125" t="n">
        <v>751</v>
      </c>
      <c r="T866" s="5" t="n">
        <v>5810</v>
      </c>
      <c r="U866" s="5" t="n">
        <v>1150</v>
      </c>
      <c r="Y866">
        <f>SQRT((((VLOOKUP($X$4,$A$4:$D$1021,4,FALSE))-D866)^2)+(((VLOOKUP($X$4,$A$4:$E$1021,5,FALSE))-E866)^2))</f>
        <v/>
      </c>
    </row>
    <row r="867">
      <c r="A867" s="125" t="inlineStr">
        <is>
          <t>HY650X162</t>
        </is>
      </c>
      <c r="B867" s="129" t="inlineStr">
        <is>
          <t>HY</t>
        </is>
      </c>
      <c r="C867" s="125" t="n">
        <v>162</v>
      </c>
      <c r="D867" s="125" t="n">
        <v>650</v>
      </c>
      <c r="E867" s="125" t="n">
        <v>300</v>
      </c>
      <c r="F867" s="125" t="n">
        <v>22</v>
      </c>
      <c r="G867" s="125" t="n">
        <v>12</v>
      </c>
      <c r="H867" s="125" t="n">
        <v>13</v>
      </c>
      <c r="I867" s="125">
        <f>D867-(2*(H867+F867))</f>
        <v/>
      </c>
      <c r="J867" s="125">
        <f>D867/10 * F867/10 + 2*(E867/10 * G867/10)</f>
        <v/>
      </c>
      <c r="K867" s="125">
        <f>(E867/2)/F867</f>
        <v/>
      </c>
      <c r="L867" s="125">
        <f>I867/G867</f>
        <v/>
      </c>
      <c r="M867" s="125">
        <f>(E867*2+F867*4+((E867-G867)/2-H867)*4+2*PI()*H867+(D867-2*F867-2*H867)*2)/1000</f>
        <v/>
      </c>
      <c r="N867" s="5" t="n">
        <v>154000</v>
      </c>
      <c r="O867" s="5" t="n">
        <v>9910</v>
      </c>
      <c r="P867" s="125" t="n">
        <v>27.3</v>
      </c>
      <c r="Q867" s="125" t="n">
        <v>6.9</v>
      </c>
      <c r="R867" s="5" t="n">
        <v>4730</v>
      </c>
      <c r="S867" s="125" t="n">
        <v>661</v>
      </c>
      <c r="T867" s="5" t="n">
        <v>5290</v>
      </c>
      <c r="U867" s="5" t="n">
        <v>1010</v>
      </c>
      <c r="Y867">
        <f>SQRT((((VLOOKUP($X$4,$A$4:$D$1021,4,FALSE))-D867)^2)+(((VLOOKUP($X$4,$A$4:$E$1021,5,FALSE))-E867)^2))</f>
        <v/>
      </c>
    </row>
    <row r="868">
      <c r="A868" s="125" t="inlineStr">
        <is>
          <t>HY650X148</t>
        </is>
      </c>
      <c r="B868" s="129" t="inlineStr">
        <is>
          <t>HY</t>
        </is>
      </c>
      <c r="C868" s="125" t="n">
        <v>148</v>
      </c>
      <c r="D868" s="125" t="n">
        <v>650</v>
      </c>
      <c r="E868" s="125" t="n">
        <v>300</v>
      </c>
      <c r="F868" s="125" t="n">
        <v>19</v>
      </c>
      <c r="G868" s="125" t="n">
        <v>12</v>
      </c>
      <c r="H868" s="125" t="n">
        <v>13</v>
      </c>
      <c r="I868" s="125">
        <f>D868-(2*(H868+F868))</f>
        <v/>
      </c>
      <c r="J868" s="125">
        <f>D868/10 * F868/10 + 2*(E868/10 * G868/10)</f>
        <v/>
      </c>
      <c r="K868" s="125">
        <f>(E868/2)/F868</f>
        <v/>
      </c>
      <c r="L868" s="125">
        <f>I868/G868</f>
        <v/>
      </c>
      <c r="M868" s="125">
        <f>(E868*2+F868*4+((E868-G868)/2-H868)*4+2*PI()*H868+(D868-2*F868-2*H868)*2)/1000</f>
        <v/>
      </c>
      <c r="N868" s="5" t="n">
        <v>138000</v>
      </c>
      <c r="O868" s="5" t="n">
        <v>8560</v>
      </c>
      <c r="P868" s="125" t="n">
        <v>27</v>
      </c>
      <c r="Q868" s="125" t="n">
        <v>6.7</v>
      </c>
      <c r="R868" s="5" t="n">
        <v>4240</v>
      </c>
      <c r="S868" s="125" t="n">
        <v>571</v>
      </c>
      <c r="T868" s="5" t="n">
        <v>4760</v>
      </c>
      <c r="U868" s="125" t="n">
        <v>878</v>
      </c>
      <c r="Y868">
        <f>SQRT((((VLOOKUP($X$4,$A$4:$D$1021,4,FALSE))-D868)^2)+(((VLOOKUP($X$4,$A$4:$E$1021,5,FALSE))-E868)^2))</f>
        <v/>
      </c>
    </row>
    <row r="869">
      <c r="A869" s="125" t="inlineStr">
        <is>
          <t>HY650X135</t>
        </is>
      </c>
      <c r="B869" s="129" t="inlineStr">
        <is>
          <t>HY</t>
        </is>
      </c>
      <c r="C869" s="125" t="n">
        <v>135</v>
      </c>
      <c r="D869" s="125" t="n">
        <v>650</v>
      </c>
      <c r="E869" s="125" t="n">
        <v>300</v>
      </c>
      <c r="F869" s="125" t="n">
        <v>16</v>
      </c>
      <c r="G869" s="125" t="n">
        <v>12</v>
      </c>
      <c r="H869" s="125" t="n">
        <v>13</v>
      </c>
      <c r="I869" s="125">
        <f>D869-(2*(H869+F869))</f>
        <v/>
      </c>
      <c r="J869" s="125">
        <f>D869/10 * F869/10 + 2*(E869/10 * G869/10)</f>
        <v/>
      </c>
      <c r="K869" s="125">
        <f>(E869/2)/F869</f>
        <v/>
      </c>
      <c r="L869" s="125">
        <f>I869/G869</f>
        <v/>
      </c>
      <c r="M869" s="125">
        <f>(E869*2+F869*4+((E869-G869)/2-H869)*4+2*PI()*H869+(D869-2*F869-2*H869)*2)/1000</f>
        <v/>
      </c>
      <c r="N869" s="5" t="n">
        <v>121000</v>
      </c>
      <c r="O869" s="5" t="n">
        <v>7210</v>
      </c>
      <c r="P869" s="125" t="n">
        <v>26.6</v>
      </c>
      <c r="Q869" s="125" t="n">
        <v>6.5</v>
      </c>
      <c r="R869" s="5" t="n">
        <v>3740</v>
      </c>
      <c r="S869" s="125" t="n">
        <v>481</v>
      </c>
      <c r="T869" s="5" t="n">
        <v>4230</v>
      </c>
      <c r="U869" s="125" t="n">
        <v>744</v>
      </c>
      <c r="Y869">
        <f>SQRT((((VLOOKUP($X$4,$A$4:$D$1021,4,FALSE))-D869)^2)+(((VLOOKUP($X$4,$A$4:$E$1021,5,FALSE))-E869)^2))</f>
        <v/>
      </c>
    </row>
    <row r="870">
      <c r="A870" s="125" t="inlineStr">
        <is>
          <t>HY650X200</t>
        </is>
      </c>
      <c r="B870" s="129" t="inlineStr">
        <is>
          <t>HY</t>
        </is>
      </c>
      <c r="C870" s="125" t="n">
        <v>200</v>
      </c>
      <c r="D870" s="125" t="n">
        <v>650</v>
      </c>
      <c r="E870" s="125" t="n">
        <v>250</v>
      </c>
      <c r="F870" s="125" t="n">
        <v>32</v>
      </c>
      <c r="G870" s="125" t="n">
        <v>16</v>
      </c>
      <c r="H870" s="125" t="n">
        <v>13</v>
      </c>
      <c r="I870" s="125">
        <f>D870-(2*(H870+F870))</f>
        <v/>
      </c>
      <c r="J870" s="125">
        <f>D870/10 * F870/10 + 2*(E870/10 * G870/10)</f>
        <v/>
      </c>
      <c r="K870" s="125">
        <f>(E870/2)/F870</f>
        <v/>
      </c>
      <c r="L870" s="125">
        <f>I870/G870</f>
        <v/>
      </c>
      <c r="M870" s="125">
        <f>(E870*2+F870*4+((E870-G870)/2-H870)*4+2*PI()*H870+(D870-2*F870-2*H870)*2)/1000</f>
        <v/>
      </c>
      <c r="N870" s="5" t="n">
        <v>181000</v>
      </c>
      <c r="O870" s="5" t="n">
        <v>8360</v>
      </c>
      <c r="P870" s="125" t="n">
        <v>26.6</v>
      </c>
      <c r="Q870" s="125" t="n">
        <v>5.7</v>
      </c>
      <c r="R870" s="5" t="n">
        <v>5570</v>
      </c>
      <c r="S870" s="125" t="n">
        <v>668</v>
      </c>
      <c r="T870" s="5" t="n">
        <v>6360</v>
      </c>
      <c r="U870" s="5" t="n">
        <v>1040</v>
      </c>
      <c r="Y870">
        <f>SQRT((((VLOOKUP($X$4,$A$4:$D$1021,4,FALSE))-D870)^2)+(((VLOOKUP($X$4,$A$4:$E$1021,5,FALSE))-E870)^2))</f>
        <v/>
      </c>
    </row>
    <row r="871">
      <c r="A871" s="125" t="inlineStr">
        <is>
          <t>HY650X186</t>
        </is>
      </c>
      <c r="B871" s="129" t="inlineStr">
        <is>
          <t>HY</t>
        </is>
      </c>
      <c r="C871" s="125" t="n">
        <v>186</v>
      </c>
      <c r="D871" s="125" t="n">
        <v>650</v>
      </c>
      <c r="E871" s="125" t="n">
        <v>250</v>
      </c>
      <c r="F871" s="125" t="n">
        <v>28</v>
      </c>
      <c r="G871" s="125" t="n">
        <v>16</v>
      </c>
      <c r="H871" s="125" t="n">
        <v>13</v>
      </c>
      <c r="I871" s="125">
        <f>D871-(2*(H871+F871))</f>
        <v/>
      </c>
      <c r="J871" s="125">
        <f>D871/10 * F871/10 + 2*(E871/10 * G871/10)</f>
        <v/>
      </c>
      <c r="K871" s="125">
        <f>(E871/2)/F871</f>
        <v/>
      </c>
      <c r="L871" s="125">
        <f>I871/G871</f>
        <v/>
      </c>
      <c r="M871" s="125">
        <f>(E871*2+F871*4+((E871-G871)/2-H871)*4+2*PI()*H871+(D871-2*F871-2*H871)*2)/1000</f>
        <v/>
      </c>
      <c r="N871" s="5" t="n">
        <v>165000</v>
      </c>
      <c r="O871" s="5" t="n">
        <v>7310</v>
      </c>
      <c r="P871" s="125" t="n">
        <v>26.4</v>
      </c>
      <c r="Q871" s="125" t="n">
        <v>5.6</v>
      </c>
      <c r="R871" s="5" t="n">
        <v>5070</v>
      </c>
      <c r="S871" s="125" t="n">
        <v>585</v>
      </c>
      <c r="T871" s="5" t="n">
        <v>5810</v>
      </c>
      <c r="U871" s="125" t="n">
        <v>915</v>
      </c>
      <c r="Y871">
        <f>SQRT((((VLOOKUP($X$4,$A$4:$D$1021,4,FALSE))-D871)^2)+(((VLOOKUP($X$4,$A$4:$E$1021,5,FALSE))-E871)^2))</f>
        <v/>
      </c>
    </row>
    <row r="872">
      <c r="A872" s="125" t="inlineStr">
        <is>
          <t>HY650X175</t>
        </is>
      </c>
      <c r="B872" s="129" t="inlineStr">
        <is>
          <t>HY</t>
        </is>
      </c>
      <c r="C872" s="125" t="n">
        <v>175</v>
      </c>
      <c r="D872" s="125" t="n">
        <v>650</v>
      </c>
      <c r="E872" s="125" t="n">
        <v>250</v>
      </c>
      <c r="F872" s="125" t="n">
        <v>25</v>
      </c>
      <c r="G872" s="125" t="n">
        <v>16</v>
      </c>
      <c r="H872" s="125" t="n">
        <v>13</v>
      </c>
      <c r="I872" s="125">
        <f>D872-(2*(H872+F872))</f>
        <v/>
      </c>
      <c r="J872" s="125">
        <f>D872/10 * F872/10 + 2*(E872/10 * G872/10)</f>
        <v/>
      </c>
      <c r="K872" s="125">
        <f>(E872/2)/F872</f>
        <v/>
      </c>
      <c r="L872" s="125">
        <f>I872/G872</f>
        <v/>
      </c>
      <c r="M872" s="125">
        <f>(E872*2+F872*4+((E872-G872)/2-H872)*4+2*PI()*H872+(D872-2*F872-2*H872)*2)/1000</f>
        <v/>
      </c>
      <c r="N872" s="5" t="n">
        <v>152000</v>
      </c>
      <c r="O872" s="5" t="n">
        <v>6530</v>
      </c>
      <c r="P872" s="125" t="n">
        <v>26.2</v>
      </c>
      <c r="Q872" s="125" t="n">
        <v>5.4</v>
      </c>
      <c r="R872" s="5" t="n">
        <v>4680</v>
      </c>
      <c r="S872" s="125" t="n">
        <v>523</v>
      </c>
      <c r="T872" s="5" t="n">
        <v>5390</v>
      </c>
      <c r="U872" s="125" t="n">
        <v>821</v>
      </c>
      <c r="Y872">
        <f>SQRT((((VLOOKUP($X$4,$A$4:$D$1021,4,FALSE))-D872)^2)+(((VLOOKUP($X$4,$A$4:$E$1021,5,FALSE))-E872)^2))</f>
        <v/>
      </c>
    </row>
    <row r="873">
      <c r="A873" s="125" t="inlineStr">
        <is>
          <t>HY650X164</t>
        </is>
      </c>
      <c r="B873" s="129" t="inlineStr">
        <is>
          <t>HY</t>
        </is>
      </c>
      <c r="C873" s="125" t="n">
        <v>164</v>
      </c>
      <c r="D873" s="125" t="n">
        <v>650</v>
      </c>
      <c r="E873" s="125" t="n">
        <v>250</v>
      </c>
      <c r="F873" s="125" t="n">
        <v>22</v>
      </c>
      <c r="G873" s="125" t="n">
        <v>16</v>
      </c>
      <c r="H873" s="125" t="n">
        <v>13</v>
      </c>
      <c r="I873" s="125">
        <f>D873-(2*(H873+F873))</f>
        <v/>
      </c>
      <c r="J873" s="125">
        <f>D873/10 * F873/10 + 2*(E873/10 * G873/10)</f>
        <v/>
      </c>
      <c r="K873" s="125">
        <f>(E873/2)/F873</f>
        <v/>
      </c>
      <c r="L873" s="125">
        <f>I873/G873</f>
        <v/>
      </c>
      <c r="M873" s="125">
        <f>(E873*2+F873*4+((E873-G873)/2-H873)*4+2*PI()*H873+(D873-2*F873-2*H873)*2)/1000</f>
        <v/>
      </c>
      <c r="N873" s="5" t="n">
        <v>139000</v>
      </c>
      <c r="O873" s="5" t="n">
        <v>5750</v>
      </c>
      <c r="P873" s="125" t="n">
        <v>25.9</v>
      </c>
      <c r="Q873" s="125" t="n">
        <v>5.3</v>
      </c>
      <c r="R873" s="5" t="n">
        <v>4290</v>
      </c>
      <c r="S873" s="125" t="n">
        <v>460</v>
      </c>
      <c r="T873" s="5" t="n">
        <v>4970</v>
      </c>
      <c r="U873" s="125" t="n">
        <v>728</v>
      </c>
      <c r="Y873">
        <f>SQRT((((VLOOKUP($X$4,$A$4:$D$1021,4,FALSE))-D873)^2)+(((VLOOKUP($X$4,$A$4:$E$1021,5,FALSE))-E873)^2))</f>
        <v/>
      </c>
    </row>
    <row r="874">
      <c r="A874" s="125" t="inlineStr">
        <is>
          <t>HY650X167</t>
        </is>
      </c>
      <c r="B874" s="129" t="inlineStr">
        <is>
          <t>HY</t>
        </is>
      </c>
      <c r="C874" s="125" t="n">
        <v>167</v>
      </c>
      <c r="D874" s="125" t="n">
        <v>650</v>
      </c>
      <c r="E874" s="125" t="n">
        <v>250</v>
      </c>
      <c r="F874" s="125" t="n">
        <v>28</v>
      </c>
      <c r="G874" s="125" t="n">
        <v>12</v>
      </c>
      <c r="H874" s="125" t="n">
        <v>13</v>
      </c>
      <c r="I874" s="125">
        <f>D874-(2*(H874+F874))</f>
        <v/>
      </c>
      <c r="J874" s="125">
        <f>D874/10 * F874/10 + 2*(E874/10 * G874/10)</f>
        <v/>
      </c>
      <c r="K874" s="125">
        <f>(E874/2)/F874</f>
        <v/>
      </c>
      <c r="L874" s="125">
        <f>I874/G874</f>
        <v/>
      </c>
      <c r="M874" s="125">
        <f>(E874*2+F874*4+((E874-G874)/2-H874)*4+2*PI()*H874+(D874-2*F874-2*H874)*2)/1000</f>
        <v/>
      </c>
      <c r="N874" s="5" t="n">
        <v>158000</v>
      </c>
      <c r="O874" s="5" t="n">
        <v>7300</v>
      </c>
      <c r="P874" s="125" t="n">
        <v>27.2</v>
      </c>
      <c r="Q874" s="125" t="n">
        <v>5.9</v>
      </c>
      <c r="R874" s="5" t="n">
        <v>4850</v>
      </c>
      <c r="S874" s="125" t="n">
        <v>584</v>
      </c>
      <c r="T874" s="5" t="n">
        <v>5460</v>
      </c>
      <c r="U874" s="125" t="n">
        <v>898</v>
      </c>
      <c r="Y874">
        <f>SQRT((((VLOOKUP($X$4,$A$4:$D$1021,4,FALSE))-D874)^2)+(((VLOOKUP($X$4,$A$4:$E$1021,5,FALSE))-E874)^2))</f>
        <v/>
      </c>
    </row>
    <row r="875">
      <c r="A875" s="125" t="inlineStr">
        <is>
          <t>HY650X156</t>
        </is>
      </c>
      <c r="B875" s="129" t="inlineStr">
        <is>
          <t>HY</t>
        </is>
      </c>
      <c r="C875" s="125" t="n">
        <v>156</v>
      </c>
      <c r="D875" s="125" t="n">
        <v>650</v>
      </c>
      <c r="E875" s="125" t="n">
        <v>250</v>
      </c>
      <c r="F875" s="125" t="n">
        <v>25</v>
      </c>
      <c r="G875" s="125" t="n">
        <v>12</v>
      </c>
      <c r="H875" s="125" t="n">
        <v>13</v>
      </c>
      <c r="I875" s="125">
        <f>D875-(2*(H875+F875))</f>
        <v/>
      </c>
      <c r="J875" s="125">
        <f>D875/10 * F875/10 + 2*(E875/10 * G875/10)</f>
        <v/>
      </c>
      <c r="K875" s="125">
        <f>(E875/2)/F875</f>
        <v/>
      </c>
      <c r="L875" s="125">
        <f>I875/G875</f>
        <v/>
      </c>
      <c r="M875" s="125">
        <f>(E875*2+F875*4+((E875-G875)/2-H875)*4+2*PI()*H875+(D875-2*F875-2*H875)*2)/1000</f>
        <v/>
      </c>
      <c r="N875" s="5" t="n">
        <v>145000</v>
      </c>
      <c r="O875" s="5" t="n">
        <v>6520</v>
      </c>
      <c r="P875" s="125" t="n">
        <v>27</v>
      </c>
      <c r="Q875" s="125" t="n">
        <v>5.7</v>
      </c>
      <c r="R875" s="5" t="n">
        <v>4460</v>
      </c>
      <c r="S875" s="125" t="n">
        <v>522</v>
      </c>
      <c r="T875" s="5" t="n">
        <v>5030</v>
      </c>
      <c r="U875" s="125" t="n">
        <v>804</v>
      </c>
      <c r="Y875">
        <f>SQRT((((VLOOKUP($X$4,$A$4:$D$1021,4,FALSE))-D875)^2)+(((VLOOKUP($X$4,$A$4:$E$1021,5,FALSE))-E875)^2))</f>
        <v/>
      </c>
    </row>
    <row r="876">
      <c r="A876" s="125" t="inlineStr">
        <is>
          <t>HY650X145</t>
        </is>
      </c>
      <c r="B876" s="129" t="inlineStr">
        <is>
          <t>HY</t>
        </is>
      </c>
      <c r="C876" s="125" t="n">
        <v>145</v>
      </c>
      <c r="D876" s="125" t="n">
        <v>650</v>
      </c>
      <c r="E876" s="125" t="n">
        <v>250</v>
      </c>
      <c r="F876" s="125" t="n">
        <v>22</v>
      </c>
      <c r="G876" s="125" t="n">
        <v>12</v>
      </c>
      <c r="H876" s="125" t="n">
        <v>13</v>
      </c>
      <c r="I876" s="125">
        <f>D876-(2*(H876+F876))</f>
        <v/>
      </c>
      <c r="J876" s="125">
        <f>D876/10 * F876/10 + 2*(E876/10 * G876/10)</f>
        <v/>
      </c>
      <c r="K876" s="125">
        <f>(E876/2)/F876</f>
        <v/>
      </c>
      <c r="L876" s="125">
        <f>I876/G876</f>
        <v/>
      </c>
      <c r="M876" s="125">
        <f>(E876*2+F876*4+((E876-G876)/2-H876)*4+2*PI()*H876+(D876-2*F876-2*H876)*2)/1000</f>
        <v/>
      </c>
      <c r="N876" s="5" t="n">
        <v>132000</v>
      </c>
      <c r="O876" s="5" t="n">
        <v>5740</v>
      </c>
      <c r="P876" s="125" t="n">
        <v>26.8</v>
      </c>
      <c r="Q876" s="125" t="n">
        <v>5.6</v>
      </c>
      <c r="R876" s="5" t="n">
        <v>4060</v>
      </c>
      <c r="S876" s="125" t="n">
        <v>459</v>
      </c>
      <c r="T876" s="5" t="n">
        <v>4600</v>
      </c>
      <c r="U876" s="125" t="n">
        <v>711</v>
      </c>
      <c r="Y876">
        <f>SQRT((((VLOOKUP($X$4,$A$4:$D$1021,4,FALSE))-D876)^2)+(((VLOOKUP($X$4,$A$4:$E$1021,5,FALSE))-E876)^2))</f>
        <v/>
      </c>
    </row>
    <row r="877">
      <c r="A877" s="125" t="inlineStr">
        <is>
          <t>HY650X133</t>
        </is>
      </c>
      <c r="B877" s="129" t="inlineStr">
        <is>
          <t>HY</t>
        </is>
      </c>
      <c r="C877" s="125" t="n">
        <v>133</v>
      </c>
      <c r="D877" s="125" t="n">
        <v>650</v>
      </c>
      <c r="E877" s="125" t="n">
        <v>250</v>
      </c>
      <c r="F877" s="125" t="n">
        <v>19</v>
      </c>
      <c r="G877" s="125" t="n">
        <v>12</v>
      </c>
      <c r="H877" s="125" t="n">
        <v>13</v>
      </c>
      <c r="I877" s="125">
        <f>D877-(2*(H877+F877))</f>
        <v/>
      </c>
      <c r="J877" s="125">
        <f>D877/10 * F877/10 + 2*(E877/10 * G877/10)</f>
        <v/>
      </c>
      <c r="K877" s="125">
        <f>(E877/2)/F877</f>
        <v/>
      </c>
      <c r="L877" s="125">
        <f>I877/G877</f>
        <v/>
      </c>
      <c r="M877" s="125">
        <f>(E877*2+F877*4+((E877-G877)/2-H877)*4+2*PI()*H877+(D877-2*F877-2*H877)*2)/1000</f>
        <v/>
      </c>
      <c r="N877" s="5" t="n">
        <v>119000</v>
      </c>
      <c r="O877" s="5" t="n">
        <v>4960</v>
      </c>
      <c r="P877" s="125" t="n">
        <v>26.4</v>
      </c>
      <c r="Q877" s="125" t="n">
        <v>5.4</v>
      </c>
      <c r="R877" s="5" t="n">
        <v>3660</v>
      </c>
      <c r="S877" s="125" t="n">
        <v>397</v>
      </c>
      <c r="T877" s="5" t="n">
        <v>4160</v>
      </c>
      <c r="U877" s="125" t="n">
        <v>617</v>
      </c>
      <c r="Y877">
        <f>SQRT((((VLOOKUP($X$4,$A$4:$D$1021,4,FALSE))-D877)^2)+(((VLOOKUP($X$4,$A$4:$E$1021,5,FALSE))-E877)^2))</f>
        <v/>
      </c>
    </row>
    <row r="878">
      <c r="A878" s="125" t="inlineStr">
        <is>
          <t>HY650X122</t>
        </is>
      </c>
      <c r="B878" s="129" t="inlineStr">
        <is>
          <t>HY</t>
        </is>
      </c>
      <c r="C878" s="125" t="n">
        <v>122</v>
      </c>
      <c r="D878" s="125" t="n">
        <v>650</v>
      </c>
      <c r="E878" s="125" t="n">
        <v>250</v>
      </c>
      <c r="F878" s="125" t="n">
        <v>16</v>
      </c>
      <c r="G878" s="125" t="n">
        <v>12</v>
      </c>
      <c r="H878" s="125" t="n">
        <v>13</v>
      </c>
      <c r="I878" s="125">
        <f>D878-(2*(H878+F878))</f>
        <v/>
      </c>
      <c r="J878" s="125">
        <f>D878/10 * F878/10 + 2*(E878/10 * G878/10)</f>
        <v/>
      </c>
      <c r="K878" s="125">
        <f>(E878/2)/F878</f>
        <v/>
      </c>
      <c r="L878" s="125">
        <f>I878/G878</f>
        <v/>
      </c>
      <c r="M878" s="125">
        <f>(E878*2+F878*4+((E878-G878)/2-H878)*4+2*PI()*H878+(D878-2*F878-2*H878)*2)/1000</f>
        <v/>
      </c>
      <c r="N878" s="5" t="n">
        <v>105000</v>
      </c>
      <c r="O878" s="5" t="n">
        <v>4180</v>
      </c>
      <c r="P878" s="125" t="n">
        <v>26</v>
      </c>
      <c r="Q878" s="125" t="n">
        <v>5.2</v>
      </c>
      <c r="R878" s="5" t="n">
        <v>3240</v>
      </c>
      <c r="S878" s="125" t="n">
        <v>334</v>
      </c>
      <c r="T878" s="5" t="n">
        <v>3730</v>
      </c>
      <c r="U878" s="125" t="n">
        <v>524</v>
      </c>
      <c r="Y878">
        <f>SQRT((((VLOOKUP($X$4,$A$4:$D$1021,4,FALSE))-D878)^2)+(((VLOOKUP($X$4,$A$4:$E$1021,5,FALSE))-E878)^2))</f>
        <v/>
      </c>
    </row>
    <row r="879">
      <c r="A879" s="125" t="inlineStr">
        <is>
          <t>HY650X145</t>
        </is>
      </c>
      <c r="B879" s="129" t="inlineStr">
        <is>
          <t>HY</t>
        </is>
      </c>
      <c r="C879" s="125" t="n">
        <v>145</v>
      </c>
      <c r="D879" s="125" t="n">
        <v>650</v>
      </c>
      <c r="E879" s="125" t="n">
        <v>200</v>
      </c>
      <c r="F879" s="125" t="n">
        <v>28</v>
      </c>
      <c r="G879" s="125" t="n">
        <v>12</v>
      </c>
      <c r="H879" s="125" t="n">
        <v>13</v>
      </c>
      <c r="I879" s="125">
        <f>D879-(2*(H879+F879))</f>
        <v/>
      </c>
      <c r="J879" s="125">
        <f>D879/10 * F879/10 + 2*(E879/10 * G879/10)</f>
        <v/>
      </c>
      <c r="K879" s="125">
        <f>(E879/2)/F879</f>
        <v/>
      </c>
      <c r="L879" s="125">
        <f>I879/G879</f>
        <v/>
      </c>
      <c r="M879" s="125">
        <f>(E879*2+F879*4+((E879-G879)/2-H879)*4+2*PI()*H879+(D879-2*F879-2*H879)*2)/1000</f>
        <v/>
      </c>
      <c r="N879" s="5" t="n">
        <v>131000</v>
      </c>
      <c r="O879" s="5" t="n">
        <v>3740</v>
      </c>
      <c r="P879" s="125" t="n">
        <v>26.6</v>
      </c>
      <c r="Q879" s="125" t="n">
        <v>4.5</v>
      </c>
      <c r="R879" s="5" t="n">
        <v>4020</v>
      </c>
      <c r="S879" s="125" t="n">
        <v>374</v>
      </c>
      <c r="T879" s="5" t="n">
        <v>4580</v>
      </c>
      <c r="U879" s="125" t="n">
        <v>583</v>
      </c>
      <c r="Y879">
        <f>SQRT((((VLOOKUP($X$4,$A$4:$D$1021,4,FALSE))-D879)^2)+(((VLOOKUP($X$4,$A$4:$E$1021,5,FALSE))-E879)^2))</f>
        <v/>
      </c>
    </row>
    <row r="880">
      <c r="A880" s="125" t="inlineStr">
        <is>
          <t>HY650X136</t>
        </is>
      </c>
      <c r="B880" s="129" t="inlineStr">
        <is>
          <t>HY</t>
        </is>
      </c>
      <c r="C880" s="125" t="n">
        <v>136</v>
      </c>
      <c r="D880" s="125" t="n">
        <v>650</v>
      </c>
      <c r="E880" s="125" t="n">
        <v>200</v>
      </c>
      <c r="F880" s="125" t="n">
        <v>25</v>
      </c>
      <c r="G880" s="125" t="n">
        <v>12</v>
      </c>
      <c r="H880" s="125" t="n">
        <v>13</v>
      </c>
      <c r="I880" s="125">
        <f>D880-(2*(H880+F880))</f>
        <v/>
      </c>
      <c r="J880" s="125">
        <f>D880/10 * F880/10 + 2*(E880/10 * G880/10)</f>
        <v/>
      </c>
      <c r="K880" s="125">
        <f>(E880/2)/F880</f>
        <v/>
      </c>
      <c r="L880" s="125">
        <f>I880/G880</f>
        <v/>
      </c>
      <c r="M880" s="125">
        <f>(E880*2+F880*4+((E880-G880)/2-H880)*4+2*PI()*H880+(D880-2*F880-2*H880)*2)/1000</f>
        <v/>
      </c>
      <c r="N880" s="5" t="n">
        <v>121000</v>
      </c>
      <c r="O880" s="5" t="n">
        <v>3340</v>
      </c>
      <c r="P880" s="125" t="n">
        <v>26.4</v>
      </c>
      <c r="Q880" s="125" t="n">
        <v>4.4</v>
      </c>
      <c r="R880" s="5" t="n">
        <v>3710</v>
      </c>
      <c r="S880" s="125" t="n">
        <v>334</v>
      </c>
      <c r="T880" s="5" t="n">
        <v>4250</v>
      </c>
      <c r="U880" s="125" t="n">
        <v>523</v>
      </c>
      <c r="Y880">
        <f>SQRT((((VLOOKUP($X$4,$A$4:$D$1021,4,FALSE))-D880)^2)+(((VLOOKUP($X$4,$A$4:$E$1021,5,FALSE))-E880)^2))</f>
        <v/>
      </c>
    </row>
    <row r="881">
      <c r="A881" s="125" t="inlineStr">
        <is>
          <t>HY650X127</t>
        </is>
      </c>
      <c r="B881" s="129" t="inlineStr">
        <is>
          <t>HY</t>
        </is>
      </c>
      <c r="C881" s="125" t="n">
        <v>127</v>
      </c>
      <c r="D881" s="125" t="n">
        <v>650</v>
      </c>
      <c r="E881" s="125" t="n">
        <v>200</v>
      </c>
      <c r="F881" s="125" t="n">
        <v>22</v>
      </c>
      <c r="G881" s="125" t="n">
        <v>12</v>
      </c>
      <c r="H881" s="125" t="n">
        <v>13</v>
      </c>
      <c r="I881" s="125">
        <f>D881-(2*(H881+F881))</f>
        <v/>
      </c>
      <c r="J881" s="125">
        <f>D881/10 * F881/10 + 2*(E881/10 * G881/10)</f>
        <v/>
      </c>
      <c r="K881" s="125">
        <f>(E881/2)/F881</f>
        <v/>
      </c>
      <c r="L881" s="125">
        <f>I881/G881</f>
        <v/>
      </c>
      <c r="M881" s="125">
        <f>(E881*2+F881*4+((E881-G881)/2-H881)*4+2*PI()*H881+(D881-2*F881-2*H881)*2)/1000</f>
        <v/>
      </c>
      <c r="N881" s="5" t="n">
        <v>110000</v>
      </c>
      <c r="O881" s="5" t="n">
        <v>2940</v>
      </c>
      <c r="P881" s="125" t="n">
        <v>26.1</v>
      </c>
      <c r="Q881" s="125" t="n">
        <v>4.3</v>
      </c>
      <c r="R881" s="5" t="n">
        <v>3400</v>
      </c>
      <c r="S881" s="125" t="n">
        <v>294</v>
      </c>
      <c r="T881" s="5" t="n">
        <v>3910</v>
      </c>
      <c r="U881" s="125" t="n">
        <v>463</v>
      </c>
      <c r="Y881">
        <f>SQRT((((VLOOKUP($X$4,$A$4:$D$1021,4,FALSE))-D881)^2)+(((VLOOKUP($X$4,$A$4:$E$1021,5,FALSE))-E881)^2))</f>
        <v/>
      </c>
    </row>
    <row r="882">
      <c r="A882" s="125" t="inlineStr">
        <is>
          <t>HY650X118</t>
        </is>
      </c>
      <c r="B882" s="129" t="inlineStr">
        <is>
          <t>HY</t>
        </is>
      </c>
      <c r="C882" s="125" t="n">
        <v>118</v>
      </c>
      <c r="D882" s="125" t="n">
        <v>650</v>
      </c>
      <c r="E882" s="125" t="n">
        <v>200</v>
      </c>
      <c r="F882" s="125" t="n">
        <v>19</v>
      </c>
      <c r="G882" s="125" t="n">
        <v>12</v>
      </c>
      <c r="H882" s="125" t="n">
        <v>13</v>
      </c>
      <c r="I882" s="125">
        <f>D882-(2*(H882+F882))</f>
        <v/>
      </c>
      <c r="J882" s="125">
        <f>D882/10 * F882/10 + 2*(E882/10 * G882/10)</f>
        <v/>
      </c>
      <c r="K882" s="125">
        <f>(E882/2)/F882</f>
        <v/>
      </c>
      <c r="L882" s="125">
        <f>I882/G882</f>
        <v/>
      </c>
      <c r="M882" s="125">
        <f>(E882*2+F882*4+((E882-G882)/2-H882)*4+2*PI()*H882+(D882-2*F882-2*H882)*2)/1000</f>
        <v/>
      </c>
      <c r="N882" s="5" t="n">
        <v>99900</v>
      </c>
      <c r="O882" s="5" t="n">
        <v>2540</v>
      </c>
      <c r="P882" s="125" t="n">
        <v>25.7</v>
      </c>
      <c r="Q882" s="125" t="n">
        <v>4.1</v>
      </c>
      <c r="R882" s="5" t="n">
        <v>3070</v>
      </c>
      <c r="S882" s="125" t="n">
        <v>254</v>
      </c>
      <c r="T882" s="5" t="n">
        <v>3570</v>
      </c>
      <c r="U882" s="125" t="n">
        <v>403</v>
      </c>
      <c r="Y882">
        <f>SQRT((((VLOOKUP($X$4,$A$4:$D$1021,4,FALSE))-D882)^2)+(((VLOOKUP($X$4,$A$4:$E$1021,5,FALSE))-E882)^2))</f>
        <v/>
      </c>
    </row>
    <row r="883">
      <c r="A883" s="125" t="inlineStr">
        <is>
          <t>HY650X110</t>
        </is>
      </c>
      <c r="B883" s="129" t="inlineStr">
        <is>
          <t>HY</t>
        </is>
      </c>
      <c r="C883" s="125" t="n">
        <v>110</v>
      </c>
      <c r="D883" s="125" t="n">
        <v>650</v>
      </c>
      <c r="E883" s="125" t="n">
        <v>200</v>
      </c>
      <c r="F883" s="125" t="n">
        <v>16</v>
      </c>
      <c r="G883" s="125" t="n">
        <v>12</v>
      </c>
      <c r="H883" s="125" t="n">
        <v>13</v>
      </c>
      <c r="I883" s="125">
        <f>D883-(2*(H883+F883))</f>
        <v/>
      </c>
      <c r="J883" s="125">
        <f>D883/10 * F883/10 + 2*(E883/10 * G883/10)</f>
        <v/>
      </c>
      <c r="K883" s="125">
        <f>(E883/2)/F883</f>
        <v/>
      </c>
      <c r="L883" s="125">
        <f>I883/G883</f>
        <v/>
      </c>
      <c r="M883" s="125">
        <f>(E883*2+F883*4+((E883-G883)/2-H883)*4+2*PI()*H883+(D883-2*F883-2*H883)*2)/1000</f>
        <v/>
      </c>
      <c r="N883" s="5" t="n">
        <v>89300</v>
      </c>
      <c r="O883" s="5" t="n">
        <v>2140</v>
      </c>
      <c r="P883" s="125" t="n">
        <v>25.3</v>
      </c>
      <c r="Q883" s="125" t="n">
        <v>3.9</v>
      </c>
      <c r="R883" s="5" t="n">
        <v>2750</v>
      </c>
      <c r="S883" s="125" t="n">
        <v>214</v>
      </c>
      <c r="T883" s="5" t="n">
        <v>3220</v>
      </c>
      <c r="U883" s="125" t="n">
        <v>344</v>
      </c>
      <c r="Y883">
        <f>SQRT((((VLOOKUP($X$4,$A$4:$D$1021,4,FALSE))-D883)^2)+(((VLOOKUP($X$4,$A$4:$E$1021,5,FALSE))-E883)^2))</f>
        <v/>
      </c>
    </row>
    <row r="884">
      <c r="A884" s="125" t="inlineStr">
        <is>
          <t>HY650X113</t>
        </is>
      </c>
      <c r="B884" s="129" t="inlineStr">
        <is>
          <t>HY</t>
        </is>
      </c>
      <c r="C884" s="125" t="n">
        <v>113</v>
      </c>
      <c r="D884" s="125" t="n">
        <v>650</v>
      </c>
      <c r="E884" s="125" t="n">
        <v>200</v>
      </c>
      <c r="F884" s="125" t="n">
        <v>22</v>
      </c>
      <c r="G884" s="125" t="n">
        <v>9</v>
      </c>
      <c r="H884" s="125" t="n">
        <v>13</v>
      </c>
      <c r="I884" s="125">
        <f>D884-(2*(H884+F884))</f>
        <v/>
      </c>
      <c r="J884" s="125">
        <f>D884/10 * F884/10 + 2*(E884/10 * G884/10)</f>
        <v/>
      </c>
      <c r="K884" s="125">
        <f>(E884/2)/F884</f>
        <v/>
      </c>
      <c r="L884" s="125">
        <f>I884/G884</f>
        <v/>
      </c>
      <c r="M884" s="125">
        <f>(E884*2+F884*4+((E884-G884)/2-H884)*4+2*PI()*H884+(D884-2*F884-2*H884)*2)/1000</f>
        <v/>
      </c>
      <c r="N884" s="5" t="n">
        <v>105000</v>
      </c>
      <c r="O884" s="5" t="n">
        <v>2940</v>
      </c>
      <c r="P884" s="125" t="n">
        <v>27</v>
      </c>
      <c r="Q884" s="125" t="n">
        <v>4.5</v>
      </c>
      <c r="R884" s="5" t="n">
        <v>3220</v>
      </c>
      <c r="S884" s="125" t="n">
        <v>294</v>
      </c>
      <c r="T884" s="5" t="n">
        <v>3630</v>
      </c>
      <c r="U884" s="125" t="n">
        <v>453</v>
      </c>
      <c r="Y884">
        <f>SQRT((((VLOOKUP($X$4,$A$4:$D$1021,4,FALSE))-D884)^2)+(((VLOOKUP($X$4,$A$4:$E$1021,5,FALSE))-E884)^2))</f>
        <v/>
      </c>
    </row>
    <row r="885">
      <c r="A885" s="125" t="inlineStr">
        <is>
          <t>HY650X104</t>
        </is>
      </c>
      <c r="B885" s="129" t="inlineStr">
        <is>
          <t>HY</t>
        </is>
      </c>
      <c r="C885" s="125" t="n">
        <v>104</v>
      </c>
      <c r="D885" s="125" t="n">
        <v>650</v>
      </c>
      <c r="E885" s="125" t="n">
        <v>200</v>
      </c>
      <c r="F885" s="125" t="n">
        <v>19</v>
      </c>
      <c r="G885" s="125" t="n">
        <v>9</v>
      </c>
      <c r="H885" s="125" t="n">
        <v>13</v>
      </c>
      <c r="I885" s="125">
        <f>D885-(2*(H885+F885))</f>
        <v/>
      </c>
      <c r="J885" s="125">
        <f>D885/10 * F885/10 + 2*(E885/10 * G885/10)</f>
        <v/>
      </c>
      <c r="K885" s="125">
        <f>(E885/2)/F885</f>
        <v/>
      </c>
      <c r="L885" s="125">
        <f>I885/G885</f>
        <v/>
      </c>
      <c r="M885" s="125">
        <f>(E885*2+F885*4+((E885-G885)/2-H885)*4+2*PI()*H885+(D885-2*F885-2*H885)*2)/1000</f>
        <v/>
      </c>
      <c r="N885" s="5" t="n">
        <v>94200</v>
      </c>
      <c r="O885" s="5" t="n">
        <v>2540</v>
      </c>
      <c r="P885" s="125" t="n">
        <v>26.7</v>
      </c>
      <c r="Q885" s="125" t="n">
        <v>4.4</v>
      </c>
      <c r="R885" s="5" t="n">
        <v>2900</v>
      </c>
      <c r="S885" s="125" t="n">
        <v>254</v>
      </c>
      <c r="T885" s="5" t="n">
        <v>3280</v>
      </c>
      <c r="U885" s="125" t="n">
        <v>393</v>
      </c>
      <c r="Y885">
        <f>SQRT((((VLOOKUP($X$4,$A$4:$D$1021,4,FALSE))-D885)^2)+(((VLOOKUP($X$4,$A$4:$E$1021,5,FALSE))-E885)^2))</f>
        <v/>
      </c>
    </row>
    <row r="886">
      <c r="A886" s="125" t="inlineStr">
        <is>
          <t>HY650X95</t>
        </is>
      </c>
      <c r="B886" s="129" t="inlineStr">
        <is>
          <t>HY</t>
        </is>
      </c>
      <c r="C886" s="125" t="n">
        <v>95</v>
      </c>
      <c r="D886" s="125" t="n">
        <v>650</v>
      </c>
      <c r="E886" s="125" t="n">
        <v>200</v>
      </c>
      <c r="F886" s="125" t="n">
        <v>16</v>
      </c>
      <c r="G886" s="125" t="n">
        <v>9</v>
      </c>
      <c r="H886" s="125" t="n">
        <v>13</v>
      </c>
      <c r="I886" s="125">
        <f>D886-(2*(H886+F886))</f>
        <v/>
      </c>
      <c r="J886" s="125">
        <f>D886/10 * F886/10 + 2*(E886/10 * G886/10)</f>
        <v/>
      </c>
      <c r="K886" s="125">
        <f>(E886/2)/F886</f>
        <v/>
      </c>
      <c r="L886" s="125">
        <f>I886/G886</f>
        <v/>
      </c>
      <c r="M886" s="125">
        <f>(E886*2+F886*4+((E886-G886)/2-H886)*4+2*PI()*H886+(D886-2*F886-2*H886)*2)/1000</f>
        <v/>
      </c>
      <c r="N886" s="5" t="n">
        <v>83400</v>
      </c>
      <c r="O886" s="5" t="n">
        <v>2140</v>
      </c>
      <c r="P886" s="125" t="n">
        <v>26.2</v>
      </c>
      <c r="Q886" s="125" t="n">
        <v>4.2</v>
      </c>
      <c r="R886" s="5" t="n">
        <v>2570</v>
      </c>
      <c r="S886" s="125" t="n">
        <v>214</v>
      </c>
      <c r="T886" s="5" t="n">
        <v>2930</v>
      </c>
      <c r="U886" s="125" t="n">
        <v>334</v>
      </c>
      <c r="Y886">
        <f>SQRT((((VLOOKUP($X$4,$A$4:$D$1021,4,FALSE))-D886)^2)+(((VLOOKUP($X$4,$A$4:$E$1021,5,FALSE))-E886)^2))</f>
        <v/>
      </c>
    </row>
    <row r="887">
      <c r="A887" s="125" t="inlineStr">
        <is>
          <t>HY650X83</t>
        </is>
      </c>
      <c r="B887" s="129" t="inlineStr">
        <is>
          <t>HY</t>
        </is>
      </c>
      <c r="C887" s="125" t="n">
        <v>83</v>
      </c>
      <c r="D887" s="125" t="n">
        <v>650</v>
      </c>
      <c r="E887" s="125" t="n">
        <v>200</v>
      </c>
      <c r="F887" s="125" t="n">
        <v>12</v>
      </c>
      <c r="G887" s="125" t="n">
        <v>9</v>
      </c>
      <c r="H887" s="125" t="n">
        <v>13</v>
      </c>
      <c r="I887" s="125">
        <f>D887-(2*(H887+F887))</f>
        <v/>
      </c>
      <c r="J887" s="125">
        <f>D887/10 * F887/10 + 2*(E887/10 * G887/10)</f>
        <v/>
      </c>
      <c r="K887" s="125">
        <f>(E887/2)/F887</f>
        <v/>
      </c>
      <c r="L887" s="125">
        <f>I887/G887</f>
        <v/>
      </c>
      <c r="M887" s="125">
        <f>(E887*2+F887*4+((E887-G887)/2-H887)*4+2*PI()*H887+(D887-2*F887-2*H887)*2)/1000</f>
        <v/>
      </c>
      <c r="N887" s="5" t="n">
        <v>68600</v>
      </c>
      <c r="O887" s="5" t="n">
        <v>1600</v>
      </c>
      <c r="P887" s="125" t="n">
        <v>25.5</v>
      </c>
      <c r="Q887" s="125" t="n">
        <v>3.9</v>
      </c>
      <c r="R887" s="5" t="n">
        <v>2110</v>
      </c>
      <c r="S887" s="125" t="n">
        <v>160</v>
      </c>
      <c r="T887" s="5" t="n">
        <v>2460</v>
      </c>
      <c r="U887" s="125" t="n">
        <v>254</v>
      </c>
      <c r="Y887">
        <f>SQRT((((VLOOKUP($X$4,$A$4:$D$1021,4,FALSE))-D887)^2)+(((VLOOKUP($X$4,$A$4:$E$1021,5,FALSE))-E887)^2))</f>
        <v/>
      </c>
    </row>
    <row r="888">
      <c r="A888" s="125" t="inlineStr">
        <is>
          <t>HY600X219</t>
        </is>
      </c>
      <c r="B888" s="129" t="inlineStr">
        <is>
          <t>HY</t>
        </is>
      </c>
      <c r="C888" s="125" t="n">
        <v>219</v>
      </c>
      <c r="D888" s="125" t="n">
        <v>600</v>
      </c>
      <c r="E888" s="125" t="n">
        <v>300</v>
      </c>
      <c r="F888" s="125" t="n">
        <v>32</v>
      </c>
      <c r="G888" s="125" t="n">
        <v>16</v>
      </c>
      <c r="H888" s="125" t="n">
        <v>13</v>
      </c>
      <c r="I888" s="125">
        <f>D888-(2*(H888+F888))</f>
        <v/>
      </c>
      <c r="J888" s="125">
        <f>D888/10 * F888/10 + 2*(E888/10 * G888/10)</f>
        <v/>
      </c>
      <c r="K888" s="125">
        <f>(E888/2)/F888</f>
        <v/>
      </c>
      <c r="L888" s="125">
        <f>I888/G888</f>
        <v/>
      </c>
      <c r="M888" s="125">
        <f>(E888*2+F888*4+((E888-G888)/2-H888)*4+2*PI()*H888+(D888-2*F888-2*H888)*2)/1000</f>
        <v/>
      </c>
      <c r="N888" s="5" t="n">
        <v>177000</v>
      </c>
      <c r="O888" s="5" t="n">
        <v>14400</v>
      </c>
      <c r="P888" s="125" t="n">
        <v>25.1</v>
      </c>
      <c r="Q888" s="125" t="n">
        <v>7.2</v>
      </c>
      <c r="R888" s="5" t="n">
        <v>5890</v>
      </c>
      <c r="S888" s="125" t="n">
        <v>961</v>
      </c>
      <c r="T888" s="5" t="n">
        <v>6640</v>
      </c>
      <c r="U888" s="5" t="n">
        <v>1480</v>
      </c>
      <c r="Y888">
        <f>SQRT((((VLOOKUP($X$4,$A$4:$D$1021,4,FALSE))-D888)^2)+(((VLOOKUP($X$4,$A$4:$E$1021,5,FALSE))-E888)^2))</f>
        <v/>
      </c>
    </row>
    <row r="889">
      <c r="A889" s="125" t="inlineStr">
        <is>
          <t>HY600X201</t>
        </is>
      </c>
      <c r="B889" s="129" t="inlineStr">
        <is>
          <t>HY</t>
        </is>
      </c>
      <c r="C889" s="125" t="n">
        <v>201</v>
      </c>
      <c r="D889" s="125" t="n">
        <v>600</v>
      </c>
      <c r="E889" s="125" t="n">
        <v>300</v>
      </c>
      <c r="F889" s="125" t="n">
        <v>28</v>
      </c>
      <c r="G889" s="125" t="n">
        <v>16</v>
      </c>
      <c r="H889" s="125" t="n">
        <v>13</v>
      </c>
      <c r="I889" s="125">
        <f>D889-(2*(H889+F889))</f>
        <v/>
      </c>
      <c r="J889" s="125">
        <f>D889/10 * F889/10 + 2*(E889/10 * G889/10)</f>
        <v/>
      </c>
      <c r="K889" s="125">
        <f>(E889/2)/F889</f>
        <v/>
      </c>
      <c r="L889" s="125">
        <f>I889/G889</f>
        <v/>
      </c>
      <c r="M889" s="125">
        <f>(E889*2+F889*4+((E889-G889)/2-H889)*4+2*PI()*H889+(D889-2*F889-2*H889)*2)/1000</f>
        <v/>
      </c>
      <c r="N889" s="5" t="n">
        <v>160000</v>
      </c>
      <c r="O889" s="5" t="n">
        <v>12600</v>
      </c>
      <c r="P889" s="125" t="n">
        <v>25</v>
      </c>
      <c r="Q889" s="125" t="n">
        <v>7</v>
      </c>
      <c r="R889" s="5" t="n">
        <v>5330</v>
      </c>
      <c r="S889" s="125" t="n">
        <v>841</v>
      </c>
      <c r="T889" s="5" t="n">
        <v>6030</v>
      </c>
      <c r="U889" s="5" t="n">
        <v>1300</v>
      </c>
      <c r="Y889">
        <f>SQRT((((VLOOKUP($X$4,$A$4:$D$1021,4,FALSE))-D889)^2)+(((VLOOKUP($X$4,$A$4:$E$1021,5,FALSE))-E889)^2))</f>
        <v/>
      </c>
    </row>
    <row r="890">
      <c r="A890" s="125" t="inlineStr">
        <is>
          <t>HY600X188</t>
        </is>
      </c>
      <c r="B890" s="129" t="inlineStr">
        <is>
          <t>HY</t>
        </is>
      </c>
      <c r="C890" s="125" t="n">
        <v>188</v>
      </c>
      <c r="D890" s="125" t="n">
        <v>600</v>
      </c>
      <c r="E890" s="125" t="n">
        <v>300</v>
      </c>
      <c r="F890" s="125" t="n">
        <v>25</v>
      </c>
      <c r="G890" s="125" t="n">
        <v>16</v>
      </c>
      <c r="H890" s="125" t="n">
        <v>13</v>
      </c>
      <c r="I890" s="125">
        <f>D890-(2*(H890+F890))</f>
        <v/>
      </c>
      <c r="J890" s="125">
        <f>D890/10 * F890/10 + 2*(E890/10 * G890/10)</f>
        <v/>
      </c>
      <c r="K890" s="125">
        <f>(E890/2)/F890</f>
        <v/>
      </c>
      <c r="L890" s="125">
        <f>I890/G890</f>
        <v/>
      </c>
      <c r="M890" s="125">
        <f>(E890*2+F890*4+((E890-G890)/2-H890)*4+2*PI()*H890+(D890-2*F890-2*H890)*2)/1000</f>
        <v/>
      </c>
      <c r="N890" s="5" t="n">
        <v>147000</v>
      </c>
      <c r="O890" s="5" t="n">
        <v>11300</v>
      </c>
      <c r="P890" s="125" t="n">
        <v>24.8</v>
      </c>
      <c r="Q890" s="125" t="n">
        <v>6.9</v>
      </c>
      <c r="R890" s="5" t="n">
        <v>4910</v>
      </c>
      <c r="S890" s="125" t="n">
        <v>751</v>
      </c>
      <c r="T890" s="5" t="n">
        <v>5560</v>
      </c>
      <c r="U890" s="5" t="n">
        <v>1160</v>
      </c>
      <c r="Y890">
        <f>SQRT((((VLOOKUP($X$4,$A$4:$D$1021,4,FALSE))-D890)^2)+(((VLOOKUP($X$4,$A$4:$E$1021,5,FALSE))-E890)^2))</f>
        <v/>
      </c>
    </row>
    <row r="891">
      <c r="A891" s="125" t="inlineStr">
        <is>
          <t>HY600X175</t>
        </is>
      </c>
      <c r="B891" s="129" t="inlineStr">
        <is>
          <t>HY</t>
        </is>
      </c>
      <c r="C891" s="125" t="n">
        <v>175</v>
      </c>
      <c r="D891" s="125" t="n">
        <v>600</v>
      </c>
      <c r="E891" s="125" t="n">
        <v>300</v>
      </c>
      <c r="F891" s="125" t="n">
        <v>22</v>
      </c>
      <c r="G891" s="125" t="n">
        <v>16</v>
      </c>
      <c r="H891" s="125" t="n">
        <v>13</v>
      </c>
      <c r="I891" s="125">
        <f>D891-(2*(H891+F891))</f>
        <v/>
      </c>
      <c r="J891" s="125">
        <f>D891/10 * F891/10 + 2*(E891/10 * G891/10)</f>
        <v/>
      </c>
      <c r="K891" s="125">
        <f>(E891/2)/F891</f>
        <v/>
      </c>
      <c r="L891" s="125">
        <f>I891/G891</f>
        <v/>
      </c>
      <c r="M891" s="125">
        <f>(E891*2+F891*4+((E891-G891)/2-H891)*4+2*PI()*H891+(D891-2*F891-2*H891)*2)/1000</f>
        <v/>
      </c>
      <c r="N891" s="5" t="n">
        <v>134000</v>
      </c>
      <c r="O891" s="5" t="n">
        <v>9920</v>
      </c>
      <c r="P891" s="125" t="n">
        <v>24.6</v>
      </c>
      <c r="Q891" s="125" t="n">
        <v>6.7</v>
      </c>
      <c r="R891" s="5" t="n">
        <v>4480</v>
      </c>
      <c r="S891" s="125" t="n">
        <v>661</v>
      </c>
      <c r="T891" s="5" t="n">
        <v>5090</v>
      </c>
      <c r="U891" s="5" t="n">
        <v>1030</v>
      </c>
      <c r="Y891">
        <f>SQRT((((VLOOKUP($X$4,$A$4:$D$1021,4,FALSE))-D891)^2)+(((VLOOKUP($X$4,$A$4:$E$1021,5,FALSE))-E891)^2))</f>
        <v/>
      </c>
    </row>
    <row r="892">
      <c r="A892" s="125" t="inlineStr">
        <is>
          <t>HY600X193</t>
        </is>
      </c>
      <c r="B892" s="129" t="inlineStr">
        <is>
          <t>HY</t>
        </is>
      </c>
      <c r="C892" s="125" t="n">
        <v>193</v>
      </c>
      <c r="D892" s="125" t="n">
        <v>600</v>
      </c>
      <c r="E892" s="125" t="n">
        <v>300</v>
      </c>
      <c r="F892" s="125" t="n">
        <v>28</v>
      </c>
      <c r="G892" s="125" t="n">
        <v>14</v>
      </c>
      <c r="H892" s="125" t="n">
        <v>13</v>
      </c>
      <c r="I892" s="125">
        <f>D892-(2*(H892+F892))</f>
        <v/>
      </c>
      <c r="J892" s="125">
        <f>D892/10 * F892/10 + 2*(E892/10 * G892/10)</f>
        <v/>
      </c>
      <c r="K892" s="125">
        <f>(E892/2)/F892</f>
        <v/>
      </c>
      <c r="L892" s="125">
        <f>I892/G892</f>
        <v/>
      </c>
      <c r="M892" s="125">
        <f>(E892*2+F892*4+((E892-G892)/2-H892)*4+2*PI()*H892+(D892-2*F892-2*H892)*2)/1000</f>
        <v/>
      </c>
      <c r="N892" s="5" t="n">
        <v>157000</v>
      </c>
      <c r="O892" s="5" t="n">
        <v>12600</v>
      </c>
      <c r="P892" s="125" t="n">
        <v>25.3</v>
      </c>
      <c r="Q892" s="125" t="n">
        <v>7.2</v>
      </c>
      <c r="R892" s="5" t="n">
        <v>5250</v>
      </c>
      <c r="S892" s="125" t="n">
        <v>841</v>
      </c>
      <c r="T892" s="5" t="n">
        <v>5880</v>
      </c>
      <c r="U892" s="5" t="n">
        <v>1290</v>
      </c>
      <c r="Y892">
        <f>SQRT((((VLOOKUP($X$4,$A$4:$D$1021,4,FALSE))-D892)^2)+(((VLOOKUP($X$4,$A$4:$E$1021,5,FALSE))-E892)^2))</f>
        <v/>
      </c>
    </row>
    <row r="893">
      <c r="A893" s="125" t="inlineStr">
        <is>
          <t>HY600X179</t>
        </is>
      </c>
      <c r="B893" s="129" t="inlineStr">
        <is>
          <t>HY</t>
        </is>
      </c>
      <c r="C893" s="125" t="n">
        <v>179</v>
      </c>
      <c r="D893" s="125" t="n">
        <v>600</v>
      </c>
      <c r="E893" s="125" t="n">
        <v>300</v>
      </c>
      <c r="F893" s="125" t="n">
        <v>25</v>
      </c>
      <c r="G893" s="125" t="n">
        <v>14</v>
      </c>
      <c r="H893" s="125" t="n">
        <v>13</v>
      </c>
      <c r="I893" s="125">
        <f>D893-(2*(H893+F893))</f>
        <v/>
      </c>
      <c r="J893" s="125">
        <f>D893/10 * F893/10 + 2*(E893/10 * G893/10)</f>
        <v/>
      </c>
      <c r="K893" s="125">
        <f>(E893/2)/F893</f>
        <v/>
      </c>
      <c r="L893" s="125">
        <f>I893/G893</f>
        <v/>
      </c>
      <c r="M893" s="125">
        <f>(E893*2+F893*4+((E893-G893)/2-H893)*4+2*PI()*H893+(D893-2*F893-2*H893)*2)/1000</f>
        <v/>
      </c>
      <c r="N893" s="5" t="n">
        <v>145000</v>
      </c>
      <c r="O893" s="5" t="n">
        <v>11300</v>
      </c>
      <c r="P893" s="125" t="n">
        <v>25.2</v>
      </c>
      <c r="Q893" s="125" t="n">
        <v>7</v>
      </c>
      <c r="R893" s="5" t="n">
        <v>4820</v>
      </c>
      <c r="S893" s="125" t="n">
        <v>751</v>
      </c>
      <c r="T893" s="5" t="n">
        <v>5410</v>
      </c>
      <c r="U893" s="5" t="n">
        <v>1150</v>
      </c>
      <c r="Y893">
        <f>SQRT((((VLOOKUP($X$4,$A$4:$D$1021,4,FALSE))-D893)^2)+(((VLOOKUP($X$4,$A$4:$E$1021,5,FALSE))-E893)^2))</f>
        <v/>
      </c>
    </row>
    <row r="894">
      <c r="A894" s="125" t="inlineStr">
        <is>
          <t>HY600X166</t>
        </is>
      </c>
      <c r="B894" s="129" t="inlineStr">
        <is>
          <t>HY</t>
        </is>
      </c>
      <c r="C894" s="125" t="n">
        <v>166</v>
      </c>
      <c r="D894" s="125" t="n">
        <v>600</v>
      </c>
      <c r="E894" s="125" t="n">
        <v>300</v>
      </c>
      <c r="F894" s="125" t="n">
        <v>22</v>
      </c>
      <c r="G894" s="125" t="n">
        <v>14</v>
      </c>
      <c r="H894" s="125" t="n">
        <v>13</v>
      </c>
      <c r="I894" s="125">
        <f>D894-(2*(H894+F894))</f>
        <v/>
      </c>
      <c r="J894" s="125">
        <f>D894/10 * F894/10 + 2*(E894/10 * G894/10)</f>
        <v/>
      </c>
      <c r="K894" s="125">
        <f>(E894/2)/F894</f>
        <v/>
      </c>
      <c r="L894" s="125">
        <f>I894/G894</f>
        <v/>
      </c>
      <c r="M894" s="125">
        <f>(E894*2+F894*4+((E894-G894)/2-H894)*4+2*PI()*H894+(D894-2*F894-2*H894)*2)/1000</f>
        <v/>
      </c>
      <c r="N894" s="5" t="n">
        <v>131000</v>
      </c>
      <c r="O894" s="5" t="n">
        <v>9910</v>
      </c>
      <c r="P894" s="125" t="n">
        <v>24.9</v>
      </c>
      <c r="Q894" s="125" t="n">
        <v>6.9</v>
      </c>
      <c r="R894" s="5" t="n">
        <v>4380</v>
      </c>
      <c r="S894" s="125" t="n">
        <v>661</v>
      </c>
      <c r="T894" s="5" t="n">
        <v>4940</v>
      </c>
      <c r="U894" s="5" t="n">
        <v>1020</v>
      </c>
      <c r="Y894">
        <f>SQRT((((VLOOKUP($X$4,$A$4:$D$1021,4,FALSE))-D894)^2)+(((VLOOKUP($X$4,$A$4:$E$1021,5,FALSE))-E894)^2))</f>
        <v/>
      </c>
    </row>
    <row r="895">
      <c r="A895" s="125" t="inlineStr">
        <is>
          <t>HY600X184</t>
        </is>
      </c>
      <c r="B895" s="129" t="inlineStr">
        <is>
          <t>HY</t>
        </is>
      </c>
      <c r="C895" s="125" t="n">
        <v>184</v>
      </c>
      <c r="D895" s="125" t="n">
        <v>600</v>
      </c>
      <c r="E895" s="125" t="n">
        <v>300</v>
      </c>
      <c r="F895" s="125" t="n">
        <v>28</v>
      </c>
      <c r="G895" s="125" t="n">
        <v>12</v>
      </c>
      <c r="H895" s="125" t="n">
        <v>13</v>
      </c>
      <c r="I895" s="125">
        <f>D895-(2*(H895+F895))</f>
        <v/>
      </c>
      <c r="J895" s="125">
        <f>D895/10 * F895/10 + 2*(E895/10 * G895/10)</f>
        <v/>
      </c>
      <c r="K895" s="125">
        <f>(E895/2)/F895</f>
        <v/>
      </c>
      <c r="L895" s="125">
        <f>I895/G895</f>
        <v/>
      </c>
      <c r="M895" s="125">
        <f>(E895*2+F895*4+((E895-G895)/2-H895)*4+2*PI()*H895+(D895-2*F895-2*H895)*2)/1000</f>
        <v/>
      </c>
      <c r="N895" s="5" t="n">
        <v>155000</v>
      </c>
      <c r="O895" s="5" t="n">
        <v>12600</v>
      </c>
      <c r="P895" s="125" t="n">
        <v>25.7</v>
      </c>
      <c r="Q895" s="125" t="n">
        <v>7.3</v>
      </c>
      <c r="R895" s="5" t="n">
        <v>5160</v>
      </c>
      <c r="S895" s="125" t="n">
        <v>841</v>
      </c>
      <c r="T895" s="5" t="n">
        <v>5730</v>
      </c>
      <c r="U895" s="5" t="n">
        <v>1280</v>
      </c>
      <c r="Y895">
        <f>SQRT((((VLOOKUP($X$4,$A$4:$D$1021,4,FALSE))-D895)^2)+(((VLOOKUP($X$4,$A$4:$E$1021,5,FALSE))-E895)^2))</f>
        <v/>
      </c>
    </row>
    <row r="896">
      <c r="A896" s="125" t="inlineStr">
        <is>
          <t>HY600X171</t>
        </is>
      </c>
      <c r="B896" s="129" t="inlineStr">
        <is>
          <t>HY</t>
        </is>
      </c>
      <c r="C896" s="125" t="n">
        <v>171</v>
      </c>
      <c r="D896" s="125" t="n">
        <v>600</v>
      </c>
      <c r="E896" s="125" t="n">
        <v>300</v>
      </c>
      <c r="F896" s="125" t="n">
        <v>25</v>
      </c>
      <c r="G896" s="125" t="n">
        <v>12</v>
      </c>
      <c r="H896" s="125" t="n">
        <v>13</v>
      </c>
      <c r="I896" s="125">
        <f>D896-(2*(H896+F896))</f>
        <v/>
      </c>
      <c r="J896" s="125">
        <f>D896/10 * F896/10 + 2*(E896/10 * G896/10)</f>
        <v/>
      </c>
      <c r="K896" s="125">
        <f>(E896/2)/F896</f>
        <v/>
      </c>
      <c r="L896" s="125">
        <f>I896/G896</f>
        <v/>
      </c>
      <c r="M896" s="125">
        <f>(E896*2+F896*4+((E896-G896)/2-H896)*4+2*PI()*H896+(D896-2*F896-2*H896)*2)/1000</f>
        <v/>
      </c>
      <c r="N896" s="5" t="n">
        <v>142000</v>
      </c>
      <c r="O896" s="5" t="n">
        <v>11300</v>
      </c>
      <c r="P896" s="125" t="n">
        <v>25.5</v>
      </c>
      <c r="Q896" s="125" t="n">
        <v>7.2</v>
      </c>
      <c r="R896" s="5" t="n">
        <v>4730</v>
      </c>
      <c r="S896" s="125" t="n">
        <v>751</v>
      </c>
      <c r="T896" s="5" t="n">
        <v>5260</v>
      </c>
      <c r="U896" s="5" t="n">
        <v>1150</v>
      </c>
      <c r="Y896">
        <f>SQRT((((VLOOKUP($X$4,$A$4:$D$1021,4,FALSE))-D896)^2)+(((VLOOKUP($X$4,$A$4:$E$1021,5,FALSE))-E896)^2))</f>
        <v/>
      </c>
    </row>
    <row r="897">
      <c r="A897" s="125" t="inlineStr">
        <is>
          <t>HY600X157</t>
        </is>
      </c>
      <c r="B897" s="129" t="inlineStr">
        <is>
          <t>HY</t>
        </is>
      </c>
      <c r="C897" s="125" t="n">
        <v>157</v>
      </c>
      <c r="D897" s="125" t="n">
        <v>600</v>
      </c>
      <c r="E897" s="125" t="n">
        <v>300</v>
      </c>
      <c r="F897" s="125" t="n">
        <v>22</v>
      </c>
      <c r="G897" s="125" t="n">
        <v>12</v>
      </c>
      <c r="H897" s="125" t="n">
        <v>13</v>
      </c>
      <c r="I897" s="125">
        <f>D897-(2*(H897+F897))</f>
        <v/>
      </c>
      <c r="J897" s="125">
        <f>D897/10 * F897/10 + 2*(E897/10 * G897/10)</f>
        <v/>
      </c>
      <c r="K897" s="125">
        <f>(E897/2)/F897</f>
        <v/>
      </c>
      <c r="L897" s="125">
        <f>I897/G897</f>
        <v/>
      </c>
      <c r="M897" s="125">
        <f>(E897*2+F897*4+((E897-G897)/2-H897)*4+2*PI()*H897+(D897-2*F897-2*H897)*2)/1000</f>
        <v/>
      </c>
      <c r="N897" s="5" t="n">
        <v>129000</v>
      </c>
      <c r="O897" s="5" t="n">
        <v>9910</v>
      </c>
      <c r="P897" s="125" t="n">
        <v>25.3</v>
      </c>
      <c r="Q897" s="125" t="n">
        <v>7</v>
      </c>
      <c r="R897" s="5" t="n">
        <v>4290</v>
      </c>
      <c r="S897" s="125" t="n">
        <v>661</v>
      </c>
      <c r="T897" s="5" t="n">
        <v>4780</v>
      </c>
      <c r="U897" s="5" t="n">
        <v>1010</v>
      </c>
      <c r="Y897">
        <f>SQRT((((VLOOKUP($X$4,$A$4:$D$1021,4,FALSE))-D897)^2)+(((VLOOKUP($X$4,$A$4:$E$1021,5,FALSE))-E897)^2))</f>
        <v/>
      </c>
    </row>
    <row r="898">
      <c r="A898" s="125" t="inlineStr">
        <is>
          <t>HY600X144</t>
        </is>
      </c>
      <c r="B898" s="129" t="inlineStr">
        <is>
          <t>HY</t>
        </is>
      </c>
      <c r="C898" s="125" t="n">
        <v>144</v>
      </c>
      <c r="D898" s="125" t="n">
        <v>600</v>
      </c>
      <c r="E898" s="125" t="n">
        <v>300</v>
      </c>
      <c r="F898" s="125" t="n">
        <v>19</v>
      </c>
      <c r="G898" s="125" t="n">
        <v>12</v>
      </c>
      <c r="H898" s="125" t="n">
        <v>13</v>
      </c>
      <c r="I898" s="125">
        <f>D898-(2*(H898+F898))</f>
        <v/>
      </c>
      <c r="J898" s="125">
        <f>D898/10 * F898/10 + 2*(E898/10 * G898/10)</f>
        <v/>
      </c>
      <c r="K898" s="125">
        <f>(E898/2)/F898</f>
        <v/>
      </c>
      <c r="L898" s="125">
        <f>I898/G898</f>
        <v/>
      </c>
      <c r="M898" s="125">
        <f>(E898*2+F898*4+((E898-G898)/2-H898)*4+2*PI()*H898+(D898-2*F898-2*H898)*2)/1000</f>
        <v/>
      </c>
      <c r="N898" s="5" t="n">
        <v>115000</v>
      </c>
      <c r="O898" s="5" t="n">
        <v>8560</v>
      </c>
      <c r="P898" s="125" t="n">
        <v>25.1</v>
      </c>
      <c r="Q898" s="125" t="n">
        <v>6.8</v>
      </c>
      <c r="R898" s="5" t="n">
        <v>3840</v>
      </c>
      <c r="S898" s="125" t="n">
        <v>571</v>
      </c>
      <c r="T898" s="5" t="n">
        <v>4300</v>
      </c>
      <c r="U898" s="125" t="n">
        <v>877</v>
      </c>
      <c r="Y898">
        <f>SQRT((((VLOOKUP($X$4,$A$4:$D$1021,4,FALSE))-D898)^2)+(((VLOOKUP($X$4,$A$4:$E$1021,5,FALSE))-E898)^2))</f>
        <v/>
      </c>
    </row>
    <row r="899">
      <c r="A899" s="125" t="inlineStr">
        <is>
          <t>HY600X130</t>
        </is>
      </c>
      <c r="B899" s="129" t="inlineStr">
        <is>
          <t>HY</t>
        </is>
      </c>
      <c r="C899" s="125" t="n">
        <v>130</v>
      </c>
      <c r="D899" s="125" t="n">
        <v>600</v>
      </c>
      <c r="E899" s="125" t="n">
        <v>300</v>
      </c>
      <c r="F899" s="125" t="n">
        <v>16</v>
      </c>
      <c r="G899" s="125" t="n">
        <v>12</v>
      </c>
      <c r="H899" s="125" t="n">
        <v>13</v>
      </c>
      <c r="I899" s="125">
        <f>D899-(2*(H899+F899))</f>
        <v/>
      </c>
      <c r="J899" s="125">
        <f>D899/10 * F899/10 + 2*(E899/10 * G899/10)</f>
        <v/>
      </c>
      <c r="K899" s="125">
        <f>(E899/2)/F899</f>
        <v/>
      </c>
      <c r="L899" s="125">
        <f>I899/G899</f>
        <v/>
      </c>
      <c r="M899" s="125">
        <f>(E899*2+F899*4+((E899-G899)/2-H899)*4+2*PI()*H899+(D899-2*F899-2*H899)*2)/1000</f>
        <v/>
      </c>
      <c r="N899" s="5" t="n">
        <v>101000</v>
      </c>
      <c r="O899" s="5" t="n">
        <v>7210</v>
      </c>
      <c r="P899" s="125" t="n">
        <v>24.7</v>
      </c>
      <c r="Q899" s="125" t="n">
        <v>6.6</v>
      </c>
      <c r="R899" s="5" t="n">
        <v>3380</v>
      </c>
      <c r="S899" s="125" t="n">
        <v>481</v>
      </c>
      <c r="T899" s="5" t="n">
        <v>3810</v>
      </c>
      <c r="U899" s="125" t="n">
        <v>742</v>
      </c>
      <c r="Y899">
        <f>SQRT((((VLOOKUP($X$4,$A$4:$D$1021,4,FALSE))-D899)^2)+(((VLOOKUP($X$4,$A$4:$E$1021,5,FALSE))-E899)^2))</f>
        <v/>
      </c>
    </row>
    <row r="900">
      <c r="A900" s="125" t="inlineStr">
        <is>
          <t>HY600X130</t>
        </is>
      </c>
      <c r="B900" s="129" t="inlineStr">
        <is>
          <t>HY</t>
        </is>
      </c>
      <c r="C900" s="125" t="n">
        <v>130</v>
      </c>
      <c r="D900" s="125" t="n">
        <v>600</v>
      </c>
      <c r="E900" s="125" t="n">
        <v>300</v>
      </c>
      <c r="F900" s="125" t="n">
        <v>19</v>
      </c>
      <c r="G900" s="125" t="n">
        <v>9</v>
      </c>
      <c r="H900" s="125" t="n">
        <v>13</v>
      </c>
      <c r="I900" s="125">
        <f>D900-(2*(H900+F900))</f>
        <v/>
      </c>
      <c r="J900" s="125">
        <f>D900/10 * F900/10 + 2*(E900/10 * G900/10)</f>
        <v/>
      </c>
      <c r="K900" s="125">
        <f>(E900/2)/F900</f>
        <v/>
      </c>
      <c r="L900" s="125">
        <f>I900/G900</f>
        <v/>
      </c>
      <c r="M900" s="125">
        <f>(E900*2+F900*4+((E900-G900)/2-H900)*4+2*PI()*H900+(D900-2*F900-2*H900)*2)/1000</f>
        <v/>
      </c>
      <c r="N900" s="5" t="n">
        <v>111000</v>
      </c>
      <c r="O900" s="5" t="n">
        <v>8550</v>
      </c>
      <c r="P900" s="125" t="n">
        <v>25.8</v>
      </c>
      <c r="Q900" s="125" t="n">
        <v>7.2</v>
      </c>
      <c r="R900" s="5" t="n">
        <v>3690</v>
      </c>
      <c r="S900" s="125" t="n">
        <v>570</v>
      </c>
      <c r="T900" s="5" t="n">
        <v>4060</v>
      </c>
      <c r="U900" s="125" t="n">
        <v>867</v>
      </c>
      <c r="Y900">
        <f>SQRT((((VLOOKUP($X$4,$A$4:$D$1021,4,FALSE))-D900)^2)+(((VLOOKUP($X$4,$A$4:$E$1021,5,FALSE))-E900)^2))</f>
        <v/>
      </c>
    </row>
    <row r="901">
      <c r="A901" s="125" t="inlineStr">
        <is>
          <t>HY600X194</t>
        </is>
      </c>
      <c r="B901" s="129" t="inlineStr">
        <is>
          <t>HY</t>
        </is>
      </c>
      <c r="C901" s="125" t="n">
        <v>194</v>
      </c>
      <c r="D901" s="125" t="n">
        <v>600</v>
      </c>
      <c r="E901" s="125" t="n">
        <v>250</v>
      </c>
      <c r="F901" s="125" t="n">
        <v>32</v>
      </c>
      <c r="G901" s="125" t="n">
        <v>16</v>
      </c>
      <c r="H901" s="125" t="n">
        <v>13</v>
      </c>
      <c r="I901" s="125">
        <f>D901-(2*(H901+F901))</f>
        <v/>
      </c>
      <c r="J901" s="125">
        <f>D901/10 * F901/10 + 2*(E901/10 * G901/10)</f>
        <v/>
      </c>
      <c r="K901" s="125">
        <f>(E901/2)/F901</f>
        <v/>
      </c>
      <c r="L901" s="125">
        <f>I901/G901</f>
        <v/>
      </c>
      <c r="M901" s="125">
        <f>(E901*2+F901*4+((E901-G901)/2-H901)*4+2*PI()*H901+(D901-2*F901-2*H901)*2)/1000</f>
        <v/>
      </c>
      <c r="N901" s="5" t="n">
        <v>151000</v>
      </c>
      <c r="O901" s="5" t="n">
        <v>8350</v>
      </c>
      <c r="P901" s="125" t="n">
        <v>24.7</v>
      </c>
      <c r="Q901" s="125" t="n">
        <v>5.8</v>
      </c>
      <c r="R901" s="5" t="n">
        <v>5020</v>
      </c>
      <c r="S901" s="125" t="n">
        <v>668</v>
      </c>
      <c r="T901" s="5" t="n">
        <v>5730</v>
      </c>
      <c r="U901" s="5" t="n">
        <v>1040</v>
      </c>
      <c r="Y901">
        <f>SQRT((((VLOOKUP($X$4,$A$4:$D$1021,4,FALSE))-D901)^2)+(((VLOOKUP($X$4,$A$4:$E$1021,5,FALSE))-E901)^2))</f>
        <v/>
      </c>
    </row>
    <row r="902">
      <c r="A902" s="125" t="inlineStr">
        <is>
          <t>HY600X179</t>
        </is>
      </c>
      <c r="B902" s="129" t="inlineStr">
        <is>
          <t>HY</t>
        </is>
      </c>
      <c r="C902" s="125" t="n">
        <v>179</v>
      </c>
      <c r="D902" s="125" t="n">
        <v>600</v>
      </c>
      <c r="E902" s="125" t="n">
        <v>250</v>
      </c>
      <c r="F902" s="125" t="n">
        <v>28</v>
      </c>
      <c r="G902" s="125" t="n">
        <v>16</v>
      </c>
      <c r="H902" s="125" t="n">
        <v>13</v>
      </c>
      <c r="I902" s="125">
        <f>D902-(2*(H902+F902))</f>
        <v/>
      </c>
      <c r="J902" s="125">
        <f>D902/10 * F902/10 + 2*(E902/10 * G902/10)</f>
        <v/>
      </c>
      <c r="K902" s="125">
        <f>(E902/2)/F902</f>
        <v/>
      </c>
      <c r="L902" s="125">
        <f>I902/G902</f>
        <v/>
      </c>
      <c r="M902" s="125">
        <f>(E902*2+F902*4+((E902-G902)/2-H902)*4+2*PI()*H902+(D902-2*F902-2*H902)*2)/1000</f>
        <v/>
      </c>
      <c r="N902" s="5" t="n">
        <v>137000</v>
      </c>
      <c r="O902" s="5" t="n">
        <v>7310</v>
      </c>
      <c r="P902" s="125" t="n">
        <v>24.5</v>
      </c>
      <c r="Q902" s="125" t="n">
        <v>5.7</v>
      </c>
      <c r="R902" s="5" t="n">
        <v>4570</v>
      </c>
      <c r="S902" s="125" t="n">
        <v>585</v>
      </c>
      <c r="T902" s="5" t="n">
        <v>5230</v>
      </c>
      <c r="U902" s="125" t="n">
        <v>911</v>
      </c>
      <c r="Y902">
        <f>SQRT((((VLOOKUP($X$4,$A$4:$D$1021,4,FALSE))-D902)^2)+(((VLOOKUP($X$4,$A$4:$E$1021,5,FALSE))-E902)^2))</f>
        <v/>
      </c>
    </row>
    <row r="903">
      <c r="A903" s="125" t="inlineStr">
        <is>
          <t>HY600X168</t>
        </is>
      </c>
      <c r="B903" s="129" t="inlineStr">
        <is>
          <t>HY</t>
        </is>
      </c>
      <c r="C903" s="125" t="n">
        <v>168</v>
      </c>
      <c r="D903" s="125" t="n">
        <v>600</v>
      </c>
      <c r="E903" s="125" t="n">
        <v>250</v>
      </c>
      <c r="F903" s="125" t="n">
        <v>25</v>
      </c>
      <c r="G903" s="125" t="n">
        <v>16</v>
      </c>
      <c r="H903" s="125" t="n">
        <v>13</v>
      </c>
      <c r="I903" s="125">
        <f>D903-(2*(H903+F903))</f>
        <v/>
      </c>
      <c r="J903" s="125">
        <f>D903/10 * F903/10 + 2*(E903/10 * G903/10)</f>
        <v/>
      </c>
      <c r="K903" s="125">
        <f>(E903/2)/F903</f>
        <v/>
      </c>
      <c r="L903" s="125">
        <f>I903/G903</f>
        <v/>
      </c>
      <c r="M903" s="125">
        <f>(E903*2+F903*4+((E903-G903)/2-H903)*4+2*PI()*H903+(D903-2*F903-2*H903)*2)/1000</f>
        <v/>
      </c>
      <c r="N903" s="5" t="n">
        <v>127000</v>
      </c>
      <c r="O903" s="5" t="n">
        <v>6530</v>
      </c>
      <c r="P903" s="125" t="n">
        <v>24.3</v>
      </c>
      <c r="Q903" s="125" t="n">
        <v>5.5</v>
      </c>
      <c r="R903" s="5" t="n">
        <v>4220</v>
      </c>
      <c r="S903" s="125" t="n">
        <v>522</v>
      </c>
      <c r="T903" s="5" t="n">
        <v>4840</v>
      </c>
      <c r="U903" s="125" t="n">
        <v>818</v>
      </c>
      <c r="Y903">
        <f>SQRT((((VLOOKUP($X$4,$A$4:$D$1021,4,FALSE))-D903)^2)+(((VLOOKUP($X$4,$A$4:$E$1021,5,FALSE))-E903)^2))</f>
        <v/>
      </c>
    </row>
    <row r="904">
      <c r="A904" s="125" t="inlineStr">
        <is>
          <t>HY600X157</t>
        </is>
      </c>
      <c r="B904" s="129" t="inlineStr">
        <is>
          <t>HY</t>
        </is>
      </c>
      <c r="C904" s="125" t="n">
        <v>157</v>
      </c>
      <c r="D904" s="125" t="n">
        <v>600</v>
      </c>
      <c r="E904" s="125" t="n">
        <v>250</v>
      </c>
      <c r="F904" s="125" t="n">
        <v>22</v>
      </c>
      <c r="G904" s="125" t="n">
        <v>16</v>
      </c>
      <c r="H904" s="125" t="n">
        <v>13</v>
      </c>
      <c r="I904" s="125">
        <f>D904-(2*(H904+F904))</f>
        <v/>
      </c>
      <c r="J904" s="125">
        <f>D904/10 * F904/10 + 2*(E904/10 * G904/10)</f>
        <v/>
      </c>
      <c r="K904" s="125">
        <f>(E904/2)/F904</f>
        <v/>
      </c>
      <c r="L904" s="125">
        <f>I904/G904</f>
        <v/>
      </c>
      <c r="M904" s="125">
        <f>(E904*2+F904*4+((E904-G904)/2-H904)*4+2*PI()*H904+(D904-2*F904-2*H904)*2)/1000</f>
        <v/>
      </c>
      <c r="N904" s="5" t="n">
        <v>116000</v>
      </c>
      <c r="O904" s="5" t="n">
        <v>5750</v>
      </c>
      <c r="P904" s="125" t="n">
        <v>24.1</v>
      </c>
      <c r="Q904" s="125" t="n">
        <v>5.4</v>
      </c>
      <c r="R904" s="5" t="n">
        <v>3860</v>
      </c>
      <c r="S904" s="125" t="n">
        <v>460</v>
      </c>
      <c r="T904" s="5" t="n">
        <v>4460</v>
      </c>
      <c r="U904" s="125" t="n">
        <v>725</v>
      </c>
      <c r="Y904">
        <f>SQRT((((VLOOKUP($X$4,$A$4:$D$1021,4,FALSE))-D904)^2)+(((VLOOKUP($X$4,$A$4:$E$1021,5,FALSE))-E904)^2))</f>
        <v/>
      </c>
    </row>
    <row r="905">
      <c r="A905" s="125" t="inlineStr">
        <is>
          <t>HY600X160</t>
        </is>
      </c>
      <c r="B905" s="129" t="inlineStr">
        <is>
          <t>HY</t>
        </is>
      </c>
      <c r="C905" s="125" t="n">
        <v>160</v>
      </c>
      <c r="D905" s="125" t="n">
        <v>600</v>
      </c>
      <c r="E905" s="125" t="n">
        <v>250</v>
      </c>
      <c r="F905" s="125" t="n">
        <v>25</v>
      </c>
      <c r="G905" s="125" t="n">
        <v>14</v>
      </c>
      <c r="H905" s="125" t="n">
        <v>13</v>
      </c>
      <c r="I905" s="125">
        <f>D905-(2*(H905+F905))</f>
        <v/>
      </c>
      <c r="J905" s="125">
        <f>D905/10 * F905/10 + 2*(E905/10 * G905/10)</f>
        <v/>
      </c>
      <c r="K905" s="125">
        <f>(E905/2)/F905</f>
        <v/>
      </c>
      <c r="L905" s="125">
        <f>I905/G905</f>
        <v/>
      </c>
      <c r="M905" s="125">
        <f>(E905*2+F905*4+((E905-G905)/2-H905)*4+2*PI()*H905+(D905-2*F905-2*H905)*2)/1000</f>
        <v/>
      </c>
      <c r="N905" s="5" t="n">
        <v>124000</v>
      </c>
      <c r="O905" s="5" t="n">
        <v>6520</v>
      </c>
      <c r="P905" s="125" t="n">
        <v>24.7</v>
      </c>
      <c r="Q905" s="125" t="n">
        <v>5.7</v>
      </c>
      <c r="R905" s="5" t="n">
        <v>4130</v>
      </c>
      <c r="S905" s="125" t="n">
        <v>522</v>
      </c>
      <c r="T905" s="5" t="n">
        <v>4690</v>
      </c>
      <c r="U905" s="125" t="n">
        <v>810</v>
      </c>
      <c r="Y905">
        <f>SQRT((((VLOOKUP($X$4,$A$4:$D$1021,4,FALSE))-D905)^2)+(((VLOOKUP($X$4,$A$4:$E$1021,5,FALSE))-E905)^2))</f>
        <v/>
      </c>
    </row>
    <row r="906">
      <c r="A906" s="125" t="inlineStr">
        <is>
          <t>HY600X149</t>
        </is>
      </c>
      <c r="B906" s="129" t="inlineStr">
        <is>
          <t>HY</t>
        </is>
      </c>
      <c r="C906" s="125" t="n">
        <v>149</v>
      </c>
      <c r="D906" s="125" t="n">
        <v>600</v>
      </c>
      <c r="E906" s="125" t="n">
        <v>250</v>
      </c>
      <c r="F906" s="125" t="n">
        <v>22</v>
      </c>
      <c r="G906" s="125" t="n">
        <v>14</v>
      </c>
      <c r="H906" s="125" t="n">
        <v>13</v>
      </c>
      <c r="I906" s="125">
        <f>D906-(2*(H906+F906))</f>
        <v/>
      </c>
      <c r="J906" s="125">
        <f>D906/10 * F906/10 + 2*(E906/10 * G906/10)</f>
        <v/>
      </c>
      <c r="K906" s="125">
        <f>(E906/2)/F906</f>
        <v/>
      </c>
      <c r="L906" s="125">
        <f>I906/G906</f>
        <v/>
      </c>
      <c r="M906" s="125">
        <f>(E906*2+F906*4+((E906-G906)/2-H906)*4+2*PI()*H906+(D906-2*F906-2*H906)*2)/1000</f>
        <v/>
      </c>
      <c r="N906" s="5" t="n">
        <v>113000</v>
      </c>
      <c r="O906" s="5" t="n">
        <v>5740</v>
      </c>
      <c r="P906" s="125" t="n">
        <v>24.4</v>
      </c>
      <c r="Q906" s="125" t="n">
        <v>5.5</v>
      </c>
      <c r="R906" s="5" t="n">
        <v>3770</v>
      </c>
      <c r="S906" s="125" t="n">
        <v>459</v>
      </c>
      <c r="T906" s="5" t="n">
        <v>4300</v>
      </c>
      <c r="U906" s="125" t="n">
        <v>716</v>
      </c>
      <c r="Y906">
        <f>SQRT((((VLOOKUP($X$4,$A$4:$D$1021,4,FALSE))-D906)^2)+(((VLOOKUP($X$4,$A$4:$E$1021,5,FALSE))-E906)^2))</f>
        <v/>
      </c>
    </row>
    <row r="907">
      <c r="A907" s="125" t="inlineStr">
        <is>
          <t>HY600X137</t>
        </is>
      </c>
      <c r="B907" s="129" t="inlineStr">
        <is>
          <t>HY</t>
        </is>
      </c>
      <c r="C907" s="125" t="n">
        <v>137</v>
      </c>
      <c r="D907" s="125" t="n">
        <v>600</v>
      </c>
      <c r="E907" s="125" t="n">
        <v>250</v>
      </c>
      <c r="F907" s="125" t="n">
        <v>19</v>
      </c>
      <c r="G907" s="125" t="n">
        <v>14</v>
      </c>
      <c r="H907" s="125" t="n">
        <v>13</v>
      </c>
      <c r="I907" s="125">
        <f>D907-(2*(H907+F907))</f>
        <v/>
      </c>
      <c r="J907" s="125">
        <f>D907/10 * F907/10 + 2*(E907/10 * G907/10)</f>
        <v/>
      </c>
      <c r="K907" s="125">
        <f>(E907/2)/F907</f>
        <v/>
      </c>
      <c r="L907" s="125">
        <f>I907/G907</f>
        <v/>
      </c>
      <c r="M907" s="125">
        <f>(E907*2+F907*4+((E907-G907)/2-H907)*4+2*PI()*H907+(D907-2*F907-2*H907)*2)/1000</f>
        <v/>
      </c>
      <c r="N907" s="5" t="n">
        <v>102000</v>
      </c>
      <c r="O907" s="5" t="n">
        <v>4960</v>
      </c>
      <c r="P907" s="125" t="n">
        <v>24.1</v>
      </c>
      <c r="Q907" s="125" t="n">
        <v>5.3</v>
      </c>
      <c r="R907" s="5" t="n">
        <v>3400</v>
      </c>
      <c r="S907" s="125" t="n">
        <v>397</v>
      </c>
      <c r="T907" s="5" t="n">
        <v>3910</v>
      </c>
      <c r="U907" s="125" t="n">
        <v>623</v>
      </c>
      <c r="Y907">
        <f>SQRT((((VLOOKUP($X$4,$A$4:$D$1021,4,FALSE))-D907)^2)+(((VLOOKUP($X$4,$A$4:$E$1021,5,FALSE))-E907)^2))</f>
        <v/>
      </c>
    </row>
    <row r="908">
      <c r="A908" s="125" t="inlineStr">
        <is>
          <t>HY600X162</t>
        </is>
      </c>
      <c r="B908" s="129" t="inlineStr">
        <is>
          <t>HY</t>
        </is>
      </c>
      <c r="C908" s="125" t="n">
        <v>162</v>
      </c>
      <c r="D908" s="125" t="n">
        <v>600</v>
      </c>
      <c r="E908" s="125" t="n">
        <v>250</v>
      </c>
      <c r="F908" s="125" t="n">
        <v>28</v>
      </c>
      <c r="G908" s="125" t="n">
        <v>12</v>
      </c>
      <c r="H908" s="125" t="n">
        <v>13</v>
      </c>
      <c r="I908" s="125">
        <f>D908-(2*(H908+F908))</f>
        <v/>
      </c>
      <c r="J908" s="125">
        <f>D908/10 * F908/10 + 2*(E908/10 * G908/10)</f>
        <v/>
      </c>
      <c r="K908" s="125">
        <f>(E908/2)/F908</f>
        <v/>
      </c>
      <c r="L908" s="125">
        <f>I908/G908</f>
        <v/>
      </c>
      <c r="M908" s="125">
        <f>(E908*2+F908*4+((E908-G908)/2-H908)*4+2*PI()*H908+(D908-2*F908-2*H908)*2)/1000</f>
        <v/>
      </c>
      <c r="N908" s="5" t="n">
        <v>132000</v>
      </c>
      <c r="O908" s="5" t="n">
        <v>7300</v>
      </c>
      <c r="P908" s="125" t="n">
        <v>25.2</v>
      </c>
      <c r="Q908" s="125" t="n">
        <v>5.9</v>
      </c>
      <c r="R908" s="5" t="n">
        <v>4390</v>
      </c>
      <c r="S908" s="125" t="n">
        <v>584</v>
      </c>
      <c r="T908" s="5" t="n">
        <v>4930</v>
      </c>
      <c r="U908" s="125" t="n">
        <v>896</v>
      </c>
      <c r="Y908">
        <f>SQRT((((VLOOKUP($X$4,$A$4:$D$1021,4,FALSE))-D908)^2)+(((VLOOKUP($X$4,$A$4:$E$1021,5,FALSE))-E908)^2))</f>
        <v/>
      </c>
    </row>
    <row r="909">
      <c r="A909" s="125" t="inlineStr">
        <is>
          <t>HY600X151</t>
        </is>
      </c>
      <c r="B909" s="129" t="inlineStr">
        <is>
          <t>HY</t>
        </is>
      </c>
      <c r="C909" s="125" t="n">
        <v>151</v>
      </c>
      <c r="D909" s="125" t="n">
        <v>600</v>
      </c>
      <c r="E909" s="125" t="n">
        <v>250</v>
      </c>
      <c r="F909" s="125" t="n">
        <v>25</v>
      </c>
      <c r="G909" s="125" t="n">
        <v>12</v>
      </c>
      <c r="H909" s="125" t="n">
        <v>13</v>
      </c>
      <c r="I909" s="125">
        <f>D909-(2*(H909+F909))</f>
        <v/>
      </c>
      <c r="J909" s="125">
        <f>D909/10 * F909/10 + 2*(E909/10 * G909/10)</f>
        <v/>
      </c>
      <c r="K909" s="125">
        <f>(E909/2)/F909</f>
        <v/>
      </c>
      <c r="L909" s="125">
        <f>I909/G909</f>
        <v/>
      </c>
      <c r="M909" s="125">
        <f>(E909*2+F909*4+((E909-G909)/2-H909)*4+2*PI()*H909+(D909-2*F909-2*H909)*2)/1000</f>
        <v/>
      </c>
      <c r="N909" s="5" t="n">
        <v>121000</v>
      </c>
      <c r="O909" s="5" t="n">
        <v>6520</v>
      </c>
      <c r="P909" s="125" t="n">
        <v>25.1</v>
      </c>
      <c r="Q909" s="125" t="n">
        <v>5.8</v>
      </c>
      <c r="R909" s="5" t="n">
        <v>4040</v>
      </c>
      <c r="S909" s="125" t="n">
        <v>522</v>
      </c>
      <c r="T909" s="5" t="n">
        <v>4540</v>
      </c>
      <c r="U909" s="125" t="n">
        <v>802</v>
      </c>
      <c r="Y909">
        <f>SQRT((((VLOOKUP($X$4,$A$4:$D$1021,4,FALSE))-D909)^2)+(((VLOOKUP($X$4,$A$4:$E$1021,5,FALSE))-E909)^2))</f>
        <v/>
      </c>
    </row>
    <row r="910">
      <c r="A910" s="125" t="inlineStr">
        <is>
          <t>HY600X140</t>
        </is>
      </c>
      <c r="B910" s="129" t="inlineStr">
        <is>
          <t>HY</t>
        </is>
      </c>
      <c r="C910" s="125" t="n">
        <v>140</v>
      </c>
      <c r="D910" s="125" t="n">
        <v>600</v>
      </c>
      <c r="E910" s="125" t="n">
        <v>250</v>
      </c>
      <c r="F910" s="125" t="n">
        <v>22</v>
      </c>
      <c r="G910" s="125" t="n">
        <v>12</v>
      </c>
      <c r="H910" s="125" t="n">
        <v>13</v>
      </c>
      <c r="I910" s="125">
        <f>D910-(2*(H910+F910))</f>
        <v/>
      </c>
      <c r="J910" s="125">
        <f>D910/10 * F910/10 + 2*(E910/10 * G910/10)</f>
        <v/>
      </c>
      <c r="K910" s="125">
        <f>(E910/2)/F910</f>
        <v/>
      </c>
      <c r="L910" s="125">
        <f>I910/G910</f>
        <v/>
      </c>
      <c r="M910" s="125">
        <f>(E910*2+F910*4+((E910-G910)/2-H910)*4+2*PI()*H910+(D910-2*F910-2*H910)*2)/1000</f>
        <v/>
      </c>
      <c r="N910" s="5" t="n">
        <v>110000</v>
      </c>
      <c r="O910" s="5" t="n">
        <v>5740</v>
      </c>
      <c r="P910" s="125" t="n">
        <v>24.9</v>
      </c>
      <c r="Q910" s="125" t="n">
        <v>5.7</v>
      </c>
      <c r="R910" s="5" t="n">
        <v>3670</v>
      </c>
      <c r="S910" s="125" t="n">
        <v>459</v>
      </c>
      <c r="T910" s="5" t="n">
        <v>4150</v>
      </c>
      <c r="U910" s="125" t="n">
        <v>709</v>
      </c>
      <c r="Y910">
        <f>SQRT((((VLOOKUP($X$4,$A$4:$D$1021,4,FALSE))-D910)^2)+(((VLOOKUP($X$4,$A$4:$E$1021,5,FALSE))-E910)^2))</f>
        <v/>
      </c>
    </row>
    <row r="911">
      <c r="A911" s="125" t="inlineStr">
        <is>
          <t>HY600X129</t>
        </is>
      </c>
      <c r="B911" s="129" t="inlineStr">
        <is>
          <t>HY</t>
        </is>
      </c>
      <c r="C911" s="125" t="n">
        <v>129</v>
      </c>
      <c r="D911" s="125" t="n">
        <v>600</v>
      </c>
      <c r="E911" s="125" t="n">
        <v>250</v>
      </c>
      <c r="F911" s="125" t="n">
        <v>19</v>
      </c>
      <c r="G911" s="125" t="n">
        <v>12</v>
      </c>
      <c r="H911" s="125" t="n">
        <v>13</v>
      </c>
      <c r="I911" s="125">
        <f>D911-(2*(H911+F911))</f>
        <v/>
      </c>
      <c r="J911" s="125">
        <f>D911/10 * F911/10 + 2*(E911/10 * G911/10)</f>
        <v/>
      </c>
      <c r="K911" s="125">
        <f>(E911/2)/F911</f>
        <v/>
      </c>
      <c r="L911" s="125">
        <f>I911/G911</f>
        <v/>
      </c>
      <c r="M911" s="125">
        <f>(E911*2+F911*4+((E911-G911)/2-H911)*4+2*PI()*H911+(D911-2*F911-2*H911)*2)/1000</f>
        <v/>
      </c>
      <c r="N911" s="5" t="n">
        <v>99100</v>
      </c>
      <c r="O911" s="5" t="n">
        <v>4960</v>
      </c>
      <c r="P911" s="125" t="n">
        <v>24.6</v>
      </c>
      <c r="Q911" s="125" t="n">
        <v>5.5</v>
      </c>
      <c r="R911" s="5" t="n">
        <v>3300</v>
      </c>
      <c r="S911" s="125" t="n">
        <v>397</v>
      </c>
      <c r="T911" s="5" t="n">
        <v>3750</v>
      </c>
      <c r="U911" s="125" t="n">
        <v>615</v>
      </c>
      <c r="Y911">
        <f>SQRT((((VLOOKUP($X$4,$A$4:$D$1021,4,FALSE))-D911)^2)+(((VLOOKUP($X$4,$A$4:$E$1021,5,FALSE))-E911)^2))</f>
        <v/>
      </c>
    </row>
    <row r="912">
      <c r="A912" s="125" t="inlineStr">
        <is>
          <t>HY600X117</t>
        </is>
      </c>
      <c r="B912" s="129" t="inlineStr">
        <is>
          <t>HY</t>
        </is>
      </c>
      <c r="C912" s="125" t="n">
        <v>117</v>
      </c>
      <c r="D912" s="125" t="n">
        <v>600</v>
      </c>
      <c r="E912" s="125" t="n">
        <v>250</v>
      </c>
      <c r="F912" s="125" t="n">
        <v>16</v>
      </c>
      <c r="G912" s="125" t="n">
        <v>12</v>
      </c>
      <c r="H912" s="125" t="n">
        <v>13</v>
      </c>
      <c r="I912" s="125">
        <f>D912-(2*(H912+F912))</f>
        <v/>
      </c>
      <c r="J912" s="125">
        <f>D912/10 * F912/10 + 2*(E912/10 * G912/10)</f>
        <v/>
      </c>
      <c r="K912" s="125">
        <f>(E912/2)/F912</f>
        <v/>
      </c>
      <c r="L912" s="125">
        <f>I912/G912</f>
        <v/>
      </c>
      <c r="M912" s="125">
        <f>(E912*2+F912*4+((E912-G912)/2-H912)*4+2*PI()*H912+(D912-2*F912-2*H912)*2)/1000</f>
        <v/>
      </c>
      <c r="N912" s="5" t="n">
        <v>87700</v>
      </c>
      <c r="O912" s="5" t="n">
        <v>4180</v>
      </c>
      <c r="P912" s="125" t="n">
        <v>24.2</v>
      </c>
      <c r="Q912" s="125" t="n">
        <v>5.3</v>
      </c>
      <c r="R912" s="5" t="n">
        <v>2920</v>
      </c>
      <c r="S912" s="125" t="n">
        <v>334</v>
      </c>
      <c r="T912" s="5" t="n">
        <v>3340</v>
      </c>
      <c r="U912" s="125" t="n">
        <v>522</v>
      </c>
      <c r="Y912">
        <f>SQRT((((VLOOKUP($X$4,$A$4:$D$1021,4,FALSE))-D912)^2)+(((VLOOKUP($X$4,$A$4:$E$1021,5,FALSE))-E912)^2))</f>
        <v/>
      </c>
    </row>
    <row r="913">
      <c r="A913" s="125" t="inlineStr">
        <is>
          <t>HY600X115</t>
        </is>
      </c>
      <c r="B913" s="129" t="inlineStr">
        <is>
          <t>HY</t>
        </is>
      </c>
      <c r="C913" s="125" t="n">
        <v>115</v>
      </c>
      <c r="D913" s="125" t="n">
        <v>600</v>
      </c>
      <c r="E913" s="125" t="n">
        <v>250</v>
      </c>
      <c r="F913" s="125" t="n">
        <v>19</v>
      </c>
      <c r="G913" s="125" t="n">
        <v>9</v>
      </c>
      <c r="H913" s="125" t="n">
        <v>13</v>
      </c>
      <c r="I913" s="125">
        <f>D913-(2*(H913+F913))</f>
        <v/>
      </c>
      <c r="J913" s="125">
        <f>D913/10 * F913/10 + 2*(E913/10 * G913/10)</f>
        <v/>
      </c>
      <c r="K913" s="125">
        <f>(E913/2)/F913</f>
        <v/>
      </c>
      <c r="L913" s="125">
        <f>I913/G913</f>
        <v/>
      </c>
      <c r="M913" s="125">
        <f>(E913*2+F913*4+((E913-G913)/2-H913)*4+2*PI()*H913+(D913-2*F913-2*H913)*2)/1000</f>
        <v/>
      </c>
      <c r="N913" s="5" t="n">
        <v>94600</v>
      </c>
      <c r="O913" s="5" t="n">
        <v>4950</v>
      </c>
      <c r="P913" s="125" t="n">
        <v>25.4</v>
      </c>
      <c r="Q913" s="125" t="n">
        <v>5.8</v>
      </c>
      <c r="R913" s="5" t="n">
        <v>3150</v>
      </c>
      <c r="S913" s="125" t="n">
        <v>396</v>
      </c>
      <c r="T913" s="5" t="n">
        <v>3510</v>
      </c>
      <c r="U913" s="125" t="n">
        <v>606</v>
      </c>
      <c r="Y913">
        <f>SQRT((((VLOOKUP($X$4,$A$4:$D$1021,4,FALSE))-D913)^2)+(((VLOOKUP($X$4,$A$4:$E$1021,5,FALSE))-E913)^2))</f>
        <v/>
      </c>
    </row>
    <row r="914">
      <c r="A914" s="125" t="inlineStr">
        <is>
          <t>HY600X104</t>
        </is>
      </c>
      <c r="B914" s="129" t="inlineStr">
        <is>
          <t>HY</t>
        </is>
      </c>
      <c r="C914" s="125" t="n">
        <v>104</v>
      </c>
      <c r="D914" s="125" t="n">
        <v>600</v>
      </c>
      <c r="E914" s="125" t="n">
        <v>250</v>
      </c>
      <c r="F914" s="125" t="n">
        <v>16</v>
      </c>
      <c r="G914" s="125" t="n">
        <v>9</v>
      </c>
      <c r="H914" s="125" t="n">
        <v>13</v>
      </c>
      <c r="I914" s="125">
        <f>D914-(2*(H914+F914))</f>
        <v/>
      </c>
      <c r="J914" s="125">
        <f>D914/10 * F914/10 + 2*(E914/10 * G914/10)</f>
        <v/>
      </c>
      <c r="K914" s="125">
        <f>(E914/2)/F914</f>
        <v/>
      </c>
      <c r="L914" s="125">
        <f>I914/G914</f>
        <v/>
      </c>
      <c r="M914" s="125">
        <f>(E914*2+F914*4+((E914-G914)/2-H914)*4+2*PI()*H914+(D914-2*F914-2*H914)*2)/1000</f>
        <v/>
      </c>
      <c r="N914" s="5" t="n">
        <v>83100</v>
      </c>
      <c r="O914" s="5" t="n">
        <v>4170</v>
      </c>
      <c r="P914" s="125" t="n">
        <v>25</v>
      </c>
      <c r="Q914" s="125" t="n">
        <v>5.6</v>
      </c>
      <c r="R914" s="5" t="n">
        <v>2770</v>
      </c>
      <c r="S914" s="125" t="n">
        <v>334</v>
      </c>
      <c r="T914" s="5" t="n">
        <v>3100</v>
      </c>
      <c r="U914" s="125" t="n">
        <v>513</v>
      </c>
      <c r="Y914">
        <f>SQRT((((VLOOKUP($X$4,$A$4:$D$1021,4,FALSE))-D914)^2)+(((VLOOKUP($X$4,$A$4:$E$1021,5,FALSE))-E914)^2))</f>
        <v/>
      </c>
    </row>
    <row r="915">
      <c r="A915" s="125" t="inlineStr">
        <is>
          <t>HY600X149</t>
        </is>
      </c>
      <c r="B915" s="129" t="inlineStr">
        <is>
          <t>HY</t>
        </is>
      </c>
      <c r="C915" s="125" t="n">
        <v>149</v>
      </c>
      <c r="D915" s="125" t="n">
        <v>600</v>
      </c>
      <c r="E915" s="125" t="n">
        <v>200</v>
      </c>
      <c r="F915" s="125" t="n">
        <v>28</v>
      </c>
      <c r="G915" s="125" t="n">
        <v>14</v>
      </c>
      <c r="H915" s="125" t="n">
        <v>13</v>
      </c>
      <c r="I915" s="125">
        <f>D915-(2*(H915+F915))</f>
        <v/>
      </c>
      <c r="J915" s="125">
        <f>D915/10 * F915/10 + 2*(E915/10 * G915/10)</f>
        <v/>
      </c>
      <c r="K915" s="125">
        <f>(E915/2)/F915</f>
        <v/>
      </c>
      <c r="L915" s="125">
        <f>I915/G915</f>
        <v/>
      </c>
      <c r="M915" s="125">
        <f>(E915*2+F915*4+((E915-G915)/2-H915)*4+2*PI()*H915+(D915-2*F915-2*H915)*2)/1000</f>
        <v/>
      </c>
      <c r="N915" s="5" t="n">
        <v>112000</v>
      </c>
      <c r="O915" s="5" t="n">
        <v>3750</v>
      </c>
      <c r="P915" s="125" t="n">
        <v>24.3</v>
      </c>
      <c r="Q915" s="125" t="n">
        <v>4.5</v>
      </c>
      <c r="R915" s="5" t="n">
        <v>3720</v>
      </c>
      <c r="S915" s="125" t="n">
        <v>375</v>
      </c>
      <c r="T915" s="5" t="n">
        <v>4280</v>
      </c>
      <c r="U915" s="125" t="n">
        <v>588</v>
      </c>
      <c r="Y915">
        <f>SQRT((((VLOOKUP($X$4,$A$4:$D$1021,4,FALSE))-D915)^2)+(((VLOOKUP($X$4,$A$4:$E$1021,5,FALSE))-E915)^2))</f>
        <v/>
      </c>
    </row>
    <row r="916">
      <c r="A916" s="125" t="inlineStr">
        <is>
          <t>HY600X140</t>
        </is>
      </c>
      <c r="B916" s="129" t="inlineStr">
        <is>
          <t>HY</t>
        </is>
      </c>
      <c r="C916" s="125" t="n">
        <v>140</v>
      </c>
      <c r="D916" s="125" t="n">
        <v>600</v>
      </c>
      <c r="E916" s="125" t="n">
        <v>200</v>
      </c>
      <c r="F916" s="125" t="n">
        <v>25</v>
      </c>
      <c r="G916" s="125" t="n">
        <v>14</v>
      </c>
      <c r="H916" s="125" t="n">
        <v>13</v>
      </c>
      <c r="I916" s="125">
        <f>D916-(2*(H916+F916))</f>
        <v/>
      </c>
      <c r="J916" s="125">
        <f>D916/10 * F916/10 + 2*(E916/10 * G916/10)</f>
        <v/>
      </c>
      <c r="K916" s="125">
        <f>(E916/2)/F916</f>
        <v/>
      </c>
      <c r="L916" s="125">
        <f>I916/G916</f>
        <v/>
      </c>
      <c r="M916" s="125">
        <f>(E916*2+F916*4+((E916-G916)/2-H916)*4+2*PI()*H916+(D916-2*F916-2*H916)*2)/1000</f>
        <v/>
      </c>
      <c r="N916" s="5" t="n">
        <v>103000</v>
      </c>
      <c r="O916" s="5" t="n">
        <v>3350</v>
      </c>
      <c r="P916" s="125" t="n">
        <v>24</v>
      </c>
      <c r="Q916" s="125" t="n">
        <v>4.3</v>
      </c>
      <c r="R916" s="5" t="n">
        <v>3440</v>
      </c>
      <c r="S916" s="125" t="n">
        <v>335</v>
      </c>
      <c r="T916" s="5" t="n">
        <v>3970</v>
      </c>
      <c r="U916" s="125" t="n">
        <v>528</v>
      </c>
      <c r="Y916">
        <f>SQRT((((VLOOKUP($X$4,$A$4:$D$1021,4,FALSE))-D916)^2)+(((VLOOKUP($X$4,$A$4:$E$1021,5,FALSE))-E916)^2))</f>
        <v/>
      </c>
    </row>
    <row r="917">
      <c r="A917" s="125" t="inlineStr">
        <is>
          <t>HY600X131</t>
        </is>
      </c>
      <c r="B917" s="129" t="inlineStr">
        <is>
          <t>HY</t>
        </is>
      </c>
      <c r="C917" s="125" t="n">
        <v>131</v>
      </c>
      <c r="D917" s="125" t="n">
        <v>600</v>
      </c>
      <c r="E917" s="125" t="n">
        <v>200</v>
      </c>
      <c r="F917" s="125" t="n">
        <v>22</v>
      </c>
      <c r="G917" s="125" t="n">
        <v>14</v>
      </c>
      <c r="H917" s="125" t="n">
        <v>13</v>
      </c>
      <c r="I917" s="125">
        <f>D917-(2*(H917+F917))</f>
        <v/>
      </c>
      <c r="J917" s="125">
        <f>D917/10 * F917/10 + 2*(E917/10 * G917/10)</f>
        <v/>
      </c>
      <c r="K917" s="125">
        <f>(E917/2)/F917</f>
        <v/>
      </c>
      <c r="L917" s="125">
        <f>I917/G917</f>
        <v/>
      </c>
      <c r="M917" s="125">
        <f>(E917*2+F917*4+((E917-G917)/2-H917)*4+2*PI()*H917+(D917-2*F917-2*H917)*2)/1000</f>
        <v/>
      </c>
      <c r="N917" s="5" t="n">
        <v>94700</v>
      </c>
      <c r="O917" s="5" t="n">
        <v>2950</v>
      </c>
      <c r="P917" s="125" t="n">
        <v>23.8</v>
      </c>
      <c r="Q917" s="125" t="n">
        <v>4.2</v>
      </c>
      <c r="R917" s="5" t="n">
        <v>3160</v>
      </c>
      <c r="S917" s="125" t="n">
        <v>295</v>
      </c>
      <c r="T917" s="5" t="n">
        <v>3670</v>
      </c>
      <c r="U917" s="125" t="n">
        <v>469</v>
      </c>
      <c r="Y917">
        <f>SQRT((((VLOOKUP($X$4,$A$4:$D$1021,4,FALSE))-D917)^2)+(((VLOOKUP($X$4,$A$4:$E$1021,5,FALSE))-E917)^2))</f>
        <v/>
      </c>
    </row>
    <row r="918">
      <c r="A918" s="125" t="inlineStr">
        <is>
          <t>HY600X123</t>
        </is>
      </c>
      <c r="B918" s="129" t="inlineStr">
        <is>
          <t>HY</t>
        </is>
      </c>
      <c r="C918" s="125" t="n">
        <v>123</v>
      </c>
      <c r="D918" s="125" t="n">
        <v>600</v>
      </c>
      <c r="E918" s="125" t="n">
        <v>200</v>
      </c>
      <c r="F918" s="125" t="n">
        <v>19</v>
      </c>
      <c r="G918" s="125" t="n">
        <v>14</v>
      </c>
      <c r="H918" s="125" t="n">
        <v>13</v>
      </c>
      <c r="I918" s="125">
        <f>D918-(2*(H918+F918))</f>
        <v/>
      </c>
      <c r="J918" s="125">
        <f>D918/10 * F918/10 + 2*(E918/10 * G918/10)</f>
        <v/>
      </c>
      <c r="K918" s="125">
        <f>(E918/2)/F918</f>
        <v/>
      </c>
      <c r="L918" s="125">
        <f>I918/G918</f>
        <v/>
      </c>
      <c r="M918" s="125">
        <f>(E918*2+F918*4+((E918-G918)/2-H918)*4+2*PI()*H918+(D918-2*F918-2*H918)*2)/1000</f>
        <v/>
      </c>
      <c r="N918" s="5" t="n">
        <v>86000</v>
      </c>
      <c r="O918" s="5" t="n">
        <v>2550</v>
      </c>
      <c r="P918" s="125" t="n">
        <v>23.5</v>
      </c>
      <c r="Q918" s="125" t="n">
        <v>4</v>
      </c>
      <c r="R918" s="5" t="n">
        <v>2870</v>
      </c>
      <c r="S918" s="125" t="n">
        <v>255</v>
      </c>
      <c r="T918" s="5" t="n">
        <v>3350</v>
      </c>
      <c r="U918" s="125" t="n">
        <v>409</v>
      </c>
      <c r="Y918">
        <f>SQRT((((VLOOKUP($X$4,$A$4:$D$1021,4,FALSE))-D918)^2)+(((VLOOKUP($X$4,$A$4:$E$1021,5,FALSE))-E918)^2))</f>
        <v/>
      </c>
    </row>
    <row r="919">
      <c r="A919" s="125" t="inlineStr">
        <is>
          <t>HY600X140</t>
        </is>
      </c>
      <c r="B919" s="129" t="inlineStr">
        <is>
          <t>HY</t>
        </is>
      </c>
      <c r="C919" s="125" t="n">
        <v>140</v>
      </c>
      <c r="D919" s="125" t="n">
        <v>600</v>
      </c>
      <c r="E919" s="125" t="n">
        <v>200</v>
      </c>
      <c r="F919" s="125" t="n">
        <v>28</v>
      </c>
      <c r="G919" s="125" t="n">
        <v>12</v>
      </c>
      <c r="H919" s="125" t="n">
        <v>13</v>
      </c>
      <c r="I919" s="125">
        <f>D919-(2*(H919+F919))</f>
        <v/>
      </c>
      <c r="J919" s="125">
        <f>D919/10 * F919/10 + 2*(E919/10 * G919/10)</f>
        <v/>
      </c>
      <c r="K919" s="125">
        <f>(E919/2)/F919</f>
        <v/>
      </c>
      <c r="L919" s="125">
        <f>I919/G919</f>
        <v/>
      </c>
      <c r="M919" s="125">
        <f>(E919*2+F919*4+((E919-G919)/2-H919)*4+2*PI()*H919+(D919-2*F919-2*H919)*2)/1000</f>
        <v/>
      </c>
      <c r="N919" s="5" t="n">
        <v>109000</v>
      </c>
      <c r="O919" s="5" t="n">
        <v>3740</v>
      </c>
      <c r="P919" s="125" t="n">
        <v>24.7</v>
      </c>
      <c r="Q919" s="125" t="n">
        <v>4.6</v>
      </c>
      <c r="R919" s="5" t="n">
        <v>3630</v>
      </c>
      <c r="S919" s="125" t="n">
        <v>374</v>
      </c>
      <c r="T919" s="5" t="n">
        <v>4130</v>
      </c>
      <c r="U919" s="125" t="n">
        <v>581</v>
      </c>
      <c r="Y919">
        <f>SQRT((((VLOOKUP($X$4,$A$4:$D$1021,4,FALSE))-D919)^2)+(((VLOOKUP($X$4,$A$4:$E$1021,5,FALSE))-E919)^2))</f>
        <v/>
      </c>
    </row>
    <row r="920">
      <c r="A920" s="125" t="inlineStr">
        <is>
          <t>HY600X131</t>
        </is>
      </c>
      <c r="B920" s="129" t="inlineStr">
        <is>
          <t>HY</t>
        </is>
      </c>
      <c r="C920" s="125" t="n">
        <v>131</v>
      </c>
      <c r="D920" s="125" t="n">
        <v>600</v>
      </c>
      <c r="E920" s="125" t="n">
        <v>200</v>
      </c>
      <c r="F920" s="125" t="n">
        <v>25</v>
      </c>
      <c r="G920" s="125" t="n">
        <v>12</v>
      </c>
      <c r="H920" s="125" t="n">
        <v>13</v>
      </c>
      <c r="I920" s="125">
        <f>D920-(2*(H920+F920))</f>
        <v/>
      </c>
      <c r="J920" s="125">
        <f>D920/10 * F920/10 + 2*(E920/10 * G920/10)</f>
        <v/>
      </c>
      <c r="K920" s="125">
        <f>(E920/2)/F920</f>
        <v/>
      </c>
      <c r="L920" s="125">
        <f>I920/G920</f>
        <v/>
      </c>
      <c r="M920" s="125">
        <f>(E920*2+F920*4+((E920-G920)/2-H920)*4+2*PI()*H920+(D920-2*F920-2*H920)*2)/1000</f>
        <v/>
      </c>
      <c r="N920" s="5" t="n">
        <v>100000</v>
      </c>
      <c r="O920" s="5" t="n">
        <v>3340</v>
      </c>
      <c r="P920" s="125" t="n">
        <v>24.5</v>
      </c>
      <c r="Q920" s="125" t="n">
        <v>4.5</v>
      </c>
      <c r="R920" s="5" t="n">
        <v>3350</v>
      </c>
      <c r="S920" s="125" t="n">
        <v>334</v>
      </c>
      <c r="T920" s="5" t="n">
        <v>3820</v>
      </c>
      <c r="U920" s="125" t="n">
        <v>521</v>
      </c>
      <c r="Y920">
        <f>SQRT((((VLOOKUP($X$4,$A$4:$D$1021,4,FALSE))-D920)^2)+(((VLOOKUP($X$4,$A$4:$E$1021,5,FALSE))-E920)^2))</f>
        <v/>
      </c>
    </row>
    <row r="921">
      <c r="A921" s="125" t="inlineStr">
        <is>
          <t>HY600X123</t>
        </is>
      </c>
      <c r="B921" s="129" t="inlineStr">
        <is>
          <t>HY</t>
        </is>
      </c>
      <c r="C921" s="125" t="n">
        <v>123</v>
      </c>
      <c r="D921" s="125" t="n">
        <v>600</v>
      </c>
      <c r="E921" s="125" t="n">
        <v>200</v>
      </c>
      <c r="F921" s="125" t="n">
        <v>22</v>
      </c>
      <c r="G921" s="125" t="n">
        <v>12</v>
      </c>
      <c r="H921" s="125" t="n">
        <v>13</v>
      </c>
      <c r="I921" s="125">
        <f>D921-(2*(H921+F921))</f>
        <v/>
      </c>
      <c r="J921" s="125">
        <f>D921/10 * F921/10 + 2*(E921/10 * G921/10)</f>
        <v/>
      </c>
      <c r="K921" s="125">
        <f>(E921/2)/F921</f>
        <v/>
      </c>
      <c r="L921" s="125">
        <f>I921/G921</f>
        <v/>
      </c>
      <c r="M921" s="125">
        <f>(E921*2+F921*4+((E921-G921)/2-H921)*4+2*PI()*H921+(D921-2*F921-2*H921)*2)/1000</f>
        <v/>
      </c>
      <c r="N921" s="5" t="n">
        <v>91800</v>
      </c>
      <c r="O921" s="5" t="n">
        <v>2940</v>
      </c>
      <c r="P921" s="125" t="n">
        <v>24.2</v>
      </c>
      <c r="Q921" s="125" t="n">
        <v>4.3</v>
      </c>
      <c r="R921" s="5" t="n">
        <v>3060</v>
      </c>
      <c r="S921" s="125" t="n">
        <v>294</v>
      </c>
      <c r="T921" s="5" t="n">
        <v>3510</v>
      </c>
      <c r="U921" s="125" t="n">
        <v>461</v>
      </c>
      <c r="Y921">
        <f>SQRT((((VLOOKUP($X$4,$A$4:$D$1021,4,FALSE))-D921)^2)+(((VLOOKUP($X$4,$A$4:$E$1021,5,FALSE))-E921)^2))</f>
        <v/>
      </c>
    </row>
    <row r="922">
      <c r="A922" s="125" t="inlineStr">
        <is>
          <t>HY600X114</t>
        </is>
      </c>
      <c r="B922" s="129" t="inlineStr">
        <is>
          <t>HY</t>
        </is>
      </c>
      <c r="C922" s="125" t="n">
        <v>114</v>
      </c>
      <c r="D922" s="125" t="n">
        <v>600</v>
      </c>
      <c r="E922" s="125" t="n">
        <v>200</v>
      </c>
      <c r="F922" s="125" t="n">
        <v>19</v>
      </c>
      <c r="G922" s="125" t="n">
        <v>12</v>
      </c>
      <c r="H922" s="125" t="n">
        <v>13</v>
      </c>
      <c r="I922" s="125">
        <f>D922-(2*(H922+F922))</f>
        <v/>
      </c>
      <c r="J922" s="125">
        <f>D922/10 * F922/10 + 2*(E922/10 * G922/10)</f>
        <v/>
      </c>
      <c r="K922" s="125">
        <f>(E922/2)/F922</f>
        <v/>
      </c>
      <c r="L922" s="125">
        <f>I922/G922</f>
        <v/>
      </c>
      <c r="M922" s="125">
        <f>(E922*2+F922*4+((E922-G922)/2-H922)*4+2*PI()*H922+(D922-2*F922-2*H922)*2)/1000</f>
        <v/>
      </c>
      <c r="N922" s="5" t="n">
        <v>83000</v>
      </c>
      <c r="O922" s="5" t="n">
        <v>2540</v>
      </c>
      <c r="P922" s="125" t="n">
        <v>23.9</v>
      </c>
      <c r="Q922" s="125" t="n">
        <v>4.2</v>
      </c>
      <c r="R922" s="5" t="n">
        <v>2770</v>
      </c>
      <c r="S922" s="125" t="n">
        <v>254</v>
      </c>
      <c r="T922" s="5" t="n">
        <v>3200</v>
      </c>
      <c r="U922" s="125" t="n">
        <v>402</v>
      </c>
      <c r="Y922">
        <f>SQRT((((VLOOKUP($X$4,$A$4:$D$1021,4,FALSE))-D922)^2)+(((VLOOKUP($X$4,$A$4:$E$1021,5,FALSE))-E922)^2))</f>
        <v/>
      </c>
    </row>
    <row r="923">
      <c r="A923" s="125" t="inlineStr">
        <is>
          <t>HY600X105</t>
        </is>
      </c>
      <c r="B923" s="129" t="inlineStr">
        <is>
          <t>HY</t>
        </is>
      </c>
      <c r="C923" s="125" t="n">
        <v>105</v>
      </c>
      <c r="D923" s="125" t="n">
        <v>600</v>
      </c>
      <c r="E923" s="125" t="n">
        <v>200</v>
      </c>
      <c r="F923" s="125" t="n">
        <v>16</v>
      </c>
      <c r="G923" s="125" t="n">
        <v>12</v>
      </c>
      <c r="H923" s="125" t="n">
        <v>13</v>
      </c>
      <c r="I923" s="125">
        <f>D923-(2*(H923+F923))</f>
        <v/>
      </c>
      <c r="J923" s="125">
        <f>D923/10 * F923/10 + 2*(E923/10 * G923/10)</f>
        <v/>
      </c>
      <c r="K923" s="125">
        <f>(E923/2)/F923</f>
        <v/>
      </c>
      <c r="L923" s="125">
        <f>I923/G923</f>
        <v/>
      </c>
      <c r="M923" s="125">
        <f>(E923*2+F923*4+((E923-G923)/2-H923)*4+2*PI()*H923+(D923-2*F923-2*H923)*2)/1000</f>
        <v/>
      </c>
      <c r="N923" s="5" t="n">
        <v>74100</v>
      </c>
      <c r="O923" s="5" t="n">
        <v>2140</v>
      </c>
      <c r="P923" s="125" t="n">
        <v>23.5</v>
      </c>
      <c r="Q923" s="125" t="n">
        <v>4</v>
      </c>
      <c r="R923" s="5" t="n">
        <v>2470</v>
      </c>
      <c r="S923" s="125" t="n">
        <v>214</v>
      </c>
      <c r="T923" s="5" t="n">
        <v>2880</v>
      </c>
      <c r="U923" s="125" t="n">
        <v>342</v>
      </c>
      <c r="Y923">
        <f>SQRT((((VLOOKUP($X$4,$A$4:$D$1021,4,FALSE))-D923)^2)+(((VLOOKUP($X$4,$A$4:$E$1021,5,FALSE))-E923)^2))</f>
        <v/>
      </c>
    </row>
    <row r="924">
      <c r="A924" s="125" t="inlineStr">
        <is>
          <t>HY600X109</t>
        </is>
      </c>
      <c r="B924" s="129" t="inlineStr">
        <is>
          <t>HY</t>
        </is>
      </c>
      <c r="C924" s="125" t="n">
        <v>109</v>
      </c>
      <c r="D924" s="125" t="n">
        <v>600</v>
      </c>
      <c r="E924" s="125" t="n">
        <v>200</v>
      </c>
      <c r="F924" s="125" t="n">
        <v>22</v>
      </c>
      <c r="G924" s="125" t="n">
        <v>9</v>
      </c>
      <c r="H924" s="125" t="n">
        <v>13</v>
      </c>
      <c r="I924" s="125">
        <f>D924-(2*(H924+F924))</f>
        <v/>
      </c>
      <c r="J924" s="125">
        <f>D924/10 * F924/10 + 2*(E924/10 * G924/10)</f>
        <v/>
      </c>
      <c r="K924" s="125">
        <f>(E924/2)/F924</f>
        <v/>
      </c>
      <c r="L924" s="125">
        <f>I924/G924</f>
        <v/>
      </c>
      <c r="M924" s="125">
        <f>(E924*2+F924*4+((E924-G924)/2-H924)*4+2*PI()*H924+(D924-2*F924-2*H924)*2)/1000</f>
        <v/>
      </c>
      <c r="N924" s="5" t="n">
        <v>87500</v>
      </c>
      <c r="O924" s="5" t="n">
        <v>2940</v>
      </c>
      <c r="P924" s="125" t="n">
        <v>25</v>
      </c>
      <c r="Q924" s="125" t="n">
        <v>4.6</v>
      </c>
      <c r="R924" s="5" t="n">
        <v>2920</v>
      </c>
      <c r="S924" s="125" t="n">
        <v>294</v>
      </c>
      <c r="T924" s="5" t="n">
        <v>3280</v>
      </c>
      <c r="U924" s="125" t="n">
        <v>452</v>
      </c>
      <c r="Y924">
        <f>SQRT((((VLOOKUP($X$4,$A$4:$D$1021,4,FALSE))-D924)^2)+(((VLOOKUP($X$4,$A$4:$E$1021,5,FALSE))-E924)^2))</f>
        <v/>
      </c>
    </row>
    <row r="925">
      <c r="A925" s="125" t="inlineStr">
        <is>
          <t>HY600X101</t>
        </is>
      </c>
      <c r="B925" s="129" t="inlineStr">
        <is>
          <t>HY</t>
        </is>
      </c>
      <c r="C925" s="125" t="n">
        <v>101</v>
      </c>
      <c r="D925" s="125" t="n">
        <v>600</v>
      </c>
      <c r="E925" s="125" t="n">
        <v>200</v>
      </c>
      <c r="F925" s="125" t="n">
        <v>19</v>
      </c>
      <c r="G925" s="125" t="n">
        <v>9</v>
      </c>
      <c r="H925" s="125" t="n">
        <v>13</v>
      </c>
      <c r="I925" s="125">
        <f>D925-(2*(H925+F925))</f>
        <v/>
      </c>
      <c r="J925" s="125">
        <f>D925/10 * F925/10 + 2*(E925/10 * G925/10)</f>
        <v/>
      </c>
      <c r="K925" s="125">
        <f>(E925/2)/F925</f>
        <v/>
      </c>
      <c r="L925" s="125">
        <f>I925/G925</f>
        <v/>
      </c>
      <c r="M925" s="125">
        <f>(E925*2+F925*4+((E925-G925)/2-H925)*4+2*PI()*H925+(D925-2*F925-2*H925)*2)/1000</f>
        <v/>
      </c>
      <c r="N925" s="5" t="n">
        <v>78600</v>
      </c>
      <c r="O925" s="5" t="n">
        <v>2540</v>
      </c>
      <c r="P925" s="125" t="n">
        <v>24.8</v>
      </c>
      <c r="Q925" s="125" t="n">
        <v>4.5</v>
      </c>
      <c r="R925" s="5" t="n">
        <v>2620</v>
      </c>
      <c r="S925" s="125" t="n">
        <v>254</v>
      </c>
      <c r="T925" s="5" t="n">
        <v>2960</v>
      </c>
      <c r="U925" s="125" t="n">
        <v>392</v>
      </c>
      <c r="Y925">
        <f>SQRT((((VLOOKUP($X$4,$A$4:$D$1021,4,FALSE))-D925)^2)+(((VLOOKUP($X$4,$A$4:$E$1021,5,FALSE))-E925)^2))</f>
        <v/>
      </c>
    </row>
    <row r="926">
      <c r="A926" s="125" t="inlineStr">
        <is>
          <t>HY600X91.5</t>
        </is>
      </c>
      <c r="B926" s="129" t="inlineStr">
        <is>
          <t>HY</t>
        </is>
      </c>
      <c r="C926" s="125" t="n">
        <v>91.5</v>
      </c>
      <c r="D926" s="125" t="n">
        <v>600</v>
      </c>
      <c r="E926" s="125" t="n">
        <v>200</v>
      </c>
      <c r="F926" s="125" t="n">
        <v>16</v>
      </c>
      <c r="G926" s="125" t="n">
        <v>9</v>
      </c>
      <c r="H926" s="125" t="n">
        <v>13</v>
      </c>
      <c r="I926" s="125">
        <f>D926-(2*(H926+F926))</f>
        <v/>
      </c>
      <c r="J926" s="125">
        <f>D926/10 * F926/10 + 2*(E926/10 * G926/10)</f>
        <v/>
      </c>
      <c r="K926" s="125">
        <f>(E926/2)/F926</f>
        <v/>
      </c>
      <c r="L926" s="125">
        <f>I926/G926</f>
        <v/>
      </c>
      <c r="M926" s="125">
        <f>(E926*2+F926*4+((E926-G926)/2-H926)*4+2*PI()*H926+(D926-2*F926-2*H926)*2)/1000</f>
        <v/>
      </c>
      <c r="N926" s="5" t="n">
        <v>69500</v>
      </c>
      <c r="O926" s="5" t="n">
        <v>2140</v>
      </c>
      <c r="P926" s="125" t="n">
        <v>24.4</v>
      </c>
      <c r="Q926" s="125" t="n">
        <v>4.3</v>
      </c>
      <c r="R926" s="5" t="n">
        <v>2320</v>
      </c>
      <c r="S926" s="125" t="n">
        <v>214</v>
      </c>
      <c r="T926" s="5" t="n">
        <v>2640</v>
      </c>
      <c r="U926" s="125" t="n">
        <v>333</v>
      </c>
      <c r="Y926">
        <f>SQRT((((VLOOKUP($X$4,$A$4:$D$1021,4,FALSE))-D926)^2)+(((VLOOKUP($X$4,$A$4:$E$1021,5,FALSE))-E926)^2))</f>
        <v/>
      </c>
    </row>
    <row r="927">
      <c r="A927" s="125" t="inlineStr">
        <is>
          <t>HY600X79.5</t>
        </is>
      </c>
      <c r="B927" s="129" t="inlineStr">
        <is>
          <t>HY</t>
        </is>
      </c>
      <c r="C927" s="125" t="n">
        <v>79.5</v>
      </c>
      <c r="D927" s="125" t="n">
        <v>600</v>
      </c>
      <c r="E927" s="125" t="n">
        <v>200</v>
      </c>
      <c r="F927" s="125" t="n">
        <v>12</v>
      </c>
      <c r="G927" s="125" t="n">
        <v>9</v>
      </c>
      <c r="H927" s="125" t="n">
        <v>13</v>
      </c>
      <c r="I927" s="125">
        <f>D927-(2*(H927+F927))</f>
        <v/>
      </c>
      <c r="J927" s="125">
        <f>D927/10 * F927/10 + 2*(E927/10 * G927/10)</f>
        <v/>
      </c>
      <c r="K927" s="125">
        <f>(E927/2)/F927</f>
        <v/>
      </c>
      <c r="L927" s="125">
        <f>I927/G927</f>
        <v/>
      </c>
      <c r="M927" s="125">
        <f>(E927*2+F927*4+((E927-G927)/2-H927)*4+2*PI()*H927+(D927-2*F927-2*H927)*2)/1000</f>
        <v/>
      </c>
      <c r="N927" s="5" t="n">
        <v>57000</v>
      </c>
      <c r="O927" s="5" t="n">
        <v>1600</v>
      </c>
      <c r="P927" s="125" t="n">
        <v>23.7</v>
      </c>
      <c r="Q927" s="125" t="n">
        <v>4</v>
      </c>
      <c r="R927" s="5" t="n">
        <v>1900</v>
      </c>
      <c r="S927" s="125" t="n">
        <v>160</v>
      </c>
      <c r="T927" s="5" t="n">
        <v>2200</v>
      </c>
      <c r="U927" s="125" t="n">
        <v>253</v>
      </c>
      <c r="Y927">
        <f>SQRT((((VLOOKUP($X$4,$A$4:$D$1021,4,FALSE))-D927)^2)+(((VLOOKUP($X$4,$A$4:$E$1021,5,FALSE))-E927)^2))</f>
        <v/>
      </c>
    </row>
    <row r="928">
      <c r="A928" s="125" t="inlineStr">
        <is>
          <t>HY550X213</t>
        </is>
      </c>
      <c r="B928" s="129" t="inlineStr">
        <is>
          <t>HY</t>
        </is>
      </c>
      <c r="C928" s="125" t="n">
        <v>213</v>
      </c>
      <c r="D928" s="125" t="n">
        <v>550</v>
      </c>
      <c r="E928" s="125" t="n">
        <v>300</v>
      </c>
      <c r="F928" s="125" t="n">
        <v>32</v>
      </c>
      <c r="G928" s="125" t="n">
        <v>16</v>
      </c>
      <c r="H928" s="125" t="n">
        <v>13</v>
      </c>
      <c r="I928" s="125">
        <f>D928-(2*(H928+F928))</f>
        <v/>
      </c>
      <c r="J928" s="125">
        <f>D928/10 * F928/10 + 2*(E928/10 * G928/10)</f>
        <v/>
      </c>
      <c r="K928" s="125">
        <f>(E928/2)/F928</f>
        <v/>
      </c>
      <c r="L928" s="125">
        <f>I928/G928</f>
        <v/>
      </c>
      <c r="M928" s="125">
        <f>(E928*2+F928*4+((E928-G928)/2-H928)*4+2*PI()*H928+(D928-2*F928-2*H928)*2)/1000</f>
        <v/>
      </c>
      <c r="N928" s="5" t="n">
        <v>145000</v>
      </c>
      <c r="O928" s="5" t="n">
        <v>14400</v>
      </c>
      <c r="P928" s="125" t="n">
        <v>23.1</v>
      </c>
      <c r="Q928" s="125" t="n">
        <v>7.3</v>
      </c>
      <c r="R928" s="5" t="n">
        <v>5280</v>
      </c>
      <c r="S928" s="125" t="n">
        <v>961</v>
      </c>
      <c r="T928" s="5" t="n">
        <v>5950</v>
      </c>
      <c r="U928" s="5" t="n">
        <v>1470</v>
      </c>
      <c r="Y928">
        <f>SQRT((((VLOOKUP($X$4,$A$4:$D$1021,4,FALSE))-D928)^2)+(((VLOOKUP($X$4,$A$4:$E$1021,5,FALSE))-E928)^2))</f>
        <v/>
      </c>
    </row>
    <row r="929">
      <c r="A929" s="125" t="inlineStr">
        <is>
          <t>HY550X195</t>
        </is>
      </c>
      <c r="B929" s="129" t="inlineStr">
        <is>
          <t>HY</t>
        </is>
      </c>
      <c r="C929" s="125" t="n">
        <v>195</v>
      </c>
      <c r="D929" s="125" t="n">
        <v>550</v>
      </c>
      <c r="E929" s="125" t="n">
        <v>300</v>
      </c>
      <c r="F929" s="125" t="n">
        <v>28</v>
      </c>
      <c r="G929" s="125" t="n">
        <v>16</v>
      </c>
      <c r="H929" s="125" t="n">
        <v>13</v>
      </c>
      <c r="I929" s="125">
        <f>D929-(2*(H929+F929))</f>
        <v/>
      </c>
      <c r="J929" s="125">
        <f>D929/10 * F929/10 + 2*(E929/10 * G929/10)</f>
        <v/>
      </c>
      <c r="K929" s="125">
        <f>(E929/2)/F929</f>
        <v/>
      </c>
      <c r="L929" s="125">
        <f>I929/G929</f>
        <v/>
      </c>
      <c r="M929" s="125">
        <f>(E929*2+F929*4+((E929-G929)/2-H929)*4+2*PI()*H929+(D929-2*F929-2*H929)*2)/1000</f>
        <v/>
      </c>
      <c r="N929" s="5" t="n">
        <v>131000</v>
      </c>
      <c r="O929" s="5" t="n">
        <v>12600</v>
      </c>
      <c r="P929" s="125" t="n">
        <v>23</v>
      </c>
      <c r="Q929" s="125" t="n">
        <v>7.1</v>
      </c>
      <c r="R929" s="5" t="n">
        <v>4780</v>
      </c>
      <c r="S929" s="125" t="n">
        <v>841</v>
      </c>
      <c r="T929" s="5" t="n">
        <v>5400</v>
      </c>
      <c r="U929" s="5" t="n">
        <v>1290</v>
      </c>
      <c r="Y929">
        <f>SQRT((((VLOOKUP($X$4,$A$4:$D$1021,4,FALSE))-D929)^2)+(((VLOOKUP($X$4,$A$4:$E$1021,5,FALSE))-E929)^2))</f>
        <v/>
      </c>
    </row>
    <row r="930">
      <c r="A930" s="125" t="inlineStr">
        <is>
          <t>HY550X182</t>
        </is>
      </c>
      <c r="B930" s="129" t="inlineStr">
        <is>
          <t>HY</t>
        </is>
      </c>
      <c r="C930" s="125" t="n">
        <v>182</v>
      </c>
      <c r="D930" s="125" t="n">
        <v>550</v>
      </c>
      <c r="E930" s="125" t="n">
        <v>300</v>
      </c>
      <c r="F930" s="125" t="n">
        <v>25</v>
      </c>
      <c r="G930" s="125" t="n">
        <v>16</v>
      </c>
      <c r="H930" s="125" t="n">
        <v>13</v>
      </c>
      <c r="I930" s="125">
        <f>D930-(2*(H930+F930))</f>
        <v/>
      </c>
      <c r="J930" s="125">
        <f>D930/10 * F930/10 + 2*(E930/10 * G930/10)</f>
        <v/>
      </c>
      <c r="K930" s="125">
        <f>(E930/2)/F930</f>
        <v/>
      </c>
      <c r="L930" s="125">
        <f>I930/G930</f>
        <v/>
      </c>
      <c r="M930" s="125">
        <f>(E930*2+F930*4+((E930-G930)/2-H930)*4+2*PI()*H930+(D930-2*F930-2*H930)*2)/1000</f>
        <v/>
      </c>
      <c r="N930" s="5" t="n">
        <v>121000</v>
      </c>
      <c r="O930" s="5" t="n">
        <v>11300</v>
      </c>
      <c r="P930" s="125" t="n">
        <v>22.9</v>
      </c>
      <c r="Q930" s="125" t="n">
        <v>7</v>
      </c>
      <c r="R930" s="5" t="n">
        <v>4400</v>
      </c>
      <c r="S930" s="125" t="n">
        <v>751</v>
      </c>
      <c r="T930" s="5" t="n">
        <v>4970</v>
      </c>
      <c r="U930" s="5" t="n">
        <v>1160</v>
      </c>
      <c r="Y930">
        <f>SQRT((((VLOOKUP($X$4,$A$4:$D$1021,4,FALSE))-D930)^2)+(((VLOOKUP($X$4,$A$4:$E$1021,5,FALSE))-E930)^2))</f>
        <v/>
      </c>
    </row>
    <row r="931">
      <c r="A931" s="125" t="inlineStr">
        <is>
          <t>HY550X168</t>
        </is>
      </c>
      <c r="B931" s="129" t="inlineStr">
        <is>
          <t>HY</t>
        </is>
      </c>
      <c r="C931" s="125" t="n">
        <v>168</v>
      </c>
      <c r="D931" s="125" t="n">
        <v>550</v>
      </c>
      <c r="E931" s="125" t="n">
        <v>300</v>
      </c>
      <c r="F931" s="125" t="n">
        <v>22</v>
      </c>
      <c r="G931" s="125" t="n">
        <v>16</v>
      </c>
      <c r="H931" s="125" t="n">
        <v>13</v>
      </c>
      <c r="I931" s="125">
        <f>D931-(2*(H931+F931))</f>
        <v/>
      </c>
      <c r="J931" s="125">
        <f>D931/10 * F931/10 + 2*(E931/10 * G931/10)</f>
        <v/>
      </c>
      <c r="K931" s="125">
        <f>(E931/2)/F931</f>
        <v/>
      </c>
      <c r="L931" s="125">
        <f>I931/G931</f>
        <v/>
      </c>
      <c r="M931" s="125">
        <f>(E931*2+F931*4+((E931-G931)/2-H931)*4+2*PI()*H931+(D931-2*F931-2*H931)*2)/1000</f>
        <v/>
      </c>
      <c r="N931" s="5" t="n">
        <v>110000</v>
      </c>
      <c r="O931" s="5" t="n">
        <v>9920</v>
      </c>
      <c r="P931" s="125" t="n">
        <v>22.7</v>
      </c>
      <c r="Q931" s="125" t="n">
        <v>6.8</v>
      </c>
      <c r="R931" s="5" t="n">
        <v>4010</v>
      </c>
      <c r="S931" s="125" t="n">
        <v>661</v>
      </c>
      <c r="T931" s="5" t="n">
        <v>4550</v>
      </c>
      <c r="U931" s="5" t="n">
        <v>1020</v>
      </c>
      <c r="Y931">
        <f>SQRT((((VLOOKUP($X$4,$A$4:$D$1021,4,FALSE))-D931)^2)+(((VLOOKUP($X$4,$A$4:$E$1021,5,FALSE))-E931)^2))</f>
        <v/>
      </c>
    </row>
    <row r="932">
      <c r="A932" s="125" t="inlineStr">
        <is>
          <t>HY550X180</t>
        </is>
      </c>
      <c r="B932" s="129" t="inlineStr">
        <is>
          <t>HY</t>
        </is>
      </c>
      <c r="C932" s="125" t="n">
        <v>180</v>
      </c>
      <c r="D932" s="125" t="n">
        <v>550</v>
      </c>
      <c r="E932" s="125" t="n">
        <v>300</v>
      </c>
      <c r="F932" s="125" t="n">
        <v>28</v>
      </c>
      <c r="G932" s="125" t="n">
        <v>12</v>
      </c>
      <c r="H932" s="125" t="n">
        <v>13</v>
      </c>
      <c r="I932" s="125">
        <f>D932-(2*(H932+F932))</f>
        <v/>
      </c>
      <c r="J932" s="125">
        <f>D932/10 * F932/10 + 2*(E932/10 * G932/10)</f>
        <v/>
      </c>
      <c r="K932" s="125">
        <f>(E932/2)/F932</f>
        <v/>
      </c>
      <c r="L932" s="125">
        <f>I932/G932</f>
        <v/>
      </c>
      <c r="M932" s="125">
        <f>(E932*2+F932*4+((E932-G932)/2-H932)*4+2*PI()*H932+(D932-2*F932-2*H932)*2)/1000</f>
        <v/>
      </c>
      <c r="N932" s="5" t="n">
        <v>127000</v>
      </c>
      <c r="O932" s="5" t="n">
        <v>12600</v>
      </c>
      <c r="P932" s="125" t="n">
        <v>23.6</v>
      </c>
      <c r="Q932" s="125" t="n">
        <v>7.4</v>
      </c>
      <c r="R932" s="5" t="n">
        <v>4640</v>
      </c>
      <c r="S932" s="125" t="n">
        <v>841</v>
      </c>
      <c r="T932" s="5" t="n">
        <v>5150</v>
      </c>
      <c r="U932" s="5" t="n">
        <v>1280</v>
      </c>
      <c r="Y932">
        <f>SQRT((((VLOOKUP($X$4,$A$4:$D$1021,4,FALSE))-D932)^2)+(((VLOOKUP($X$4,$A$4:$E$1021,5,FALSE))-E932)^2))</f>
        <v/>
      </c>
    </row>
    <row r="933">
      <c r="A933" s="125" t="inlineStr">
        <is>
          <t>HY550X166</t>
        </is>
      </c>
      <c r="B933" s="129" t="inlineStr">
        <is>
          <t>HY</t>
        </is>
      </c>
      <c r="C933" s="125" t="n">
        <v>166</v>
      </c>
      <c r="D933" s="125" t="n">
        <v>550</v>
      </c>
      <c r="E933" s="125" t="n">
        <v>300</v>
      </c>
      <c r="F933" s="125" t="n">
        <v>25</v>
      </c>
      <c r="G933" s="125" t="n">
        <v>12</v>
      </c>
      <c r="H933" s="125" t="n">
        <v>13</v>
      </c>
      <c r="I933" s="125">
        <f>D933-(2*(H933+F933))</f>
        <v/>
      </c>
      <c r="J933" s="125">
        <f>D933/10 * F933/10 + 2*(E933/10 * G933/10)</f>
        <v/>
      </c>
      <c r="K933" s="125">
        <f>(E933/2)/F933</f>
        <v/>
      </c>
      <c r="L933" s="125">
        <f>I933/G933</f>
        <v/>
      </c>
      <c r="M933" s="125">
        <f>(E933*2+F933*4+((E933-G933)/2-H933)*4+2*PI()*H933+(D933-2*F933-2*H933)*2)/1000</f>
        <v/>
      </c>
      <c r="N933" s="5" t="n">
        <v>117000</v>
      </c>
      <c r="O933" s="5" t="n">
        <v>11300</v>
      </c>
      <c r="P933" s="125" t="n">
        <v>23.5</v>
      </c>
      <c r="Q933" s="125" t="n">
        <v>7.3</v>
      </c>
      <c r="R933" s="5" t="n">
        <v>4250</v>
      </c>
      <c r="S933" s="125" t="n">
        <v>751</v>
      </c>
      <c r="T933" s="5" t="n">
        <v>4720</v>
      </c>
      <c r="U933" s="5" t="n">
        <v>1140</v>
      </c>
      <c r="Y933">
        <f>SQRT((((VLOOKUP($X$4,$A$4:$D$1021,4,FALSE))-D933)^2)+(((VLOOKUP($X$4,$A$4:$E$1021,5,FALSE))-E933)^2))</f>
        <v/>
      </c>
    </row>
    <row r="934">
      <c r="A934" s="125" t="inlineStr">
        <is>
          <t>HY550X152</t>
        </is>
      </c>
      <c r="B934" s="129" t="inlineStr">
        <is>
          <t>HY</t>
        </is>
      </c>
      <c r="C934" s="125" t="n">
        <v>152</v>
      </c>
      <c r="D934" s="125" t="n">
        <v>550</v>
      </c>
      <c r="E934" s="125" t="n">
        <v>300</v>
      </c>
      <c r="F934" s="125" t="n">
        <v>22</v>
      </c>
      <c r="G934" s="125" t="n">
        <v>12</v>
      </c>
      <c r="H934" s="125" t="n">
        <v>13</v>
      </c>
      <c r="I934" s="125">
        <f>D934-(2*(H934+F934))</f>
        <v/>
      </c>
      <c r="J934" s="125">
        <f>D934/10 * F934/10 + 2*(E934/10 * G934/10)</f>
        <v/>
      </c>
      <c r="K934" s="125">
        <f>(E934/2)/F934</f>
        <v/>
      </c>
      <c r="L934" s="125">
        <f>I934/G934</f>
        <v/>
      </c>
      <c r="M934" s="125">
        <f>(E934*2+F934*4+((E934-G934)/2-H934)*4+2*PI()*H934+(D934-2*F934-2*H934)*2)/1000</f>
        <v/>
      </c>
      <c r="N934" s="5" t="n">
        <v>106000</v>
      </c>
      <c r="O934" s="5" t="n">
        <v>9910</v>
      </c>
      <c r="P934" s="125" t="n">
        <v>23.4</v>
      </c>
      <c r="Q934" s="125" t="n">
        <v>7.1</v>
      </c>
      <c r="R934" s="5" t="n">
        <v>3850</v>
      </c>
      <c r="S934" s="125" t="n">
        <v>661</v>
      </c>
      <c r="T934" s="5" t="n">
        <v>4290</v>
      </c>
      <c r="U934" s="5" t="n">
        <v>1010</v>
      </c>
      <c r="Y934">
        <f>SQRT((((VLOOKUP($X$4,$A$4:$D$1021,4,FALSE))-D934)^2)+(((VLOOKUP($X$4,$A$4:$E$1021,5,FALSE))-E934)^2))</f>
        <v/>
      </c>
    </row>
    <row r="935">
      <c r="A935" s="125" t="inlineStr">
        <is>
          <t>HY550X139</t>
        </is>
      </c>
      <c r="B935" s="129" t="inlineStr">
        <is>
          <t>HY</t>
        </is>
      </c>
      <c r="C935" s="125" t="n">
        <v>139</v>
      </c>
      <c r="D935" s="125" t="n">
        <v>550</v>
      </c>
      <c r="E935" s="125" t="n">
        <v>300</v>
      </c>
      <c r="F935" s="125" t="n">
        <v>19</v>
      </c>
      <c r="G935" s="125" t="n">
        <v>12</v>
      </c>
      <c r="H935" s="125" t="n">
        <v>13</v>
      </c>
      <c r="I935" s="125">
        <f>D935-(2*(H935+F935))</f>
        <v/>
      </c>
      <c r="J935" s="125">
        <f>D935/10 * F935/10 + 2*(E935/10 * G935/10)</f>
        <v/>
      </c>
      <c r="K935" s="125">
        <f>(E935/2)/F935</f>
        <v/>
      </c>
      <c r="L935" s="125">
        <f>I935/G935</f>
        <v/>
      </c>
      <c r="M935" s="125">
        <f>(E935*2+F935*4+((E935-G935)/2-H935)*4+2*PI()*H935+(D935-2*F935-2*H935)*2)/1000</f>
        <v/>
      </c>
      <c r="N935" s="5" t="n">
        <v>94700</v>
      </c>
      <c r="O935" s="5" t="n">
        <v>8560</v>
      </c>
      <c r="P935" s="125" t="n">
        <v>23.1</v>
      </c>
      <c r="Q935" s="125" t="n">
        <v>7</v>
      </c>
      <c r="R935" s="5" t="n">
        <v>3450</v>
      </c>
      <c r="S935" s="125" t="n">
        <v>571</v>
      </c>
      <c r="T935" s="5" t="n">
        <v>3850</v>
      </c>
      <c r="U935" s="125" t="n">
        <v>875</v>
      </c>
      <c r="Y935">
        <f>SQRT((((VLOOKUP($X$4,$A$4:$D$1021,4,FALSE))-D935)^2)+(((VLOOKUP($X$4,$A$4:$E$1021,5,FALSE))-E935)^2))</f>
        <v/>
      </c>
    </row>
    <row r="936">
      <c r="A936" s="125" t="inlineStr">
        <is>
          <t>HY550X125</t>
        </is>
      </c>
      <c r="B936" s="129" t="inlineStr">
        <is>
          <t>HY</t>
        </is>
      </c>
      <c r="C936" s="125" t="n">
        <v>125</v>
      </c>
      <c r="D936" s="125" t="n">
        <v>550</v>
      </c>
      <c r="E936" s="125" t="n">
        <v>300</v>
      </c>
      <c r="F936" s="125" t="n">
        <v>16</v>
      </c>
      <c r="G936" s="125" t="n">
        <v>12</v>
      </c>
      <c r="H936" s="125" t="n">
        <v>13</v>
      </c>
      <c r="I936" s="125">
        <f>D936-(2*(H936+F936))</f>
        <v/>
      </c>
      <c r="J936" s="125">
        <f>D936/10 * F936/10 + 2*(E936/10 * G936/10)</f>
        <v/>
      </c>
      <c r="K936" s="125">
        <f>(E936/2)/F936</f>
        <v/>
      </c>
      <c r="L936" s="125">
        <f>I936/G936</f>
        <v/>
      </c>
      <c r="M936" s="125">
        <f>(E936*2+F936*4+((E936-G936)/2-H936)*4+2*PI()*H936+(D936-2*F936-2*H936)*2)/1000</f>
        <v/>
      </c>
      <c r="N936" s="5" t="n">
        <v>83300</v>
      </c>
      <c r="O936" s="5" t="n">
        <v>7210</v>
      </c>
      <c r="P936" s="125" t="n">
        <v>22.8</v>
      </c>
      <c r="Q936" s="125" t="n">
        <v>6.7</v>
      </c>
      <c r="R936" s="5" t="n">
        <v>3030</v>
      </c>
      <c r="S936" s="125" t="n">
        <v>481</v>
      </c>
      <c r="T936" s="5" t="n">
        <v>3410</v>
      </c>
      <c r="U936" s="125" t="n">
        <v>740</v>
      </c>
      <c r="Y936">
        <f>SQRT((((VLOOKUP($X$4,$A$4:$D$1021,4,FALSE))-D936)^2)+(((VLOOKUP($X$4,$A$4:$E$1021,5,FALSE))-E936)^2))</f>
        <v/>
      </c>
    </row>
    <row r="937">
      <c r="A937" s="125" t="inlineStr">
        <is>
          <t>HY550X127</t>
        </is>
      </c>
      <c r="B937" s="129" t="inlineStr">
        <is>
          <t>HY</t>
        </is>
      </c>
      <c r="C937" s="125" t="n">
        <v>127</v>
      </c>
      <c r="D937" s="125" t="n">
        <v>550</v>
      </c>
      <c r="E937" s="125" t="n">
        <v>300</v>
      </c>
      <c r="F937" s="125" t="n">
        <v>19</v>
      </c>
      <c r="G937" s="125" t="n">
        <v>9</v>
      </c>
      <c r="H937" s="125" t="n">
        <v>13</v>
      </c>
      <c r="I937" s="125">
        <f>D937-(2*(H937+F937))</f>
        <v/>
      </c>
      <c r="J937" s="125">
        <f>D937/10 * F937/10 + 2*(E937/10 * G937/10)</f>
        <v/>
      </c>
      <c r="K937" s="125">
        <f>(E937/2)/F937</f>
        <v/>
      </c>
      <c r="L937" s="125">
        <f>I937/G937</f>
        <v/>
      </c>
      <c r="M937" s="125">
        <f>(E937*2+F937*4+((E937-G937)/2-H937)*4+2*PI()*H937+(D937-2*F937-2*H937)*2)/1000</f>
        <v/>
      </c>
      <c r="N937" s="5" t="n">
        <v>91400</v>
      </c>
      <c r="O937" s="5" t="n">
        <v>8550</v>
      </c>
      <c r="P937" s="125" t="n">
        <v>23.8</v>
      </c>
      <c r="Q937" s="125" t="n">
        <v>7.3</v>
      </c>
      <c r="R937" s="5" t="n">
        <v>3320</v>
      </c>
      <c r="S937" s="125" t="n">
        <v>570</v>
      </c>
      <c r="T937" s="5" t="n">
        <v>3650</v>
      </c>
      <c r="U937" s="125" t="n">
        <v>866</v>
      </c>
      <c r="Y937">
        <f>SQRT((((VLOOKUP($X$4,$A$4:$D$1021,4,FALSE))-D937)^2)+(((VLOOKUP($X$4,$A$4:$E$1021,5,FALSE))-E937)^2))</f>
        <v/>
      </c>
    </row>
    <row r="938">
      <c r="A938" s="125" t="inlineStr">
        <is>
          <t>HY550X113</t>
        </is>
      </c>
      <c r="B938" s="129" t="inlineStr">
        <is>
          <t>HY</t>
        </is>
      </c>
      <c r="C938" s="125" t="n">
        <v>113</v>
      </c>
      <c r="D938" s="125" t="n">
        <v>550</v>
      </c>
      <c r="E938" s="125" t="n">
        <v>300</v>
      </c>
      <c r="F938" s="125" t="n">
        <v>16</v>
      </c>
      <c r="G938" s="125" t="n">
        <v>9</v>
      </c>
      <c r="H938" s="125" t="n">
        <v>13</v>
      </c>
      <c r="I938" s="125">
        <f>D938-(2*(H938+F938))</f>
        <v/>
      </c>
      <c r="J938" s="125">
        <f>D938/10 * F938/10 + 2*(E938/10 * G938/10)</f>
        <v/>
      </c>
      <c r="K938" s="125">
        <f>(E938/2)/F938</f>
        <v/>
      </c>
      <c r="L938" s="125">
        <f>I938/G938</f>
        <v/>
      </c>
      <c r="M938" s="125">
        <f>(E938*2+F938*4+((E938-G938)/2-H938)*4+2*PI()*H938+(D938-2*F938-2*H938)*2)/1000</f>
        <v/>
      </c>
      <c r="N938" s="5" t="n">
        <v>79800</v>
      </c>
      <c r="O938" s="5" t="n">
        <v>7200</v>
      </c>
      <c r="P938" s="125" t="n">
        <v>23.5</v>
      </c>
      <c r="Q938" s="125" t="n">
        <v>7.1</v>
      </c>
      <c r="R938" s="5" t="n">
        <v>2900</v>
      </c>
      <c r="S938" s="125" t="n">
        <v>480</v>
      </c>
      <c r="T938" s="5" t="n">
        <v>3200</v>
      </c>
      <c r="U938" s="125" t="n">
        <v>732</v>
      </c>
      <c r="Y938">
        <f>SQRT((((VLOOKUP($X$4,$A$4:$D$1021,4,FALSE))-D938)^2)+(((VLOOKUP($X$4,$A$4:$E$1021,5,FALSE))-E938)^2))</f>
        <v/>
      </c>
    </row>
    <row r="939">
      <c r="A939" s="125" t="inlineStr">
        <is>
          <t>HY550X188</t>
        </is>
      </c>
      <c r="B939" s="129" t="inlineStr">
        <is>
          <t>HY</t>
        </is>
      </c>
      <c r="C939" s="125" t="n">
        <v>188</v>
      </c>
      <c r="D939" s="125" t="n">
        <v>550</v>
      </c>
      <c r="E939" s="125" t="n">
        <v>250</v>
      </c>
      <c r="F939" s="125" t="n">
        <v>32</v>
      </c>
      <c r="G939" s="125" t="n">
        <v>16</v>
      </c>
      <c r="H939" s="125" t="n">
        <v>13</v>
      </c>
      <c r="I939" s="125">
        <f>D939-(2*(H939+F939))</f>
        <v/>
      </c>
      <c r="J939" s="125">
        <f>D939/10 * F939/10 + 2*(E939/10 * G939/10)</f>
        <v/>
      </c>
      <c r="K939" s="125">
        <f>(E939/2)/F939</f>
        <v/>
      </c>
      <c r="L939" s="125">
        <f>I939/G939</f>
        <v/>
      </c>
      <c r="M939" s="125">
        <f>(E939*2+F939*4+((E939-G939)/2-H939)*4+2*PI()*H939+(D939-2*F939-2*H939)*2)/1000</f>
        <v/>
      </c>
      <c r="N939" s="5" t="n">
        <v>124000</v>
      </c>
      <c r="O939" s="5" t="n">
        <v>8350</v>
      </c>
      <c r="P939" s="125" t="n">
        <v>22.7</v>
      </c>
      <c r="Q939" s="125" t="n">
        <v>5.9</v>
      </c>
      <c r="R939" s="5" t="n">
        <v>4490</v>
      </c>
      <c r="S939" s="125" t="n">
        <v>668</v>
      </c>
      <c r="T939" s="5" t="n">
        <v>5120</v>
      </c>
      <c r="U939" s="5" t="n">
        <v>1030</v>
      </c>
      <c r="Y939">
        <f>SQRT((((VLOOKUP($X$4,$A$4:$D$1021,4,FALSE))-D939)^2)+(((VLOOKUP($X$4,$A$4:$E$1021,5,FALSE))-E939)^2))</f>
        <v/>
      </c>
    </row>
    <row r="940">
      <c r="A940" s="125" t="inlineStr">
        <is>
          <t>HY550X173</t>
        </is>
      </c>
      <c r="B940" s="129" t="inlineStr">
        <is>
          <t>HY</t>
        </is>
      </c>
      <c r="C940" s="125" t="n">
        <v>173</v>
      </c>
      <c r="D940" s="125" t="n">
        <v>550</v>
      </c>
      <c r="E940" s="125" t="n">
        <v>250</v>
      </c>
      <c r="F940" s="125" t="n">
        <v>28</v>
      </c>
      <c r="G940" s="125" t="n">
        <v>16</v>
      </c>
      <c r="H940" s="125" t="n">
        <v>13</v>
      </c>
      <c r="I940" s="125">
        <f>D940-(2*(H940+F940))</f>
        <v/>
      </c>
      <c r="J940" s="125">
        <f>D940/10 * F940/10 + 2*(E940/10 * G940/10)</f>
        <v/>
      </c>
      <c r="K940" s="125">
        <f>(E940/2)/F940</f>
        <v/>
      </c>
      <c r="L940" s="125">
        <f>I940/G940</f>
        <v/>
      </c>
      <c r="M940" s="125">
        <f>(E940*2+F940*4+((E940-G940)/2-H940)*4+2*PI()*H940+(D940-2*F940-2*H940)*2)/1000</f>
        <v/>
      </c>
      <c r="N940" s="5" t="n">
        <v>112000</v>
      </c>
      <c r="O940" s="5" t="n">
        <v>7310</v>
      </c>
      <c r="P940" s="125" t="n">
        <v>22.6</v>
      </c>
      <c r="Q940" s="125" t="n">
        <v>5.8</v>
      </c>
      <c r="R940" s="5" t="n">
        <v>4090</v>
      </c>
      <c r="S940" s="125" t="n">
        <v>585</v>
      </c>
      <c r="T940" s="5" t="n">
        <v>4670</v>
      </c>
      <c r="U940" s="125" t="n">
        <v>908</v>
      </c>
      <c r="Y940">
        <f>SQRT((((VLOOKUP($X$4,$A$4:$D$1021,4,FALSE))-D940)^2)+(((VLOOKUP($X$4,$A$4:$E$1021,5,FALSE))-E940)^2))</f>
        <v/>
      </c>
    </row>
    <row r="941">
      <c r="A941" s="125" t="inlineStr">
        <is>
          <t>HY550X162</t>
        </is>
      </c>
      <c r="B941" s="129" t="inlineStr">
        <is>
          <t>HY</t>
        </is>
      </c>
      <c r="C941" s="125" t="n">
        <v>162</v>
      </c>
      <c r="D941" s="125" t="n">
        <v>550</v>
      </c>
      <c r="E941" s="125" t="n">
        <v>250</v>
      </c>
      <c r="F941" s="125" t="n">
        <v>25</v>
      </c>
      <c r="G941" s="125" t="n">
        <v>16</v>
      </c>
      <c r="H941" s="125" t="n">
        <v>13</v>
      </c>
      <c r="I941" s="125">
        <f>D941-(2*(H941+F941))</f>
        <v/>
      </c>
      <c r="J941" s="125">
        <f>D941/10 * F941/10 + 2*(E941/10 * G941/10)</f>
        <v/>
      </c>
      <c r="K941" s="125">
        <f>(E941/2)/F941</f>
        <v/>
      </c>
      <c r="L941" s="125">
        <f>I941/G941</f>
        <v/>
      </c>
      <c r="M941" s="125">
        <f>(E941*2+F941*4+((E941-G941)/2-H941)*4+2*PI()*H941+(D941-2*F941-2*H941)*2)/1000</f>
        <v/>
      </c>
      <c r="N941" s="5" t="n">
        <v>104000</v>
      </c>
      <c r="O941" s="5" t="n">
        <v>6530</v>
      </c>
      <c r="P941" s="125" t="n">
        <v>22.4</v>
      </c>
      <c r="Q941" s="125" t="n">
        <v>5.6</v>
      </c>
      <c r="R941" s="5" t="n">
        <v>3770</v>
      </c>
      <c r="S941" s="125" t="n">
        <v>522</v>
      </c>
      <c r="T941" s="5" t="n">
        <v>4320</v>
      </c>
      <c r="U941" s="125" t="n">
        <v>815</v>
      </c>
      <c r="Y941">
        <f>SQRT((((VLOOKUP($X$4,$A$4:$D$1021,4,FALSE))-D941)^2)+(((VLOOKUP($X$4,$A$4:$E$1021,5,FALSE))-E941)^2))</f>
        <v/>
      </c>
    </row>
    <row r="942">
      <c r="A942" s="125" t="inlineStr">
        <is>
          <t>HY550X151</t>
        </is>
      </c>
      <c r="B942" s="129" t="inlineStr">
        <is>
          <t>HY</t>
        </is>
      </c>
      <c r="C942" s="125" t="n">
        <v>151</v>
      </c>
      <c r="D942" s="125" t="n">
        <v>550</v>
      </c>
      <c r="E942" s="125" t="n">
        <v>250</v>
      </c>
      <c r="F942" s="125" t="n">
        <v>22</v>
      </c>
      <c r="G942" s="125" t="n">
        <v>16</v>
      </c>
      <c r="H942" s="125" t="n">
        <v>13</v>
      </c>
      <c r="I942" s="125">
        <f>D942-(2*(H942+F942))</f>
        <v/>
      </c>
      <c r="J942" s="125">
        <f>D942/10 * F942/10 + 2*(E942/10 * G942/10)</f>
        <v/>
      </c>
      <c r="K942" s="125">
        <f>(E942/2)/F942</f>
        <v/>
      </c>
      <c r="L942" s="125">
        <f>I942/G942</f>
        <v/>
      </c>
      <c r="M942" s="125">
        <f>(E942*2+F942*4+((E942-G942)/2-H942)*4+2*PI()*H942+(D942-2*F942-2*H942)*2)/1000</f>
        <v/>
      </c>
      <c r="N942" s="5" t="n">
        <v>94900</v>
      </c>
      <c r="O942" s="5" t="n">
        <v>5750</v>
      </c>
      <c r="P942" s="125" t="n">
        <v>22.2</v>
      </c>
      <c r="Q942" s="125" t="n">
        <v>5.5</v>
      </c>
      <c r="R942" s="5" t="n">
        <v>3450</v>
      </c>
      <c r="S942" s="125" t="n">
        <v>460</v>
      </c>
      <c r="T942" s="5" t="n">
        <v>3960</v>
      </c>
      <c r="U942" s="125" t="n">
        <v>721</v>
      </c>
      <c r="Y942">
        <f>SQRT((((VLOOKUP($X$4,$A$4:$D$1021,4,FALSE))-D942)^2)+(((VLOOKUP($X$4,$A$4:$E$1021,5,FALSE))-E942)^2))</f>
        <v/>
      </c>
    </row>
    <row r="943">
      <c r="A943" s="125" t="inlineStr">
        <is>
          <t>HY550X158</t>
        </is>
      </c>
      <c r="B943" s="129" t="inlineStr">
        <is>
          <t>HY</t>
        </is>
      </c>
      <c r="C943" s="125" t="n">
        <v>158</v>
      </c>
      <c r="D943" s="125" t="n">
        <v>550</v>
      </c>
      <c r="E943" s="125" t="n">
        <v>250</v>
      </c>
      <c r="F943" s="125" t="n">
        <v>28</v>
      </c>
      <c r="G943" s="125" t="n">
        <v>12</v>
      </c>
      <c r="H943" s="125" t="n">
        <v>13</v>
      </c>
      <c r="I943" s="125">
        <f>D943-(2*(H943+F943))</f>
        <v/>
      </c>
      <c r="J943" s="125">
        <f>D943/10 * F943/10 + 2*(E943/10 * G943/10)</f>
        <v/>
      </c>
      <c r="K943" s="125">
        <f>(E943/2)/F943</f>
        <v/>
      </c>
      <c r="L943" s="125">
        <f>I943/G943</f>
        <v/>
      </c>
      <c r="M943" s="125">
        <f>(E943*2+F943*4+((E943-G943)/2-H943)*4+2*PI()*H943+(D943-2*F943-2*H943)*2)/1000</f>
        <v/>
      </c>
      <c r="N943" s="5" t="n">
        <v>108000</v>
      </c>
      <c r="O943" s="5" t="n">
        <v>7300</v>
      </c>
      <c r="P943" s="125" t="n">
        <v>23.2</v>
      </c>
      <c r="Q943" s="125" t="n">
        <v>6</v>
      </c>
      <c r="R943" s="5" t="n">
        <v>3940</v>
      </c>
      <c r="S943" s="125" t="n">
        <v>584</v>
      </c>
      <c r="T943" s="5" t="n">
        <v>4420</v>
      </c>
      <c r="U943" s="125" t="n">
        <v>894</v>
      </c>
      <c r="Y943">
        <f>SQRT((((VLOOKUP($X$4,$A$4:$D$1021,4,FALSE))-D943)^2)+(((VLOOKUP($X$4,$A$4:$E$1021,5,FALSE))-E943)^2))</f>
        <v/>
      </c>
    </row>
    <row r="944">
      <c r="A944" s="125" t="inlineStr">
        <is>
          <t>HY550X146</t>
        </is>
      </c>
      <c r="B944" s="129" t="inlineStr">
        <is>
          <t>HY</t>
        </is>
      </c>
      <c r="C944" s="125" t="n">
        <v>146</v>
      </c>
      <c r="D944" s="125" t="n">
        <v>550</v>
      </c>
      <c r="E944" s="125" t="n">
        <v>250</v>
      </c>
      <c r="F944" s="125" t="n">
        <v>25</v>
      </c>
      <c r="G944" s="125" t="n">
        <v>12</v>
      </c>
      <c r="H944" s="125" t="n">
        <v>13</v>
      </c>
      <c r="I944" s="125">
        <f>D944-(2*(H944+F944))</f>
        <v/>
      </c>
      <c r="J944" s="125">
        <f>D944/10 * F944/10 + 2*(E944/10 * G944/10)</f>
        <v/>
      </c>
      <c r="K944" s="125">
        <f>(E944/2)/F944</f>
        <v/>
      </c>
      <c r="L944" s="125">
        <f>I944/G944</f>
        <v/>
      </c>
      <c r="M944" s="125">
        <f>(E944*2+F944*4+((E944-G944)/2-H944)*4+2*PI()*H944+(D944-2*F944-2*H944)*2)/1000</f>
        <v/>
      </c>
      <c r="N944" s="5" t="n">
        <v>99600</v>
      </c>
      <c r="O944" s="5" t="n">
        <v>6520</v>
      </c>
      <c r="P944" s="125" t="n">
        <v>23.1</v>
      </c>
      <c r="Q944" s="125" t="n">
        <v>5.9</v>
      </c>
      <c r="R944" s="5" t="n">
        <v>3620</v>
      </c>
      <c r="S944" s="125" t="n">
        <v>522</v>
      </c>
      <c r="T944" s="5" t="n">
        <v>4070</v>
      </c>
      <c r="U944" s="125" t="n">
        <v>801</v>
      </c>
      <c r="Y944">
        <f>SQRT((((VLOOKUP($X$4,$A$4:$D$1021,4,FALSE))-D944)^2)+(((VLOOKUP($X$4,$A$4:$E$1021,5,FALSE))-E944)^2))</f>
        <v/>
      </c>
    </row>
    <row r="945">
      <c r="A945" s="125" t="inlineStr">
        <is>
          <t>HY550X135</t>
        </is>
      </c>
      <c r="B945" s="129" t="inlineStr">
        <is>
          <t>HY</t>
        </is>
      </c>
      <c r="C945" s="125" t="n">
        <v>135</v>
      </c>
      <c r="D945" s="125" t="n">
        <v>550</v>
      </c>
      <c r="E945" s="125" t="n">
        <v>250</v>
      </c>
      <c r="F945" s="125" t="n">
        <v>22</v>
      </c>
      <c r="G945" s="125" t="n">
        <v>12</v>
      </c>
      <c r="H945" s="125" t="n">
        <v>13</v>
      </c>
      <c r="I945" s="125">
        <f>D945-(2*(H945+F945))</f>
        <v/>
      </c>
      <c r="J945" s="125">
        <f>D945/10 * F945/10 + 2*(E945/10 * G945/10)</f>
        <v/>
      </c>
      <c r="K945" s="125">
        <f>(E945/2)/F945</f>
        <v/>
      </c>
      <c r="L945" s="125">
        <f>I945/G945</f>
        <v/>
      </c>
      <c r="M945" s="125">
        <f>(E945*2+F945*4+((E945-G945)/2-H945)*4+2*PI()*H945+(D945-2*F945-2*H945)*2)/1000</f>
        <v/>
      </c>
      <c r="N945" s="5" t="n">
        <v>90600</v>
      </c>
      <c r="O945" s="5" t="n">
        <v>5740</v>
      </c>
      <c r="P945" s="125" t="n">
        <v>22.9</v>
      </c>
      <c r="Q945" s="125" t="n">
        <v>5.8</v>
      </c>
      <c r="R945" s="5" t="n">
        <v>3290</v>
      </c>
      <c r="S945" s="125" t="n">
        <v>459</v>
      </c>
      <c r="T945" s="5" t="n">
        <v>3710</v>
      </c>
      <c r="U945" s="125" t="n">
        <v>707</v>
      </c>
      <c r="Y945">
        <f>SQRT((((VLOOKUP($X$4,$A$4:$D$1021,4,FALSE))-D945)^2)+(((VLOOKUP($X$4,$A$4:$E$1021,5,FALSE))-E945)^2))</f>
        <v/>
      </c>
    </row>
    <row r="946">
      <c r="A946" s="125" t="inlineStr">
        <is>
          <t>HY550X124</t>
        </is>
      </c>
      <c r="B946" s="129" t="inlineStr">
        <is>
          <t>HY</t>
        </is>
      </c>
      <c r="C946" s="125" t="n">
        <v>124</v>
      </c>
      <c r="D946" s="125" t="n">
        <v>550</v>
      </c>
      <c r="E946" s="125" t="n">
        <v>250</v>
      </c>
      <c r="F946" s="125" t="n">
        <v>19</v>
      </c>
      <c r="G946" s="125" t="n">
        <v>12</v>
      </c>
      <c r="H946" s="125" t="n">
        <v>13</v>
      </c>
      <c r="I946" s="125">
        <f>D946-(2*(H946+F946))</f>
        <v/>
      </c>
      <c r="J946" s="125">
        <f>D946/10 * F946/10 + 2*(E946/10 * G946/10)</f>
        <v/>
      </c>
      <c r="K946" s="125">
        <f>(E946/2)/F946</f>
        <v/>
      </c>
      <c r="L946" s="125">
        <f>I946/G946</f>
        <v/>
      </c>
      <c r="M946" s="125">
        <f>(E946*2+F946*4+((E946-G946)/2-H946)*4+2*PI()*H946+(D946-2*F946-2*H946)*2)/1000</f>
        <v/>
      </c>
      <c r="N946" s="5" t="n">
        <v>81300</v>
      </c>
      <c r="O946" s="5" t="n">
        <v>4960</v>
      </c>
      <c r="P946" s="125" t="n">
        <v>22.7</v>
      </c>
      <c r="Q946" s="125" t="n">
        <v>5.6</v>
      </c>
      <c r="R946" s="5" t="n">
        <v>2960</v>
      </c>
      <c r="S946" s="125" t="n">
        <v>397</v>
      </c>
      <c r="T946" s="5" t="n">
        <v>3350</v>
      </c>
      <c r="U946" s="125" t="n">
        <v>613</v>
      </c>
      <c r="Y946">
        <f>SQRT((((VLOOKUP($X$4,$A$4:$D$1021,4,FALSE))-D946)^2)+(((VLOOKUP($X$4,$A$4:$E$1021,5,FALSE))-E946)^2))</f>
        <v/>
      </c>
    </row>
    <row r="947">
      <c r="A947" s="125" t="inlineStr">
        <is>
          <t>HY550X113</t>
        </is>
      </c>
      <c r="B947" s="129" t="inlineStr">
        <is>
          <t>HY</t>
        </is>
      </c>
      <c r="C947" s="125" t="n">
        <v>113</v>
      </c>
      <c r="D947" s="125" t="n">
        <v>550</v>
      </c>
      <c r="E947" s="125" t="n">
        <v>250</v>
      </c>
      <c r="F947" s="125" t="n">
        <v>16</v>
      </c>
      <c r="G947" s="125" t="n">
        <v>12</v>
      </c>
      <c r="H947" s="125" t="n">
        <v>13</v>
      </c>
      <c r="I947" s="125">
        <f>D947-(2*(H947+F947))</f>
        <v/>
      </c>
      <c r="J947" s="125">
        <f>D947/10 * F947/10 + 2*(E947/10 * G947/10)</f>
        <v/>
      </c>
      <c r="K947" s="125">
        <f>(E947/2)/F947</f>
        <v/>
      </c>
      <c r="L947" s="125">
        <f>I947/G947</f>
        <v/>
      </c>
      <c r="M947" s="125">
        <f>(E947*2+F947*4+((E947-G947)/2-H947)*4+2*PI()*H947+(D947-2*F947-2*H947)*2)/1000</f>
        <v/>
      </c>
      <c r="N947" s="5" t="n">
        <v>71900</v>
      </c>
      <c r="O947" s="5" t="n">
        <v>4180</v>
      </c>
      <c r="P947" s="125" t="n">
        <v>22.4</v>
      </c>
      <c r="Q947" s="125" t="n">
        <v>5.4</v>
      </c>
      <c r="R947" s="5" t="n">
        <v>2610</v>
      </c>
      <c r="S947" s="125" t="n">
        <v>334</v>
      </c>
      <c r="T947" s="5" t="n">
        <v>2980</v>
      </c>
      <c r="U947" s="125" t="n">
        <v>520</v>
      </c>
      <c r="Y947">
        <f>SQRT((((VLOOKUP($X$4,$A$4:$D$1021,4,FALSE))-D947)^2)+(((VLOOKUP($X$4,$A$4:$E$1021,5,FALSE))-E947)^2))</f>
        <v/>
      </c>
    </row>
    <row r="948">
      <c r="A948" s="125" t="inlineStr">
        <is>
          <t>HY550X123</t>
        </is>
      </c>
      <c r="B948" s="129" t="inlineStr">
        <is>
          <t>HY</t>
        </is>
      </c>
      <c r="C948" s="125" t="n">
        <v>123</v>
      </c>
      <c r="D948" s="125" t="n">
        <v>550</v>
      </c>
      <c r="E948" s="125" t="n">
        <v>250</v>
      </c>
      <c r="F948" s="125" t="n">
        <v>22</v>
      </c>
      <c r="G948" s="125" t="n">
        <v>9</v>
      </c>
      <c r="H948" s="125" t="n">
        <v>13</v>
      </c>
      <c r="I948" s="125">
        <f>D948-(2*(H948+F948))</f>
        <v/>
      </c>
      <c r="J948" s="125">
        <f>D948/10 * F948/10 + 2*(E948/10 * G948/10)</f>
        <v/>
      </c>
      <c r="K948" s="125">
        <f>(E948/2)/F948</f>
        <v/>
      </c>
      <c r="L948" s="125">
        <f>I948/G948</f>
        <v/>
      </c>
      <c r="M948" s="125">
        <f>(E948*2+F948*4+((E948-G948)/2-H948)*4+2*PI()*H948+(D948-2*F948-2*H948)*2)/1000</f>
        <v/>
      </c>
      <c r="N948" s="5" t="n">
        <v>87300</v>
      </c>
      <c r="O948" s="5" t="n">
        <v>5730</v>
      </c>
      <c r="P948" s="125" t="n">
        <v>23.6</v>
      </c>
      <c r="Q948" s="125" t="n">
        <v>6</v>
      </c>
      <c r="R948" s="5" t="n">
        <v>3180</v>
      </c>
      <c r="S948" s="125" t="n">
        <v>459</v>
      </c>
      <c r="T948" s="5" t="n">
        <v>3520</v>
      </c>
      <c r="U948" s="125" t="n">
        <v>699</v>
      </c>
      <c r="Y948">
        <f>SQRT((((VLOOKUP($X$4,$A$4:$D$1021,4,FALSE))-D948)^2)+(((VLOOKUP($X$4,$A$4:$E$1021,5,FALSE))-E948)^2))</f>
        <v/>
      </c>
    </row>
    <row r="949">
      <c r="A949" s="125" t="inlineStr">
        <is>
          <t>HY550X112</t>
        </is>
      </c>
      <c r="B949" s="129" t="inlineStr">
        <is>
          <t>HY</t>
        </is>
      </c>
      <c r="C949" s="125" t="n">
        <v>112</v>
      </c>
      <c r="D949" s="125" t="n">
        <v>550</v>
      </c>
      <c r="E949" s="125" t="n">
        <v>250</v>
      </c>
      <c r="F949" s="125" t="n">
        <v>19</v>
      </c>
      <c r="G949" s="125" t="n">
        <v>9</v>
      </c>
      <c r="H949" s="125" t="n">
        <v>13</v>
      </c>
      <c r="I949" s="125">
        <f>D949-(2*(H949+F949))</f>
        <v/>
      </c>
      <c r="J949" s="125">
        <f>D949/10 * F949/10 + 2*(E949/10 * G949/10)</f>
        <v/>
      </c>
      <c r="K949" s="125">
        <f>(E949/2)/F949</f>
        <v/>
      </c>
      <c r="L949" s="125">
        <f>I949/G949</f>
        <v/>
      </c>
      <c r="M949" s="125">
        <f>(E949*2+F949*4+((E949-G949)/2-H949)*4+2*PI()*H949+(D949-2*F949-2*H949)*2)/1000</f>
        <v/>
      </c>
      <c r="N949" s="5" t="n">
        <v>78000</v>
      </c>
      <c r="O949" s="5" t="n">
        <v>4950</v>
      </c>
      <c r="P949" s="125" t="n">
        <v>23.4</v>
      </c>
      <c r="Q949" s="125" t="n">
        <v>5.9</v>
      </c>
      <c r="R949" s="5" t="n">
        <v>2840</v>
      </c>
      <c r="S949" s="125" t="n">
        <v>396</v>
      </c>
      <c r="T949" s="5" t="n">
        <v>3150</v>
      </c>
      <c r="U949" s="125" t="n">
        <v>605</v>
      </c>
      <c r="Y949">
        <f>SQRT((((VLOOKUP($X$4,$A$4:$D$1021,4,FALSE))-D949)^2)+(((VLOOKUP($X$4,$A$4:$E$1021,5,FALSE))-E949)^2))</f>
        <v/>
      </c>
    </row>
    <row r="950">
      <c r="A950" s="125" t="inlineStr">
        <is>
          <t>HY550X101</t>
        </is>
      </c>
      <c r="B950" s="129" t="inlineStr">
        <is>
          <t>HY</t>
        </is>
      </c>
      <c r="C950" s="125" t="n">
        <v>101</v>
      </c>
      <c r="D950" s="125" t="n">
        <v>550</v>
      </c>
      <c r="E950" s="125" t="n">
        <v>250</v>
      </c>
      <c r="F950" s="125" t="n">
        <v>16</v>
      </c>
      <c r="G950" s="125" t="n">
        <v>9</v>
      </c>
      <c r="H950" s="125" t="n">
        <v>13</v>
      </c>
      <c r="I950" s="125">
        <f>D950-(2*(H950+F950))</f>
        <v/>
      </c>
      <c r="J950" s="125">
        <f>D950/10 * F950/10 + 2*(E950/10 * G950/10)</f>
        <v/>
      </c>
      <c r="K950" s="125">
        <f>(E950/2)/F950</f>
        <v/>
      </c>
      <c r="L950" s="125">
        <f>I950/G950</f>
        <v/>
      </c>
      <c r="M950" s="125">
        <f>(E950*2+F950*4+((E950-G950)/2-H950)*4+2*PI()*H950+(D950-2*F950-2*H950)*2)/1000</f>
        <v/>
      </c>
      <c r="N950" s="5" t="n">
        <v>68400</v>
      </c>
      <c r="O950" s="5" t="n">
        <v>4170</v>
      </c>
      <c r="P950" s="125" t="n">
        <v>23.1</v>
      </c>
      <c r="Q950" s="125" t="n">
        <v>5.7</v>
      </c>
      <c r="R950" s="5" t="n">
        <v>2490</v>
      </c>
      <c r="S950" s="125" t="n">
        <v>334</v>
      </c>
      <c r="T950" s="5" t="n">
        <v>2780</v>
      </c>
      <c r="U950" s="125" t="n">
        <v>512</v>
      </c>
      <c r="Y950">
        <f>SQRT((((VLOOKUP($X$4,$A$4:$D$1021,4,FALSE))-D950)^2)+(((VLOOKUP($X$4,$A$4:$E$1021,5,FALSE))-E950)^2))</f>
        <v/>
      </c>
    </row>
    <row r="951">
      <c r="A951" s="125" t="inlineStr">
        <is>
          <t>HY550X127</t>
        </is>
      </c>
      <c r="B951" s="129" t="inlineStr">
        <is>
          <t>HY</t>
        </is>
      </c>
      <c r="C951" s="125" t="n">
        <v>127</v>
      </c>
      <c r="D951" s="125" t="n">
        <v>550</v>
      </c>
      <c r="E951" s="125" t="n">
        <v>200</v>
      </c>
      <c r="F951" s="125" t="n">
        <v>25</v>
      </c>
      <c r="G951" s="125" t="n">
        <v>12</v>
      </c>
      <c r="H951" s="125" t="n">
        <v>13</v>
      </c>
      <c r="I951" s="125">
        <f>D951-(2*(H951+F951))</f>
        <v/>
      </c>
      <c r="J951" s="125">
        <f>D951/10 * F951/10 + 2*(E951/10 * G951/10)</f>
        <v/>
      </c>
      <c r="K951" s="125">
        <f>(E951/2)/F951</f>
        <v/>
      </c>
      <c r="L951" s="125">
        <f>I951/G951</f>
        <v/>
      </c>
      <c r="M951" s="125">
        <f>(E951*2+F951*4+((E951-G951)/2-H951)*4+2*PI()*H951+(D951-2*F951-2*H951)*2)/1000</f>
        <v/>
      </c>
      <c r="N951" s="5" t="n">
        <v>82300</v>
      </c>
      <c r="O951" s="5" t="n">
        <v>3340</v>
      </c>
      <c r="P951" s="125" t="n">
        <v>22.6</v>
      </c>
      <c r="Q951" s="125" t="n">
        <v>4.6</v>
      </c>
      <c r="R951" s="5" t="n">
        <v>2990</v>
      </c>
      <c r="S951" s="125" t="n">
        <v>334</v>
      </c>
      <c r="T951" s="5" t="n">
        <v>3410</v>
      </c>
      <c r="U951" s="125" t="n">
        <v>519</v>
      </c>
      <c r="Y951">
        <f>SQRT((((VLOOKUP($X$4,$A$4:$D$1021,4,FALSE))-D951)^2)+(((VLOOKUP($X$4,$A$4:$E$1021,5,FALSE))-E951)^2))</f>
        <v/>
      </c>
    </row>
    <row r="952">
      <c r="A952" s="125" t="inlineStr">
        <is>
          <t>HY550X118</t>
        </is>
      </c>
      <c r="B952" s="129" t="inlineStr">
        <is>
          <t>HY</t>
        </is>
      </c>
      <c r="C952" s="125" t="n">
        <v>118</v>
      </c>
      <c r="D952" s="125" t="n">
        <v>550</v>
      </c>
      <c r="E952" s="125" t="n">
        <v>200</v>
      </c>
      <c r="F952" s="125" t="n">
        <v>22</v>
      </c>
      <c r="G952" s="125" t="n">
        <v>12</v>
      </c>
      <c r="H952" s="125" t="n">
        <v>13</v>
      </c>
      <c r="I952" s="125">
        <f>D952-(2*(H952+F952))</f>
        <v/>
      </c>
      <c r="J952" s="125">
        <f>D952/10 * F952/10 + 2*(E952/10 * G952/10)</f>
        <v/>
      </c>
      <c r="K952" s="125">
        <f>(E952/2)/F952</f>
        <v/>
      </c>
      <c r="L952" s="125">
        <f>I952/G952</f>
        <v/>
      </c>
      <c r="M952" s="125">
        <f>(E952*2+F952*4+((E952-G952)/2-H952)*4+2*PI()*H952+(D952-2*F952-2*H952)*2)/1000</f>
        <v/>
      </c>
      <c r="N952" s="5" t="n">
        <v>75200</v>
      </c>
      <c r="O952" s="5" t="n">
        <v>2940</v>
      </c>
      <c r="P952" s="125" t="n">
        <v>22.4</v>
      </c>
      <c r="Q952" s="125" t="n">
        <v>4.4</v>
      </c>
      <c r="R952" s="5" t="n">
        <v>2740</v>
      </c>
      <c r="S952" s="125" t="n">
        <v>294</v>
      </c>
      <c r="T952" s="5" t="n">
        <v>3130</v>
      </c>
      <c r="U952" s="125" t="n">
        <v>460</v>
      </c>
      <c r="Y952">
        <f>SQRT((((VLOOKUP($X$4,$A$4:$D$1021,4,FALSE))-D952)^2)+(((VLOOKUP($X$4,$A$4:$E$1021,5,FALSE))-E952)^2))</f>
        <v/>
      </c>
    </row>
    <row r="953">
      <c r="A953" s="125" t="inlineStr">
        <is>
          <t>HY550X109</t>
        </is>
      </c>
      <c r="B953" s="129" t="inlineStr">
        <is>
          <t>HY</t>
        </is>
      </c>
      <c r="C953" s="125" t="n">
        <v>109</v>
      </c>
      <c r="D953" s="125" t="n">
        <v>550</v>
      </c>
      <c r="E953" s="125" t="n">
        <v>200</v>
      </c>
      <c r="F953" s="125" t="n">
        <v>19</v>
      </c>
      <c r="G953" s="125" t="n">
        <v>12</v>
      </c>
      <c r="H953" s="125" t="n">
        <v>13</v>
      </c>
      <c r="I953" s="125">
        <f>D953-(2*(H953+F953))</f>
        <v/>
      </c>
      <c r="J953" s="125">
        <f>D953/10 * F953/10 + 2*(E953/10 * G953/10)</f>
        <v/>
      </c>
      <c r="K953" s="125">
        <f>(E953/2)/F953</f>
        <v/>
      </c>
      <c r="L953" s="125">
        <f>I953/G953</f>
        <v/>
      </c>
      <c r="M953" s="125">
        <f>(E953*2+F953*4+((E953-G953)/2-H953)*4+2*PI()*H953+(D953-2*F953-2*H953)*2)/1000</f>
        <v/>
      </c>
      <c r="N953" s="5" t="n">
        <v>67900</v>
      </c>
      <c r="O953" s="5" t="n">
        <v>2540</v>
      </c>
      <c r="P953" s="125" t="n">
        <v>22.1</v>
      </c>
      <c r="Q953" s="125" t="n">
        <v>4.3</v>
      </c>
      <c r="R953" s="5" t="n">
        <v>2470</v>
      </c>
      <c r="S953" s="125" t="n">
        <v>254</v>
      </c>
      <c r="T953" s="5" t="n">
        <v>2840</v>
      </c>
      <c r="U953" s="125" t="n">
        <v>400</v>
      </c>
      <c r="Y953">
        <f>SQRT((((VLOOKUP($X$4,$A$4:$D$1021,4,FALSE))-D953)^2)+(((VLOOKUP($X$4,$A$4:$E$1021,5,FALSE))-E953)^2))</f>
        <v/>
      </c>
    </row>
    <row r="954">
      <c r="A954" s="125" t="inlineStr">
        <is>
          <t>HY550X100</t>
        </is>
      </c>
      <c r="B954" s="129" t="inlineStr">
        <is>
          <t>HY</t>
        </is>
      </c>
      <c r="C954" s="125" t="n">
        <v>100</v>
      </c>
      <c r="D954" s="125" t="n">
        <v>550</v>
      </c>
      <c r="E954" s="125" t="n">
        <v>200</v>
      </c>
      <c r="F954" s="125" t="n">
        <v>16</v>
      </c>
      <c r="G954" s="125" t="n">
        <v>12</v>
      </c>
      <c r="H954" s="125" t="n">
        <v>13</v>
      </c>
      <c r="I954" s="125">
        <f>D954-(2*(H954+F954))</f>
        <v/>
      </c>
      <c r="J954" s="125">
        <f>D954/10 * F954/10 + 2*(E954/10 * G954/10)</f>
        <v/>
      </c>
      <c r="K954" s="125">
        <f>(E954/2)/F954</f>
        <v/>
      </c>
      <c r="L954" s="125">
        <f>I954/G954</f>
        <v/>
      </c>
      <c r="M954" s="125">
        <f>(E954*2+F954*4+((E954-G954)/2-H954)*4+2*PI()*H954+(D954-2*F954-2*H954)*2)/1000</f>
        <v/>
      </c>
      <c r="N954" s="5" t="n">
        <v>60500</v>
      </c>
      <c r="O954" s="5" t="n">
        <v>2140</v>
      </c>
      <c r="P954" s="125" t="n">
        <v>21.8</v>
      </c>
      <c r="Q954" s="125" t="n">
        <v>4.1</v>
      </c>
      <c r="R954" s="5" t="n">
        <v>2200</v>
      </c>
      <c r="S954" s="125" t="n">
        <v>214</v>
      </c>
      <c r="T954" s="5" t="n">
        <v>2550</v>
      </c>
      <c r="U954" s="125" t="n">
        <v>340</v>
      </c>
      <c r="Y954">
        <f>SQRT((((VLOOKUP($X$4,$A$4:$D$1021,4,FALSE))-D954)^2)+(((VLOOKUP($X$4,$A$4:$E$1021,5,FALSE))-E954)^2))</f>
        <v/>
      </c>
    </row>
    <row r="955">
      <c r="A955" s="125" t="inlineStr">
        <is>
          <t>HY550X106</t>
        </is>
      </c>
      <c r="B955" s="129" t="inlineStr">
        <is>
          <t>HY</t>
        </is>
      </c>
      <c r="C955" s="125" t="n">
        <v>106</v>
      </c>
      <c r="D955" s="125" t="n">
        <v>550</v>
      </c>
      <c r="E955" s="125" t="n">
        <v>200</v>
      </c>
      <c r="F955" s="125" t="n">
        <v>22</v>
      </c>
      <c r="G955" s="125" t="n">
        <v>9</v>
      </c>
      <c r="H955" s="125" t="n">
        <v>13</v>
      </c>
      <c r="I955" s="125">
        <f>D955-(2*(H955+F955))</f>
        <v/>
      </c>
      <c r="J955" s="125">
        <f>D955/10 * F955/10 + 2*(E955/10 * G955/10)</f>
        <v/>
      </c>
      <c r="K955" s="125">
        <f>(E955/2)/F955</f>
        <v/>
      </c>
      <c r="L955" s="125">
        <f>I955/G955</f>
        <v/>
      </c>
      <c r="M955" s="125">
        <f>(E955*2+F955*4+((E955-G955)/2-H955)*4+2*PI()*H955+(D955-2*F955-2*H955)*2)/1000</f>
        <v/>
      </c>
      <c r="N955" s="5" t="n">
        <v>72000</v>
      </c>
      <c r="O955" s="5" t="n">
        <v>2940</v>
      </c>
      <c r="P955" s="125" t="n">
        <v>23.1</v>
      </c>
      <c r="Q955" s="125" t="n">
        <v>4.7</v>
      </c>
      <c r="R955" s="5" t="n">
        <v>2620</v>
      </c>
      <c r="S955" s="125" t="n">
        <v>294</v>
      </c>
      <c r="T955" s="5" t="n">
        <v>2940</v>
      </c>
      <c r="U955" s="125" t="n">
        <v>451</v>
      </c>
      <c r="Y955">
        <f>SQRT((((VLOOKUP($X$4,$A$4:$D$1021,4,FALSE))-D955)^2)+(((VLOOKUP($X$4,$A$4:$E$1021,5,FALSE))-E955)^2))</f>
        <v/>
      </c>
    </row>
    <row r="956">
      <c r="A956" s="125" t="inlineStr">
        <is>
          <t>HY550X97</t>
        </is>
      </c>
      <c r="B956" s="129" t="inlineStr">
        <is>
          <t>HY</t>
        </is>
      </c>
      <c r="C956" s="125" t="n">
        <v>97</v>
      </c>
      <c r="D956" s="125" t="n">
        <v>550</v>
      </c>
      <c r="E956" s="125" t="n">
        <v>200</v>
      </c>
      <c r="F956" s="125" t="n">
        <v>19</v>
      </c>
      <c r="G956" s="125" t="n">
        <v>9</v>
      </c>
      <c r="H956" s="125" t="n">
        <v>13</v>
      </c>
      <c r="I956" s="125">
        <f>D956-(2*(H956+F956))</f>
        <v/>
      </c>
      <c r="J956" s="125">
        <f>D956/10 * F956/10 + 2*(E956/10 * G956/10)</f>
        <v/>
      </c>
      <c r="K956" s="125">
        <f>(E956/2)/F956</f>
        <v/>
      </c>
      <c r="L956" s="125">
        <f>I956/G956</f>
        <v/>
      </c>
      <c r="M956" s="125">
        <f>(E956*2+F956*4+((E956-G956)/2-H956)*4+2*PI()*H956+(D956-2*F956-2*H956)*2)/1000</f>
        <v/>
      </c>
      <c r="N956" s="5" t="n">
        <v>64600</v>
      </c>
      <c r="O956" s="5" t="n">
        <v>2540</v>
      </c>
      <c r="P956" s="125" t="n">
        <v>22.9</v>
      </c>
      <c r="Q956" s="125" t="n">
        <v>4.5</v>
      </c>
      <c r="R956" s="5" t="n">
        <v>2350</v>
      </c>
      <c r="S956" s="125" t="n">
        <v>254</v>
      </c>
      <c r="T956" s="5" t="n">
        <v>2640</v>
      </c>
      <c r="U956" s="125" t="n">
        <v>391</v>
      </c>
      <c r="Y956">
        <f>SQRT((((VLOOKUP($X$4,$A$4:$D$1021,4,FALSE))-D956)^2)+(((VLOOKUP($X$4,$A$4:$E$1021,5,FALSE))-E956)^2))</f>
        <v/>
      </c>
    </row>
    <row r="957">
      <c r="A957" s="125" t="inlineStr">
        <is>
          <t>HY550X88</t>
        </is>
      </c>
      <c r="B957" s="129" t="inlineStr">
        <is>
          <t>HY</t>
        </is>
      </c>
      <c r="C957" s="125" t="n">
        <v>88</v>
      </c>
      <c r="D957" s="125" t="n">
        <v>550</v>
      </c>
      <c r="E957" s="125" t="n">
        <v>200</v>
      </c>
      <c r="F957" s="125" t="n">
        <v>16</v>
      </c>
      <c r="G957" s="125" t="n">
        <v>9</v>
      </c>
      <c r="H957" s="125" t="n">
        <v>13</v>
      </c>
      <c r="I957" s="125">
        <f>D957-(2*(H957+F957))</f>
        <v/>
      </c>
      <c r="J957" s="125">
        <f>D957/10 * F957/10 + 2*(E957/10 * G957/10)</f>
        <v/>
      </c>
      <c r="K957" s="125">
        <f>(E957/2)/F957</f>
        <v/>
      </c>
      <c r="L957" s="125">
        <f>I957/G957</f>
        <v/>
      </c>
      <c r="M957" s="125">
        <f>(E957*2+F957*4+((E957-G957)/2-H957)*4+2*PI()*H957+(D957-2*F957-2*H957)*2)/1000</f>
        <v/>
      </c>
      <c r="N957" s="5" t="n">
        <v>57000</v>
      </c>
      <c r="O957" s="5" t="n">
        <v>2140</v>
      </c>
      <c r="P957" s="125" t="n">
        <v>22.6</v>
      </c>
      <c r="Q957" s="125" t="n">
        <v>4.4</v>
      </c>
      <c r="R957" s="5" t="n">
        <v>2070</v>
      </c>
      <c r="S957" s="125" t="n">
        <v>214</v>
      </c>
      <c r="T957" s="5" t="n">
        <v>2350</v>
      </c>
      <c r="U957" s="125" t="n">
        <v>332</v>
      </c>
      <c r="Y957">
        <f>SQRT((((VLOOKUP($X$4,$A$4:$D$1021,4,FALSE))-D957)^2)+(((VLOOKUP($X$4,$A$4:$E$1021,5,FALSE))-E957)^2))</f>
        <v/>
      </c>
    </row>
    <row r="958">
      <c r="A958" s="125" t="inlineStr">
        <is>
          <t>HY550X76</t>
        </is>
      </c>
      <c r="B958" s="129" t="inlineStr">
        <is>
          <t>HY</t>
        </is>
      </c>
      <c r="C958" s="125" t="n">
        <v>76</v>
      </c>
      <c r="D958" s="125" t="n">
        <v>550</v>
      </c>
      <c r="E958" s="125" t="n">
        <v>200</v>
      </c>
      <c r="F958" s="125" t="n">
        <v>12</v>
      </c>
      <c r="G958" s="125" t="n">
        <v>9</v>
      </c>
      <c r="H958" s="125" t="n">
        <v>13</v>
      </c>
      <c r="I958" s="125">
        <f>D958-(2*(H958+F958))</f>
        <v/>
      </c>
      <c r="J958" s="125">
        <f>D958/10 * F958/10 + 2*(E958/10 * G958/10)</f>
        <v/>
      </c>
      <c r="K958" s="125">
        <f>(E958/2)/F958</f>
        <v/>
      </c>
      <c r="L958" s="125">
        <f>I958/G958</f>
        <v/>
      </c>
      <c r="M958" s="125">
        <f>(E958*2+F958*4+((E958-G958)/2-H958)*4+2*PI()*H958+(D958-2*F958-2*H958)*2)/1000</f>
        <v/>
      </c>
      <c r="N958" s="5" t="n">
        <v>46600</v>
      </c>
      <c r="O958" s="5" t="n">
        <v>1600</v>
      </c>
      <c r="P958" s="125" t="n">
        <v>22</v>
      </c>
      <c r="Q958" s="125" t="n">
        <v>4.1</v>
      </c>
      <c r="R958" s="5" t="n">
        <v>1700</v>
      </c>
      <c r="S958" s="125" t="n">
        <v>160</v>
      </c>
      <c r="T958" s="5" t="n">
        <v>1950</v>
      </c>
      <c r="U958" s="125" t="n">
        <v>252</v>
      </c>
      <c r="Y958">
        <f>SQRT((((VLOOKUP($X$4,$A$4:$D$1021,4,FALSE))-D958)^2)+(((VLOOKUP($X$4,$A$4:$E$1021,5,FALSE))-E958)^2))</f>
        <v/>
      </c>
    </row>
    <row r="959">
      <c r="A959" s="125" t="inlineStr">
        <is>
          <t>HY500X207</t>
        </is>
      </c>
      <c r="B959" s="129" t="inlineStr">
        <is>
          <t>HY</t>
        </is>
      </c>
      <c r="C959" s="125" t="n">
        <v>207</v>
      </c>
      <c r="D959" s="125" t="n">
        <v>500</v>
      </c>
      <c r="E959" s="125" t="n">
        <v>300</v>
      </c>
      <c r="F959" s="125" t="n">
        <v>32</v>
      </c>
      <c r="G959" s="125" t="n">
        <v>16</v>
      </c>
      <c r="H959" s="125" t="n">
        <v>13</v>
      </c>
      <c r="I959" s="125">
        <f>D959-(2*(H959+F959))</f>
        <v/>
      </c>
      <c r="J959" s="125">
        <f>D959/10 * F959/10 + 2*(E959/10 * G959/10)</f>
        <v/>
      </c>
      <c r="K959" s="125">
        <f>(E959/2)/F959</f>
        <v/>
      </c>
      <c r="L959" s="125">
        <f>I959/G959</f>
        <v/>
      </c>
      <c r="M959" s="125">
        <f>(E959*2+F959*4+((E959-G959)/2-H959)*4+2*PI()*H959+(D959-2*F959-2*H959)*2)/1000</f>
        <v/>
      </c>
      <c r="N959" s="5" t="n">
        <v>117000</v>
      </c>
      <c r="O959" s="5" t="n">
        <v>14400</v>
      </c>
      <c r="P959" s="125" t="n">
        <v>21.1</v>
      </c>
      <c r="Q959" s="125" t="n">
        <v>7.4</v>
      </c>
      <c r="R959" s="5" t="n">
        <v>4680</v>
      </c>
      <c r="S959" s="125" t="n">
        <v>961</v>
      </c>
      <c r="T959" s="5" t="n">
        <v>5280</v>
      </c>
      <c r="U959" s="5" t="n">
        <v>1470</v>
      </c>
      <c r="Y959">
        <f>SQRT((((VLOOKUP($X$4,$A$4:$D$1021,4,FALSE))-D959)^2)+(((VLOOKUP($X$4,$A$4:$E$1021,5,FALSE))-E959)^2))</f>
        <v/>
      </c>
    </row>
    <row r="960">
      <c r="A960" s="125" t="inlineStr">
        <is>
          <t>HY500X189</t>
        </is>
      </c>
      <c r="B960" s="129" t="inlineStr">
        <is>
          <t>HY</t>
        </is>
      </c>
      <c r="C960" s="125" t="n">
        <v>189</v>
      </c>
      <c r="D960" s="125" t="n">
        <v>500</v>
      </c>
      <c r="E960" s="125" t="n">
        <v>300</v>
      </c>
      <c r="F960" s="125" t="n">
        <v>28</v>
      </c>
      <c r="G960" s="125" t="n">
        <v>16</v>
      </c>
      <c r="H960" s="125" t="n">
        <v>13</v>
      </c>
      <c r="I960" s="125">
        <f>D960-(2*(H960+F960))</f>
        <v/>
      </c>
      <c r="J960" s="125">
        <f>D960/10 * F960/10 + 2*(E960/10 * G960/10)</f>
        <v/>
      </c>
      <c r="K960" s="125">
        <f>(E960/2)/F960</f>
        <v/>
      </c>
      <c r="L960" s="125">
        <f>I960/G960</f>
        <v/>
      </c>
      <c r="M960" s="125">
        <f>(E960*2+F960*4+((E960-G960)/2-H960)*4+2*PI()*H960+(D960-2*F960-2*H960)*2)/1000</f>
        <v/>
      </c>
      <c r="N960" s="5" t="n">
        <v>106000</v>
      </c>
      <c r="O960" s="5" t="n">
        <v>12600</v>
      </c>
      <c r="P960" s="125" t="n">
        <v>21</v>
      </c>
      <c r="Q960" s="125" t="n">
        <v>7.2</v>
      </c>
      <c r="R960" s="5" t="n">
        <v>4240</v>
      </c>
      <c r="S960" s="125" t="n">
        <v>841</v>
      </c>
      <c r="T960" s="5" t="n">
        <v>4790</v>
      </c>
      <c r="U960" s="5" t="n">
        <v>1290</v>
      </c>
      <c r="Y960">
        <f>SQRT((((VLOOKUP($X$4,$A$4:$D$1021,4,FALSE))-D960)^2)+(((VLOOKUP($X$4,$A$4:$E$1021,5,FALSE))-E960)^2))</f>
        <v/>
      </c>
    </row>
    <row r="961">
      <c r="A961" s="125" t="inlineStr">
        <is>
          <t>HY500X175</t>
        </is>
      </c>
      <c r="B961" s="129" t="inlineStr">
        <is>
          <t>HY</t>
        </is>
      </c>
      <c r="C961" s="125" t="n">
        <v>175</v>
      </c>
      <c r="D961" s="125" t="n">
        <v>500</v>
      </c>
      <c r="E961" s="125" t="n">
        <v>300</v>
      </c>
      <c r="F961" s="125" t="n">
        <v>25</v>
      </c>
      <c r="G961" s="125" t="n">
        <v>16</v>
      </c>
      <c r="H961" s="125" t="n">
        <v>13</v>
      </c>
      <c r="I961" s="125">
        <f>D961-(2*(H961+F961))</f>
        <v/>
      </c>
      <c r="J961" s="125">
        <f>D961/10 * F961/10 + 2*(E961/10 * G961/10)</f>
        <v/>
      </c>
      <c r="K961" s="125">
        <f>(E961/2)/F961</f>
        <v/>
      </c>
      <c r="L961" s="125">
        <f>I961/G961</f>
        <v/>
      </c>
      <c r="M961" s="125">
        <f>(E961*2+F961*4+((E961-G961)/2-H961)*4+2*PI()*H961+(D961-2*F961-2*H961)*2)/1000</f>
        <v/>
      </c>
      <c r="N961" s="5" t="n">
        <v>97600</v>
      </c>
      <c r="O961" s="5" t="n">
        <v>11300</v>
      </c>
      <c r="P961" s="125" t="n">
        <v>20.9</v>
      </c>
      <c r="Q961" s="125" t="n">
        <v>7.1</v>
      </c>
      <c r="R961" s="5" t="n">
        <v>3900</v>
      </c>
      <c r="S961" s="125" t="n">
        <v>751</v>
      </c>
      <c r="T961" s="5" t="n">
        <v>4400</v>
      </c>
      <c r="U961" s="5" t="n">
        <v>1160</v>
      </c>
      <c r="Y961">
        <f>SQRT((((VLOOKUP($X$4,$A$4:$D$1021,4,FALSE))-D961)^2)+(((VLOOKUP($X$4,$A$4:$E$1021,5,FALSE))-E961)^2))</f>
        <v/>
      </c>
    </row>
    <row r="962">
      <c r="A962" s="125" t="inlineStr">
        <is>
          <t>HY500X162</t>
        </is>
      </c>
      <c r="B962" s="129" t="inlineStr">
        <is>
          <t>HY</t>
        </is>
      </c>
      <c r="C962" s="125" t="n">
        <v>162</v>
      </c>
      <c r="D962" s="125" t="n">
        <v>500</v>
      </c>
      <c r="E962" s="125" t="n">
        <v>300</v>
      </c>
      <c r="F962" s="125" t="n">
        <v>22</v>
      </c>
      <c r="G962" s="125" t="n">
        <v>16</v>
      </c>
      <c r="H962" s="125" t="n">
        <v>13</v>
      </c>
      <c r="I962" s="125">
        <f>D962-(2*(H962+F962))</f>
        <v/>
      </c>
      <c r="J962" s="125">
        <f>D962/10 * F962/10 + 2*(E962/10 * G962/10)</f>
        <v/>
      </c>
      <c r="K962" s="125">
        <f>(E962/2)/F962</f>
        <v/>
      </c>
      <c r="L962" s="125">
        <f>I962/G962</f>
        <v/>
      </c>
      <c r="M962" s="125">
        <f>(E962*2+F962*4+((E962-G962)/2-H962)*4+2*PI()*H962+(D962-2*F962-2*H962)*2)/1000</f>
        <v/>
      </c>
      <c r="N962" s="5" t="n">
        <v>88800</v>
      </c>
      <c r="O962" s="5" t="n">
        <v>9920</v>
      </c>
      <c r="P962" s="125" t="n">
        <v>20.7</v>
      </c>
      <c r="Q962" s="125" t="n">
        <v>6.9</v>
      </c>
      <c r="R962" s="5" t="n">
        <v>3550</v>
      </c>
      <c r="S962" s="125" t="n">
        <v>661</v>
      </c>
      <c r="T962" s="5" t="n">
        <v>4020</v>
      </c>
      <c r="U962" s="5" t="n">
        <v>1020</v>
      </c>
      <c r="Y962">
        <f>SQRT((((VLOOKUP($X$4,$A$4:$D$1021,4,FALSE))-D962)^2)+(((VLOOKUP($X$4,$A$4:$E$1021,5,FALSE))-E962)^2))</f>
        <v/>
      </c>
    </row>
    <row r="963">
      <c r="A963" s="125" t="inlineStr">
        <is>
          <t>HY500X149</t>
        </is>
      </c>
      <c r="B963" s="129" t="inlineStr">
        <is>
          <t>HY</t>
        </is>
      </c>
      <c r="C963" s="125" t="n">
        <v>149</v>
      </c>
      <c r="D963" s="125" t="n">
        <v>500</v>
      </c>
      <c r="E963" s="125" t="n">
        <v>300</v>
      </c>
      <c r="F963" s="125" t="n">
        <v>19</v>
      </c>
      <c r="G963" s="125" t="n">
        <v>16</v>
      </c>
      <c r="H963" s="125" t="n">
        <v>13</v>
      </c>
      <c r="I963" s="125">
        <f>D963-(2*(H963+F963))</f>
        <v/>
      </c>
      <c r="J963" s="125">
        <f>D963/10 * F963/10 + 2*(E963/10 * G963/10)</f>
        <v/>
      </c>
      <c r="K963" s="125">
        <f>(E963/2)/F963</f>
        <v/>
      </c>
      <c r="L963" s="125">
        <f>I963/G963</f>
        <v/>
      </c>
      <c r="M963" s="125">
        <f>(E963*2+F963*4+((E963-G963)/2-H963)*4+2*PI()*H963+(D963-2*F963-2*H963)*2)/1000</f>
        <v/>
      </c>
      <c r="N963" s="5" t="n">
        <v>79900</v>
      </c>
      <c r="O963" s="5" t="n">
        <v>8570</v>
      </c>
      <c r="P963" s="125" t="n">
        <v>20.5</v>
      </c>
      <c r="Q963" s="125" t="n">
        <v>6.7</v>
      </c>
      <c r="R963" s="5" t="n">
        <v>3200</v>
      </c>
      <c r="S963" s="125" t="n">
        <v>571</v>
      </c>
      <c r="T963" s="5" t="n">
        <v>3630</v>
      </c>
      <c r="U963" s="125" t="n">
        <v>886</v>
      </c>
      <c r="Y963">
        <f>SQRT((((VLOOKUP($X$4,$A$4:$D$1021,4,FALSE))-D963)^2)+(((VLOOKUP($X$4,$A$4:$E$1021,5,FALSE))-E963)^2))</f>
        <v/>
      </c>
    </row>
    <row r="964">
      <c r="A964" s="125" t="inlineStr">
        <is>
          <t>HY500X175</t>
        </is>
      </c>
      <c r="B964" s="129" t="inlineStr">
        <is>
          <t>HY</t>
        </is>
      </c>
      <c r="C964" s="125" t="n">
        <v>175</v>
      </c>
      <c r="D964" s="125" t="n">
        <v>500</v>
      </c>
      <c r="E964" s="125" t="n">
        <v>300</v>
      </c>
      <c r="F964" s="125" t="n">
        <v>28</v>
      </c>
      <c r="G964" s="125" t="n">
        <v>12</v>
      </c>
      <c r="H964" s="125" t="n">
        <v>13</v>
      </c>
      <c r="I964" s="125">
        <f>D964-(2*(H964+F964))</f>
        <v/>
      </c>
      <c r="J964" s="125">
        <f>D964/10 * F964/10 + 2*(E964/10 * G964/10)</f>
        <v/>
      </c>
      <c r="K964" s="125">
        <f>(E964/2)/F964</f>
        <v/>
      </c>
      <c r="L964" s="125">
        <f>I964/G964</f>
        <v/>
      </c>
      <c r="M964" s="125">
        <f>(E964*2+F964*4+((E964-G964)/2-H964)*4+2*PI()*H964+(D964-2*F964-2*H964)*2)/1000</f>
        <v/>
      </c>
      <c r="N964" s="5" t="n">
        <v>103000</v>
      </c>
      <c r="O964" s="5" t="n">
        <v>12600</v>
      </c>
      <c r="P964" s="125" t="n">
        <v>21.5</v>
      </c>
      <c r="Q964" s="125" t="n">
        <v>7.5</v>
      </c>
      <c r="R964" s="5" t="n">
        <v>4130</v>
      </c>
      <c r="S964" s="125" t="n">
        <v>841</v>
      </c>
      <c r="T964" s="5" t="n">
        <v>4590</v>
      </c>
      <c r="U964" s="5" t="n">
        <v>1280</v>
      </c>
      <c r="Y964">
        <f>SQRT((((VLOOKUP($X$4,$A$4:$D$1021,4,FALSE))-D964)^2)+(((VLOOKUP($X$4,$A$4:$E$1021,5,FALSE))-E964)^2))</f>
        <v/>
      </c>
    </row>
    <row r="965">
      <c r="A965" s="125" t="inlineStr">
        <is>
          <t>HY500X161</t>
        </is>
      </c>
      <c r="B965" s="129" t="inlineStr">
        <is>
          <t>HY</t>
        </is>
      </c>
      <c r="C965" s="125" t="n">
        <v>161</v>
      </c>
      <c r="D965" s="125" t="n">
        <v>500</v>
      </c>
      <c r="E965" s="125" t="n">
        <v>300</v>
      </c>
      <c r="F965" s="125" t="n">
        <v>25</v>
      </c>
      <c r="G965" s="125" t="n">
        <v>12</v>
      </c>
      <c r="H965" s="125" t="n">
        <v>13</v>
      </c>
      <c r="I965" s="125">
        <f>D965-(2*(H965+F965))</f>
        <v/>
      </c>
      <c r="J965" s="125">
        <f>D965/10 * F965/10 + 2*(E965/10 * G965/10)</f>
        <v/>
      </c>
      <c r="K965" s="125">
        <f>(E965/2)/F965</f>
        <v/>
      </c>
      <c r="L965" s="125">
        <f>I965/G965</f>
        <v/>
      </c>
      <c r="M965" s="125">
        <f>(E965*2+F965*4+((E965-G965)/2-H965)*4+2*PI()*H965+(D965-2*F965-2*H965)*2)/1000</f>
        <v/>
      </c>
      <c r="N965" s="5" t="n">
        <v>94500</v>
      </c>
      <c r="O965" s="5" t="n">
        <v>11300</v>
      </c>
      <c r="P965" s="125" t="n">
        <v>21.4</v>
      </c>
      <c r="Q965" s="125" t="n">
        <v>7.4</v>
      </c>
      <c r="R965" s="5" t="n">
        <v>3780</v>
      </c>
      <c r="S965" s="125" t="n">
        <v>751</v>
      </c>
      <c r="T965" s="5" t="n">
        <v>4200</v>
      </c>
      <c r="U965" s="5" t="n">
        <v>1140</v>
      </c>
      <c r="Y965">
        <f>SQRT((((VLOOKUP($X$4,$A$4:$D$1021,4,FALSE))-D965)^2)+(((VLOOKUP($X$4,$A$4:$E$1021,5,FALSE))-E965)^2))</f>
        <v/>
      </c>
    </row>
    <row r="966">
      <c r="A966" s="125" t="inlineStr">
        <is>
          <t>HY500X148</t>
        </is>
      </c>
      <c r="B966" s="129" t="inlineStr">
        <is>
          <t>HY</t>
        </is>
      </c>
      <c r="C966" s="125" t="n">
        <v>148</v>
      </c>
      <c r="D966" s="125" t="n">
        <v>500</v>
      </c>
      <c r="E966" s="125" t="n">
        <v>300</v>
      </c>
      <c r="F966" s="125" t="n">
        <v>22</v>
      </c>
      <c r="G966" s="125" t="n">
        <v>12</v>
      </c>
      <c r="H966" s="125" t="n">
        <v>13</v>
      </c>
      <c r="I966" s="125">
        <f>D966-(2*(H966+F966))</f>
        <v/>
      </c>
      <c r="J966" s="125">
        <f>D966/10 * F966/10 + 2*(E966/10 * G966/10)</f>
        <v/>
      </c>
      <c r="K966" s="125">
        <f>(E966/2)/F966</f>
        <v/>
      </c>
      <c r="L966" s="125">
        <f>I966/G966</f>
        <v/>
      </c>
      <c r="M966" s="125">
        <f>(E966*2+F966*4+((E966-G966)/2-H966)*4+2*PI()*H966+(D966-2*F966-2*H966)*2)/1000</f>
        <v/>
      </c>
      <c r="N966" s="5" t="n">
        <v>85700</v>
      </c>
      <c r="O966" s="5" t="n">
        <v>9910</v>
      </c>
      <c r="P966" s="125" t="n">
        <v>21.3</v>
      </c>
      <c r="Q966" s="125" t="n">
        <v>7.3</v>
      </c>
      <c r="R966" s="5" t="n">
        <v>3430</v>
      </c>
      <c r="S966" s="125" t="n">
        <v>661</v>
      </c>
      <c r="T966" s="5" t="n">
        <v>3810</v>
      </c>
      <c r="U966" s="5" t="n">
        <v>1010</v>
      </c>
      <c r="Y966">
        <f>SQRT((((VLOOKUP($X$4,$A$4:$D$1021,4,FALSE))-D966)^2)+(((VLOOKUP($X$4,$A$4:$E$1021,5,FALSE))-E966)^2))</f>
        <v/>
      </c>
    </row>
    <row r="967">
      <c r="A967" s="125" t="inlineStr">
        <is>
          <t>HY500X134</t>
        </is>
      </c>
      <c r="B967" s="129" t="inlineStr">
        <is>
          <t>HY</t>
        </is>
      </c>
      <c r="C967" s="125" t="n">
        <v>134</v>
      </c>
      <c r="D967" s="125" t="n">
        <v>500</v>
      </c>
      <c r="E967" s="125" t="n">
        <v>300</v>
      </c>
      <c r="F967" s="125" t="n">
        <v>19</v>
      </c>
      <c r="G967" s="125" t="n">
        <v>12</v>
      </c>
      <c r="H967" s="125" t="n">
        <v>13</v>
      </c>
      <c r="I967" s="125">
        <f>D967-(2*(H967+F967))</f>
        <v/>
      </c>
      <c r="J967" s="125">
        <f>D967/10 * F967/10 + 2*(E967/10 * G967/10)</f>
        <v/>
      </c>
      <c r="K967" s="125">
        <f>(E967/2)/F967</f>
        <v/>
      </c>
      <c r="L967" s="125">
        <f>I967/G967</f>
        <v/>
      </c>
      <c r="M967" s="125">
        <f>(E967*2+F967*4+((E967-G967)/2-H967)*4+2*PI()*H967+(D967-2*F967-2*H967)*2)/1000</f>
        <v/>
      </c>
      <c r="N967" s="5" t="n">
        <v>76600</v>
      </c>
      <c r="O967" s="5" t="n">
        <v>8560</v>
      </c>
      <c r="P967" s="125" t="n">
        <v>21.2</v>
      </c>
      <c r="Q967" s="125" t="n">
        <v>7.1</v>
      </c>
      <c r="R967" s="5" t="n">
        <v>3060</v>
      </c>
      <c r="S967" s="125" t="n">
        <v>571</v>
      </c>
      <c r="T967" s="5" t="n">
        <v>3420</v>
      </c>
      <c r="U967" s="125" t="n">
        <v>873</v>
      </c>
      <c r="Y967">
        <f>SQRT((((VLOOKUP($X$4,$A$4:$D$1021,4,FALSE))-D967)^2)+(((VLOOKUP($X$4,$A$4:$E$1021,5,FALSE))-E967)^2))</f>
        <v/>
      </c>
    </row>
    <row r="968">
      <c r="A968" s="125" t="inlineStr">
        <is>
          <t>HY500X121</t>
        </is>
      </c>
      <c r="B968" s="129" t="inlineStr">
        <is>
          <t>HY</t>
        </is>
      </c>
      <c r="C968" s="125" t="n">
        <v>121</v>
      </c>
      <c r="D968" s="125" t="n">
        <v>500</v>
      </c>
      <c r="E968" s="125" t="n">
        <v>300</v>
      </c>
      <c r="F968" s="125" t="n">
        <v>16</v>
      </c>
      <c r="G968" s="125" t="n">
        <v>12</v>
      </c>
      <c r="H968" s="125" t="n">
        <v>13</v>
      </c>
      <c r="I968" s="125">
        <f>D968-(2*(H968+F968))</f>
        <v/>
      </c>
      <c r="J968" s="125">
        <f>D968/10 * F968/10 + 2*(E968/10 * G968/10)</f>
        <v/>
      </c>
      <c r="K968" s="125">
        <f>(E968/2)/F968</f>
        <v/>
      </c>
      <c r="L968" s="125">
        <f>I968/G968</f>
        <v/>
      </c>
      <c r="M968" s="125">
        <f>(E968*2+F968*4+((E968-G968)/2-H968)*4+2*PI()*H968+(D968-2*F968-2*H968)*2)/1000</f>
        <v/>
      </c>
      <c r="N968" s="5" t="n">
        <v>67300</v>
      </c>
      <c r="O968" s="5" t="n">
        <v>7210</v>
      </c>
      <c r="P968" s="125" t="n">
        <v>20.9</v>
      </c>
      <c r="Q968" s="125" t="n">
        <v>6.9</v>
      </c>
      <c r="R968" s="5" t="n">
        <v>2690</v>
      </c>
      <c r="S968" s="125" t="n">
        <v>481</v>
      </c>
      <c r="T968" s="5" t="n">
        <v>3010</v>
      </c>
      <c r="U968" s="125" t="n">
        <v>738</v>
      </c>
      <c r="Y968">
        <f>SQRT((((VLOOKUP($X$4,$A$4:$D$1021,4,FALSE))-D968)^2)+(((VLOOKUP($X$4,$A$4:$E$1021,5,FALSE))-E968)^2))</f>
        <v/>
      </c>
    </row>
    <row r="969">
      <c r="A969" s="125" t="inlineStr">
        <is>
          <t>HY500X123</t>
        </is>
      </c>
      <c r="B969" s="129" t="inlineStr">
        <is>
          <t>HY</t>
        </is>
      </c>
      <c r="C969" s="125" t="n">
        <v>123</v>
      </c>
      <c r="D969" s="125" t="n">
        <v>500</v>
      </c>
      <c r="E969" s="125" t="n">
        <v>300</v>
      </c>
      <c r="F969" s="125" t="n">
        <v>19</v>
      </c>
      <c r="G969" s="125" t="n">
        <v>9</v>
      </c>
      <c r="H969" s="125" t="n">
        <v>13</v>
      </c>
      <c r="I969" s="125">
        <f>D969-(2*(H969+F969))</f>
        <v/>
      </c>
      <c r="J969" s="125">
        <f>D969/10 * F969/10 + 2*(E969/10 * G969/10)</f>
        <v/>
      </c>
      <c r="K969" s="125">
        <f>(E969/2)/F969</f>
        <v/>
      </c>
      <c r="L969" s="125">
        <f>I969/G969</f>
        <v/>
      </c>
      <c r="M969" s="125">
        <f>(E969*2+F969*4+((E969-G969)/2-H969)*4+2*PI()*H969+(D969-2*F969-2*H969)*2)/1000</f>
        <v/>
      </c>
      <c r="N969" s="5" t="n">
        <v>74100</v>
      </c>
      <c r="O969" s="5" t="n">
        <v>8550</v>
      </c>
      <c r="P969" s="125" t="n">
        <v>21.7</v>
      </c>
      <c r="Q969" s="125" t="n">
        <v>7.4</v>
      </c>
      <c r="R969" s="5" t="n">
        <v>2960</v>
      </c>
      <c r="S969" s="125" t="n">
        <v>570</v>
      </c>
      <c r="T969" s="5" t="n">
        <v>3260</v>
      </c>
      <c r="U969" s="125" t="n">
        <v>865</v>
      </c>
      <c r="Y969">
        <f>SQRT((((VLOOKUP($X$4,$A$4:$D$1021,4,FALSE))-D969)^2)+(((VLOOKUP($X$4,$A$4:$E$1021,5,FALSE))-E969)^2))</f>
        <v/>
      </c>
    </row>
    <row r="970">
      <c r="A970" s="125" t="inlineStr">
        <is>
          <t>HY500X110</t>
        </is>
      </c>
      <c r="B970" s="129" t="inlineStr">
        <is>
          <t>HY</t>
        </is>
      </c>
      <c r="C970" s="125" t="n">
        <v>110</v>
      </c>
      <c r="D970" s="125" t="n">
        <v>500</v>
      </c>
      <c r="E970" s="125" t="n">
        <v>300</v>
      </c>
      <c r="F970" s="125" t="n">
        <v>16</v>
      </c>
      <c r="G970" s="125" t="n">
        <v>9</v>
      </c>
      <c r="H970" s="125" t="n">
        <v>13</v>
      </c>
      <c r="I970" s="125">
        <f>D970-(2*(H970+F970))</f>
        <v/>
      </c>
      <c r="J970" s="125">
        <f>D970/10 * F970/10 + 2*(E970/10 * G970/10)</f>
        <v/>
      </c>
      <c r="K970" s="125">
        <f>(E970/2)/F970</f>
        <v/>
      </c>
      <c r="L970" s="125">
        <f>I970/G970</f>
        <v/>
      </c>
      <c r="M970" s="125">
        <f>(E970*2+F970*4+((E970-G970)/2-H970)*4+2*PI()*H970+(D970-2*F970-2*H970)*2)/1000</f>
        <v/>
      </c>
      <c r="N970" s="5" t="n">
        <v>64700</v>
      </c>
      <c r="O970" s="5" t="n">
        <v>7200</v>
      </c>
      <c r="P970" s="125" t="n">
        <v>21.5</v>
      </c>
      <c r="Q970" s="125" t="n">
        <v>7.2</v>
      </c>
      <c r="R970" s="5" t="n">
        <v>2590</v>
      </c>
      <c r="S970" s="125" t="n">
        <v>480</v>
      </c>
      <c r="T970" s="5" t="n">
        <v>2850</v>
      </c>
      <c r="U970" s="125" t="n">
        <v>731</v>
      </c>
      <c r="Y970">
        <f>SQRT((((VLOOKUP($X$4,$A$4:$D$1021,4,FALSE))-D970)^2)+(((VLOOKUP($X$4,$A$4:$E$1021,5,FALSE))-E970)^2))</f>
        <v/>
      </c>
    </row>
    <row r="971">
      <c r="A971" s="125" t="inlineStr">
        <is>
          <t>HY500X153</t>
        </is>
      </c>
      <c r="B971" s="129" t="inlineStr">
        <is>
          <t>HY</t>
        </is>
      </c>
      <c r="C971" s="125" t="n">
        <v>153</v>
      </c>
      <c r="D971" s="125" t="n">
        <v>500</v>
      </c>
      <c r="E971" s="125" t="n">
        <v>250</v>
      </c>
      <c r="F971" s="125" t="n">
        <v>28</v>
      </c>
      <c r="G971" s="125" t="n">
        <v>12</v>
      </c>
      <c r="H971" s="125" t="n">
        <v>13</v>
      </c>
      <c r="I971" s="125">
        <f>D971-(2*(H971+F971))</f>
        <v/>
      </c>
      <c r="J971" s="125">
        <f>D971/10 * F971/10 + 2*(E971/10 * G971/10)</f>
        <v/>
      </c>
      <c r="K971" s="125">
        <f>(E971/2)/F971</f>
        <v/>
      </c>
      <c r="L971" s="125">
        <f>I971/G971</f>
        <v/>
      </c>
      <c r="M971" s="125">
        <f>(E971*2+F971*4+((E971-G971)/2-H971)*4+2*PI()*H971+(D971-2*F971-2*H971)*2)/1000</f>
        <v/>
      </c>
      <c r="N971" s="5" t="n">
        <v>87500</v>
      </c>
      <c r="O971" s="5" t="n">
        <v>7300</v>
      </c>
      <c r="P971" s="125" t="n">
        <v>21.2</v>
      </c>
      <c r="Q971" s="125" t="n">
        <v>6.1</v>
      </c>
      <c r="R971" s="5" t="n">
        <v>3500</v>
      </c>
      <c r="S971" s="125" t="n">
        <v>584</v>
      </c>
      <c r="T971" s="5" t="n">
        <v>3930</v>
      </c>
      <c r="U971" s="125" t="n">
        <v>892</v>
      </c>
      <c r="Y971">
        <f>SQRT((((VLOOKUP($X$4,$A$4:$D$1021,4,FALSE))-D971)^2)+(((VLOOKUP($X$4,$A$4:$E$1021,5,FALSE))-E971)^2))</f>
        <v/>
      </c>
    </row>
    <row r="972">
      <c r="A972" s="125" t="inlineStr">
        <is>
          <t>HY500X142</t>
        </is>
      </c>
      <c r="B972" s="129" t="inlineStr">
        <is>
          <t>HY</t>
        </is>
      </c>
      <c r="C972" s="125" t="n">
        <v>142</v>
      </c>
      <c r="D972" s="125" t="n">
        <v>500</v>
      </c>
      <c r="E972" s="125" t="n">
        <v>250</v>
      </c>
      <c r="F972" s="125" t="n">
        <v>25</v>
      </c>
      <c r="G972" s="125" t="n">
        <v>12</v>
      </c>
      <c r="H972" s="125" t="n">
        <v>13</v>
      </c>
      <c r="I972" s="125">
        <f>D972-(2*(H972+F972))</f>
        <v/>
      </c>
      <c r="J972" s="125">
        <f>D972/10 * F972/10 + 2*(E972/10 * G972/10)</f>
        <v/>
      </c>
      <c r="K972" s="125">
        <f>(E972/2)/F972</f>
        <v/>
      </c>
      <c r="L972" s="125">
        <f>I972/G972</f>
        <v/>
      </c>
      <c r="M972" s="125">
        <f>(E972*2+F972*4+((E972-G972)/2-H972)*4+2*PI()*H972+(D972-2*F972-2*H972)*2)/1000</f>
        <v/>
      </c>
      <c r="N972" s="5" t="n">
        <v>80400</v>
      </c>
      <c r="O972" s="5" t="n">
        <v>6520</v>
      </c>
      <c r="P972" s="125" t="n">
        <v>21.1</v>
      </c>
      <c r="Q972" s="125" t="n">
        <v>6</v>
      </c>
      <c r="R972" s="5" t="n">
        <v>3220</v>
      </c>
      <c r="S972" s="125" t="n">
        <v>521</v>
      </c>
      <c r="T972" s="5" t="n">
        <v>3610</v>
      </c>
      <c r="U972" s="125" t="n">
        <v>799</v>
      </c>
      <c r="Y972">
        <f>SQRT((((VLOOKUP($X$4,$A$4:$D$1021,4,FALSE))-D972)^2)+(((VLOOKUP($X$4,$A$4:$E$1021,5,FALSE))-E972)^2))</f>
        <v/>
      </c>
    </row>
    <row r="973">
      <c r="A973" s="125" t="inlineStr">
        <is>
          <t>HY500X130</t>
        </is>
      </c>
      <c r="B973" s="129" t="inlineStr">
        <is>
          <t>HY</t>
        </is>
      </c>
      <c r="C973" s="125" t="n">
        <v>130</v>
      </c>
      <c r="D973" s="125" t="n">
        <v>500</v>
      </c>
      <c r="E973" s="125" t="n">
        <v>250</v>
      </c>
      <c r="F973" s="125" t="n">
        <v>22</v>
      </c>
      <c r="G973" s="125" t="n">
        <v>12</v>
      </c>
      <c r="H973" s="125" t="n">
        <v>13</v>
      </c>
      <c r="I973" s="125">
        <f>D973-(2*(H973+F973))</f>
        <v/>
      </c>
      <c r="J973" s="125">
        <f>D973/10 * F973/10 + 2*(E973/10 * G973/10)</f>
        <v/>
      </c>
      <c r="K973" s="125">
        <f>(E973/2)/F973</f>
        <v/>
      </c>
      <c r="L973" s="125">
        <f>I973/G973</f>
        <v/>
      </c>
      <c r="M973" s="125">
        <f>(E973*2+F973*4+((E973-G973)/2-H973)*4+2*PI()*H973+(D973-2*F973-2*H973)*2)/1000</f>
        <v/>
      </c>
      <c r="N973" s="5" t="n">
        <v>73100</v>
      </c>
      <c r="O973" s="5" t="n">
        <v>5740</v>
      </c>
      <c r="P973" s="125" t="n">
        <v>21</v>
      </c>
      <c r="Q973" s="125" t="n">
        <v>5.9</v>
      </c>
      <c r="R973" s="5" t="n">
        <v>2920</v>
      </c>
      <c r="S973" s="125" t="n">
        <v>459</v>
      </c>
      <c r="T973" s="5" t="n">
        <v>3290</v>
      </c>
      <c r="U973" s="125" t="n">
        <v>705</v>
      </c>
      <c r="Y973">
        <f>SQRT((((VLOOKUP($X$4,$A$4:$D$1021,4,FALSE))-D973)^2)+(((VLOOKUP($X$4,$A$4:$E$1021,5,FALSE))-E973)^2))</f>
        <v/>
      </c>
    </row>
    <row r="974">
      <c r="A974" s="125" t="inlineStr">
        <is>
          <t>HY500X119</t>
        </is>
      </c>
      <c r="B974" s="129" t="inlineStr">
        <is>
          <t>HY</t>
        </is>
      </c>
      <c r="C974" s="125" t="n">
        <v>119</v>
      </c>
      <c r="D974" s="125" t="n">
        <v>500</v>
      </c>
      <c r="E974" s="125" t="n">
        <v>250</v>
      </c>
      <c r="F974" s="125" t="n">
        <v>19</v>
      </c>
      <c r="G974" s="125" t="n">
        <v>12</v>
      </c>
      <c r="H974" s="125" t="n">
        <v>13</v>
      </c>
      <c r="I974" s="125">
        <f>D974-(2*(H974+F974))</f>
        <v/>
      </c>
      <c r="J974" s="125">
        <f>D974/10 * F974/10 + 2*(E974/10 * G974/10)</f>
        <v/>
      </c>
      <c r="K974" s="125">
        <f>(E974/2)/F974</f>
        <v/>
      </c>
      <c r="L974" s="125">
        <f>I974/G974</f>
        <v/>
      </c>
      <c r="M974" s="125">
        <f>(E974*2+F974*4+((E974-G974)/2-H974)*4+2*PI()*H974+(D974-2*F974-2*H974)*2)/1000</f>
        <v/>
      </c>
      <c r="N974" s="5" t="n">
        <v>65600</v>
      </c>
      <c r="O974" s="5" t="n">
        <v>4960</v>
      </c>
      <c r="P974" s="125" t="n">
        <v>20.8</v>
      </c>
      <c r="Q974" s="125" t="n">
        <v>5.7</v>
      </c>
      <c r="R974" s="5" t="n">
        <v>2620</v>
      </c>
      <c r="S974" s="125" t="n">
        <v>396</v>
      </c>
      <c r="T974" s="5" t="n">
        <v>2960</v>
      </c>
      <c r="U974" s="125" t="n">
        <v>612</v>
      </c>
      <c r="Y974">
        <f>SQRT((((VLOOKUP($X$4,$A$4:$D$1021,4,FALSE))-D974)^2)+(((VLOOKUP($X$4,$A$4:$E$1021,5,FALSE))-E974)^2))</f>
        <v/>
      </c>
    </row>
    <row r="975">
      <c r="A975" s="125" t="inlineStr">
        <is>
          <t>HY500X108</t>
        </is>
      </c>
      <c r="B975" s="129" t="inlineStr">
        <is>
          <t>HY</t>
        </is>
      </c>
      <c r="C975" s="125" t="n">
        <v>108</v>
      </c>
      <c r="D975" s="125" t="n">
        <v>500</v>
      </c>
      <c r="E975" s="125" t="n">
        <v>250</v>
      </c>
      <c r="F975" s="125" t="n">
        <v>16</v>
      </c>
      <c r="G975" s="125" t="n">
        <v>12</v>
      </c>
      <c r="H975" s="125" t="n">
        <v>13</v>
      </c>
      <c r="I975" s="125">
        <f>D975-(2*(H975+F975))</f>
        <v/>
      </c>
      <c r="J975" s="125">
        <f>D975/10 * F975/10 + 2*(E975/10 * G975/10)</f>
        <v/>
      </c>
      <c r="K975" s="125">
        <f>(E975/2)/F975</f>
        <v/>
      </c>
      <c r="L975" s="125">
        <f>I975/G975</f>
        <v/>
      </c>
      <c r="M975" s="125">
        <f>(E975*2+F975*4+((E975-G975)/2-H975)*4+2*PI()*H975+(D975-2*F975-2*H975)*2)/1000</f>
        <v/>
      </c>
      <c r="N975" s="5" t="n">
        <v>57900</v>
      </c>
      <c r="O975" s="5" t="n">
        <v>4170</v>
      </c>
      <c r="P975" s="125" t="n">
        <v>20.5</v>
      </c>
      <c r="Q975" s="125" t="n">
        <v>5.5</v>
      </c>
      <c r="R975" s="5" t="n">
        <v>2320</v>
      </c>
      <c r="S975" s="125" t="n">
        <v>334</v>
      </c>
      <c r="T975" s="5" t="n">
        <v>2630</v>
      </c>
      <c r="U975" s="125" t="n">
        <v>518</v>
      </c>
      <c r="Y975">
        <f>SQRT((((VLOOKUP($X$4,$A$4:$D$1021,4,FALSE))-D975)^2)+(((VLOOKUP($X$4,$A$4:$E$1021,5,FALSE))-E975)^2))</f>
        <v/>
      </c>
    </row>
    <row r="976">
      <c r="A976" s="125" t="inlineStr">
        <is>
          <t>HY500X120</t>
        </is>
      </c>
      <c r="B976" s="129" t="inlineStr">
        <is>
          <t>HY</t>
        </is>
      </c>
      <c r="C976" s="125" t="n">
        <v>120</v>
      </c>
      <c r="D976" s="125" t="n">
        <v>500</v>
      </c>
      <c r="E976" s="125" t="n">
        <v>250</v>
      </c>
      <c r="F976" s="125" t="n">
        <v>22</v>
      </c>
      <c r="G976" s="125" t="n">
        <v>9</v>
      </c>
      <c r="H976" s="125" t="n">
        <v>13</v>
      </c>
      <c r="I976" s="125">
        <f>D976-(2*(H976+F976))</f>
        <v/>
      </c>
      <c r="J976" s="125">
        <f>D976/10 * F976/10 + 2*(E976/10 * G976/10)</f>
        <v/>
      </c>
      <c r="K976" s="125">
        <f>(E976/2)/F976</f>
        <v/>
      </c>
      <c r="L976" s="125">
        <f>I976/G976</f>
        <v/>
      </c>
      <c r="M976" s="125">
        <f>(E976*2+F976*4+((E976-G976)/2-H976)*4+2*PI()*H976+(D976-2*F976-2*H976)*2)/1000</f>
        <v/>
      </c>
      <c r="N976" s="5" t="n">
        <v>70700</v>
      </c>
      <c r="O976" s="5" t="n">
        <v>5730</v>
      </c>
      <c r="P976" s="125" t="n">
        <v>21.5</v>
      </c>
      <c r="Q976" s="125" t="n">
        <v>6.1</v>
      </c>
      <c r="R976" s="5" t="n">
        <v>2830</v>
      </c>
      <c r="S976" s="125" t="n">
        <v>459</v>
      </c>
      <c r="T976" s="5" t="n">
        <v>3130</v>
      </c>
      <c r="U976" s="125" t="n">
        <v>698</v>
      </c>
      <c r="Y976">
        <f>SQRT((((VLOOKUP($X$4,$A$4:$D$1021,4,FALSE))-D976)^2)+(((VLOOKUP($X$4,$A$4:$E$1021,5,FALSE))-E976)^2))</f>
        <v/>
      </c>
    </row>
    <row r="977">
      <c r="A977" s="125" t="inlineStr">
        <is>
          <t>HY500X108</t>
        </is>
      </c>
      <c r="B977" s="129" t="inlineStr">
        <is>
          <t>HY</t>
        </is>
      </c>
      <c r="C977" s="125" t="n">
        <v>108</v>
      </c>
      <c r="D977" s="125" t="n">
        <v>500</v>
      </c>
      <c r="E977" s="125" t="n">
        <v>250</v>
      </c>
      <c r="F977" s="125" t="n">
        <v>19</v>
      </c>
      <c r="G977" s="125" t="n">
        <v>9</v>
      </c>
      <c r="H977" s="125" t="n">
        <v>13</v>
      </c>
      <c r="I977" s="125">
        <f>D977-(2*(H977+F977))</f>
        <v/>
      </c>
      <c r="J977" s="125">
        <f>D977/10 * F977/10 + 2*(E977/10 * G977/10)</f>
        <v/>
      </c>
      <c r="K977" s="125">
        <f>(E977/2)/F977</f>
        <v/>
      </c>
      <c r="L977" s="125">
        <f>I977/G977</f>
        <v/>
      </c>
      <c r="M977" s="125">
        <f>(E977*2+F977*4+((E977-G977)/2-H977)*4+2*PI()*H977+(D977-2*F977-2*H977)*2)/1000</f>
        <v/>
      </c>
      <c r="N977" s="5" t="n">
        <v>63100</v>
      </c>
      <c r="O977" s="5" t="n">
        <v>4950</v>
      </c>
      <c r="P977" s="125" t="n">
        <v>21.4</v>
      </c>
      <c r="Q977" s="125" t="n">
        <v>6</v>
      </c>
      <c r="R977" s="5" t="n">
        <v>2530</v>
      </c>
      <c r="S977" s="125" t="n">
        <v>396</v>
      </c>
      <c r="T977" s="5" t="n">
        <v>2800</v>
      </c>
      <c r="U977" s="125" t="n">
        <v>604</v>
      </c>
      <c r="Y977">
        <f>SQRT((((VLOOKUP($X$4,$A$4:$D$1021,4,FALSE))-D977)^2)+(((VLOOKUP($X$4,$A$4:$E$1021,5,FALSE))-E977)^2))</f>
        <v/>
      </c>
    </row>
    <row r="978">
      <c r="A978" s="125" t="inlineStr">
        <is>
          <t>HY500X97</t>
        </is>
      </c>
      <c r="B978" s="129" t="inlineStr">
        <is>
          <t>HY</t>
        </is>
      </c>
      <c r="C978" s="125" t="n">
        <v>97</v>
      </c>
      <c r="D978" s="125" t="n">
        <v>500</v>
      </c>
      <c r="E978" s="125" t="n">
        <v>250</v>
      </c>
      <c r="F978" s="125" t="n">
        <v>16</v>
      </c>
      <c r="G978" s="125" t="n">
        <v>9</v>
      </c>
      <c r="H978" s="125" t="n">
        <v>13</v>
      </c>
      <c r="I978" s="125">
        <f>D978-(2*(H978+F978))</f>
        <v/>
      </c>
      <c r="J978" s="125">
        <f>D978/10 * F978/10 + 2*(E978/10 * G978/10)</f>
        <v/>
      </c>
      <c r="K978" s="125">
        <f>(E978/2)/F978</f>
        <v/>
      </c>
      <c r="L978" s="125">
        <f>I978/G978</f>
        <v/>
      </c>
      <c r="M978" s="125">
        <f>(E978*2+F978*4+((E978-G978)/2-H978)*4+2*PI()*H978+(D978-2*F978-2*H978)*2)/1000</f>
        <v/>
      </c>
      <c r="N978" s="5" t="n">
        <v>55300</v>
      </c>
      <c r="O978" s="5" t="n">
        <v>4170</v>
      </c>
      <c r="P978" s="125" t="n">
        <v>21.2</v>
      </c>
      <c r="Q978" s="125" t="n">
        <v>5.8</v>
      </c>
      <c r="R978" s="5" t="n">
        <v>2210</v>
      </c>
      <c r="S978" s="125" t="n">
        <v>334</v>
      </c>
      <c r="T978" s="5" t="n">
        <v>2460</v>
      </c>
      <c r="U978" s="125" t="n">
        <v>511</v>
      </c>
      <c r="Y978">
        <f>SQRT((((VLOOKUP($X$4,$A$4:$D$1021,4,FALSE))-D978)^2)+(((VLOOKUP($X$4,$A$4:$E$1021,5,FALSE))-E978)^2))</f>
        <v/>
      </c>
    </row>
    <row r="979">
      <c r="A979" s="125" t="inlineStr">
        <is>
          <t>HY500X122</t>
        </is>
      </c>
      <c r="B979" s="129" t="inlineStr">
        <is>
          <t>HY</t>
        </is>
      </c>
      <c r="C979" s="125" t="n">
        <v>122</v>
      </c>
      <c r="D979" s="125" t="n">
        <v>500</v>
      </c>
      <c r="E979" s="125" t="n">
        <v>200</v>
      </c>
      <c r="F979" s="125" t="n">
        <v>25</v>
      </c>
      <c r="G979" s="125" t="n">
        <v>12</v>
      </c>
      <c r="H979" s="125" t="n">
        <v>13</v>
      </c>
      <c r="I979" s="125">
        <f>D979-(2*(H979+F979))</f>
        <v/>
      </c>
      <c r="J979" s="125">
        <f>D979/10 * F979/10 + 2*(E979/10 * G979/10)</f>
        <v/>
      </c>
      <c r="K979" s="125">
        <f>(E979/2)/F979</f>
        <v/>
      </c>
      <c r="L979" s="125">
        <f>I979/G979</f>
        <v/>
      </c>
      <c r="M979" s="125">
        <f>(E979*2+F979*4+((E979-G979)/2-H979)*4+2*PI()*H979+(D979-2*F979-2*H979)*2)/1000</f>
        <v/>
      </c>
      <c r="N979" s="5" t="n">
        <v>66300</v>
      </c>
      <c r="O979" s="5" t="n">
        <v>3340</v>
      </c>
      <c r="P979" s="125" t="n">
        <v>20.6</v>
      </c>
      <c r="Q979" s="125" t="n">
        <v>4.6</v>
      </c>
      <c r="R979" s="5" t="n">
        <v>2650</v>
      </c>
      <c r="S979" s="125" t="n">
        <v>334</v>
      </c>
      <c r="T979" s="5" t="n">
        <v>3010</v>
      </c>
      <c r="U979" s="125" t="n">
        <v>517</v>
      </c>
      <c r="Y979">
        <f>SQRT((((VLOOKUP($X$4,$A$4:$D$1021,4,FALSE))-D979)^2)+(((VLOOKUP($X$4,$A$4:$E$1021,5,FALSE))-E979)^2))</f>
        <v/>
      </c>
    </row>
    <row r="980">
      <c r="A980" s="125" t="inlineStr">
        <is>
          <t>HY500X113</t>
        </is>
      </c>
      <c r="B980" s="129" t="inlineStr">
        <is>
          <t>HY</t>
        </is>
      </c>
      <c r="C980" s="125" t="n">
        <v>113</v>
      </c>
      <c r="D980" s="125" t="n">
        <v>500</v>
      </c>
      <c r="E980" s="125" t="n">
        <v>200</v>
      </c>
      <c r="F980" s="125" t="n">
        <v>22</v>
      </c>
      <c r="G980" s="125" t="n">
        <v>12</v>
      </c>
      <c r="H980" s="125" t="n">
        <v>13</v>
      </c>
      <c r="I980" s="125">
        <f>D980-(2*(H980+F980))</f>
        <v/>
      </c>
      <c r="J980" s="125">
        <f>D980/10 * F980/10 + 2*(E980/10 * G980/10)</f>
        <v/>
      </c>
      <c r="K980" s="125">
        <f>(E980/2)/F980</f>
        <v/>
      </c>
      <c r="L980" s="125">
        <f>I980/G980</f>
        <v/>
      </c>
      <c r="M980" s="125">
        <f>(E980*2+F980*4+((E980-G980)/2-H980)*4+2*PI()*H980+(D980-2*F980-2*H980)*2)/1000</f>
        <v/>
      </c>
      <c r="N980" s="5" t="n">
        <v>60500</v>
      </c>
      <c r="O980" s="5" t="n">
        <v>2940</v>
      </c>
      <c r="P980" s="125" t="n">
        <v>20.5</v>
      </c>
      <c r="Q980" s="125" t="n">
        <v>4.5</v>
      </c>
      <c r="R980" s="5" t="n">
        <v>2420</v>
      </c>
      <c r="S980" s="125" t="n">
        <v>294</v>
      </c>
      <c r="T980" s="5" t="n">
        <v>2760</v>
      </c>
      <c r="U980" s="125" t="n">
        <v>458</v>
      </c>
      <c r="Y980">
        <f>SQRT((((VLOOKUP($X$4,$A$4:$D$1021,4,FALSE))-D980)^2)+(((VLOOKUP($X$4,$A$4:$E$1021,5,FALSE))-E980)^2))</f>
        <v/>
      </c>
    </row>
    <row r="981">
      <c r="A981" s="125" t="inlineStr">
        <is>
          <t>HY500X104</t>
        </is>
      </c>
      <c r="B981" s="129" t="inlineStr">
        <is>
          <t>HY</t>
        </is>
      </c>
      <c r="C981" s="125" t="n">
        <v>104</v>
      </c>
      <c r="D981" s="125" t="n">
        <v>500</v>
      </c>
      <c r="E981" s="125" t="n">
        <v>200</v>
      </c>
      <c r="F981" s="125" t="n">
        <v>19</v>
      </c>
      <c r="G981" s="125" t="n">
        <v>12</v>
      </c>
      <c r="H981" s="125" t="n">
        <v>13</v>
      </c>
      <c r="I981" s="125">
        <f>D981-(2*(H981+F981))</f>
        <v/>
      </c>
      <c r="J981" s="125">
        <f>D981/10 * F981/10 + 2*(E981/10 * G981/10)</f>
        <v/>
      </c>
      <c r="K981" s="125">
        <f>(E981/2)/F981</f>
        <v/>
      </c>
      <c r="L981" s="125">
        <f>I981/G981</f>
        <v/>
      </c>
      <c r="M981" s="125">
        <f>(E981*2+F981*4+((E981-G981)/2-H981)*4+2*PI()*H981+(D981-2*F981-2*H981)*2)/1000</f>
        <v/>
      </c>
      <c r="N981" s="5" t="n">
        <v>54600</v>
      </c>
      <c r="O981" s="5" t="n">
        <v>2540</v>
      </c>
      <c r="P981" s="125" t="n">
        <v>20.3</v>
      </c>
      <c r="Q981" s="125" t="n">
        <v>4.4</v>
      </c>
      <c r="R981" s="5" t="n">
        <v>2180</v>
      </c>
      <c r="S981" s="125" t="n">
        <v>254</v>
      </c>
      <c r="T981" s="5" t="n">
        <v>2500</v>
      </c>
      <c r="U981" s="125" t="n">
        <v>398</v>
      </c>
      <c r="Y981">
        <f>SQRT((((VLOOKUP($X$4,$A$4:$D$1021,4,FALSE))-D981)^2)+(((VLOOKUP($X$4,$A$4:$E$1021,5,FALSE))-E981)^2))</f>
        <v/>
      </c>
    </row>
    <row r="982">
      <c r="A982" s="125" t="inlineStr">
        <is>
          <t>HY500X95.5</t>
        </is>
      </c>
      <c r="B982" s="129" t="inlineStr">
        <is>
          <t>HY</t>
        </is>
      </c>
      <c r="C982" s="125" t="n">
        <v>95.5</v>
      </c>
      <c r="D982" s="125" t="n">
        <v>500</v>
      </c>
      <c r="E982" s="125" t="n">
        <v>200</v>
      </c>
      <c r="F982" s="125" t="n">
        <v>16</v>
      </c>
      <c r="G982" s="125" t="n">
        <v>12</v>
      </c>
      <c r="H982" s="125" t="n">
        <v>13</v>
      </c>
      <c r="I982" s="125">
        <f>D982-(2*(H982+F982))</f>
        <v/>
      </c>
      <c r="J982" s="125">
        <f>D982/10 * F982/10 + 2*(E982/10 * G982/10)</f>
        <v/>
      </c>
      <c r="K982" s="125">
        <f>(E982/2)/F982</f>
        <v/>
      </c>
      <c r="L982" s="125">
        <f>I982/G982</f>
        <v/>
      </c>
      <c r="M982" s="125">
        <f>(E982*2+F982*4+((E982-G982)/2-H982)*4+2*PI()*H982+(D982-2*F982-2*H982)*2)/1000</f>
        <v/>
      </c>
      <c r="N982" s="5" t="n">
        <v>48500</v>
      </c>
      <c r="O982" s="5" t="n">
        <v>2140</v>
      </c>
      <c r="P982" s="125" t="n">
        <v>20</v>
      </c>
      <c r="Q982" s="125" t="n">
        <v>4.2</v>
      </c>
      <c r="R982" s="5" t="n">
        <v>1940</v>
      </c>
      <c r="S982" s="125" t="n">
        <v>214</v>
      </c>
      <c r="T982" s="5" t="n">
        <v>2240</v>
      </c>
      <c r="U982" s="125" t="n">
        <v>338</v>
      </c>
      <c r="Y982">
        <f>SQRT((((VLOOKUP($X$4,$A$4:$D$1021,4,FALSE))-D982)^2)+(((VLOOKUP($X$4,$A$4:$E$1021,5,FALSE))-E982)^2))</f>
        <v/>
      </c>
    </row>
    <row r="983">
      <c r="A983" s="125" t="inlineStr">
        <is>
          <t>HY500X102</t>
        </is>
      </c>
      <c r="B983" s="129" t="inlineStr">
        <is>
          <t>HY</t>
        </is>
      </c>
      <c r="C983" s="125" t="n">
        <v>102</v>
      </c>
      <c r="D983" s="125" t="n">
        <v>500</v>
      </c>
      <c r="E983" s="125" t="n">
        <v>200</v>
      </c>
      <c r="F983" s="125" t="n">
        <v>22</v>
      </c>
      <c r="G983" s="125" t="n">
        <v>9</v>
      </c>
      <c r="H983" s="125" t="n">
        <v>13</v>
      </c>
      <c r="I983" s="125">
        <f>D983-(2*(H983+F983))</f>
        <v/>
      </c>
      <c r="J983" s="125">
        <f>D983/10 * F983/10 + 2*(E983/10 * G983/10)</f>
        <v/>
      </c>
      <c r="K983" s="125">
        <f>(E983/2)/F983</f>
        <v/>
      </c>
      <c r="L983" s="125">
        <f>I983/G983</f>
        <v/>
      </c>
      <c r="M983" s="125">
        <f>(E983*2+F983*4+((E983-G983)/2-H983)*4+2*PI()*H983+(D983-2*F983-2*H983)*2)/1000</f>
        <v/>
      </c>
      <c r="N983" s="5" t="n">
        <v>58100</v>
      </c>
      <c r="O983" s="5" t="n">
        <v>2940</v>
      </c>
      <c r="P983" s="125" t="n">
        <v>21.1</v>
      </c>
      <c r="Q983" s="125" t="n">
        <v>4.7</v>
      </c>
      <c r="R983" s="5" t="n">
        <v>2330</v>
      </c>
      <c r="S983" s="125" t="n">
        <v>294</v>
      </c>
      <c r="T983" s="5" t="n">
        <v>2600</v>
      </c>
      <c r="U983" s="125" t="n">
        <v>450</v>
      </c>
      <c r="Y983">
        <f>SQRT((((VLOOKUP($X$4,$A$4:$D$1021,4,FALSE))-D983)^2)+(((VLOOKUP($X$4,$A$4:$E$1021,5,FALSE))-E983)^2))</f>
        <v/>
      </c>
    </row>
    <row r="984">
      <c r="A984" s="125" t="inlineStr">
        <is>
          <t>HY500X93.4</t>
        </is>
      </c>
      <c r="B984" s="129" t="inlineStr">
        <is>
          <t>HY</t>
        </is>
      </c>
      <c r="C984" s="125" t="n">
        <v>93.40000000000001</v>
      </c>
      <c r="D984" s="125" t="n">
        <v>500</v>
      </c>
      <c r="E984" s="125" t="n">
        <v>200</v>
      </c>
      <c r="F984" s="125" t="n">
        <v>19</v>
      </c>
      <c r="G984" s="125" t="n">
        <v>9</v>
      </c>
      <c r="H984" s="125" t="n">
        <v>13</v>
      </c>
      <c r="I984" s="125">
        <f>D984-(2*(H984+F984))</f>
        <v/>
      </c>
      <c r="J984" s="125">
        <f>D984/10 * F984/10 + 2*(E984/10 * G984/10)</f>
        <v/>
      </c>
      <c r="K984" s="125">
        <f>(E984/2)/F984</f>
        <v/>
      </c>
      <c r="L984" s="125">
        <f>I984/G984</f>
        <v/>
      </c>
      <c r="M984" s="125">
        <f>(E984*2+F984*4+((E984-G984)/2-H984)*4+2*PI()*H984+(D984-2*F984-2*H984)*2)/1000</f>
        <v/>
      </c>
      <c r="N984" s="5" t="n">
        <v>52100</v>
      </c>
      <c r="O984" s="5" t="n">
        <v>2540</v>
      </c>
      <c r="P984" s="125" t="n">
        <v>20.9</v>
      </c>
      <c r="Q984" s="125" t="n">
        <v>4.6</v>
      </c>
      <c r="R984" s="5" t="n">
        <v>2090</v>
      </c>
      <c r="S984" s="125" t="n">
        <v>254</v>
      </c>
      <c r="T984" s="5" t="n">
        <v>2340</v>
      </c>
      <c r="U984" s="125" t="n">
        <v>390</v>
      </c>
      <c r="Y984">
        <f>SQRT((((VLOOKUP($X$4,$A$4:$D$1021,4,FALSE))-D984)^2)+(((VLOOKUP($X$4,$A$4:$E$1021,5,FALSE))-E984)^2))</f>
        <v/>
      </c>
    </row>
    <row r="985">
      <c r="A985" s="125" t="inlineStr">
        <is>
          <t>HY500X84.4</t>
        </is>
      </c>
      <c r="B985" s="129" t="inlineStr">
        <is>
          <t>HY</t>
        </is>
      </c>
      <c r="C985" s="125" t="n">
        <v>84.40000000000001</v>
      </c>
      <c r="D985" s="125" t="n">
        <v>500</v>
      </c>
      <c r="E985" s="125" t="n">
        <v>200</v>
      </c>
      <c r="F985" s="125" t="n">
        <v>16</v>
      </c>
      <c r="G985" s="125" t="n">
        <v>9</v>
      </c>
      <c r="H985" s="125" t="n">
        <v>13</v>
      </c>
      <c r="I985" s="125">
        <f>D985-(2*(H985+F985))</f>
        <v/>
      </c>
      <c r="J985" s="125">
        <f>D985/10 * F985/10 + 2*(E985/10 * G985/10)</f>
        <v/>
      </c>
      <c r="K985" s="125">
        <f>(E985/2)/F985</f>
        <v/>
      </c>
      <c r="L985" s="125">
        <f>I985/G985</f>
        <v/>
      </c>
      <c r="M985" s="125">
        <f>(E985*2+F985*4+((E985-G985)/2-H985)*4+2*PI()*H985+(D985-2*F985-2*H985)*2)/1000</f>
        <v/>
      </c>
      <c r="N985" s="5" t="n">
        <v>46000</v>
      </c>
      <c r="O985" s="5" t="n">
        <v>2140</v>
      </c>
      <c r="P985" s="125" t="n">
        <v>20.7</v>
      </c>
      <c r="Q985" s="125" t="n">
        <v>4.5</v>
      </c>
      <c r="R985" s="5" t="n">
        <v>1840</v>
      </c>
      <c r="S985" s="125" t="n">
        <v>214</v>
      </c>
      <c r="T985" s="5" t="n">
        <v>2080</v>
      </c>
      <c r="U985" s="125" t="n">
        <v>331</v>
      </c>
      <c r="Y985">
        <f>SQRT((((VLOOKUP($X$4,$A$4:$D$1021,4,FALSE))-D985)^2)+(((VLOOKUP($X$4,$A$4:$E$1021,5,FALSE))-E985)^2))</f>
        <v/>
      </c>
    </row>
    <row r="986">
      <c r="A986" s="125" t="inlineStr">
        <is>
          <t>HY500X72.4</t>
        </is>
      </c>
      <c r="B986" s="129" t="inlineStr">
        <is>
          <t>HY</t>
        </is>
      </c>
      <c r="C986" s="125" t="n">
        <v>72.40000000000001</v>
      </c>
      <c r="D986" s="125" t="n">
        <v>500</v>
      </c>
      <c r="E986" s="125" t="n">
        <v>200</v>
      </c>
      <c r="F986" s="125" t="n">
        <v>12</v>
      </c>
      <c r="G986" s="125" t="n">
        <v>9</v>
      </c>
      <c r="H986" s="125" t="n">
        <v>13</v>
      </c>
      <c r="I986" s="125">
        <f>D986-(2*(H986+F986))</f>
        <v/>
      </c>
      <c r="J986" s="125">
        <f>D986/10 * F986/10 + 2*(E986/10 * G986/10)</f>
        <v/>
      </c>
      <c r="K986" s="125">
        <f>(E986/2)/F986</f>
        <v/>
      </c>
      <c r="L986" s="125">
        <f>I986/G986</f>
        <v/>
      </c>
      <c r="M986" s="125">
        <f>(E986*2+F986*4+((E986-G986)/2-H986)*4+2*PI()*H986+(D986-2*F986-2*H986)*2)/1000</f>
        <v/>
      </c>
      <c r="N986" s="5" t="n">
        <v>37500</v>
      </c>
      <c r="O986" s="5" t="n">
        <v>1600</v>
      </c>
      <c r="P986" s="125" t="n">
        <v>20.2</v>
      </c>
      <c r="Q986" s="125" t="n">
        <v>4.2</v>
      </c>
      <c r="R986" s="5" t="n">
        <v>1500</v>
      </c>
      <c r="S986" s="125" t="n">
        <v>160</v>
      </c>
      <c r="T986" s="5" t="n">
        <v>1720</v>
      </c>
      <c r="U986" s="125" t="n">
        <v>251</v>
      </c>
      <c r="Y986">
        <f>SQRT((((VLOOKUP($X$4,$A$4:$D$1021,4,FALSE))-D986)^2)+(((VLOOKUP($X$4,$A$4:$E$1021,5,FALSE))-E986)^2))</f>
        <v/>
      </c>
    </row>
    <row r="987">
      <c r="A987" s="125" t="inlineStr">
        <is>
          <t>HY450X157</t>
        </is>
      </c>
      <c r="B987" s="129" t="inlineStr">
        <is>
          <t>HY</t>
        </is>
      </c>
      <c r="C987" s="125" t="n">
        <v>157</v>
      </c>
      <c r="D987" s="125" t="n">
        <v>450</v>
      </c>
      <c r="E987" s="125" t="n">
        <v>300</v>
      </c>
      <c r="F987" s="125" t="n">
        <v>25</v>
      </c>
      <c r="G987" s="125" t="n">
        <v>12</v>
      </c>
      <c r="H987" s="125" t="n">
        <v>13</v>
      </c>
      <c r="I987" s="125">
        <f>D987-(2*(H987+F987))</f>
        <v/>
      </c>
      <c r="J987" s="125">
        <f>D987/10 * F987/10 + 2*(E987/10 * G987/10)</f>
        <v/>
      </c>
      <c r="K987" s="125">
        <f>(E987/2)/F987</f>
        <v/>
      </c>
      <c r="L987" s="125">
        <f>I987/G987</f>
        <v/>
      </c>
      <c r="M987" s="125">
        <f>(E987*2+F987*4+((E987-G987)/2-H987)*4+2*PI()*H987+(D987-2*F987-2*H987)*2)/1000</f>
        <v/>
      </c>
      <c r="N987" s="5" t="n">
        <v>74800</v>
      </c>
      <c r="O987" s="5" t="n">
        <v>11300</v>
      </c>
      <c r="P987" s="125" t="n">
        <v>19.4</v>
      </c>
      <c r="Q987" s="125" t="n">
        <v>7.5</v>
      </c>
      <c r="R987" s="5" t="n">
        <v>3320</v>
      </c>
      <c r="S987" s="125" t="n">
        <v>750</v>
      </c>
      <c r="T987" s="5" t="n">
        <v>3700</v>
      </c>
      <c r="U987" s="5" t="n">
        <v>1140</v>
      </c>
      <c r="Y987">
        <f>SQRT((((VLOOKUP($X$4,$A$4:$D$1021,4,FALSE))-D987)^2)+(((VLOOKUP($X$4,$A$4:$E$1021,5,FALSE))-E987)^2))</f>
        <v/>
      </c>
    </row>
    <row r="988">
      <c r="A988" s="125" t="inlineStr">
        <is>
          <t>HY450X143</t>
        </is>
      </c>
      <c r="B988" s="129" t="inlineStr">
        <is>
          <t>HY</t>
        </is>
      </c>
      <c r="C988" s="125" t="n">
        <v>143</v>
      </c>
      <c r="D988" s="125" t="n">
        <v>450</v>
      </c>
      <c r="E988" s="125" t="n">
        <v>300</v>
      </c>
      <c r="F988" s="125" t="n">
        <v>22</v>
      </c>
      <c r="G988" s="125" t="n">
        <v>12</v>
      </c>
      <c r="H988" s="125" t="n">
        <v>13</v>
      </c>
      <c r="I988" s="125">
        <f>D988-(2*(H988+F988))</f>
        <v/>
      </c>
      <c r="J988" s="125">
        <f>D988/10 * F988/10 + 2*(E988/10 * G988/10)</f>
        <v/>
      </c>
      <c r="K988" s="125">
        <f>(E988/2)/F988</f>
        <v/>
      </c>
      <c r="L988" s="125">
        <f>I988/G988</f>
        <v/>
      </c>
      <c r="M988" s="125">
        <f>(E988*2+F988*4+((E988-G988)/2-H988)*4+2*PI()*H988+(D988-2*F988-2*H988)*2)/1000</f>
        <v/>
      </c>
      <c r="N988" s="5" t="n">
        <v>67800</v>
      </c>
      <c r="O988" s="5" t="n">
        <v>9910</v>
      </c>
      <c r="P988" s="125" t="n">
        <v>19.3</v>
      </c>
      <c r="Q988" s="125" t="n">
        <v>7.4</v>
      </c>
      <c r="R988" s="5" t="n">
        <v>3010</v>
      </c>
      <c r="S988" s="125" t="n">
        <v>660</v>
      </c>
      <c r="T988" s="5" t="n">
        <v>3350</v>
      </c>
      <c r="U988" s="5" t="n">
        <v>1010</v>
      </c>
      <c r="Y988">
        <f>SQRT((((VLOOKUP($X$4,$A$4:$D$1021,4,FALSE))-D988)^2)+(((VLOOKUP($X$4,$A$4:$E$1021,5,FALSE))-E988)^2))</f>
        <v/>
      </c>
    </row>
    <row r="989">
      <c r="A989" s="125" t="inlineStr">
        <is>
          <t>HY450X129</t>
        </is>
      </c>
      <c r="B989" s="129" t="inlineStr">
        <is>
          <t>HY</t>
        </is>
      </c>
      <c r="C989" s="125" t="n">
        <v>129</v>
      </c>
      <c r="D989" s="125" t="n">
        <v>450</v>
      </c>
      <c r="E989" s="125" t="n">
        <v>300</v>
      </c>
      <c r="F989" s="125" t="n">
        <v>19</v>
      </c>
      <c r="G989" s="125" t="n">
        <v>12</v>
      </c>
      <c r="H989" s="125" t="n">
        <v>13</v>
      </c>
      <c r="I989" s="125">
        <f>D989-(2*(H989+F989))</f>
        <v/>
      </c>
      <c r="J989" s="125">
        <f>D989/10 * F989/10 + 2*(E989/10 * G989/10)</f>
        <v/>
      </c>
      <c r="K989" s="125">
        <f>(E989/2)/F989</f>
        <v/>
      </c>
      <c r="L989" s="125">
        <f>I989/G989</f>
        <v/>
      </c>
      <c r="M989" s="125">
        <f>(E989*2+F989*4+((E989-G989)/2-H989)*4+2*PI()*H989+(D989-2*F989-2*H989)*2)/1000</f>
        <v/>
      </c>
      <c r="N989" s="5" t="n">
        <v>60600</v>
      </c>
      <c r="O989" s="5" t="n">
        <v>8560</v>
      </c>
      <c r="P989" s="125" t="n">
        <v>19.2</v>
      </c>
      <c r="Q989" s="125" t="n">
        <v>7.2</v>
      </c>
      <c r="R989" s="5" t="n">
        <v>2690</v>
      </c>
      <c r="S989" s="125" t="n">
        <v>570</v>
      </c>
      <c r="T989" s="5" t="n">
        <v>3000</v>
      </c>
      <c r="U989" s="125" t="n">
        <v>871</v>
      </c>
      <c r="Y989">
        <f>SQRT((((VLOOKUP($X$4,$A$4:$D$1021,4,FALSE))-D989)^2)+(((VLOOKUP($X$4,$A$4:$E$1021,5,FALSE))-E989)^2))</f>
        <v/>
      </c>
    </row>
    <row r="990">
      <c r="A990" s="125" t="inlineStr">
        <is>
          <t>HY450X116</t>
        </is>
      </c>
      <c r="B990" s="129" t="inlineStr">
        <is>
          <t>HY</t>
        </is>
      </c>
      <c r="C990" s="125" t="n">
        <v>116</v>
      </c>
      <c r="D990" s="125" t="n">
        <v>450</v>
      </c>
      <c r="E990" s="125" t="n">
        <v>300</v>
      </c>
      <c r="F990" s="125" t="n">
        <v>16</v>
      </c>
      <c r="G990" s="125" t="n">
        <v>12</v>
      </c>
      <c r="H990" s="125" t="n">
        <v>13</v>
      </c>
      <c r="I990" s="125">
        <f>D990-(2*(H990+F990))</f>
        <v/>
      </c>
      <c r="J990" s="125">
        <f>D990/10 * F990/10 + 2*(E990/10 * G990/10)</f>
        <v/>
      </c>
      <c r="K990" s="125">
        <f>(E990/2)/F990</f>
        <v/>
      </c>
      <c r="L990" s="125">
        <f>I990/G990</f>
        <v/>
      </c>
      <c r="M990" s="125">
        <f>(E990*2+F990*4+((E990-G990)/2-H990)*4+2*PI()*H990+(D990-2*F990-2*H990)*2)/1000</f>
        <v/>
      </c>
      <c r="N990" s="5" t="n">
        <v>53100</v>
      </c>
      <c r="O990" s="5" t="n">
        <v>7210</v>
      </c>
      <c r="P990" s="125" t="n">
        <v>19</v>
      </c>
      <c r="Q990" s="125" t="n">
        <v>7</v>
      </c>
      <c r="R990" s="5" t="n">
        <v>2360</v>
      </c>
      <c r="S990" s="125" t="n">
        <v>480</v>
      </c>
      <c r="T990" s="5" t="n">
        <v>2640</v>
      </c>
      <c r="U990" s="125" t="n">
        <v>736</v>
      </c>
      <c r="Y990">
        <f>SQRT((((VLOOKUP($X$4,$A$4:$D$1021,4,FALSE))-D990)^2)+(((VLOOKUP($X$4,$A$4:$E$1021,5,FALSE))-E990)^2))</f>
        <v/>
      </c>
    </row>
    <row r="991">
      <c r="A991" s="125" t="inlineStr">
        <is>
          <t>HY450X148</t>
        </is>
      </c>
      <c r="B991" s="129" t="inlineStr">
        <is>
          <t>HY</t>
        </is>
      </c>
      <c r="C991" s="125" t="n">
        <v>148</v>
      </c>
      <c r="D991" s="125" t="n">
        <v>450</v>
      </c>
      <c r="E991" s="125" t="n">
        <v>250</v>
      </c>
      <c r="F991" s="125" t="n">
        <v>28</v>
      </c>
      <c r="G991" s="125" t="n">
        <v>12</v>
      </c>
      <c r="H991" s="125" t="n">
        <v>13</v>
      </c>
      <c r="I991" s="125">
        <f>D991-(2*(H991+F991))</f>
        <v/>
      </c>
      <c r="J991" s="125">
        <f>D991/10 * F991/10 + 2*(E991/10 * G991/10)</f>
        <v/>
      </c>
      <c r="K991" s="125">
        <f>(E991/2)/F991</f>
        <v/>
      </c>
      <c r="L991" s="125">
        <f>I991/G991</f>
        <v/>
      </c>
      <c r="M991" s="125">
        <f>(E991*2+F991*4+((E991-G991)/2-H991)*4+2*PI()*H991+(D991-2*F991-2*H991)*2)/1000</f>
        <v/>
      </c>
      <c r="N991" s="5" t="n">
        <v>69100</v>
      </c>
      <c r="O991" s="5" t="n">
        <v>7300</v>
      </c>
      <c r="P991" s="125" t="n">
        <v>19.1</v>
      </c>
      <c r="Q991" s="125" t="n">
        <v>6.2</v>
      </c>
      <c r="R991" s="5" t="n">
        <v>3070</v>
      </c>
      <c r="S991" s="125" t="n">
        <v>584</v>
      </c>
      <c r="T991" s="5" t="n">
        <v>3450</v>
      </c>
      <c r="U991" s="125" t="n">
        <v>890</v>
      </c>
      <c r="Y991">
        <f>SQRT((((VLOOKUP($X$4,$A$4:$D$1021,4,FALSE))-D991)^2)+(((VLOOKUP($X$4,$A$4:$E$1021,5,FALSE))-E991)^2))</f>
        <v/>
      </c>
    </row>
    <row r="992">
      <c r="A992" s="125" t="inlineStr">
        <is>
          <t>HY450X137</t>
        </is>
      </c>
      <c r="B992" s="129" t="inlineStr">
        <is>
          <t>HY</t>
        </is>
      </c>
      <c r="C992" s="125" t="n">
        <v>137</v>
      </c>
      <c r="D992" s="125" t="n">
        <v>450</v>
      </c>
      <c r="E992" s="125" t="n">
        <v>250</v>
      </c>
      <c r="F992" s="125" t="n">
        <v>25</v>
      </c>
      <c r="G992" s="125" t="n">
        <v>12</v>
      </c>
      <c r="H992" s="125" t="n">
        <v>13</v>
      </c>
      <c r="I992" s="125">
        <f>D992-(2*(H992+F992))</f>
        <v/>
      </c>
      <c r="J992" s="125">
        <f>D992/10 * F992/10 + 2*(E992/10 * G992/10)</f>
        <v/>
      </c>
      <c r="K992" s="125">
        <f>(E992/2)/F992</f>
        <v/>
      </c>
      <c r="L992" s="125">
        <f>I992/G992</f>
        <v/>
      </c>
      <c r="M992" s="125">
        <f>(E992*2+F992*4+((E992-G992)/2-H992)*4+2*PI()*H992+(D992-2*F992-2*H992)*2)/1000</f>
        <v/>
      </c>
      <c r="N992" s="5" t="n">
        <v>63500</v>
      </c>
      <c r="O992" s="5" t="n">
        <v>6520</v>
      </c>
      <c r="P992" s="125" t="n">
        <v>19.1</v>
      </c>
      <c r="Q992" s="125" t="n">
        <v>6.1</v>
      </c>
      <c r="R992" s="5" t="n">
        <v>2820</v>
      </c>
      <c r="S992" s="125" t="n">
        <v>521</v>
      </c>
      <c r="T992" s="5" t="n">
        <v>3160</v>
      </c>
      <c r="U992" s="125" t="n">
        <v>797</v>
      </c>
      <c r="Y992">
        <f>SQRT((((VLOOKUP($X$4,$A$4:$D$1021,4,FALSE))-D992)^2)+(((VLOOKUP($X$4,$A$4:$E$1021,5,FALSE))-E992)^2))</f>
        <v/>
      </c>
    </row>
    <row r="993">
      <c r="A993" s="125" t="inlineStr">
        <is>
          <t>HY450X126</t>
        </is>
      </c>
      <c r="B993" s="129" t="inlineStr">
        <is>
          <t>HY</t>
        </is>
      </c>
      <c r="C993" s="125" t="n">
        <v>126</v>
      </c>
      <c r="D993" s="125" t="n">
        <v>450</v>
      </c>
      <c r="E993" s="125" t="n">
        <v>250</v>
      </c>
      <c r="F993" s="125" t="n">
        <v>22</v>
      </c>
      <c r="G993" s="125" t="n">
        <v>12</v>
      </c>
      <c r="H993" s="125" t="n">
        <v>13</v>
      </c>
      <c r="I993" s="125">
        <f>D993-(2*(H993+F993))</f>
        <v/>
      </c>
      <c r="J993" s="125">
        <f>D993/10 * F993/10 + 2*(E993/10 * G993/10)</f>
        <v/>
      </c>
      <c r="K993" s="125">
        <f>(E993/2)/F993</f>
        <v/>
      </c>
      <c r="L993" s="125">
        <f>I993/G993</f>
        <v/>
      </c>
      <c r="M993" s="125">
        <f>(E993*2+F993*4+((E993-G993)/2-H993)*4+2*PI()*H993+(D993-2*F993-2*H993)*2)/1000</f>
        <v/>
      </c>
      <c r="N993" s="5" t="n">
        <v>57700</v>
      </c>
      <c r="O993" s="5" t="n">
        <v>5740</v>
      </c>
      <c r="P993" s="125" t="n">
        <v>19</v>
      </c>
      <c r="Q993" s="125" t="n">
        <v>6</v>
      </c>
      <c r="R993" s="5" t="n">
        <v>2560</v>
      </c>
      <c r="S993" s="125" t="n">
        <v>459</v>
      </c>
      <c r="T993" s="5" t="n">
        <v>2880</v>
      </c>
      <c r="U993" s="125" t="n">
        <v>703</v>
      </c>
      <c r="Y993">
        <f>SQRT((((VLOOKUP($X$4,$A$4:$D$1021,4,FALSE))-D993)^2)+(((VLOOKUP($X$4,$A$4:$E$1021,5,FALSE))-E993)^2))</f>
        <v/>
      </c>
    </row>
    <row r="994">
      <c r="A994" s="125" t="inlineStr">
        <is>
          <t>HY450X115</t>
        </is>
      </c>
      <c r="B994" s="129" t="inlineStr">
        <is>
          <t>HY</t>
        </is>
      </c>
      <c r="C994" s="125" t="n">
        <v>115</v>
      </c>
      <c r="D994" s="125" t="n">
        <v>450</v>
      </c>
      <c r="E994" s="125" t="n">
        <v>250</v>
      </c>
      <c r="F994" s="125" t="n">
        <v>19</v>
      </c>
      <c r="G994" s="125" t="n">
        <v>12</v>
      </c>
      <c r="H994" s="125" t="n">
        <v>13</v>
      </c>
      <c r="I994" s="125">
        <f>D994-(2*(H994+F994))</f>
        <v/>
      </c>
      <c r="J994" s="125">
        <f>D994/10 * F994/10 + 2*(E994/10 * G994/10)</f>
        <v/>
      </c>
      <c r="K994" s="125">
        <f>(E994/2)/F994</f>
        <v/>
      </c>
      <c r="L994" s="125">
        <f>I994/G994</f>
        <v/>
      </c>
      <c r="M994" s="125">
        <f>(E994*2+F994*4+((E994-G994)/2-H994)*4+2*PI()*H994+(D994-2*F994-2*H994)*2)/1000</f>
        <v/>
      </c>
      <c r="N994" s="5" t="n">
        <v>51700</v>
      </c>
      <c r="O994" s="5" t="n">
        <v>4960</v>
      </c>
      <c r="P994" s="125" t="n">
        <v>18.8</v>
      </c>
      <c r="Q994" s="125" t="n">
        <v>5.8</v>
      </c>
      <c r="R994" s="5" t="n">
        <v>2300</v>
      </c>
      <c r="S994" s="125" t="n">
        <v>396</v>
      </c>
      <c r="T994" s="5" t="n">
        <v>2590</v>
      </c>
      <c r="U994" s="125" t="n">
        <v>610</v>
      </c>
      <c r="Y994">
        <f>SQRT((((VLOOKUP($X$4,$A$4:$D$1021,4,FALSE))-D994)^2)+(((VLOOKUP($X$4,$A$4:$E$1021,5,FALSE))-E994)^2))</f>
        <v/>
      </c>
    </row>
    <row r="995">
      <c r="A995" s="125" t="inlineStr">
        <is>
          <t>HY450X103</t>
        </is>
      </c>
      <c r="B995" s="129" t="inlineStr">
        <is>
          <t>HY</t>
        </is>
      </c>
      <c r="C995" s="125" t="n">
        <v>103</v>
      </c>
      <c r="D995" s="125" t="n">
        <v>450</v>
      </c>
      <c r="E995" s="125" t="n">
        <v>250</v>
      </c>
      <c r="F995" s="125" t="n">
        <v>16</v>
      </c>
      <c r="G995" s="125" t="n">
        <v>12</v>
      </c>
      <c r="H995" s="125" t="n">
        <v>13</v>
      </c>
      <c r="I995" s="125">
        <f>D995-(2*(H995+F995))</f>
        <v/>
      </c>
      <c r="J995" s="125">
        <f>D995/10 * F995/10 + 2*(E995/10 * G995/10)</f>
        <v/>
      </c>
      <c r="K995" s="125">
        <f>(E995/2)/F995</f>
        <v/>
      </c>
      <c r="L995" s="125">
        <f>I995/G995</f>
        <v/>
      </c>
      <c r="M995" s="125">
        <f>(E995*2+F995*4+((E995-G995)/2-H995)*4+2*PI()*H995+(D995-2*F995-2*H995)*2)/1000</f>
        <v/>
      </c>
      <c r="N995" s="5" t="n">
        <v>45600</v>
      </c>
      <c r="O995" s="5" t="n">
        <v>4170</v>
      </c>
      <c r="P995" s="125" t="n">
        <v>18.6</v>
      </c>
      <c r="Q995" s="125" t="n">
        <v>5.6</v>
      </c>
      <c r="R995" s="5" t="n">
        <v>2030</v>
      </c>
      <c r="S995" s="125" t="n">
        <v>334</v>
      </c>
      <c r="T995" s="5" t="n">
        <v>2290</v>
      </c>
      <c r="U995" s="125" t="n">
        <v>516</v>
      </c>
      <c r="Y995">
        <f>SQRT((((VLOOKUP($X$4,$A$4:$D$1021,4,FALSE))-D995)^2)+(((VLOOKUP($X$4,$A$4:$E$1021,5,FALSE))-E995)^2))</f>
        <v/>
      </c>
    </row>
    <row r="996">
      <c r="A996" s="125" t="inlineStr">
        <is>
          <t>HY450X116</t>
        </is>
      </c>
      <c r="B996" s="129" t="inlineStr">
        <is>
          <t>HY</t>
        </is>
      </c>
      <c r="C996" s="125" t="n">
        <v>116</v>
      </c>
      <c r="D996" s="125" t="n">
        <v>450</v>
      </c>
      <c r="E996" s="125" t="n">
        <v>250</v>
      </c>
      <c r="F996" s="125" t="n">
        <v>22</v>
      </c>
      <c r="G996" s="125" t="n">
        <v>9</v>
      </c>
      <c r="H996" s="125" t="n">
        <v>13</v>
      </c>
      <c r="I996" s="125">
        <f>D996-(2*(H996+F996))</f>
        <v/>
      </c>
      <c r="J996" s="125">
        <f>D996/10 * F996/10 + 2*(E996/10 * G996/10)</f>
        <v/>
      </c>
      <c r="K996" s="125">
        <f>(E996/2)/F996</f>
        <v/>
      </c>
      <c r="L996" s="125">
        <f>I996/G996</f>
        <v/>
      </c>
      <c r="M996" s="125">
        <f>(E996*2+F996*4+((E996-G996)/2-H996)*4+2*PI()*H996+(D996-2*F996-2*H996)*2)/1000</f>
        <v/>
      </c>
      <c r="N996" s="5" t="n">
        <v>56000</v>
      </c>
      <c r="O996" s="5" t="n">
        <v>5730</v>
      </c>
      <c r="P996" s="125" t="n">
        <v>19.5</v>
      </c>
      <c r="Q996" s="125" t="n">
        <v>6.2</v>
      </c>
      <c r="R996" s="5" t="n">
        <v>2490</v>
      </c>
      <c r="S996" s="125" t="n">
        <v>459</v>
      </c>
      <c r="T996" s="5" t="n">
        <v>2750</v>
      </c>
      <c r="U996" s="125" t="n">
        <v>697</v>
      </c>
      <c r="Y996">
        <f>SQRT((((VLOOKUP($X$4,$A$4:$D$1021,4,FALSE))-D996)^2)+(((VLOOKUP($X$4,$A$4:$E$1021,5,FALSE))-E996)^2))</f>
        <v/>
      </c>
    </row>
    <row r="997">
      <c r="A997" s="125" t="inlineStr">
        <is>
          <t>HY450X105</t>
        </is>
      </c>
      <c r="B997" s="129" t="inlineStr">
        <is>
          <t>HY</t>
        </is>
      </c>
      <c r="C997" s="125" t="n">
        <v>105</v>
      </c>
      <c r="D997" s="125" t="n">
        <v>450</v>
      </c>
      <c r="E997" s="125" t="n">
        <v>250</v>
      </c>
      <c r="F997" s="125" t="n">
        <v>19</v>
      </c>
      <c r="G997" s="125" t="n">
        <v>9</v>
      </c>
      <c r="H997" s="125" t="n">
        <v>13</v>
      </c>
      <c r="I997" s="125">
        <f>D997-(2*(H997+F997))</f>
        <v/>
      </c>
      <c r="J997" s="125">
        <f>D997/10 * F997/10 + 2*(E997/10 * G997/10)</f>
        <v/>
      </c>
      <c r="K997" s="125">
        <f>(E997/2)/F997</f>
        <v/>
      </c>
      <c r="L997" s="125">
        <f>I997/G997</f>
        <v/>
      </c>
      <c r="M997" s="125">
        <f>(E997*2+F997*4+((E997-G997)/2-H997)*4+2*PI()*H997+(D997-2*F997-2*H997)*2)/1000</f>
        <v/>
      </c>
      <c r="N997" s="5" t="n">
        <v>50000</v>
      </c>
      <c r="O997" s="5" t="n">
        <v>4950</v>
      </c>
      <c r="P997" s="125" t="n">
        <v>19.3</v>
      </c>
      <c r="Q997" s="125" t="n">
        <v>6.1</v>
      </c>
      <c r="R997" s="5" t="n">
        <v>2220</v>
      </c>
      <c r="S997" s="125" t="n">
        <v>396</v>
      </c>
      <c r="T997" s="5" t="n">
        <v>2460</v>
      </c>
      <c r="U997" s="125" t="n">
        <v>603</v>
      </c>
      <c r="Y997">
        <f>SQRT((((VLOOKUP($X$4,$A$4:$D$1021,4,FALSE))-D997)^2)+(((VLOOKUP($X$4,$A$4:$E$1021,5,FALSE))-E997)^2))</f>
        <v/>
      </c>
    </row>
    <row r="998">
      <c r="A998" s="125" t="inlineStr">
        <is>
          <t>HY450X93.5</t>
        </is>
      </c>
      <c r="B998" s="129" t="inlineStr">
        <is>
          <t>HY</t>
        </is>
      </c>
      <c r="C998" s="125" t="n">
        <v>93.5</v>
      </c>
      <c r="D998" s="125" t="n">
        <v>450</v>
      </c>
      <c r="E998" s="125" t="n">
        <v>250</v>
      </c>
      <c r="F998" s="125" t="n">
        <v>16</v>
      </c>
      <c r="G998" s="125" t="n">
        <v>9</v>
      </c>
      <c r="H998" s="125" t="n">
        <v>13</v>
      </c>
      <c r="I998" s="125">
        <f>D998-(2*(H998+F998))</f>
        <v/>
      </c>
      <c r="J998" s="125">
        <f>D998/10 * F998/10 + 2*(E998/10 * G998/10)</f>
        <v/>
      </c>
      <c r="K998" s="125">
        <f>(E998/2)/F998</f>
        <v/>
      </c>
      <c r="L998" s="125">
        <f>I998/G998</f>
        <v/>
      </c>
      <c r="M998" s="125">
        <f>(E998*2+F998*4+((E998-G998)/2-H998)*4+2*PI()*H998+(D998-2*F998-2*H998)*2)/1000</f>
        <v/>
      </c>
      <c r="N998" s="5" t="n">
        <v>43800</v>
      </c>
      <c r="O998" s="5" t="n">
        <v>4170</v>
      </c>
      <c r="P998" s="125" t="n">
        <v>19.2</v>
      </c>
      <c r="Q998" s="125" t="n">
        <v>5.9</v>
      </c>
      <c r="R998" s="5" t="n">
        <v>1950</v>
      </c>
      <c r="S998" s="125" t="n">
        <v>334</v>
      </c>
      <c r="T998" s="5" t="n">
        <v>2160</v>
      </c>
      <c r="U998" s="125" t="n">
        <v>510</v>
      </c>
      <c r="Y998">
        <f>SQRT((((VLOOKUP($X$4,$A$4:$D$1021,4,FALSE))-D998)^2)+(((VLOOKUP($X$4,$A$4:$E$1021,5,FALSE))-E998)^2))</f>
        <v/>
      </c>
    </row>
    <row r="999">
      <c r="A999" s="125" t="inlineStr">
        <is>
          <t>HY450X117</t>
        </is>
      </c>
      <c r="B999" s="129" t="inlineStr">
        <is>
          <t>HY</t>
        </is>
      </c>
      <c r="C999" s="125" t="n">
        <v>117</v>
      </c>
      <c r="D999" s="125" t="n">
        <v>450</v>
      </c>
      <c r="E999" s="125" t="n">
        <v>200</v>
      </c>
      <c r="F999" s="125" t="n">
        <v>25</v>
      </c>
      <c r="G999" s="125" t="n">
        <v>12</v>
      </c>
      <c r="H999" s="125" t="n">
        <v>13</v>
      </c>
      <c r="I999" s="125">
        <f>D999-(2*(H999+F999))</f>
        <v/>
      </c>
      <c r="J999" s="125">
        <f>D999/10 * F999/10 + 2*(E999/10 * G999/10)</f>
        <v/>
      </c>
      <c r="K999" s="125">
        <f>(E999/2)/F999</f>
        <v/>
      </c>
      <c r="L999" s="125">
        <f>I999/G999</f>
        <v/>
      </c>
      <c r="M999" s="125">
        <f>(E999*2+F999*4+((E999-G999)/2-H999)*4+2*PI()*H999+(D999-2*F999-2*H999)*2)/1000</f>
        <v/>
      </c>
      <c r="N999" s="5" t="n">
        <v>52200</v>
      </c>
      <c r="O999" s="5" t="n">
        <v>3340</v>
      </c>
      <c r="P999" s="125" t="n">
        <v>18.7</v>
      </c>
      <c r="Q999" s="125" t="n">
        <v>4.7</v>
      </c>
      <c r="R999" s="5" t="n">
        <v>2320</v>
      </c>
      <c r="S999" s="125" t="n">
        <v>334</v>
      </c>
      <c r="T999" s="5" t="n">
        <v>2630</v>
      </c>
      <c r="U999" s="125" t="n">
        <v>516</v>
      </c>
      <c r="Y999">
        <f>SQRT((((VLOOKUP($X$4,$A$4:$D$1021,4,FALSE))-D999)^2)+(((VLOOKUP($X$4,$A$4:$E$1021,5,FALSE))-E999)^2))</f>
        <v/>
      </c>
    </row>
    <row r="1000">
      <c r="A1000" s="125" t="inlineStr">
        <is>
          <t>HY450X108</t>
        </is>
      </c>
      <c r="B1000" s="129" t="inlineStr">
        <is>
          <t>HY</t>
        </is>
      </c>
      <c r="C1000" s="125" t="n">
        <v>108</v>
      </c>
      <c r="D1000" s="125" t="n">
        <v>450</v>
      </c>
      <c r="E1000" s="125" t="n">
        <v>200</v>
      </c>
      <c r="F1000" s="125" t="n">
        <v>22</v>
      </c>
      <c r="G1000" s="125" t="n">
        <v>12</v>
      </c>
      <c r="H1000" s="125" t="n">
        <v>13</v>
      </c>
      <c r="I1000" s="125">
        <f>D1000-(2*(H1000+F1000))</f>
        <v/>
      </c>
      <c r="J1000" s="125">
        <f>D1000/10 * F1000/10 + 2*(E1000/10 * G1000/10)</f>
        <v/>
      </c>
      <c r="K1000" s="125">
        <f>(E1000/2)/F1000</f>
        <v/>
      </c>
      <c r="L1000" s="125">
        <f>I1000/G1000</f>
        <v/>
      </c>
      <c r="M1000" s="125">
        <f>(E1000*2+F1000*4+((E1000-G1000)/2-H1000)*4+2*PI()*H1000+(D1000-2*F1000-2*H1000)*2)/1000</f>
        <v/>
      </c>
      <c r="N1000" s="5" t="n">
        <v>47600</v>
      </c>
      <c r="O1000" s="5" t="n">
        <v>2940</v>
      </c>
      <c r="P1000" s="125" t="n">
        <v>18.6</v>
      </c>
      <c r="Q1000" s="125" t="n">
        <v>4.6</v>
      </c>
      <c r="R1000" s="5" t="n">
        <v>2120</v>
      </c>
      <c r="S1000" s="125" t="n">
        <v>294</v>
      </c>
      <c r="T1000" s="5" t="n">
        <v>2410</v>
      </c>
      <c r="U1000" s="125" t="n">
        <v>456</v>
      </c>
      <c r="Y1000">
        <f>SQRT((((VLOOKUP($X$4,$A$4:$D$1021,4,FALSE))-D1000)^2)+(((VLOOKUP($X$4,$A$4:$E$1021,5,FALSE))-E1000)^2))</f>
        <v/>
      </c>
    </row>
    <row r="1001">
      <c r="A1001" s="125" t="inlineStr">
        <is>
          <t>HY450X99.6</t>
        </is>
      </c>
      <c r="B1001" s="129" t="inlineStr">
        <is>
          <t>HY</t>
        </is>
      </c>
      <c r="C1001" s="125" t="n">
        <v>99.59999999999999</v>
      </c>
      <c r="D1001" s="125" t="n">
        <v>450</v>
      </c>
      <c r="E1001" s="125" t="n">
        <v>200</v>
      </c>
      <c r="F1001" s="125" t="n">
        <v>19</v>
      </c>
      <c r="G1001" s="125" t="n">
        <v>12</v>
      </c>
      <c r="H1001" s="125" t="n">
        <v>13</v>
      </c>
      <c r="I1001" s="125">
        <f>D1001-(2*(H1001+F1001))</f>
        <v/>
      </c>
      <c r="J1001" s="125">
        <f>D1001/10 * F1001/10 + 2*(E1001/10 * G1001/10)</f>
        <v/>
      </c>
      <c r="K1001" s="125">
        <f>(E1001/2)/F1001</f>
        <v/>
      </c>
      <c r="L1001" s="125">
        <f>I1001/G1001</f>
        <v/>
      </c>
      <c r="M1001" s="125">
        <f>(E1001*2+F1001*4+((E1001-G1001)/2-H1001)*4+2*PI()*H1001+(D1001-2*F1001-2*H1001)*2)/1000</f>
        <v/>
      </c>
      <c r="N1001" s="5" t="n">
        <v>42900</v>
      </c>
      <c r="O1001" s="5" t="n">
        <v>2540</v>
      </c>
      <c r="P1001" s="125" t="n">
        <v>18.4</v>
      </c>
      <c r="Q1001" s="125" t="n">
        <v>4.5</v>
      </c>
      <c r="R1001" s="5" t="n">
        <v>1910</v>
      </c>
      <c r="S1001" s="125" t="n">
        <v>254</v>
      </c>
      <c r="T1001" s="5" t="n">
        <v>2180</v>
      </c>
      <c r="U1001" s="125" t="n">
        <v>396</v>
      </c>
      <c r="Y1001">
        <f>SQRT((((VLOOKUP($X$4,$A$4:$D$1021,4,FALSE))-D1001)^2)+(((VLOOKUP($X$4,$A$4:$E$1021,5,FALSE))-E1001)^2))</f>
        <v/>
      </c>
    </row>
    <row r="1002">
      <c r="A1002" s="125" t="inlineStr">
        <is>
          <t>HY450X90.8</t>
        </is>
      </c>
      <c r="B1002" s="129" t="inlineStr">
        <is>
          <t>HY</t>
        </is>
      </c>
      <c r="C1002" s="125" t="n">
        <v>90.8</v>
      </c>
      <c r="D1002" s="125" t="n">
        <v>450</v>
      </c>
      <c r="E1002" s="125" t="n">
        <v>200</v>
      </c>
      <c r="F1002" s="125" t="n">
        <v>16</v>
      </c>
      <c r="G1002" s="125" t="n">
        <v>12</v>
      </c>
      <c r="H1002" s="125" t="n">
        <v>13</v>
      </c>
      <c r="I1002" s="125">
        <f>D1002-(2*(H1002+F1002))</f>
        <v/>
      </c>
      <c r="J1002" s="125">
        <f>D1002/10 * F1002/10 + 2*(E1002/10 * G1002/10)</f>
        <v/>
      </c>
      <c r="K1002" s="125">
        <f>(E1002/2)/F1002</f>
        <v/>
      </c>
      <c r="L1002" s="125">
        <f>I1002/G1002</f>
        <v/>
      </c>
      <c r="M1002" s="125">
        <f>(E1002*2+F1002*4+((E1002-G1002)/2-H1002)*4+2*PI()*H1002+(D1002-2*F1002-2*H1002)*2)/1000</f>
        <v/>
      </c>
      <c r="N1002" s="5" t="n">
        <v>38100</v>
      </c>
      <c r="O1002" s="5" t="n">
        <v>2140</v>
      </c>
      <c r="P1002" s="125" t="n">
        <v>18.1</v>
      </c>
      <c r="Q1002" s="125" t="n">
        <v>4.3</v>
      </c>
      <c r="R1002" s="5" t="n">
        <v>1690</v>
      </c>
      <c r="S1002" s="125" t="n">
        <v>214</v>
      </c>
      <c r="T1002" s="5" t="n">
        <v>1940</v>
      </c>
      <c r="U1002" s="125" t="n">
        <v>336</v>
      </c>
      <c r="Y1002">
        <f>SQRT((((VLOOKUP($X$4,$A$4:$D$1021,4,FALSE))-D1002)^2)+(((VLOOKUP($X$4,$A$4:$E$1021,5,FALSE))-E1002)^2))</f>
        <v/>
      </c>
    </row>
    <row r="1003">
      <c r="A1003" s="125" t="inlineStr">
        <is>
          <t>HY450X98.9</t>
        </is>
      </c>
      <c r="B1003" s="129" t="inlineStr">
        <is>
          <t>HY</t>
        </is>
      </c>
      <c r="C1003" s="125" t="n">
        <v>98.90000000000001</v>
      </c>
      <c r="D1003" s="125" t="n">
        <v>450</v>
      </c>
      <c r="E1003" s="125" t="n">
        <v>200</v>
      </c>
      <c r="F1003" s="125" t="n">
        <v>22</v>
      </c>
      <c r="G1003" s="125" t="n">
        <v>9</v>
      </c>
      <c r="H1003" s="125" t="n">
        <v>13</v>
      </c>
      <c r="I1003" s="125">
        <f>D1003-(2*(H1003+F1003))</f>
        <v/>
      </c>
      <c r="J1003" s="125">
        <f>D1003/10 * F1003/10 + 2*(E1003/10 * G1003/10)</f>
        <v/>
      </c>
      <c r="K1003" s="125">
        <f>(E1003/2)/F1003</f>
        <v/>
      </c>
      <c r="L1003" s="125">
        <f>I1003/G1003</f>
        <v/>
      </c>
      <c r="M1003" s="125">
        <f>(E1003*2+F1003*4+((E1003-G1003)/2-H1003)*4+2*PI()*H1003+(D1003-2*F1003-2*H1003)*2)/1000</f>
        <v/>
      </c>
      <c r="N1003" s="5" t="n">
        <v>45900</v>
      </c>
      <c r="O1003" s="5" t="n">
        <v>2940</v>
      </c>
      <c r="P1003" s="125" t="n">
        <v>19.1</v>
      </c>
      <c r="Q1003" s="125" t="n">
        <v>4.8</v>
      </c>
      <c r="R1003" s="5" t="n">
        <v>2040</v>
      </c>
      <c r="S1003" s="125" t="n">
        <v>294</v>
      </c>
      <c r="T1003" s="5" t="n">
        <v>2280</v>
      </c>
      <c r="U1003" s="125" t="n">
        <v>449</v>
      </c>
      <c r="Y1003">
        <f>SQRT((((VLOOKUP($X$4,$A$4:$D$1021,4,FALSE))-D1003)^2)+(((VLOOKUP($X$4,$A$4:$E$1021,5,FALSE))-E1003)^2))</f>
        <v/>
      </c>
    </row>
    <row r="1004">
      <c r="A1004" s="125" t="inlineStr">
        <is>
          <t>HY450X89.9</t>
        </is>
      </c>
      <c r="B1004" s="129" t="inlineStr">
        <is>
          <t>HY</t>
        </is>
      </c>
      <c r="C1004" s="125" t="n">
        <v>89.90000000000001</v>
      </c>
      <c r="D1004" s="125" t="n">
        <v>450</v>
      </c>
      <c r="E1004" s="125" t="n">
        <v>200</v>
      </c>
      <c r="F1004" s="125" t="n">
        <v>19</v>
      </c>
      <c r="G1004" s="125" t="n">
        <v>9</v>
      </c>
      <c r="H1004" s="125" t="n">
        <v>13</v>
      </c>
      <c r="I1004" s="125">
        <f>D1004-(2*(H1004+F1004))</f>
        <v/>
      </c>
      <c r="J1004" s="125">
        <f>D1004/10 * F1004/10 + 2*(E1004/10 * G1004/10)</f>
        <v/>
      </c>
      <c r="K1004" s="125">
        <f>(E1004/2)/F1004</f>
        <v/>
      </c>
      <c r="L1004" s="125">
        <f>I1004/G1004</f>
        <v/>
      </c>
      <c r="M1004" s="125">
        <f>(E1004*2+F1004*4+((E1004-G1004)/2-H1004)*4+2*PI()*H1004+(D1004-2*F1004-2*H1004)*2)/1000</f>
        <v/>
      </c>
      <c r="N1004" s="5" t="n">
        <v>41200</v>
      </c>
      <c r="O1004" s="5" t="n">
        <v>2540</v>
      </c>
      <c r="P1004" s="125" t="n">
        <v>19</v>
      </c>
      <c r="Q1004" s="125" t="n">
        <v>4.7</v>
      </c>
      <c r="R1004" s="5" t="n">
        <v>1830</v>
      </c>
      <c r="S1004" s="125" t="n">
        <v>254</v>
      </c>
      <c r="T1004" s="5" t="n">
        <v>2050</v>
      </c>
      <c r="U1004" s="125" t="n">
        <v>389</v>
      </c>
      <c r="Y1004">
        <f>SQRT((((VLOOKUP($X$4,$A$4:$D$1021,4,FALSE))-D1004)^2)+(((VLOOKUP($X$4,$A$4:$E$1021,5,FALSE))-E1004)^2))</f>
        <v/>
      </c>
    </row>
    <row r="1005">
      <c r="A1005" s="125" t="inlineStr">
        <is>
          <t>HY450X80.9</t>
        </is>
      </c>
      <c r="B1005" s="129" t="inlineStr">
        <is>
          <t>HY</t>
        </is>
      </c>
      <c r="C1005" s="125" t="n">
        <v>80.90000000000001</v>
      </c>
      <c r="D1005" s="125" t="n">
        <v>450</v>
      </c>
      <c r="E1005" s="125" t="n">
        <v>200</v>
      </c>
      <c r="F1005" s="125" t="n">
        <v>16</v>
      </c>
      <c r="G1005" s="125" t="n">
        <v>9</v>
      </c>
      <c r="H1005" s="125" t="n">
        <v>13</v>
      </c>
      <c r="I1005" s="125">
        <f>D1005-(2*(H1005+F1005))</f>
        <v/>
      </c>
      <c r="J1005" s="125">
        <f>D1005/10 * F1005/10 + 2*(E1005/10 * G1005/10)</f>
        <v/>
      </c>
      <c r="K1005" s="125">
        <f>(E1005/2)/F1005</f>
        <v/>
      </c>
      <c r="L1005" s="125">
        <f>I1005/G1005</f>
        <v/>
      </c>
      <c r="M1005" s="125">
        <f>(E1005*2+F1005*4+((E1005-G1005)/2-H1005)*4+2*PI()*H1005+(D1005-2*F1005-2*H1005)*2)/1000</f>
        <v/>
      </c>
      <c r="N1005" s="5" t="n">
        <v>36200</v>
      </c>
      <c r="O1005" s="5" t="n">
        <v>2140</v>
      </c>
      <c r="P1005" s="125" t="n">
        <v>18.8</v>
      </c>
      <c r="Q1005" s="125" t="n">
        <v>4.6</v>
      </c>
      <c r="R1005" s="5" t="n">
        <v>1610</v>
      </c>
      <c r="S1005" s="125" t="n">
        <v>214</v>
      </c>
      <c r="T1005" s="5" t="n">
        <v>1810</v>
      </c>
      <c r="U1005" s="125" t="n">
        <v>330</v>
      </c>
      <c r="Y1005">
        <f>SQRT((((VLOOKUP($X$4,$A$4:$D$1021,4,FALSE))-D1005)^2)+(((VLOOKUP($X$4,$A$4:$E$1021,5,FALSE))-E1005)^2))</f>
        <v/>
      </c>
    </row>
    <row r="1006">
      <c r="A1006" s="125" t="inlineStr">
        <is>
          <t>HY450X68.9</t>
        </is>
      </c>
      <c r="B1006" s="129" t="inlineStr">
        <is>
          <t>HY</t>
        </is>
      </c>
      <c r="C1006" s="125" t="n">
        <v>68.90000000000001</v>
      </c>
      <c r="D1006" s="125" t="n">
        <v>450</v>
      </c>
      <c r="E1006" s="125" t="n">
        <v>200</v>
      </c>
      <c r="F1006" s="125" t="n">
        <v>12</v>
      </c>
      <c r="G1006" s="125" t="n">
        <v>9</v>
      </c>
      <c r="H1006" s="125" t="n">
        <v>13</v>
      </c>
      <c r="I1006" s="125">
        <f>D1006-(2*(H1006+F1006))</f>
        <v/>
      </c>
      <c r="J1006" s="125">
        <f>D1006/10 * F1006/10 + 2*(E1006/10 * G1006/10)</f>
        <v/>
      </c>
      <c r="K1006" s="125">
        <f>(E1006/2)/F1006</f>
        <v/>
      </c>
      <c r="L1006" s="125">
        <f>I1006/G1006</f>
        <v/>
      </c>
      <c r="M1006" s="125">
        <f>(E1006*2+F1006*4+((E1006-G1006)/2-H1006)*4+2*PI()*H1006+(D1006-2*F1006-2*H1006)*2)/1000</f>
        <v/>
      </c>
      <c r="N1006" s="5" t="n">
        <v>29500</v>
      </c>
      <c r="O1006" s="5" t="n">
        <v>1600</v>
      </c>
      <c r="P1006" s="125" t="n">
        <v>18.3</v>
      </c>
      <c r="Q1006" s="125" t="n">
        <v>4.3</v>
      </c>
      <c r="R1006" s="5" t="n">
        <v>1310</v>
      </c>
      <c r="S1006" s="125" t="n">
        <v>160</v>
      </c>
      <c r="T1006" s="5" t="n">
        <v>1490</v>
      </c>
      <c r="U1006" s="125" t="n">
        <v>250</v>
      </c>
      <c r="Y1006">
        <f>SQRT((((VLOOKUP($X$4,$A$4:$D$1021,4,FALSE))-D1006)^2)+(((VLOOKUP($X$4,$A$4:$E$1021,5,FALSE))-E1006)^2))</f>
        <v/>
      </c>
    </row>
    <row r="1007">
      <c r="A1007" s="125" t="inlineStr">
        <is>
          <t>HY400X138</t>
        </is>
      </c>
      <c r="B1007" s="129" t="inlineStr">
        <is>
          <t>HY</t>
        </is>
      </c>
      <c r="C1007" s="125" t="n">
        <v>138</v>
      </c>
      <c r="D1007" s="125" t="n">
        <v>400</v>
      </c>
      <c r="E1007" s="125" t="n">
        <v>300</v>
      </c>
      <c r="F1007" s="125" t="n">
        <v>22</v>
      </c>
      <c r="G1007" s="125" t="n">
        <v>12</v>
      </c>
      <c r="H1007" s="125" t="n">
        <v>13</v>
      </c>
      <c r="I1007" s="125">
        <f>D1007-(2*(H1007+F1007))</f>
        <v/>
      </c>
      <c r="J1007" s="125">
        <f>D1007/10 * F1007/10 + 2*(E1007/10 * G1007/10)</f>
        <v/>
      </c>
      <c r="K1007" s="125">
        <f>(E1007/2)/F1007</f>
        <v/>
      </c>
      <c r="L1007" s="125">
        <f>I1007/G1007</f>
        <v/>
      </c>
      <c r="M1007" s="125">
        <f>(E1007*2+F1007*4+((E1007-G1007)/2-H1007)*4+2*PI()*H1007+(D1007-2*F1007-2*H1007)*2)/1000</f>
        <v/>
      </c>
      <c r="N1007" s="5" t="n">
        <v>52200</v>
      </c>
      <c r="O1007" s="5" t="n">
        <v>9910</v>
      </c>
      <c r="P1007" s="125" t="n">
        <v>17.2</v>
      </c>
      <c r="Q1007" s="125" t="n">
        <v>7.5</v>
      </c>
      <c r="R1007" s="5" t="n">
        <v>2610</v>
      </c>
      <c r="S1007" s="125" t="n">
        <v>660</v>
      </c>
      <c r="T1007" s="5" t="n">
        <v>2900</v>
      </c>
      <c r="U1007" s="5" t="n">
        <v>1000</v>
      </c>
      <c r="Y1007">
        <f>SQRT((((VLOOKUP($X$4,$A$4:$D$1021,4,FALSE))-D1007)^2)+(((VLOOKUP($X$4,$A$4:$E$1021,5,FALSE))-E1007)^2))</f>
        <v/>
      </c>
    </row>
    <row r="1008">
      <c r="A1008" s="125" t="inlineStr">
        <is>
          <t>HY400X125</t>
        </is>
      </c>
      <c r="B1008" s="129" t="inlineStr">
        <is>
          <t>HY</t>
        </is>
      </c>
      <c r="C1008" s="125" t="n">
        <v>125</v>
      </c>
      <c r="D1008" s="125" t="n">
        <v>400</v>
      </c>
      <c r="E1008" s="125" t="n">
        <v>300</v>
      </c>
      <c r="F1008" s="125" t="n">
        <v>19</v>
      </c>
      <c r="G1008" s="125" t="n">
        <v>12</v>
      </c>
      <c r="H1008" s="125" t="n">
        <v>13</v>
      </c>
      <c r="I1008" s="125">
        <f>D1008-(2*(H1008+F1008))</f>
        <v/>
      </c>
      <c r="J1008" s="125">
        <f>D1008/10 * F1008/10 + 2*(E1008/10 * G1008/10)</f>
        <v/>
      </c>
      <c r="K1008" s="125">
        <f>(E1008/2)/F1008</f>
        <v/>
      </c>
      <c r="L1008" s="125">
        <f>I1008/G1008</f>
        <v/>
      </c>
      <c r="M1008" s="125">
        <f>(E1008*2+F1008*4+((E1008-G1008)/2-H1008)*4+2*PI()*H1008+(D1008-2*F1008-2*H1008)*2)/1000</f>
        <v/>
      </c>
      <c r="N1008" s="5" t="n">
        <v>46600</v>
      </c>
      <c r="O1008" s="5" t="n">
        <v>8560</v>
      </c>
      <c r="P1008" s="125" t="n">
        <v>17.1</v>
      </c>
      <c r="Q1008" s="125" t="n">
        <v>7.3</v>
      </c>
      <c r="R1008" s="5" t="n">
        <v>2330</v>
      </c>
      <c r="S1008" s="125" t="n">
        <v>570</v>
      </c>
      <c r="T1008" s="5" t="n">
        <v>2590</v>
      </c>
      <c r="U1008" s="125" t="n">
        <v>869</v>
      </c>
      <c r="Y1008">
        <f>SQRT((((VLOOKUP($X$4,$A$4:$D$1021,4,FALSE))-D1008)^2)+(((VLOOKUP($X$4,$A$4:$E$1021,5,FALSE))-E1008)^2))</f>
        <v/>
      </c>
    </row>
    <row r="1009">
      <c r="A1009" s="125" t="inlineStr">
        <is>
          <t>HY400X130</t>
        </is>
      </c>
      <c r="B1009" s="129" t="inlineStr">
        <is>
          <t>HY</t>
        </is>
      </c>
      <c r="C1009" s="125" t="n">
        <v>130</v>
      </c>
      <c r="D1009" s="125" t="n">
        <v>400</v>
      </c>
      <c r="E1009" s="125" t="n">
        <v>300</v>
      </c>
      <c r="F1009" s="125" t="n">
        <v>22</v>
      </c>
      <c r="G1009" s="125" t="n">
        <v>9</v>
      </c>
      <c r="H1009" s="125" t="n">
        <v>13</v>
      </c>
      <c r="I1009" s="125">
        <f>D1009-(2*(H1009+F1009))</f>
        <v/>
      </c>
      <c r="J1009" s="125">
        <f>D1009/10 * F1009/10 + 2*(E1009/10 * G1009/10)</f>
        <v/>
      </c>
      <c r="K1009" s="125">
        <f>(E1009/2)/F1009</f>
        <v/>
      </c>
      <c r="L1009" s="125">
        <f>I1009/G1009</f>
        <v/>
      </c>
      <c r="M1009" s="125">
        <f>(E1009*2+F1009*4+((E1009-G1009)/2-H1009)*4+2*PI()*H1009+(D1009-2*F1009-2*H1009)*2)/1000</f>
        <v/>
      </c>
      <c r="N1009" s="5" t="n">
        <v>51000</v>
      </c>
      <c r="O1009" s="5" t="n">
        <v>9900</v>
      </c>
      <c r="P1009" s="125" t="n">
        <v>17.6</v>
      </c>
      <c r="Q1009" s="125" t="n">
        <v>7.7</v>
      </c>
      <c r="R1009" s="5" t="n">
        <v>2550</v>
      </c>
      <c r="S1009" s="125" t="n">
        <v>660</v>
      </c>
      <c r="T1009" s="5" t="n">
        <v>2810</v>
      </c>
      <c r="U1009" s="125" t="n">
        <v>998</v>
      </c>
      <c r="Y1009">
        <f>SQRT((((VLOOKUP($X$4,$A$4:$D$1021,4,FALSE))-D1009)^2)+(((VLOOKUP($X$4,$A$4:$E$1021,5,FALSE))-E1009)^2))</f>
        <v/>
      </c>
    </row>
    <row r="1010">
      <c r="A1010" s="125" t="inlineStr">
        <is>
          <t>HY400X116</t>
        </is>
      </c>
      <c r="B1010" s="129" t="inlineStr">
        <is>
          <t>HY</t>
        </is>
      </c>
      <c r="C1010" s="125" t="n">
        <v>116</v>
      </c>
      <c r="D1010" s="125" t="n">
        <v>400</v>
      </c>
      <c r="E1010" s="125" t="n">
        <v>300</v>
      </c>
      <c r="F1010" s="125" t="n">
        <v>19</v>
      </c>
      <c r="G1010" s="125" t="n">
        <v>9</v>
      </c>
      <c r="H1010" s="125" t="n">
        <v>13</v>
      </c>
      <c r="I1010" s="125">
        <f>D1010-(2*(H1010+F1010))</f>
        <v/>
      </c>
      <c r="J1010" s="125">
        <f>D1010/10 * F1010/10 + 2*(E1010/10 * G1010/10)</f>
        <v/>
      </c>
      <c r="K1010" s="125">
        <f>(E1010/2)/F1010</f>
        <v/>
      </c>
      <c r="L1010" s="125">
        <f>I1010/G1010</f>
        <v/>
      </c>
      <c r="M1010" s="125">
        <f>(E1010*2+F1010*4+((E1010-G1010)/2-H1010)*4+2*PI()*H1010+(D1010-2*F1010-2*H1010)*2)/1000</f>
        <v/>
      </c>
      <c r="N1010" s="5" t="n">
        <v>45400</v>
      </c>
      <c r="O1010" s="5" t="n">
        <v>8550</v>
      </c>
      <c r="P1010" s="125" t="n">
        <v>17.5</v>
      </c>
      <c r="Q1010" s="125" t="n">
        <v>7.6</v>
      </c>
      <c r="R1010" s="5" t="n">
        <v>2270</v>
      </c>
      <c r="S1010" s="125" t="n">
        <v>570</v>
      </c>
      <c r="T1010" s="5" t="n">
        <v>2490</v>
      </c>
      <c r="U1010" s="125" t="n">
        <v>863</v>
      </c>
      <c r="Y1010">
        <f>SQRT((((VLOOKUP($X$4,$A$4:$D$1021,4,FALSE))-D1010)^2)+(((VLOOKUP($X$4,$A$4:$E$1021,5,FALSE))-E1010)^2))</f>
        <v/>
      </c>
    </row>
    <row r="1011">
      <c r="A1011" s="125" t="inlineStr">
        <is>
          <t>HY400X121</t>
        </is>
      </c>
      <c r="B1011" s="129" t="inlineStr">
        <is>
          <t>HY</t>
        </is>
      </c>
      <c r="C1011" s="125" t="n">
        <v>121</v>
      </c>
      <c r="D1011" s="125" t="n">
        <v>400</v>
      </c>
      <c r="E1011" s="125" t="n">
        <v>250</v>
      </c>
      <c r="F1011" s="125" t="n">
        <v>22</v>
      </c>
      <c r="G1011" s="125" t="n">
        <v>12</v>
      </c>
      <c r="H1011" s="125" t="n">
        <v>13</v>
      </c>
      <c r="I1011" s="125">
        <f>D1011-(2*(H1011+F1011))</f>
        <v/>
      </c>
      <c r="J1011" s="125">
        <f>D1011/10 * F1011/10 + 2*(E1011/10 * G1011/10)</f>
        <v/>
      </c>
      <c r="K1011" s="125">
        <f>(E1011/2)/F1011</f>
        <v/>
      </c>
      <c r="L1011" s="125">
        <f>I1011/G1011</f>
        <v/>
      </c>
      <c r="M1011" s="125">
        <f>(E1011*2+F1011*4+((E1011-G1011)/2-H1011)*4+2*PI()*H1011+(D1011-2*F1011-2*H1011)*2)/1000</f>
        <v/>
      </c>
      <c r="N1011" s="5" t="n">
        <v>44300</v>
      </c>
      <c r="O1011" s="5" t="n">
        <v>5740</v>
      </c>
      <c r="P1011" s="125" t="n">
        <v>17</v>
      </c>
      <c r="Q1011" s="125" t="n">
        <v>6.1</v>
      </c>
      <c r="R1011" s="5" t="n">
        <v>2210</v>
      </c>
      <c r="S1011" s="125" t="n">
        <v>459</v>
      </c>
      <c r="T1011" s="5" t="n">
        <v>2480</v>
      </c>
      <c r="U1011" s="125" t="n">
        <v>702</v>
      </c>
      <c r="Y1011">
        <f>SQRT((((VLOOKUP($X$4,$A$4:$D$1021,4,FALSE))-D1011)^2)+(((VLOOKUP($X$4,$A$4:$E$1021,5,FALSE))-E1011)^2))</f>
        <v/>
      </c>
    </row>
    <row r="1012">
      <c r="A1012" s="125" t="inlineStr">
        <is>
          <t>HY400X110</t>
        </is>
      </c>
      <c r="B1012" s="129" t="inlineStr">
        <is>
          <t>HY</t>
        </is>
      </c>
      <c r="C1012" s="125" t="n">
        <v>110</v>
      </c>
      <c r="D1012" s="125" t="n">
        <v>400</v>
      </c>
      <c r="E1012" s="125" t="n">
        <v>250</v>
      </c>
      <c r="F1012" s="125" t="n">
        <v>19</v>
      </c>
      <c r="G1012" s="125" t="n">
        <v>12</v>
      </c>
      <c r="H1012" s="125" t="n">
        <v>13</v>
      </c>
      <c r="I1012" s="125">
        <f>D1012-(2*(H1012+F1012))</f>
        <v/>
      </c>
      <c r="J1012" s="125">
        <f>D1012/10 * F1012/10 + 2*(E1012/10 * G1012/10)</f>
        <v/>
      </c>
      <c r="K1012" s="125">
        <f>(E1012/2)/F1012</f>
        <v/>
      </c>
      <c r="L1012" s="125">
        <f>I1012/G1012</f>
        <v/>
      </c>
      <c r="M1012" s="125">
        <f>(E1012*2+F1012*4+((E1012-G1012)/2-H1012)*4+2*PI()*H1012+(D1012-2*F1012-2*H1012)*2)/1000</f>
        <v/>
      </c>
      <c r="N1012" s="5" t="n">
        <v>39700</v>
      </c>
      <c r="O1012" s="5" t="n">
        <v>4950</v>
      </c>
      <c r="P1012" s="125" t="n">
        <v>16.8</v>
      </c>
      <c r="Q1012" s="125" t="n">
        <v>6</v>
      </c>
      <c r="R1012" s="5" t="n">
        <v>1990</v>
      </c>
      <c r="S1012" s="125" t="n">
        <v>396</v>
      </c>
      <c r="T1012" s="5" t="n">
        <v>2230</v>
      </c>
      <c r="U1012" s="125" t="n">
        <v>608</v>
      </c>
      <c r="Y1012">
        <f>SQRT((((VLOOKUP($X$4,$A$4:$D$1021,4,FALSE))-D1012)^2)+(((VLOOKUP($X$4,$A$4:$E$1021,5,FALSE))-E1012)^2))</f>
        <v/>
      </c>
    </row>
    <row r="1013">
      <c r="A1013" s="125" t="inlineStr">
        <is>
          <t>HY400X113</t>
        </is>
      </c>
      <c r="B1013" s="129" t="inlineStr">
        <is>
          <t>HY</t>
        </is>
      </c>
      <c r="C1013" s="125" t="n">
        <v>113</v>
      </c>
      <c r="D1013" s="125" t="n">
        <v>400</v>
      </c>
      <c r="E1013" s="125" t="n">
        <v>250</v>
      </c>
      <c r="F1013" s="125" t="n">
        <v>22</v>
      </c>
      <c r="G1013" s="125" t="n">
        <v>9</v>
      </c>
      <c r="H1013" s="125" t="n">
        <v>13</v>
      </c>
      <c r="I1013" s="125">
        <f>D1013-(2*(H1013+F1013))</f>
        <v/>
      </c>
      <c r="J1013" s="125">
        <f>D1013/10 * F1013/10 + 2*(E1013/10 * G1013/10)</f>
        <v/>
      </c>
      <c r="K1013" s="125">
        <f>(E1013/2)/F1013</f>
        <v/>
      </c>
      <c r="L1013" s="125">
        <f>I1013/G1013</f>
        <v/>
      </c>
      <c r="M1013" s="125">
        <f>(E1013*2+F1013*4+((E1013-G1013)/2-H1013)*4+2*PI()*H1013+(D1013-2*F1013-2*H1013)*2)/1000</f>
        <v/>
      </c>
      <c r="N1013" s="5" t="n">
        <v>43200</v>
      </c>
      <c r="O1013" s="5" t="n">
        <v>5730</v>
      </c>
      <c r="P1013" s="125" t="n">
        <v>17.3</v>
      </c>
      <c r="Q1013" s="125" t="n">
        <v>6.3</v>
      </c>
      <c r="R1013" s="5" t="n">
        <v>2160</v>
      </c>
      <c r="S1013" s="125" t="n">
        <v>459</v>
      </c>
      <c r="T1013" s="5" t="n">
        <v>2390</v>
      </c>
      <c r="U1013" s="125" t="n">
        <v>696</v>
      </c>
      <c r="Y1013">
        <f>SQRT((((VLOOKUP($X$4,$A$4:$D$1021,4,FALSE))-D1013)^2)+(((VLOOKUP($X$4,$A$4:$E$1021,5,FALSE))-E1013)^2))</f>
        <v/>
      </c>
    </row>
    <row r="1014">
      <c r="A1014" s="125" t="inlineStr">
        <is>
          <t>HY400X101</t>
        </is>
      </c>
      <c r="B1014" s="129" t="inlineStr">
        <is>
          <t>HY</t>
        </is>
      </c>
      <c r="C1014" s="125" t="n">
        <v>101</v>
      </c>
      <c r="D1014" s="125" t="n">
        <v>400</v>
      </c>
      <c r="E1014" s="125" t="n">
        <v>250</v>
      </c>
      <c r="F1014" s="125" t="n">
        <v>19</v>
      </c>
      <c r="G1014" s="125" t="n">
        <v>9</v>
      </c>
      <c r="H1014" s="125" t="n">
        <v>13</v>
      </c>
      <c r="I1014" s="125">
        <f>D1014-(2*(H1014+F1014))</f>
        <v/>
      </c>
      <c r="J1014" s="125">
        <f>D1014/10 * F1014/10 + 2*(E1014/10 * G1014/10)</f>
        <v/>
      </c>
      <c r="K1014" s="125">
        <f>(E1014/2)/F1014</f>
        <v/>
      </c>
      <c r="L1014" s="125">
        <f>I1014/G1014</f>
        <v/>
      </c>
      <c r="M1014" s="125">
        <f>(E1014*2+F1014*4+((E1014-G1014)/2-H1014)*4+2*PI()*H1014+(D1014-2*F1014-2*H1014)*2)/1000</f>
        <v/>
      </c>
      <c r="N1014" s="5" t="n">
        <v>38500</v>
      </c>
      <c r="O1014" s="5" t="n">
        <v>4950</v>
      </c>
      <c r="P1014" s="125" t="n">
        <v>17.3</v>
      </c>
      <c r="Q1014" s="125" t="n">
        <v>6.2</v>
      </c>
      <c r="R1014" s="5" t="n">
        <v>1930</v>
      </c>
      <c r="S1014" s="125" t="n">
        <v>396</v>
      </c>
      <c r="T1014" s="5" t="n">
        <v>2130</v>
      </c>
      <c r="U1014" s="125" t="n">
        <v>602</v>
      </c>
      <c r="Y1014">
        <f>SQRT((((VLOOKUP($X$4,$A$4:$D$1021,4,FALSE))-D1014)^2)+(((VLOOKUP($X$4,$A$4:$E$1021,5,FALSE))-E1014)^2))</f>
        <v/>
      </c>
    </row>
    <row r="1015">
      <c r="A1015" s="125" t="inlineStr">
        <is>
          <t>HY400X104</t>
        </is>
      </c>
      <c r="B1015" s="129" t="inlineStr">
        <is>
          <t>HY</t>
        </is>
      </c>
      <c r="C1015" s="125" t="n">
        <v>104</v>
      </c>
      <c r="D1015" s="125" t="n">
        <v>400</v>
      </c>
      <c r="E1015" s="125" t="n">
        <v>200</v>
      </c>
      <c r="F1015" s="125" t="n">
        <v>22</v>
      </c>
      <c r="G1015" s="125" t="n">
        <v>12</v>
      </c>
      <c r="H1015" s="125" t="n">
        <v>13</v>
      </c>
      <c r="I1015" s="125">
        <f>D1015-(2*(H1015+F1015))</f>
        <v/>
      </c>
      <c r="J1015" s="125">
        <f>D1015/10 * F1015/10 + 2*(E1015/10 * G1015/10)</f>
        <v/>
      </c>
      <c r="K1015" s="125">
        <f>(E1015/2)/F1015</f>
        <v/>
      </c>
      <c r="L1015" s="125">
        <f>I1015/G1015</f>
        <v/>
      </c>
      <c r="M1015" s="125">
        <f>(E1015*2+F1015*4+((E1015-G1015)/2-H1015)*4+2*PI()*H1015+(D1015-2*F1015-2*H1015)*2)/1000</f>
        <v/>
      </c>
      <c r="N1015" s="5" t="n">
        <v>36400</v>
      </c>
      <c r="O1015" s="5" t="n">
        <v>2940</v>
      </c>
      <c r="P1015" s="125" t="n">
        <v>16.6</v>
      </c>
      <c r="Q1015" s="125" t="n">
        <v>4.7</v>
      </c>
      <c r="R1015" s="5" t="n">
        <v>1820</v>
      </c>
      <c r="S1015" s="125" t="n">
        <v>294</v>
      </c>
      <c r="T1015" s="5" t="n">
        <v>2070</v>
      </c>
      <c r="U1015" s="125" t="n">
        <v>454</v>
      </c>
      <c r="Y1015">
        <f>SQRT((((VLOOKUP($X$4,$A$4:$D$1021,4,FALSE))-D1015)^2)+(((VLOOKUP($X$4,$A$4:$E$1021,5,FALSE))-E1015)^2))</f>
        <v/>
      </c>
    </row>
    <row r="1016">
      <c r="A1016" s="125" t="inlineStr">
        <is>
          <t>HY400X94.9</t>
        </is>
      </c>
      <c r="B1016" s="129" t="inlineStr">
        <is>
          <t>HY</t>
        </is>
      </c>
      <c r="C1016" s="125" t="n">
        <v>94.90000000000001</v>
      </c>
      <c r="D1016" s="125" t="n">
        <v>400</v>
      </c>
      <c r="E1016" s="125" t="n">
        <v>200</v>
      </c>
      <c r="F1016" s="125" t="n">
        <v>19</v>
      </c>
      <c r="G1016" s="125" t="n">
        <v>12</v>
      </c>
      <c r="H1016" s="125" t="n">
        <v>13</v>
      </c>
      <c r="I1016" s="125">
        <f>D1016-(2*(H1016+F1016))</f>
        <v/>
      </c>
      <c r="J1016" s="125">
        <f>D1016/10 * F1016/10 + 2*(E1016/10 * G1016/10)</f>
        <v/>
      </c>
      <c r="K1016" s="125">
        <f>(E1016/2)/F1016</f>
        <v/>
      </c>
      <c r="L1016" s="125">
        <f>I1016/G1016</f>
        <v/>
      </c>
      <c r="M1016" s="125">
        <f>(E1016*2+F1016*4+((E1016-G1016)/2-H1016)*4+2*PI()*H1016+(D1016-2*F1016-2*H1016)*2)/1000</f>
        <v/>
      </c>
      <c r="N1016" s="5" t="n">
        <v>32800</v>
      </c>
      <c r="O1016" s="5" t="n">
        <v>2540</v>
      </c>
      <c r="P1016" s="125" t="n">
        <v>16.5</v>
      </c>
      <c r="Q1016" s="125" t="n">
        <v>4.6</v>
      </c>
      <c r="R1016" s="5" t="n">
        <v>1640</v>
      </c>
      <c r="S1016" s="125" t="n">
        <v>254</v>
      </c>
      <c r="T1016" s="5" t="n">
        <v>1870</v>
      </c>
      <c r="U1016" s="125" t="n">
        <v>394</v>
      </c>
      <c r="Y1016">
        <f>SQRT((((VLOOKUP($X$4,$A$4:$D$1021,4,FALSE))-D1016)^2)+(((VLOOKUP($X$4,$A$4:$E$1021,5,FALSE))-E1016)^2))</f>
        <v/>
      </c>
    </row>
    <row r="1017">
      <c r="A1017" s="125" t="inlineStr">
        <is>
          <t>HY400X86</t>
        </is>
      </c>
      <c r="B1017" s="129" t="inlineStr">
        <is>
          <t>HY</t>
        </is>
      </c>
      <c r="C1017" s="125" t="n">
        <v>86</v>
      </c>
      <c r="D1017" s="125" t="n">
        <v>400</v>
      </c>
      <c r="E1017" s="125" t="n">
        <v>200</v>
      </c>
      <c r="F1017" s="125" t="n">
        <v>16</v>
      </c>
      <c r="G1017" s="125" t="n">
        <v>12</v>
      </c>
      <c r="H1017" s="125" t="n">
        <v>13</v>
      </c>
      <c r="I1017" s="125">
        <f>D1017-(2*(H1017+F1017))</f>
        <v/>
      </c>
      <c r="J1017" s="125">
        <f>D1017/10 * F1017/10 + 2*(E1017/10 * G1017/10)</f>
        <v/>
      </c>
      <c r="K1017" s="125">
        <f>(E1017/2)/F1017</f>
        <v/>
      </c>
      <c r="L1017" s="125">
        <f>I1017/G1017</f>
        <v/>
      </c>
      <c r="M1017" s="125">
        <f>(E1017*2+F1017*4+((E1017-G1017)/2-H1017)*4+2*PI()*H1017+(D1017-2*F1017-2*H1017)*2)/1000</f>
        <v/>
      </c>
      <c r="N1017" s="5" t="n">
        <v>29100</v>
      </c>
      <c r="O1017" s="5" t="n">
        <v>2140</v>
      </c>
      <c r="P1017" s="125" t="n">
        <v>16.3</v>
      </c>
      <c r="Q1017" s="125" t="n">
        <v>4.4</v>
      </c>
      <c r="R1017" s="5" t="n">
        <v>1450</v>
      </c>
      <c r="S1017" s="125" t="n">
        <v>214</v>
      </c>
      <c r="T1017" s="5" t="n">
        <v>1660</v>
      </c>
      <c r="U1017" s="125" t="n">
        <v>335</v>
      </c>
      <c r="Y1017">
        <f>SQRT((((VLOOKUP($X$4,$A$4:$D$1021,4,FALSE))-D1017)^2)+(((VLOOKUP($X$4,$A$4:$E$1021,5,FALSE))-E1017)^2))</f>
        <v/>
      </c>
    </row>
    <row r="1018">
      <c r="A1018" s="125" t="inlineStr">
        <is>
          <t>HY400X95.4</t>
        </is>
      </c>
      <c r="B1018" s="129" t="inlineStr">
        <is>
          <t>HY</t>
        </is>
      </c>
      <c r="C1018" s="125" t="n">
        <v>95.40000000000001</v>
      </c>
      <c r="D1018" s="125" t="n">
        <v>400</v>
      </c>
      <c r="E1018" s="125" t="n">
        <v>200</v>
      </c>
      <c r="F1018" s="125" t="n">
        <v>22</v>
      </c>
      <c r="G1018" s="125" t="n">
        <v>9</v>
      </c>
      <c r="H1018" s="125" t="n">
        <v>13</v>
      </c>
      <c r="I1018" s="125">
        <f>D1018-(2*(H1018+F1018))</f>
        <v/>
      </c>
      <c r="J1018" s="125">
        <f>D1018/10 * F1018/10 + 2*(E1018/10 * G1018/10)</f>
        <v/>
      </c>
      <c r="K1018" s="125">
        <f>(E1018/2)/F1018</f>
        <v/>
      </c>
      <c r="L1018" s="125">
        <f>I1018/G1018</f>
        <v/>
      </c>
      <c r="M1018" s="125">
        <f>(E1018*2+F1018*4+((E1018-G1018)/2-H1018)*4+2*PI()*H1018+(D1018-2*F1018-2*H1018)*2)/1000</f>
        <v/>
      </c>
      <c r="N1018" s="5" t="n">
        <v>35300</v>
      </c>
      <c r="O1018" s="5" t="n">
        <v>2940</v>
      </c>
      <c r="P1018" s="125" t="n">
        <v>17</v>
      </c>
      <c r="Q1018" s="125" t="n">
        <v>4.9</v>
      </c>
      <c r="R1018" s="5" t="n">
        <v>1760</v>
      </c>
      <c r="S1018" s="125" t="n">
        <v>294</v>
      </c>
      <c r="T1018" s="5" t="n">
        <v>1970</v>
      </c>
      <c r="U1018" s="125" t="n">
        <v>448</v>
      </c>
      <c r="Y1018">
        <f>SQRT((((VLOOKUP($X$4,$A$4:$D$1021,4,FALSE))-D1018)^2)+(((VLOOKUP($X$4,$A$4:$E$1021,5,FALSE))-E1018)^2))</f>
        <v/>
      </c>
    </row>
    <row r="1019">
      <c r="A1019" s="125" t="inlineStr">
        <is>
          <t>HY400X86.4</t>
        </is>
      </c>
      <c r="B1019" s="129" t="inlineStr">
        <is>
          <t>HY</t>
        </is>
      </c>
      <c r="C1019" s="125" t="n">
        <v>86.40000000000001</v>
      </c>
      <c r="D1019" s="125" t="n">
        <v>400</v>
      </c>
      <c r="E1019" s="125" t="n">
        <v>200</v>
      </c>
      <c r="F1019" s="125" t="n">
        <v>19</v>
      </c>
      <c r="G1019" s="125" t="n">
        <v>9</v>
      </c>
      <c r="H1019" s="125" t="n">
        <v>13</v>
      </c>
      <c r="I1019" s="125">
        <f>D1019-(2*(H1019+F1019))</f>
        <v/>
      </c>
      <c r="J1019" s="125">
        <f>D1019/10 * F1019/10 + 2*(E1019/10 * G1019/10)</f>
        <v/>
      </c>
      <c r="K1019" s="125">
        <f>(E1019/2)/F1019</f>
        <v/>
      </c>
      <c r="L1019" s="125">
        <f>I1019/G1019</f>
        <v/>
      </c>
      <c r="M1019" s="125">
        <f>(E1019*2+F1019*4+((E1019-G1019)/2-H1019)*4+2*PI()*H1019+(D1019-2*F1019-2*H1019)*2)/1000</f>
        <v/>
      </c>
      <c r="N1019" s="5" t="n">
        <v>31600</v>
      </c>
      <c r="O1019" s="5" t="n">
        <v>2540</v>
      </c>
      <c r="P1019" s="125" t="n">
        <v>17</v>
      </c>
      <c r="Q1019" s="125" t="n">
        <v>4.8</v>
      </c>
      <c r="R1019" s="5" t="n">
        <v>1580</v>
      </c>
      <c r="S1019" s="125" t="n">
        <v>254</v>
      </c>
      <c r="T1019" s="5" t="n">
        <v>1770</v>
      </c>
      <c r="U1019" s="125" t="n">
        <v>388</v>
      </c>
      <c r="Y1019">
        <f>SQRT((((VLOOKUP($X$4,$A$4:$D$1021,4,FALSE))-D1019)^2)+(((VLOOKUP($X$4,$A$4:$E$1021,5,FALSE))-E1019)^2))</f>
        <v/>
      </c>
    </row>
    <row r="1020">
      <c r="A1020" s="125" t="inlineStr">
        <is>
          <t>HY400X77.4</t>
        </is>
      </c>
      <c r="B1020" s="129" t="inlineStr">
        <is>
          <t>HY</t>
        </is>
      </c>
      <c r="C1020" s="125" t="n">
        <v>77.40000000000001</v>
      </c>
      <c r="D1020" s="125" t="n">
        <v>400</v>
      </c>
      <c r="E1020" s="125" t="n">
        <v>200</v>
      </c>
      <c r="F1020" s="125" t="n">
        <v>16</v>
      </c>
      <c r="G1020" s="125" t="n">
        <v>9</v>
      </c>
      <c r="H1020" s="125" t="n">
        <v>13</v>
      </c>
      <c r="I1020" s="125">
        <f>D1020-(2*(H1020+F1020))</f>
        <v/>
      </c>
      <c r="J1020" s="125">
        <f>D1020/10 * F1020/10 + 2*(E1020/10 * G1020/10)</f>
        <v/>
      </c>
      <c r="K1020" s="125">
        <f>(E1020/2)/F1020</f>
        <v/>
      </c>
      <c r="L1020" s="125">
        <f>I1020/G1020</f>
        <v/>
      </c>
      <c r="M1020" s="125">
        <f>(E1020*2+F1020*4+((E1020-G1020)/2-H1020)*4+2*PI()*H1020+(D1020-2*F1020-2*H1020)*2)/1000</f>
        <v/>
      </c>
      <c r="N1020" s="5" t="n">
        <v>27800</v>
      </c>
      <c r="O1020" s="5" t="n">
        <v>2140</v>
      </c>
      <c r="P1020" s="125" t="n">
        <v>16.8</v>
      </c>
      <c r="Q1020" s="125" t="n">
        <v>4.7</v>
      </c>
      <c r="R1020" s="5" t="n">
        <v>1390</v>
      </c>
      <c r="S1020" s="125" t="n">
        <v>214</v>
      </c>
      <c r="T1020" s="5" t="n">
        <v>1560</v>
      </c>
      <c r="U1020" s="125" t="n">
        <v>329</v>
      </c>
      <c r="Y1020">
        <f>SQRT((((VLOOKUP($X$4,$A$4:$D$1021,4,FALSE))-D1020)^2)+(((VLOOKUP($X$4,$A$4:$E$1021,5,FALSE))-E1020)^2))</f>
        <v/>
      </c>
    </row>
    <row r="1021">
      <c r="A1021" s="125" t="inlineStr">
        <is>
          <t>HY400X65.4</t>
        </is>
      </c>
      <c r="B1021" s="129" t="inlineStr">
        <is>
          <t>HY</t>
        </is>
      </c>
      <c r="C1021" s="125" t="n">
        <v>65.40000000000001</v>
      </c>
      <c r="D1021" s="125" t="n">
        <v>400</v>
      </c>
      <c r="E1021" s="125" t="n">
        <v>200</v>
      </c>
      <c r="F1021" s="125" t="n">
        <v>12</v>
      </c>
      <c r="G1021" s="125" t="n">
        <v>9</v>
      </c>
      <c r="H1021" s="125" t="n">
        <v>13</v>
      </c>
      <c r="I1021" s="125">
        <f>D1021-(2*(H1021+F1021))</f>
        <v/>
      </c>
      <c r="J1021" s="125">
        <f>D1021/10 * F1021/10 + 2*(E1021/10 * G1021/10)</f>
        <v/>
      </c>
      <c r="K1021" s="125">
        <f>(E1021/2)/F1021</f>
        <v/>
      </c>
      <c r="L1021" s="125">
        <f>I1021/G1021</f>
        <v/>
      </c>
      <c r="M1021" s="125">
        <f>(E1021*2+F1021*4+((E1021-G1021)/2-H1021)*4+2*PI()*H1021+(D1021-2*F1021-2*H1021)*2)/1000</f>
        <v/>
      </c>
      <c r="N1021" s="5" t="n">
        <v>22600</v>
      </c>
      <c r="O1021" s="5" t="n">
        <v>1600</v>
      </c>
      <c r="P1021" s="125" t="n">
        <v>16.5</v>
      </c>
      <c r="Q1021" s="125" t="n">
        <v>4.4</v>
      </c>
      <c r="R1021" s="5" t="n">
        <v>1130</v>
      </c>
      <c r="S1021" s="125" t="n">
        <v>160</v>
      </c>
      <c r="T1021" s="5" t="n">
        <v>1280</v>
      </c>
      <c r="U1021" s="125" t="n">
        <v>249</v>
      </c>
      <c r="Y1021">
        <f>SQRT((((VLOOKUP($X$4,$A$4:$D$1021,4,FALSE))-D1021)^2)+(((VLOOKUP($X$4,$A$4:$E$1021,5,FALSE))-E1021)^2))</f>
        <v/>
      </c>
    </row>
  </sheetData>
  <mergeCells count="6">
    <mergeCell ref="N1:O1"/>
    <mergeCell ref="T1:U1"/>
    <mergeCell ref="K1:L1"/>
    <mergeCell ref="P1:Q1"/>
    <mergeCell ref="F1:G1"/>
    <mergeCell ref="R1:S1"/>
  </mergeCells>
  <conditionalFormatting sqref="A4:A233 A235:A363">
    <cfRule type="duplicateValues" priority="6" dxfId="4"/>
  </conditionalFormatting>
  <conditionalFormatting sqref="A234">
    <cfRule type="duplicateValues" priority="5" dxfId="4"/>
  </conditionalFormatting>
  <conditionalFormatting sqref="F2:G3">
    <cfRule type="expression" priority="4" dxfId="0">
      <formula>MOD(ROW()-4,50)=0</formula>
    </cfRule>
  </conditionalFormatting>
  <conditionalFormatting sqref="M2">
    <cfRule type="expression" priority="3" dxfId="0">
      <formula>MOD(ROW()-4,50)=0</formula>
    </cfRule>
  </conditionalFormatting>
  <conditionalFormatting sqref="N2:O3">
    <cfRule type="expression" priority="2" dxfId="0">
      <formula>MOD(ROW()-4,50)=0</formula>
    </cfRule>
  </conditionalFormatting>
  <conditionalFormatting sqref="P2:U2">
    <cfRule type="expression" priority="1" dxfId="0">
      <formula>MOD(ROW()-4,50)=0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 Sheng Ng</dc:creator>
  <dcterms:created xsi:type="dcterms:W3CDTF">2024-11-05T07:50:29Z</dcterms:created>
  <dcterms:modified xsi:type="dcterms:W3CDTF">2025-01-07T06:40:28Z</dcterms:modified>
  <cp:lastModifiedBy>Shu Sheng Ng</cp:lastModifiedBy>
</cp:coreProperties>
</file>