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nk\Downloads\"/>
    </mc:Choice>
  </mc:AlternateContent>
  <xr:revisionPtr revIDLastSave="0" documentId="13_ncr:1_{0B2B345D-C3A0-4384-A15B-5978A6C7EA0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Replacement project" sheetId="1" r:id="rId1"/>
    <sheet name="Capital " sheetId="3" r:id="rId2"/>
    <sheet name="Sheet3" sheetId="6" r:id="rId3"/>
    <sheet name="Expansion project" sheetId="2" r:id="rId4"/>
    <sheet name="Scenario Summary" sheetId="5" r:id="rId5"/>
    <sheet name="expansion project diagram 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6" l="1"/>
  <c r="B6" i="6"/>
  <c r="D25" i="5"/>
  <c r="D24" i="5"/>
  <c r="D23" i="5" a="1"/>
  <c r="D23" i="5" s="1"/>
  <c r="D22" i="5" a="1"/>
  <c r="D22" i="5" s="1"/>
  <c r="P16" i="2"/>
  <c r="D38" i="2"/>
  <c r="D35" i="2"/>
  <c r="D32" i="2"/>
  <c r="D29" i="2"/>
  <c r="D26" i="2"/>
  <c r="B10" i="2" l="1"/>
  <c r="B9" i="2"/>
  <c r="I5" i="2" s="1"/>
  <c r="B6" i="2"/>
  <c r="I4" i="2" s="1"/>
  <c r="B5" i="2"/>
  <c r="B4" i="2"/>
  <c r="P15" i="2" s="1"/>
  <c r="N15" i="1"/>
  <c r="H14" i="2"/>
  <c r="J7" i="2"/>
  <c r="K7" i="2"/>
  <c r="L7" i="2"/>
  <c r="M7" i="2"/>
  <c r="I7" i="2"/>
  <c r="H3" i="2"/>
  <c r="N22" i="1"/>
  <c r="O17" i="1"/>
  <c r="N17" i="1"/>
  <c r="R28" i="1"/>
  <c r="R27" i="1"/>
  <c r="O15" i="1"/>
  <c r="N23" i="1"/>
  <c r="P16" i="1"/>
  <c r="O16" i="1"/>
  <c r="P11" i="1"/>
  <c r="P12" i="1"/>
  <c r="P10" i="1"/>
  <c r="N16" i="1"/>
  <c r="M5" i="2" l="1"/>
  <c r="J5" i="2"/>
  <c r="L5" i="2"/>
  <c r="K5" i="2"/>
  <c r="J4" i="2"/>
  <c r="J6" i="2" s="1"/>
  <c r="I6" i="2"/>
  <c r="I8" i="2" s="1"/>
  <c r="I9" i="2" s="1"/>
  <c r="I10" i="2" s="1"/>
  <c r="I11" i="2" s="1"/>
  <c r="I14" i="2" s="1"/>
  <c r="P17" i="2"/>
  <c r="M12" i="2" s="1"/>
  <c r="K4" i="2" l="1"/>
  <c r="L4" i="2" s="1"/>
  <c r="L6" i="2" s="1"/>
  <c r="L8" i="2" s="1"/>
  <c r="L9" i="2" s="1"/>
  <c r="L10" i="2" s="1"/>
  <c r="L11" i="2" s="1"/>
  <c r="L14" i="2" s="1"/>
  <c r="J8" i="2"/>
  <c r="J9" i="2" s="1"/>
  <c r="J10" i="2" s="1"/>
  <c r="J11" i="2" s="1"/>
  <c r="J14" i="2" s="1"/>
  <c r="M4" i="2" l="1"/>
  <c r="M6" i="2" s="1"/>
  <c r="M8" i="2" s="1"/>
  <c r="M9" i="2" s="1"/>
  <c r="M10" i="2" s="1"/>
  <c r="M11" i="2" s="1"/>
  <c r="M14" i="2" s="1"/>
  <c r="K6" i="2"/>
  <c r="K8" i="2" s="1"/>
  <c r="K9" i="2" s="1"/>
  <c r="K10" i="2" l="1"/>
  <c r="K11" i="2" s="1"/>
  <c r="K14" i="2" s="1"/>
  <c r="O22" i="2" l="1"/>
  <c r="O23" i="2"/>
  <c r="O24" i="2"/>
  <c r="O21" i="2"/>
  <c r="C36" i="2" s="1"/>
  <c r="C39" i="2" l="1"/>
  <c r="C27" i="2"/>
  <c r="C30" i="2"/>
  <c r="C3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<sst xmlns="http://schemas.openxmlformats.org/spreadsheetml/2006/main" count="126" uniqueCount="124">
  <si>
    <t>Project</t>
  </si>
  <si>
    <t>Cost</t>
  </si>
  <si>
    <t>NPV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</si>
  <si>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</si>
  <si>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</si>
  <si>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</si>
  <si>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</si>
  <si>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</si>
  <si>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</si>
  <si>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</si>
  <si>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</si>
  <si>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</si>
  <si>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</si>
  <si>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</si>
  <si>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</si>
  <si>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</si>
  <si>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The Optimal Capital Budget</t>
  </si>
  <si>
    <t>Under Capital Rationing</t>
  </si>
  <si>
    <t>old machine</t>
  </si>
  <si>
    <t>new machine</t>
  </si>
  <si>
    <t>price</t>
  </si>
  <si>
    <t>shipping and installation</t>
  </si>
  <si>
    <t>original life</t>
  </si>
  <si>
    <t>current life</t>
  </si>
  <si>
    <t>original salvage value</t>
  </si>
  <si>
    <t>Current salvage value</t>
  </si>
  <si>
    <t>Increase in NWC</t>
  </si>
  <si>
    <t>Salaries</t>
  </si>
  <si>
    <t>maintenance</t>
  </si>
  <si>
    <t>defects</t>
  </si>
  <si>
    <t>Required return</t>
  </si>
  <si>
    <t>marginal tax rate</t>
  </si>
  <si>
    <t xml:space="preserve">old machine after tax salvage </t>
  </si>
  <si>
    <t>Remaining book value= initial cost - Accumulated depreciation</t>
  </si>
  <si>
    <t>Market valuem=Salvage value</t>
  </si>
  <si>
    <t xml:space="preserve">if MV &gt; BV, capital gain ==&gt; pay tax ==tax rate * gain </t>
  </si>
  <si>
    <t>How to calculate after tax salvage value(ATSV)</t>
  </si>
  <si>
    <t>ATSV = MV - Capital gains tax</t>
  </si>
  <si>
    <t>if MV &lt; BV, capital loss ==&gt; receive tax benifit==tax rate *loss</t>
  </si>
  <si>
    <t>ATSV = MV+ tax benefit from from loss</t>
  </si>
  <si>
    <t>Remaining book value(BV)</t>
  </si>
  <si>
    <t>Depreciation per year</t>
  </si>
  <si>
    <t>After tax slavage value</t>
  </si>
  <si>
    <t>cash flow components</t>
  </si>
  <si>
    <t>initial cf</t>
  </si>
  <si>
    <t>difference</t>
  </si>
  <si>
    <t>ocf</t>
  </si>
  <si>
    <t>terminal cf</t>
  </si>
  <si>
    <t>WACC</t>
  </si>
  <si>
    <t>(discount rate)</t>
  </si>
  <si>
    <t>Fixed Costs</t>
  </si>
  <si>
    <t>Unit sales growth rate</t>
  </si>
  <si>
    <t>Price per pound</t>
  </si>
  <si>
    <t>First year fish sale</t>
  </si>
  <si>
    <t>Terminal value of buildings and equip</t>
  </si>
  <si>
    <t>Terminal value of land</t>
  </si>
  <si>
    <t>cost of building and equip</t>
  </si>
  <si>
    <t>tax</t>
  </si>
  <si>
    <t>inputs</t>
  </si>
  <si>
    <t>years</t>
  </si>
  <si>
    <t>initial cash flow</t>
  </si>
  <si>
    <t>Variable costs as %of sales</t>
  </si>
  <si>
    <t>cost of land</t>
  </si>
  <si>
    <t>Revenue</t>
  </si>
  <si>
    <t>fixed costs</t>
  </si>
  <si>
    <t>variable costs</t>
  </si>
  <si>
    <t>Recovery Year</t>
  </si>
  <si>
    <t>3-Year</t>
  </si>
  <si>
    <t>5-Year</t>
  </si>
  <si>
    <t>7-Year</t>
  </si>
  <si>
    <t>10-Year</t>
  </si>
  <si>
    <t>15-Year</t>
  </si>
  <si>
    <t>20-Year</t>
  </si>
  <si>
    <t>14.81 *</t>
  </si>
  <si>
    <t>11.52 *</t>
  </si>
  <si>
    <t>8.93 *</t>
  </si>
  <si>
    <t>pre tax income</t>
  </si>
  <si>
    <t>Tax</t>
  </si>
  <si>
    <t>After tax</t>
  </si>
  <si>
    <t>operating cash flow</t>
  </si>
  <si>
    <t xml:space="preserve">depreciation </t>
  </si>
  <si>
    <t>(Macrs rates taken from web)</t>
  </si>
  <si>
    <t>Land sale</t>
  </si>
  <si>
    <t>(There is no book value for the land as there is no depreciation so terminal value is sale price - taxes</t>
  </si>
  <si>
    <t>ATSV of building and equip</t>
  </si>
  <si>
    <t>Remaining BV of BLDand equip</t>
  </si>
  <si>
    <t>termina cf</t>
  </si>
  <si>
    <t>total CF</t>
  </si>
  <si>
    <t>Original value</t>
  </si>
  <si>
    <t>Sensitivity percent</t>
  </si>
  <si>
    <t>terminal value of land</t>
  </si>
  <si>
    <t>terminal value of building</t>
  </si>
  <si>
    <t>$D$6</t>
  </si>
  <si>
    <t>$B$7</t>
  </si>
  <si>
    <t>$B$8</t>
  </si>
  <si>
    <t>$O$21</t>
  </si>
  <si>
    <t>$O$22</t>
  </si>
  <si>
    <t>$O$23</t>
  </si>
  <si>
    <t>$O$24</t>
  </si>
  <si>
    <t>Best case</t>
  </si>
  <si>
    <t>Created by Sankari Ravipati on 9/26/2023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</si>
  <si>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</si>
  <si>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</si>
  <si>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</si>
  <si>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</si>
  <si>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</si>
  <si>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</si>
  <si>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</si>
  <si>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</si>
  <si>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IRR</t>
  </si>
  <si>
    <t>MIRR</t>
  </si>
  <si>
    <t>PI</t>
  </si>
  <si>
    <t>Probabilities</t>
  </si>
  <si>
    <t>Expected NPV</t>
  </si>
  <si>
    <t>Variance</t>
  </si>
  <si>
    <t>Standard Deviation</t>
  </si>
  <si>
    <t>prob NPV&lt;0</t>
  </si>
  <si>
    <t>No of items sold</t>
  </si>
  <si>
    <t>sales price/unit</t>
  </si>
  <si>
    <t>revenue</t>
  </si>
  <si>
    <t>before tax income</t>
  </si>
  <si>
    <t xml:space="preserve">tax </t>
  </si>
  <si>
    <t>after tax income</t>
  </si>
  <si>
    <t xml:space="preserve">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</si>
</sst>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1" xfId="2" applyFont="1" applyBorder="1" applyAlignment="1">
      <alignment horizontal="center"/>
    </xf>
    <xf numFmtId="0" fontId="2" fillId="0" borderId="0" xfId="2" applyAlignment="1">
      <alignment horizontal="center"/>
    </xf>
    <xf numFmtId="3" fontId="2" fillId="0" borderId="0" xfId="1" applyNumberFormat="1" applyFont="1" applyAlignment="1">
      <alignment horizontal="right" indent="1"/>
    </xf>
    <xf numFmtId="0" fontId="3" fillId="0" borderId="0" xfId="2" applyFont="1" applyAlignment="1">
      <alignment horizontal="centerContinuous"/>
    </xf>
    <xf numFmtId="0" fontId="2" fillId="0" borderId="0" xfId="2" applyAlignment="1">
      <alignment horizontal="centerContinuous"/>
    </xf>
    <xf numFmtId="44" fontId="0" fillId="0" borderId="0" xfId="3" applyFont="1"/>
    <xf numFmtId="10" fontId="0" fillId="0" borderId="0" xfId="1" applyNumberFormat="1" applyFont="1"/>
    <xf numFmtId="8" fontId="0" fillId="0" borderId="0" xfId="0" applyNumberFormat="1"/>
    <xf numFmtId="44" fontId="0" fillId="0" borderId="0" xfId="0" applyNumberFormat="1"/>
    <xf numFmtId="9" fontId="0" fillId="0" borderId="0" xfId="0" applyNumberFormat="1"/>
    <xf numFmtId="9" fontId="0" fillId="0" borderId="0" xfId="4" applyFont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Fill="1" applyBorder="1" applyAlignment="1"/>
    <xf numFmtId="9" fontId="0" fillId="0" borderId="0" xfId="0" applyNumberFormat="1" applyFill="1" applyBorder="1" applyAlignment="1"/>
    <xf numFmtId="44" fontId="0" fillId="0" borderId="0" xfId="0" applyNumberFormat="1" applyFill="1" applyBorder="1" applyAlignment="1"/>
    <xf numFmtId="44" fontId="0" fillId="0" borderId="3" xfId="0" applyNumberFormat="1" applyFill="1" applyBorder="1" applyAlignment="1"/>
    <xf numFmtId="0" fontId="4" fillId="2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0" fillId="0" borderId="1" xfId="0" applyFill="1" applyBorder="1" applyAlignment="1"/>
    <xf numFmtId="0" fontId="5" fillId="3" borderId="0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0" fillId="4" borderId="0" xfId="0" applyFill="1" applyBorder="1" applyAlignment="1"/>
    <xf numFmtId="9" fontId="0" fillId="4" borderId="0" xfId="0" applyNumberFormat="1" applyFill="1" applyBorder="1" applyAlignment="1"/>
    <xf numFmtId="0" fontId="8" fillId="0" borderId="0" xfId="0" applyFont="1" applyFill="1" applyBorder="1" applyAlignment="1">
      <alignment vertical="top" wrapText="1"/>
    </xf>
    <xf numFmtId="10" fontId="0" fillId="0" borderId="0" xfId="4" applyNumberFormat="1" applyFont="1"/>
  </cellXfs>
  <cellStyles count="5">
    <cellStyle name="Comma" xfId="1" builtinId="3"/>
    <cellStyle name="Currency" xfId="3" builtinId="4"/>
    <cellStyle name="Normal" xfId="0" builtinId="0"/>
    <cellStyle name="Normal_Exh 10-7" xfId="2" xr:uid="{E30308FD-1B02-40CE-8267-06D0C03E55AF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</a:t>
            </a:r>
            <a:r>
              <a:rPr lang="en-US" baseline="0"/>
              <a:t> Diagram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6915100364767961"/>
          <c:y val="1.848184983216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Terminal value of land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'Expansion project'!$D$26:$N$26</c:f>
              <c:numCache>
                <c:formatCode>0%</c:formatCode>
                <c:ptCount val="11"/>
                <c:pt idx="0">
                  <c:v>-0.5</c:v>
                </c:pt>
                <c:pt idx="1">
                  <c:v>-0.4</c:v>
                </c:pt>
                <c:pt idx="2">
                  <c:v>-0.3</c:v>
                </c:pt>
                <c:pt idx="3">
                  <c:v>-0.2</c:v>
                </c:pt>
                <c:pt idx="4">
                  <c:v>-0.1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</c:numCache>
            </c:numRef>
          </c:cat>
          <c:val>
            <c:numRef>
              <c:f>'Expansion project'!$D$27:$N$27</c:f>
              <c:numCache>
                <c:formatCode>General</c:formatCode>
                <c:ptCount val="11"/>
                <c:pt idx="0">
                  <c:v>20642.795387796243</c:v>
                </c:pt>
                <c:pt idx="1">
                  <c:v>34768.755487391958</c:v>
                </c:pt>
                <c:pt idx="2">
                  <c:v>48894.71558698779</c:v>
                </c:pt>
                <c:pt idx="3">
                  <c:v>63020.675686583621</c:v>
                </c:pt>
                <c:pt idx="4">
                  <c:v>77146.635786179337</c:v>
                </c:pt>
                <c:pt idx="5">
                  <c:v>91272.595885775052</c:v>
                </c:pt>
                <c:pt idx="6">
                  <c:v>105398.55598537088</c:v>
                </c:pt>
                <c:pt idx="7">
                  <c:v>119524.51608496672</c:v>
                </c:pt>
                <c:pt idx="8">
                  <c:v>133650.47618456243</c:v>
                </c:pt>
                <c:pt idx="9">
                  <c:v>147776.43628415815</c:v>
                </c:pt>
                <c:pt idx="10">
                  <c:v>161902.39638375398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6DD-B3BF-8265F8DBCE29}"/>
            </c:ext>
          </c:extLst>
        </c:ser>
        <c:ser>
          <c:idx val="1"/>
          <c:order val="1"/>
          <c:tx>
            <c:v>terminal value of building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'Expansion project'!$D$30:$N$30</c:f>
              <c:numCache>
                <c:formatCode>General</c:formatCode>
                <c:ptCount val="11"/>
                <c:pt idx="0">
                  <c:v>50912.709886929952</c:v>
                </c:pt>
                <c:pt idx="1">
                  <c:v>58984.687086699065</c:v>
                </c:pt>
                <c:pt idx="2">
                  <c:v>67056.664286468062</c:v>
                </c:pt>
                <c:pt idx="3">
                  <c:v>75128.641486237058</c:v>
                </c:pt>
                <c:pt idx="4">
                  <c:v>83200.618686006055</c:v>
                </c:pt>
                <c:pt idx="5">
                  <c:v>91272.595885775052</c:v>
                </c:pt>
                <c:pt idx="6">
                  <c:v>99344.573085544049</c:v>
                </c:pt>
                <c:pt idx="7">
                  <c:v>107416.55028531316</c:v>
                </c:pt>
                <c:pt idx="8">
                  <c:v>115488.52748508204</c:v>
                </c:pt>
                <c:pt idx="9">
                  <c:v>123560.50468485116</c:v>
                </c:pt>
                <c:pt idx="10">
                  <c:v>131632.48188462015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6DD-B3BF-8265F8DBCE29}"/>
            </c:ext>
          </c:extLst>
        </c:ser>
        <c:ser>
          <c:idx val="2"/>
          <c:order val="2"/>
          <c:tx>
            <c:v>First year fish sale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'Expansion project'!$D$33:$N$33</c:f>
              <c:numCache>
                <c:formatCode>General</c:formatCode>
                <c:ptCount val="11"/>
                <c:pt idx="0">
                  <c:v>-193631.72038671002</c:v>
                </c:pt>
                <c:pt idx="1">
                  <c:v>-136650.85713221296</c:v>
                </c:pt>
                <c:pt idx="2">
                  <c:v>-79669.993877715897</c:v>
                </c:pt>
                <c:pt idx="3">
                  <c:v>-22689.130623218836</c:v>
                </c:pt>
                <c:pt idx="4">
                  <c:v>34291.732631278108</c:v>
                </c:pt>
                <c:pt idx="5">
                  <c:v>91272.595885775052</c:v>
                </c:pt>
                <c:pt idx="6">
                  <c:v>148253.45914027223</c:v>
                </c:pt>
                <c:pt idx="7">
                  <c:v>205234.32239476917</c:v>
                </c:pt>
                <c:pt idx="8">
                  <c:v>262215.18564926623</c:v>
                </c:pt>
                <c:pt idx="9">
                  <c:v>319196.04890376318</c:v>
                </c:pt>
                <c:pt idx="10">
                  <c:v>376176.91215826024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29-46DD-B3BF-8265F8DBCE29}"/>
            </c:ext>
          </c:extLst>
        </c:ser>
        <c:ser>
          <c:idx val="3"/>
          <c:order val="3"/>
          <c:tx>
            <c:v>Fixed cost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'Expansion project'!$D$36:$N$36</c:f>
              <c:numCache>
                <c:formatCode>General</c:formatCode>
                <c:ptCount val="11"/>
                <c:pt idx="0">
                  <c:v>189833.05189039465</c:v>
                </c:pt>
                <c:pt idx="1">
                  <c:v>170120.96068947087</c:v>
                </c:pt>
                <c:pt idx="2">
                  <c:v>150408.86948854686</c:v>
                </c:pt>
                <c:pt idx="3">
                  <c:v>130696.77828762296</c:v>
                </c:pt>
                <c:pt idx="4">
                  <c:v>110984.68708669895</c:v>
                </c:pt>
                <c:pt idx="5">
                  <c:v>91272.595885775052</c:v>
                </c:pt>
                <c:pt idx="6">
                  <c:v>71560.504684851039</c:v>
                </c:pt>
                <c:pt idx="7">
                  <c:v>51848.413483927143</c:v>
                </c:pt>
                <c:pt idx="8">
                  <c:v>32136.322283003246</c:v>
                </c:pt>
                <c:pt idx="9">
                  <c:v>12424.23108207935</c:v>
                </c:pt>
                <c:pt idx="10">
                  <c:v>-7287.8601188445464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29-46DD-B3BF-8265F8DBCE29}"/>
            </c:ext>
          </c:extLst>
        </c:ser>
        <c:ser>
          <c:idx val="4"/>
          <c:order val="4"/>
          <c:tx>
            <c:v>variable cost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'Expansion project'!$D$39:$N$39</c:f>
              <c:numCache>
                <c:formatCode>General</c:formatCode>
                <c:ptCount val="11"/>
                <c:pt idx="0">
                  <c:v>518629.07029450266</c:v>
                </c:pt>
                <c:pt idx="1">
                  <c:v>433157.77541275718</c:v>
                </c:pt>
                <c:pt idx="2">
                  <c:v>347686.48053101148</c:v>
                </c:pt>
                <c:pt idx="3">
                  <c:v>262215.18564926623</c:v>
                </c:pt>
                <c:pt idx="4">
                  <c:v>176743.89076752053</c:v>
                </c:pt>
                <c:pt idx="5">
                  <c:v>91272.595885775052</c:v>
                </c:pt>
                <c:pt idx="6">
                  <c:v>5801.3010040295776</c:v>
                </c:pt>
                <c:pt idx="7">
                  <c:v>-79669.993877715897</c:v>
                </c:pt>
                <c:pt idx="8">
                  <c:v>-165141.28875946143</c:v>
                </c:pt>
                <c:pt idx="9">
                  <c:v>-250612.58364120702</c:v>
                </c:pt>
                <c:pt idx="10">
                  <c:v>-336083.87852295244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29-46DD-B3BF-8265F8DBCE2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005968"/>
        <c:axId val="1945445872"/>
      </c:lineChart>
      <c:catAx>
        <c:axId val="15590059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45872"/>
        <c:crosses val="autoZero"/>
        <c:auto val="1"/>
        <c:lblAlgn val="ctr"/>
        <c:lblOffset val="100"/>
        <c:noMultiLvlLbl val="0"/>
      </c:catAx>
      <c:valAx>
        <c:axId val="19454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00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</xdr:row>
      <xdr:rowOff>76201</xdr:rowOff>
    </xdr:from>
    <xdr:to>
      <xdr:col>11</xdr:col>
      <xdr:colOff>491403</xdr:colOff>
      <xdr:row>33</xdr:row>
      <xdr:rowOff>95251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FF2B736-03DD-4AB4-9DD4-556D73789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66701"/>
          <a:ext cx="6777903" cy="6115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1965324</xdr:colOff>
      <xdr:row>40</xdr:row>
      <xdr:rowOff>107950</xdr:rowOff>
    </xdr:from>
    <xdr:to>
      <xdr:col>7</xdr:col>
      <xdr:colOff>736599</xdr:colOff>
      <xdr:row>62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DEB961-5996-519F-7F4C-AFFE5736F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10</xdr:col>
      <xdr:colOff>511373</xdr:colOff>
      <xdr:row>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BF48C-CCB4-44BA-A358-763059871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4900"/>
          <a:ext cx="6607373" cy="423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R43"/>
  <sheetViews>
    <sheetView workbookViewId="0">
      <selection activeCell="N15" sqref="N15"/>
    </sheetView>
  </sheetViews>
  <sheetFormatPr defaultRowHeight="14.5" x14ac:dyDescent="0.35"/>
  <cols>
    <col min="13" max="13" width="21" customWidth="1"/>
    <col min="14" max="14" width="16.453125" customWidth="1"/>
    <col min="15" max="15" width="15.54296875" customWidth="1"/>
    <col min="16" max="16" width="11.08984375" bestFit="1" customWidth="1"/>
    <col min="18" max="18" width="10.08984375" bestFit="1" customWidth="1"/>
  </cols>
  <sheetData>
    <row r="2" spans="13:16" x14ac:dyDescent="0.35">
      <c r="N2" t="s">
        <v>18</v>
      </c>
      <c r="O2" t="s">
        <v>19</v>
      </c>
      <c r="P2" t="s">
        <v>45</v>
      </c>
    </row>
    <row r="3" spans="13:16" x14ac:dyDescent="0.35">
      <c r="M3" t="s">
        <v>20</v>
      </c>
      <c r="N3" s="6">
        <v>40000</v>
      </c>
      <c r="O3" s="6">
        <v>75000</v>
      </c>
    </row>
    <row r="4" spans="13:16" x14ac:dyDescent="0.35">
      <c r="M4" t="s">
        <v>21</v>
      </c>
      <c r="N4" s="6">
        <v>0</v>
      </c>
      <c r="O4" s="6">
        <v>6000</v>
      </c>
    </row>
    <row r="5" spans="13:16" x14ac:dyDescent="0.35">
      <c r="M5" t="s">
        <v>22</v>
      </c>
      <c r="N5">
        <v>10</v>
      </c>
      <c r="O5">
        <v>5</v>
      </c>
    </row>
    <row r="6" spans="13:16" x14ac:dyDescent="0.35">
      <c r="M6" t="s">
        <v>23</v>
      </c>
      <c r="N6">
        <v>5</v>
      </c>
      <c r="O6">
        <v>5</v>
      </c>
    </row>
    <row r="7" spans="13:16" x14ac:dyDescent="0.35">
      <c r="M7" t="s">
        <v>24</v>
      </c>
      <c r="N7" s="6">
        <v>0</v>
      </c>
      <c r="O7" s="6">
        <v>15000</v>
      </c>
    </row>
    <row r="8" spans="13:16" x14ac:dyDescent="0.35">
      <c r="M8" t="s">
        <v>25</v>
      </c>
      <c r="N8" s="6">
        <v>22000</v>
      </c>
    </row>
    <row r="9" spans="13:16" x14ac:dyDescent="0.35">
      <c r="M9" t="s">
        <v>26</v>
      </c>
      <c r="O9" s="6">
        <v>3000</v>
      </c>
    </row>
    <row r="10" spans="13:16" x14ac:dyDescent="0.35">
      <c r="M10" t="s">
        <v>27</v>
      </c>
      <c r="N10" s="6">
        <v>29000</v>
      </c>
      <c r="O10" s="6">
        <v>0</v>
      </c>
      <c r="P10" s="9">
        <f>N10-O10</f>
        <v>29000</v>
      </c>
    </row>
    <row r="11" spans="13:16" x14ac:dyDescent="0.35">
      <c r="M11" t="s">
        <v>28</v>
      </c>
      <c r="N11" s="6">
        <v>6000</v>
      </c>
      <c r="O11" s="6">
        <v>5000</v>
      </c>
      <c r="P11" s="9">
        <f t="shared" ref="P11:P12" si="0">N11-O11</f>
        <v>1000</v>
      </c>
    </row>
    <row r="12" spans="13:16" x14ac:dyDescent="0.35">
      <c r="M12" t="s">
        <v>29</v>
      </c>
      <c r="N12" s="6">
        <v>4000</v>
      </c>
      <c r="O12" s="6">
        <v>2000</v>
      </c>
      <c r="P12" s="9">
        <f t="shared" si="0"/>
        <v>2000</v>
      </c>
    </row>
    <row r="13" spans="13:16" x14ac:dyDescent="0.35">
      <c r="M13" t="s">
        <v>30</v>
      </c>
      <c r="N13" s="7">
        <v>0.15</v>
      </c>
    </row>
    <row r="14" spans="13:16" x14ac:dyDescent="0.35">
      <c r="M14" t="s">
        <v>31</v>
      </c>
      <c r="N14" s="7">
        <v>0.34</v>
      </c>
    </row>
    <row r="15" spans="13:16" x14ac:dyDescent="0.35">
      <c r="M15" t="s">
        <v>40</v>
      </c>
      <c r="N15" s="9">
        <f>N3-N16*(N5-N6)</f>
        <v>20000</v>
      </c>
      <c r="O15" s="9">
        <f>O3+O4-O5*O16</f>
        <v>15000</v>
      </c>
    </row>
    <row r="16" spans="13:16" x14ac:dyDescent="0.35">
      <c r="M16" t="s">
        <v>41</v>
      </c>
      <c r="N16" s="8">
        <f>SLN(N3,N7,N5)</f>
        <v>4000</v>
      </c>
      <c r="O16" s="8">
        <f>SLN((O3+O4),O7,O6)</f>
        <v>13200</v>
      </c>
      <c r="P16" s="8">
        <f>N16-O16</f>
        <v>-9200</v>
      </c>
    </row>
    <row r="17" spans="13:18" x14ac:dyDescent="0.35">
      <c r="M17" t="s">
        <v>42</v>
      </c>
      <c r="N17" s="9">
        <f>N8-N14*(N8-N15)</f>
        <v>21320</v>
      </c>
      <c r="O17" s="9">
        <f>O7-N14*(O7-O15)</f>
        <v>15000</v>
      </c>
    </row>
    <row r="21" spans="13:18" x14ac:dyDescent="0.35">
      <c r="M21" t="s">
        <v>43</v>
      </c>
    </row>
    <row r="22" spans="13:18" x14ac:dyDescent="0.35">
      <c r="M22" t="s">
        <v>44</v>
      </c>
      <c r="N22" s="9">
        <f>O3+O4+O9-N17</f>
        <v>62680</v>
      </c>
    </row>
    <row r="23" spans="13:18" x14ac:dyDescent="0.35">
      <c r="M23" t="s">
        <v>46</v>
      </c>
      <c r="N23" s="9">
        <f>SUM(P10:P12)*(1-N14)-P16*N14</f>
        <v>24247.999999999996</v>
      </c>
    </row>
    <row r="24" spans="13:18" x14ac:dyDescent="0.35">
      <c r="M24" t="s">
        <v>47</v>
      </c>
    </row>
    <row r="27" spans="13:18" x14ac:dyDescent="0.35">
      <c r="R27" s="9">
        <f>N8-21320</f>
        <v>680</v>
      </c>
    </row>
    <row r="28" spans="13:18" x14ac:dyDescent="0.35">
      <c r="R28" s="9">
        <f>R27/N14</f>
        <v>1999.9999999999998</v>
      </c>
    </row>
    <row r="35" spans="2:2" x14ac:dyDescent="0.35">
      <c r="B35" t="s">
        <v>36</v>
      </c>
    </row>
    <row r="36" spans="2:2" x14ac:dyDescent="0.35">
      <c r="B36" t="s">
        <v>33</v>
      </c>
    </row>
    <row r="37" spans="2:2" x14ac:dyDescent="0.35">
      <c r="B37" t="s">
        <v>34</v>
      </c>
    </row>
    <row r="38" spans="2:2" x14ac:dyDescent="0.35">
      <c r="B38" t="s">
        <v>35</v>
      </c>
    </row>
    <row r="39" spans="2:2" x14ac:dyDescent="0.35">
      <c r="B39" t="s">
        <v>37</v>
      </c>
    </row>
    <row r="40" spans="2:2" x14ac:dyDescent="0.35">
      <c r="B40" t="s">
        <v>38</v>
      </c>
    </row>
    <row r="41" spans="2:2" x14ac:dyDescent="0.35">
      <c r="B41" t="s">
        <v>39</v>
      </c>
    </row>
    <row r="43" spans="2:2" x14ac:dyDescent="0.35">
      <c r="B43" t="s">
        <v>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4242-F192-425E-88F4-C1D8AAA410BF}">
  <dimension ref="C3:E18"/>
  <sheetViews>
    <sheetView workbookViewId="0">
      <selection activeCell="J19" sqref="J19"/>
    </sheetView>
  </sheetViews>
  <sheetFormatPr defaultRowHeight="14.5" x14ac:dyDescent="0.35"/>
  <sheetData>
    <row r="3" spans="3:5" x14ac:dyDescent="0.35">
      <c r="C3" s="4" t="s">
        <v>16</v>
      </c>
      <c r="D3" s="5"/>
      <c r="E3" s="5"/>
    </row>
    <row r="4" spans="3:5" x14ac:dyDescent="0.35">
      <c r="C4" s="4" t="s">
        <v>17</v>
      </c>
      <c r="D4" s="5"/>
      <c r="E4" s="5"/>
    </row>
    <row r="5" spans="3:5" x14ac:dyDescent="0.35">
      <c r="C5" s="1" t="s">
        <v>0</v>
      </c>
      <c r="D5" s="1" t="s">
        <v>1</v>
      </c>
      <c r="E5" s="1" t="s">
        <v>2</v>
      </c>
    </row>
    <row r="6" spans="3:5" x14ac:dyDescent="0.35">
      <c r="C6" s="2" t="s">
        <v>3</v>
      </c>
      <c r="D6" s="3">
        <v>237005</v>
      </c>
      <c r="E6" s="3">
        <v>84334</v>
      </c>
    </row>
    <row r="7" spans="3:5" x14ac:dyDescent="0.35">
      <c r="C7" s="2" t="s">
        <v>4</v>
      </c>
      <c r="D7" s="3">
        <v>766496</v>
      </c>
      <c r="E7" s="3">
        <v>26881</v>
      </c>
    </row>
    <row r="8" spans="3:5" x14ac:dyDescent="0.35">
      <c r="C8" s="2" t="s">
        <v>5</v>
      </c>
      <c r="D8" s="3">
        <v>304049</v>
      </c>
      <c r="E8" s="3">
        <v>23162</v>
      </c>
    </row>
    <row r="9" spans="3:5" x14ac:dyDescent="0.35">
      <c r="C9" s="2" t="s">
        <v>6</v>
      </c>
      <c r="D9" s="3">
        <v>565178</v>
      </c>
      <c r="E9" s="3">
        <v>82598</v>
      </c>
    </row>
    <row r="10" spans="3:5" x14ac:dyDescent="0.35">
      <c r="C10" s="2" t="s">
        <v>7</v>
      </c>
      <c r="D10" s="3">
        <v>108990</v>
      </c>
      <c r="E10" s="3">
        <v>20590</v>
      </c>
    </row>
    <row r="11" spans="3:5" x14ac:dyDescent="0.35">
      <c r="C11" s="2" t="s">
        <v>8</v>
      </c>
      <c r="D11" s="3">
        <v>89135</v>
      </c>
      <c r="E11" s="3">
        <v>90404</v>
      </c>
    </row>
    <row r="12" spans="3:5" x14ac:dyDescent="0.35">
      <c r="C12" s="2" t="s">
        <v>9</v>
      </c>
      <c r="D12" s="3">
        <v>795664</v>
      </c>
      <c r="E12" s="3">
        <v>18163</v>
      </c>
    </row>
    <row r="13" spans="3:5" x14ac:dyDescent="0.35">
      <c r="C13" s="2" t="s">
        <v>10</v>
      </c>
      <c r="D13" s="3">
        <v>814493</v>
      </c>
      <c r="E13" s="3">
        <v>97682</v>
      </c>
    </row>
    <row r="14" spans="3:5" x14ac:dyDescent="0.35">
      <c r="C14" s="2" t="s">
        <v>11</v>
      </c>
      <c r="D14" s="3">
        <v>480321</v>
      </c>
      <c r="E14" s="3">
        <v>52063</v>
      </c>
    </row>
    <row r="15" spans="3:5" x14ac:dyDescent="0.35">
      <c r="C15" s="2" t="s">
        <v>12</v>
      </c>
      <c r="D15" s="3">
        <v>826610</v>
      </c>
      <c r="E15" s="3">
        <v>53911</v>
      </c>
    </row>
    <row r="16" spans="3:5" x14ac:dyDescent="0.35">
      <c r="C16" s="2" t="s">
        <v>13</v>
      </c>
      <c r="D16" s="3">
        <v>734830</v>
      </c>
      <c r="E16" s="3">
        <v>56323</v>
      </c>
    </row>
    <row r="17" spans="3:5" x14ac:dyDescent="0.35">
      <c r="C17" s="2" t="s">
        <v>14</v>
      </c>
      <c r="D17" s="3">
        <v>910598</v>
      </c>
      <c r="E17" s="3">
        <v>88349</v>
      </c>
    </row>
    <row r="18" spans="3:5" x14ac:dyDescent="0.35">
      <c r="C18" s="2" t="s">
        <v>15</v>
      </c>
      <c r="D18" s="3">
        <v>978621</v>
      </c>
      <c r="E18" s="3">
        <v>69352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1530-E8BF-4E5A-A5D5-0BD4BB2ABE62}">
  <dimension ref="A2:B12"/>
  <sheetViews>
    <sheetView tabSelected="1" workbookViewId="0">
      <selection activeCell="K17" sqref="K17"/>
    </sheetView>
  </sheetViews>
  <sheetFormatPr defaultRowHeight="14.5" x14ac:dyDescent="0.35"/>
  <cols>
    <col min="1" max="1" width="18.7265625" customWidth="1"/>
  </cols>
  <sheetData>
    <row r="2" spans="1:2" x14ac:dyDescent="0.35">
      <c r="A2" t="s">
        <v>117</v>
      </c>
      <c r="B2">
        <v>50</v>
      </c>
    </row>
    <row r="4" spans="1:2" x14ac:dyDescent="0.35">
      <c r="A4" t="s">
        <v>118</v>
      </c>
      <c r="B4">
        <v>10</v>
      </c>
    </row>
    <row r="5" spans="1:2" x14ac:dyDescent="0.35">
      <c r="A5" t="s">
        <v>123</v>
      </c>
      <c r="B5">
        <v>9</v>
      </c>
    </row>
    <row r="6" spans="1:2" x14ac:dyDescent="0.35">
      <c r="A6" t="s">
        <v>119</v>
      </c>
      <c r="B6">
        <f>B2*B4</f>
        <v>500</v>
      </c>
    </row>
    <row r="8" spans="1:2" x14ac:dyDescent="0.35">
      <c r="A8" t="s">
        <v>120</v>
      </c>
      <c r="B8">
        <f>B6-I22</f>
        <v>500</v>
      </c>
    </row>
    <row r="10" spans="1:2" x14ac:dyDescent="0.35">
      <c r="A10" t="s">
        <v>121</v>
      </c>
    </row>
    <row r="12" spans="1:2" x14ac:dyDescent="0.35">
      <c r="A1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9464-F70D-4190-B307-2E6F0A4B24E8}">
  <dimension ref="A1:U43"/>
  <sheetViews>
    <sheetView topLeftCell="B15" workbookViewId="0">
      <selection activeCell="O24" sqref="O24"/>
    </sheetView>
  </sheetViews>
  <sheetFormatPr defaultRowHeight="14.5" x14ac:dyDescent="0.35"/>
  <cols>
    <col min="1" max="1" width="27.36328125" customWidth="1"/>
    <col min="2" max="2" width="20.6328125" customWidth="1"/>
    <col min="3" max="3" width="31.26953125" customWidth="1"/>
    <col min="4" max="4" width="19.36328125" customWidth="1"/>
    <col min="5" max="5" width="18.453125" customWidth="1"/>
    <col min="6" max="6" width="17.26953125" bestFit="1" customWidth="1"/>
    <col min="7" max="7" width="14.7265625" customWidth="1"/>
    <col min="8" max="8" width="15.81640625" customWidth="1"/>
    <col min="9" max="9" width="12.6328125" customWidth="1"/>
    <col min="10" max="10" width="13.6328125" customWidth="1"/>
    <col min="11" max="11" width="13.36328125" customWidth="1"/>
    <col min="12" max="12" width="12.08984375" bestFit="1" customWidth="1"/>
    <col min="13" max="13" width="14.54296875" customWidth="1"/>
    <col min="14" max="14" width="12.08984375" customWidth="1"/>
    <col min="15" max="15" width="25.6328125" customWidth="1"/>
    <col min="16" max="16" width="12.7265625" bestFit="1" customWidth="1"/>
    <col min="19" max="19" width="12.7265625" customWidth="1"/>
  </cols>
  <sheetData>
    <row r="1" spans="1:16" x14ac:dyDescent="0.35">
      <c r="A1" t="s">
        <v>58</v>
      </c>
      <c r="D1" t="s">
        <v>88</v>
      </c>
      <c r="E1" t="s">
        <v>89</v>
      </c>
    </row>
    <row r="2" spans="1:16" x14ac:dyDescent="0.35">
      <c r="A2" t="s">
        <v>62</v>
      </c>
      <c r="B2" s="6">
        <v>250000</v>
      </c>
      <c r="G2" t="s">
        <v>59</v>
      </c>
      <c r="H2">
        <v>0</v>
      </c>
      <c r="I2">
        <v>1</v>
      </c>
      <c r="J2">
        <v>2</v>
      </c>
      <c r="K2">
        <v>3</v>
      </c>
      <c r="L2">
        <v>4</v>
      </c>
      <c r="M2">
        <v>5</v>
      </c>
    </row>
    <row r="3" spans="1:16" x14ac:dyDescent="0.35">
      <c r="A3" t="s">
        <v>56</v>
      </c>
      <c r="B3" s="6">
        <v>400000</v>
      </c>
      <c r="G3" t="s">
        <v>60</v>
      </c>
      <c r="H3" s="9">
        <f>-B2-B3</f>
        <v>-650000</v>
      </c>
    </row>
    <row r="4" spans="1:16" x14ac:dyDescent="0.35">
      <c r="A4" t="s">
        <v>55</v>
      </c>
      <c r="B4" s="6">
        <f>D4*(1+E4)</f>
        <v>350000</v>
      </c>
      <c r="D4" s="6">
        <v>350000</v>
      </c>
      <c r="E4" s="11">
        <v>0</v>
      </c>
      <c r="G4" t="s">
        <v>63</v>
      </c>
      <c r="I4" s="6">
        <f>B6*B7</f>
        <v>500000</v>
      </c>
      <c r="J4" s="6">
        <f>I4*(1+$B$8)</f>
        <v>540000</v>
      </c>
      <c r="K4" s="6">
        <f t="shared" ref="K4:M4" si="0">J4*(1+$B$8)</f>
        <v>583200</v>
      </c>
      <c r="L4" s="6">
        <f t="shared" si="0"/>
        <v>629856</v>
      </c>
      <c r="M4" s="6">
        <f t="shared" si="0"/>
        <v>680244.4800000001</v>
      </c>
    </row>
    <row r="5" spans="1:16" x14ac:dyDescent="0.35">
      <c r="A5" t="s">
        <v>54</v>
      </c>
      <c r="B5" s="6">
        <f>D5*(1+E5)</f>
        <v>200000</v>
      </c>
      <c r="D5" s="6">
        <v>200000</v>
      </c>
      <c r="E5" s="11">
        <v>0</v>
      </c>
      <c r="G5" t="s">
        <v>64</v>
      </c>
      <c r="I5" s="9">
        <f>$B$9</f>
        <v>80000</v>
      </c>
      <c r="J5" s="9">
        <f t="shared" ref="J5:M5" si="1">$B$9</f>
        <v>80000</v>
      </c>
      <c r="K5" s="9">
        <f t="shared" si="1"/>
        <v>80000</v>
      </c>
      <c r="L5" s="9">
        <f t="shared" si="1"/>
        <v>80000</v>
      </c>
      <c r="M5" s="9">
        <f t="shared" si="1"/>
        <v>80000</v>
      </c>
    </row>
    <row r="6" spans="1:16" x14ac:dyDescent="0.35">
      <c r="A6" t="s">
        <v>53</v>
      </c>
      <c r="B6" s="6">
        <f>D6*(1+E6)</f>
        <v>200000</v>
      </c>
      <c r="D6">
        <v>200000</v>
      </c>
      <c r="E6" s="11">
        <v>0</v>
      </c>
      <c r="G6" t="s">
        <v>65</v>
      </c>
      <c r="I6" s="6">
        <f>I4*$B$10</f>
        <v>300000</v>
      </c>
      <c r="J6" s="6">
        <f t="shared" ref="J6:M6" si="2">J4*$B$10</f>
        <v>324000</v>
      </c>
      <c r="K6" s="6">
        <f t="shared" si="2"/>
        <v>349920</v>
      </c>
      <c r="L6" s="6">
        <f t="shared" si="2"/>
        <v>377913.59999999998</v>
      </c>
      <c r="M6" s="6">
        <f t="shared" si="2"/>
        <v>408146.68800000002</v>
      </c>
    </row>
    <row r="7" spans="1:16" x14ac:dyDescent="0.35">
      <c r="A7" t="s">
        <v>52</v>
      </c>
      <c r="B7">
        <v>2.5</v>
      </c>
      <c r="G7" t="s">
        <v>80</v>
      </c>
      <c r="I7" s="9">
        <f>$B$3*P43/100</f>
        <v>15000</v>
      </c>
      <c r="J7" s="9">
        <f>$B$3*Q43/100</f>
        <v>28876</v>
      </c>
      <c r="K7" s="9">
        <f>$B$3*R43/100</f>
        <v>26708</v>
      </c>
      <c r="L7" s="9">
        <f>$B$3*S43/100</f>
        <v>24708</v>
      </c>
      <c r="M7" s="9">
        <f>$B$3*T43/100</f>
        <v>22852</v>
      </c>
    </row>
    <row r="8" spans="1:16" x14ac:dyDescent="0.35">
      <c r="A8" t="s">
        <v>51</v>
      </c>
      <c r="B8" s="11">
        <v>0.08</v>
      </c>
      <c r="G8" t="s">
        <v>76</v>
      </c>
      <c r="I8" s="9">
        <f>I4-I5-I6-I7</f>
        <v>105000</v>
      </c>
      <c r="J8" s="9">
        <f t="shared" ref="J8:M8" si="3">J4-J5-J6-J7</f>
        <v>107124</v>
      </c>
      <c r="K8" s="9">
        <f t="shared" si="3"/>
        <v>126572</v>
      </c>
      <c r="L8" s="9">
        <f t="shared" si="3"/>
        <v>147234.40000000002</v>
      </c>
      <c r="M8" s="9">
        <f t="shared" si="3"/>
        <v>169245.79200000007</v>
      </c>
    </row>
    <row r="9" spans="1:16" x14ac:dyDescent="0.35">
      <c r="A9" t="s">
        <v>50</v>
      </c>
      <c r="B9" s="6">
        <f>D9*(1+E9)</f>
        <v>80000</v>
      </c>
      <c r="D9" s="6">
        <v>80000</v>
      </c>
      <c r="E9" s="11">
        <v>0</v>
      </c>
      <c r="G9" t="s">
        <v>77</v>
      </c>
      <c r="I9" s="9">
        <f>I8*$B$11</f>
        <v>36750</v>
      </c>
      <c r="J9" s="9">
        <f t="shared" ref="J9:M9" si="4">J8*$B$11</f>
        <v>37493.399999999994</v>
      </c>
      <c r="K9" s="9">
        <f t="shared" si="4"/>
        <v>44300.2</v>
      </c>
      <c r="L9" s="9">
        <f t="shared" si="4"/>
        <v>51532.040000000008</v>
      </c>
      <c r="M9" s="9">
        <f t="shared" si="4"/>
        <v>59236.027200000019</v>
      </c>
    </row>
    <row r="10" spans="1:16" x14ac:dyDescent="0.35">
      <c r="A10" t="s">
        <v>61</v>
      </c>
      <c r="B10" s="11">
        <f>D10*(1+E10)</f>
        <v>0.6</v>
      </c>
      <c r="D10" s="10">
        <v>0.6</v>
      </c>
      <c r="E10" s="11">
        <v>0</v>
      </c>
      <c r="G10" t="s">
        <v>78</v>
      </c>
      <c r="I10" s="9">
        <f>I8-I9</f>
        <v>68250</v>
      </c>
      <c r="J10" s="9">
        <f t="shared" ref="J10:M10" si="5">J8-J9</f>
        <v>69630.600000000006</v>
      </c>
      <c r="K10" s="9">
        <f t="shared" si="5"/>
        <v>82271.8</v>
      </c>
      <c r="L10" s="9">
        <f t="shared" si="5"/>
        <v>95702.360000000015</v>
      </c>
      <c r="M10" s="9">
        <f t="shared" si="5"/>
        <v>110009.76480000006</v>
      </c>
    </row>
    <row r="11" spans="1:16" x14ac:dyDescent="0.35">
      <c r="A11" t="s">
        <v>57</v>
      </c>
      <c r="B11" s="10">
        <v>0.35</v>
      </c>
      <c r="G11" t="s">
        <v>79</v>
      </c>
      <c r="I11" s="9">
        <f>I10+I7</f>
        <v>83250</v>
      </c>
      <c r="J11" s="9">
        <f t="shared" ref="J11:M11" si="6">J10+J7</f>
        <v>98506.6</v>
      </c>
      <c r="K11" s="9">
        <f t="shared" si="6"/>
        <v>108979.8</v>
      </c>
      <c r="L11" s="9">
        <f t="shared" si="6"/>
        <v>120410.36000000002</v>
      </c>
      <c r="M11" s="9">
        <f t="shared" si="6"/>
        <v>132861.76480000006</v>
      </c>
    </row>
    <row r="12" spans="1:16" x14ac:dyDescent="0.35">
      <c r="A12" t="s">
        <v>48</v>
      </c>
      <c r="B12" s="10">
        <v>0.1</v>
      </c>
      <c r="G12" t="s">
        <v>86</v>
      </c>
      <c r="M12" s="9">
        <f>P15+P17</f>
        <v>543649.6</v>
      </c>
    </row>
    <row r="13" spans="1:16" ht="14.5" customHeight="1" x14ac:dyDescent="0.35"/>
    <row r="14" spans="1:16" ht="24" customHeight="1" x14ac:dyDescent="0.35">
      <c r="A14" t="s">
        <v>49</v>
      </c>
      <c r="G14" t="s">
        <v>87</v>
      </c>
      <c r="H14" s="9">
        <f>H3+H11+H12</f>
        <v>-650000</v>
      </c>
      <c r="I14" s="9">
        <f t="shared" ref="I14:M14" si="7">I3+I11+I12</f>
        <v>83250</v>
      </c>
      <c r="J14" s="9">
        <f t="shared" si="7"/>
        <v>98506.6</v>
      </c>
      <c r="K14" s="9">
        <f t="shared" si="7"/>
        <v>108979.8</v>
      </c>
      <c r="L14" s="9">
        <f t="shared" si="7"/>
        <v>120410.36000000002</v>
      </c>
      <c r="M14" s="9">
        <f t="shared" si="7"/>
        <v>676511.3648000001</v>
      </c>
      <c r="O14" s="13" t="s">
        <v>83</v>
      </c>
    </row>
    <row r="15" spans="1:16" x14ac:dyDescent="0.35">
      <c r="O15" t="s">
        <v>82</v>
      </c>
      <c r="P15" s="9">
        <f>B4-B11*(B4-B2)</f>
        <v>315000</v>
      </c>
    </row>
    <row r="16" spans="1:16" x14ac:dyDescent="0.35">
      <c r="O16" t="s">
        <v>85</v>
      </c>
      <c r="P16" s="9">
        <f>B3-SUM(I7:M7)</f>
        <v>281856</v>
      </c>
    </row>
    <row r="17" spans="1:17" x14ac:dyDescent="0.35">
      <c r="O17" t="s">
        <v>84</v>
      </c>
      <c r="P17" s="9">
        <f>B5-$B$11*(B5-P16)</f>
        <v>228649.60000000001</v>
      </c>
    </row>
    <row r="21" spans="1:17" x14ac:dyDescent="0.35">
      <c r="N21" t="s">
        <v>2</v>
      </c>
      <c r="O21" s="9">
        <f>NPV(B12,I14:M14)+H14</f>
        <v>91272.595885775052</v>
      </c>
    </row>
    <row r="22" spans="1:17" x14ac:dyDescent="0.35">
      <c r="N22" t="s">
        <v>109</v>
      </c>
      <c r="O22" s="10">
        <f>IRR(H14:M14)</f>
        <v>0.13773593803282136</v>
      </c>
    </row>
    <row r="23" spans="1:17" x14ac:dyDescent="0.35">
      <c r="N23" t="s">
        <v>110</v>
      </c>
      <c r="O23" s="10">
        <f>MIRR(H14:M14,B12,B12)</f>
        <v>0.12929031307107541</v>
      </c>
    </row>
    <row r="24" spans="1:17" x14ac:dyDescent="0.35">
      <c r="N24" t="s">
        <v>111</v>
      </c>
      <c r="O24" s="9">
        <f>NPV(B12,I14:M14)/-H14</f>
        <v>1.1404193782858079</v>
      </c>
    </row>
    <row r="26" spans="1:17" x14ac:dyDescent="0.35">
      <c r="A26" t="s">
        <v>90</v>
      </c>
      <c r="D26" s="11">
        <f>-50%</f>
        <v>-0.5</v>
      </c>
      <c r="E26" s="11">
        <v>-0.4</v>
      </c>
      <c r="F26" s="11">
        <v>-0.3</v>
      </c>
      <c r="G26" s="11">
        <v>-0.2</v>
      </c>
      <c r="H26" s="11">
        <v>-0.1</v>
      </c>
      <c r="I26" s="11">
        <v>0</v>
      </c>
      <c r="J26" s="11">
        <v>0.1</v>
      </c>
      <c r="K26" s="11">
        <v>0.2</v>
      </c>
      <c r="L26" s="11">
        <v>0.3</v>
      </c>
      <c r="M26" s="11">
        <v>0.4</v>
      </c>
      <c r="N26" s="11">
        <v>0.5</v>
      </c>
    </row>
    <row r="27" spans="1:17" x14ac:dyDescent="0.35">
      <c r="C27" s="9">
        <f>O21</f>
        <v>91272.595885775052</v>
      </c>
      <c r="D27">
        <f t="dataTable" ref="D27:N27" dt2D="0" dtr="1" r1="E4"/>
        <v>20642.795387796243</v>
      </c>
      <c r="E27">
        <v>34768.755487391958</v>
      </c>
      <c r="F27">
        <v>48894.71558698779</v>
      </c>
      <c r="G27">
        <v>63020.675686583621</v>
      </c>
      <c r="H27">
        <v>77146.635786179337</v>
      </c>
      <c r="I27">
        <v>91272.595885775052</v>
      </c>
      <c r="J27">
        <v>105398.55598537088</v>
      </c>
      <c r="K27">
        <v>119524.51608496672</v>
      </c>
      <c r="L27">
        <v>133650.47618456243</v>
      </c>
      <c r="M27">
        <v>147776.43628415815</v>
      </c>
      <c r="N27">
        <v>161902.39638375398</v>
      </c>
    </row>
    <row r="29" spans="1:17" x14ac:dyDescent="0.35">
      <c r="A29" t="s">
        <v>91</v>
      </c>
      <c r="D29" s="11">
        <f>-50%</f>
        <v>-0.5</v>
      </c>
      <c r="E29" s="11">
        <v>-0.4</v>
      </c>
      <c r="F29" s="11">
        <v>-0.3</v>
      </c>
      <c r="G29" s="11">
        <v>-0.2</v>
      </c>
      <c r="H29" s="11">
        <v>-0.1</v>
      </c>
      <c r="I29" s="11">
        <v>0</v>
      </c>
      <c r="J29" s="11">
        <v>0.1</v>
      </c>
      <c r="K29" s="11">
        <v>0.2</v>
      </c>
      <c r="L29" s="11">
        <v>0.3</v>
      </c>
      <c r="M29" s="11">
        <v>0.4</v>
      </c>
      <c r="N29" s="11">
        <v>0.5</v>
      </c>
    </row>
    <row r="30" spans="1:17" x14ac:dyDescent="0.35">
      <c r="C30" s="9">
        <f>O21</f>
        <v>91272.595885775052</v>
      </c>
      <c r="D30">
        <f t="dataTable" ref="D30:N30" dt2D="0" dtr="1" r1="E5" ca="1"/>
        <v>50912.709886929952</v>
      </c>
      <c r="E30">
        <v>58984.687086699065</v>
      </c>
      <c r="F30">
        <v>67056.664286468062</v>
      </c>
      <c r="G30">
        <v>75128.641486237058</v>
      </c>
      <c r="H30">
        <v>83200.618686006055</v>
      </c>
      <c r="I30">
        <v>91272.595885775052</v>
      </c>
      <c r="J30">
        <v>99344.573085544049</v>
      </c>
      <c r="K30">
        <v>107416.55028531316</v>
      </c>
      <c r="L30">
        <v>115488.52748508204</v>
      </c>
      <c r="M30">
        <v>123560.50468485116</v>
      </c>
      <c r="N30">
        <v>131632.48188462015</v>
      </c>
    </row>
    <row r="32" spans="1:17" x14ac:dyDescent="0.35">
      <c r="D32" s="11">
        <f>-50%</f>
        <v>-0.5</v>
      </c>
      <c r="E32" s="11">
        <v>-0.4</v>
      </c>
      <c r="F32" s="11">
        <v>-0.3</v>
      </c>
      <c r="G32" s="11">
        <v>-0.2</v>
      </c>
      <c r="H32" s="11">
        <v>-0.1</v>
      </c>
      <c r="I32" s="11">
        <v>0</v>
      </c>
      <c r="J32" s="11">
        <v>0.1</v>
      </c>
      <c r="K32" s="11">
        <v>0.2</v>
      </c>
      <c r="L32" s="11">
        <v>0.3</v>
      </c>
      <c r="M32" s="11">
        <v>0.4</v>
      </c>
      <c r="N32" s="11">
        <v>0.5</v>
      </c>
      <c r="O32" s="12" t="s">
        <v>81</v>
      </c>
      <c r="P32" s="12"/>
      <c r="Q32" s="12"/>
    </row>
    <row r="33" spans="3:21" x14ac:dyDescent="0.35">
      <c r="C33" s="9">
        <f>O21</f>
        <v>91272.595885775052</v>
      </c>
      <c r="D33">
        <f t="dataTable" ref="D33:N33" dt2D="0" dtr="1" r1="E6" ca="1"/>
        <v>-193631.72038671002</v>
      </c>
      <c r="E33">
        <v>-136650.85713221296</v>
      </c>
      <c r="F33">
        <v>-79669.993877715897</v>
      </c>
      <c r="G33">
        <v>-22689.130623218836</v>
      </c>
      <c r="H33">
        <v>34291.732631278108</v>
      </c>
      <c r="I33">
        <v>91272.595885775052</v>
      </c>
      <c r="J33">
        <v>148253.45914027223</v>
      </c>
      <c r="K33">
        <v>205234.32239476917</v>
      </c>
      <c r="L33">
        <v>262215.18564926623</v>
      </c>
      <c r="M33">
        <v>319196.04890376318</v>
      </c>
      <c r="N33">
        <v>376176.91215826024</v>
      </c>
    </row>
    <row r="34" spans="3:21" x14ac:dyDescent="0.35">
      <c r="O34" t="s">
        <v>66</v>
      </c>
      <c r="P34" t="s">
        <v>67</v>
      </c>
      <c r="Q34" t="s">
        <v>68</v>
      </c>
      <c r="R34" t="s">
        <v>69</v>
      </c>
      <c r="S34" t="s">
        <v>70</v>
      </c>
      <c r="T34" t="s">
        <v>71</v>
      </c>
      <c r="U34" t="s">
        <v>72</v>
      </c>
    </row>
    <row r="35" spans="3:21" x14ac:dyDescent="0.35">
      <c r="D35" s="11">
        <f>-50%</f>
        <v>-0.5</v>
      </c>
      <c r="E35" s="11">
        <v>-0.4</v>
      </c>
      <c r="F35" s="11">
        <v>-0.3</v>
      </c>
      <c r="G35" s="11">
        <v>-0.2</v>
      </c>
      <c r="H35" s="11">
        <v>-0.1</v>
      </c>
      <c r="I35" s="11">
        <v>0</v>
      </c>
      <c r="J35" s="11">
        <v>0.1</v>
      </c>
      <c r="K35" s="11">
        <v>0.2</v>
      </c>
      <c r="L35" s="11">
        <v>0.3</v>
      </c>
      <c r="M35" s="11">
        <v>0.4</v>
      </c>
      <c r="N35" s="11">
        <v>0.5</v>
      </c>
      <c r="O35">
        <v>1</v>
      </c>
      <c r="P35">
        <v>33.33</v>
      </c>
      <c r="Q35">
        <v>20</v>
      </c>
      <c r="R35">
        <v>14.29</v>
      </c>
      <c r="S35">
        <v>10</v>
      </c>
      <c r="T35">
        <v>5</v>
      </c>
      <c r="U35">
        <v>3.75</v>
      </c>
    </row>
    <row r="36" spans="3:21" x14ac:dyDescent="0.35">
      <c r="C36" s="9">
        <f>O21</f>
        <v>91272.595885775052</v>
      </c>
      <c r="D36">
        <f t="dataTable" ref="D36:N36" dt2D="0" dtr="1" r1="E9" ca="1"/>
        <v>189833.05189039465</v>
      </c>
      <c r="E36">
        <v>170120.96068947087</v>
      </c>
      <c r="F36">
        <v>150408.86948854686</v>
      </c>
      <c r="G36">
        <v>130696.77828762296</v>
      </c>
      <c r="H36">
        <v>110984.68708669895</v>
      </c>
      <c r="I36">
        <v>91272.595885775052</v>
      </c>
      <c r="J36">
        <v>71560.504684851039</v>
      </c>
      <c r="K36">
        <v>51848.413483927143</v>
      </c>
      <c r="L36">
        <v>32136.322283003246</v>
      </c>
      <c r="M36">
        <v>12424.23108207935</v>
      </c>
      <c r="N36">
        <v>-7287.8601188445464</v>
      </c>
      <c r="O36">
        <v>2</v>
      </c>
      <c r="P36">
        <v>44.45</v>
      </c>
      <c r="Q36">
        <v>32</v>
      </c>
      <c r="R36">
        <v>24.49</v>
      </c>
      <c r="S36">
        <v>18</v>
      </c>
      <c r="T36">
        <v>9.5</v>
      </c>
      <c r="U36">
        <v>7.2190000000000003</v>
      </c>
    </row>
    <row r="37" spans="3:21" x14ac:dyDescent="0.35">
      <c r="O37">
        <v>3</v>
      </c>
      <c r="P37" t="s">
        <v>73</v>
      </c>
      <c r="Q37">
        <v>19.2</v>
      </c>
      <c r="R37">
        <v>17.489999999999998</v>
      </c>
      <c r="S37">
        <v>14.4</v>
      </c>
      <c r="T37">
        <v>8.5500000000000007</v>
      </c>
      <c r="U37">
        <v>6.6769999999999996</v>
      </c>
    </row>
    <row r="38" spans="3:21" x14ac:dyDescent="0.35">
      <c r="D38" s="11">
        <f>-50%</f>
        <v>-0.5</v>
      </c>
      <c r="E38" s="11">
        <v>-0.4</v>
      </c>
      <c r="F38" s="11">
        <v>-0.3</v>
      </c>
      <c r="G38" s="11">
        <v>-0.2</v>
      </c>
      <c r="H38" s="11">
        <v>-0.1</v>
      </c>
      <c r="I38" s="11">
        <v>0</v>
      </c>
      <c r="J38" s="11">
        <v>0.1</v>
      </c>
      <c r="K38" s="11">
        <v>0.2</v>
      </c>
      <c r="L38" s="11">
        <v>0.3</v>
      </c>
      <c r="M38" s="11">
        <v>0.4</v>
      </c>
      <c r="N38" s="11">
        <v>0.5</v>
      </c>
      <c r="O38">
        <v>4</v>
      </c>
      <c r="P38">
        <v>7.41</v>
      </c>
      <c r="Q38" t="s">
        <v>74</v>
      </c>
      <c r="R38">
        <v>12.49</v>
      </c>
      <c r="S38">
        <v>11.52</v>
      </c>
      <c r="T38">
        <v>7.7</v>
      </c>
      <c r="U38">
        <v>6.1769999999999996</v>
      </c>
    </row>
    <row r="39" spans="3:21" x14ac:dyDescent="0.35">
      <c r="C39" s="9">
        <f>O21</f>
        <v>91272.595885775052</v>
      </c>
      <c r="D39">
        <f t="dataTable" ref="D39:N39" dt2D="0" dtr="1" r1="E10" ca="1"/>
        <v>518629.07029450266</v>
      </c>
      <c r="E39">
        <v>433157.77541275718</v>
      </c>
      <c r="F39">
        <v>347686.48053101148</v>
      </c>
      <c r="G39">
        <v>262215.18564926623</v>
      </c>
      <c r="H39">
        <v>176743.89076752053</v>
      </c>
      <c r="I39">
        <v>91272.595885775052</v>
      </c>
      <c r="J39">
        <v>5801.3010040295776</v>
      </c>
      <c r="K39">
        <v>-79669.993877715897</v>
      </c>
      <c r="L39">
        <v>-165141.28875946143</v>
      </c>
      <c r="M39">
        <v>-250612.58364120702</v>
      </c>
      <c r="N39">
        <v>-336083.87852295244</v>
      </c>
      <c r="O39">
        <v>5</v>
      </c>
      <c r="Q39">
        <v>11.52</v>
      </c>
      <c r="R39" t="s">
        <v>75</v>
      </c>
      <c r="S39">
        <v>9.2200000000000006</v>
      </c>
      <c r="T39">
        <v>6.93</v>
      </c>
      <c r="U39">
        <v>5.7130000000000001</v>
      </c>
    </row>
    <row r="43" spans="3:21" x14ac:dyDescent="0.35">
      <c r="P43">
        <v>3.75</v>
      </c>
      <c r="Q43">
        <v>7.2190000000000003</v>
      </c>
      <c r="R43">
        <v>6.6769999999999996</v>
      </c>
      <c r="S43">
        <v>6.1769999999999996</v>
      </c>
      <c r="T43">
        <v>5.7130000000000001</v>
      </c>
    </row>
  </sheetData>
  <scenarios current="0" sqref="O21:O24">
    <scenario name="Best case" locked="1" count="3" user="Sankari Ravipati" comment="Created by Sankari Ravipati on 9/26/2023">
      <inputCells r="D6" val="275000"/>
      <inputCells r="B7" val="2.75"/>
      <inputCells r="B8" val="0.1" numFmtId="9"/>
    </scenario>
    <scenario name="Worst case" locked="1" count="3" user="Sankari Ravipati" comment="Created by Sankari Ravipati on 9/26/2023">
      <inputCells r="D6" val="125000"/>
      <inputCells r="B7" val="2"/>
      <inputCells r="B8" val="0" numFmtId="9"/>
    </scenario>
  </scenarios>
  <mergeCells count="1">
    <mergeCell ref="O32:Q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A391-E272-4404-A953-028855671E68}">
  <sheetPr>
    <outlinePr summaryBelow="0"/>
  </sheetPr>
  <dimension ref="B1:F25"/>
  <sheetViews>
    <sheetView showGridLines="0" workbookViewId="0">
      <selection activeCell="F31" sqref="F31"/>
    </sheetView>
  </sheetViews>
  <sheetFormatPr defaultRowHeight="14.5" outlineLevelRow="1" outlineLevelCol="1" x14ac:dyDescent="0.35"/>
  <cols>
    <col min="3" max="3" width="17.453125" customWidth="1"/>
    <col min="4" max="4" width="18.1796875" bestFit="1" customWidth="1" outlineLevel="1"/>
    <col min="5" max="6" width="12.7265625" bestFit="1" customWidth="1" outlineLevel="1"/>
  </cols>
  <sheetData>
    <row r="1" spans="2:6" ht="15" thickBot="1" x14ac:dyDescent="0.4"/>
    <row r="2" spans="2:6" ht="15.5" x14ac:dyDescent="0.35">
      <c r="B2" s="19" t="s">
        <v>102</v>
      </c>
      <c r="C2" s="19"/>
      <c r="D2" s="24"/>
      <c r="E2" s="24"/>
      <c r="F2" s="24"/>
    </row>
    <row r="3" spans="2:6" ht="15.5" collapsed="1" x14ac:dyDescent="0.35">
      <c r="B3" s="18"/>
      <c r="C3" s="18"/>
      <c r="D3" s="25" t="s">
        <v>104</v>
      </c>
      <c r="E3" s="25" t="s">
        <v>99</v>
      </c>
      <c r="F3" s="25" t="s">
        <v>101</v>
      </c>
    </row>
    <row r="4" spans="2:6" ht="31.5" hidden="1" outlineLevel="1" x14ac:dyDescent="0.35">
      <c r="B4" s="21"/>
      <c r="C4" s="21"/>
      <c r="D4" s="14"/>
      <c r="E4" s="28" t="s">
        <v>100</v>
      </c>
      <c r="F4" s="28" t="s">
        <v>100</v>
      </c>
    </row>
    <row r="5" spans="2:6" x14ac:dyDescent="0.35">
      <c r="B5" s="22" t="s">
        <v>103</v>
      </c>
      <c r="C5" s="22"/>
      <c r="D5" s="20"/>
      <c r="E5" s="20"/>
      <c r="F5" s="20"/>
    </row>
    <row r="6" spans="2:6" outlineLevel="1" x14ac:dyDescent="0.35">
      <c r="B6" s="21"/>
      <c r="C6" s="21" t="s">
        <v>92</v>
      </c>
      <c r="D6" s="14">
        <v>200000</v>
      </c>
      <c r="E6" s="26">
        <v>275000</v>
      </c>
      <c r="F6" s="26">
        <v>125000</v>
      </c>
    </row>
    <row r="7" spans="2:6" outlineLevel="1" x14ac:dyDescent="0.35">
      <c r="B7" s="21"/>
      <c r="C7" s="21" t="s">
        <v>93</v>
      </c>
      <c r="D7" s="14">
        <v>2.5</v>
      </c>
      <c r="E7" s="26">
        <v>2.75</v>
      </c>
      <c r="F7" s="26">
        <v>2</v>
      </c>
    </row>
    <row r="8" spans="2:6" outlineLevel="1" x14ac:dyDescent="0.35">
      <c r="B8" s="21"/>
      <c r="C8" s="21" t="s">
        <v>94</v>
      </c>
      <c r="D8" s="15">
        <v>0.08</v>
      </c>
      <c r="E8" s="27">
        <v>0.1</v>
      </c>
      <c r="F8" s="27">
        <v>0</v>
      </c>
    </row>
    <row r="9" spans="2:6" x14ac:dyDescent="0.35">
      <c r="B9" s="22" t="s">
        <v>105</v>
      </c>
      <c r="C9" s="22"/>
      <c r="D9" s="20"/>
      <c r="E9" s="20"/>
      <c r="F9" s="20"/>
    </row>
    <row r="10" spans="2:6" outlineLevel="1" x14ac:dyDescent="0.35">
      <c r="B10" s="21"/>
      <c r="C10" s="21" t="s">
        <v>95</v>
      </c>
      <c r="D10" s="16">
        <v>91272.595885775096</v>
      </c>
      <c r="E10" s="16">
        <v>415213.96334080503</v>
      </c>
      <c r="F10" s="16">
        <v>-232134.896647646</v>
      </c>
    </row>
    <row r="11" spans="2:6" outlineLevel="1" x14ac:dyDescent="0.35">
      <c r="B11" s="21"/>
      <c r="C11" s="21" t="s">
        <v>96</v>
      </c>
      <c r="D11" s="15">
        <v>0.137735938032821</v>
      </c>
      <c r="E11" s="15">
        <v>0.26634055562306602</v>
      </c>
      <c r="F11" s="15">
        <v>4.4408920985006301E-16</v>
      </c>
    </row>
    <row r="12" spans="2:6" outlineLevel="1" x14ac:dyDescent="0.35">
      <c r="B12" s="21"/>
      <c r="C12" s="21" t="s">
        <v>97</v>
      </c>
      <c r="D12" s="15">
        <v>0.129290313071075</v>
      </c>
      <c r="E12" s="15">
        <v>0.21422000534130001</v>
      </c>
      <c r="F12" s="15">
        <v>6.9716289071139999E-3</v>
      </c>
    </row>
    <row r="13" spans="2:6" ht="15" outlineLevel="1" thickBot="1" x14ac:dyDescent="0.4">
      <c r="B13" s="23"/>
      <c r="C13" s="23" t="s">
        <v>98</v>
      </c>
      <c r="D13" s="17">
        <v>1.1404193782858101</v>
      </c>
      <c r="E13" s="17">
        <v>1.6387907128320101</v>
      </c>
      <c r="F13" s="17">
        <v>0.64286938977285202</v>
      </c>
    </row>
    <row r="14" spans="2:6" x14ac:dyDescent="0.35">
      <c r="B14" t="s">
        <v>106</v>
      </c>
    </row>
    <row r="15" spans="2:6" x14ac:dyDescent="0.35">
      <c r="B15" t="s">
        <v>107</v>
      </c>
    </row>
    <row r="16" spans="2:6" x14ac:dyDescent="0.35">
      <c r="B16" t="s">
        <v>108</v>
      </c>
    </row>
    <row r="21" spans="3:6" x14ac:dyDescent="0.35">
      <c r="C21" t="s">
        <v>112</v>
      </c>
      <c r="D21" s="10">
        <v>0.8</v>
      </c>
      <c r="E21" s="10">
        <v>0.1</v>
      </c>
      <c r="F21" s="10">
        <v>0.1</v>
      </c>
    </row>
    <row r="22" spans="3:6" x14ac:dyDescent="0.35">
      <c r="C22" t="s">
        <v>113</v>
      </c>
      <c r="D22" s="9" cm="1">
        <f t="array" ref="D22">SUM(D21:F21*D10:F10)</f>
        <v>91325.983377935976</v>
      </c>
    </row>
    <row r="23" spans="3:6" x14ac:dyDescent="0.35">
      <c r="C23" t="s">
        <v>114</v>
      </c>
      <c r="D23" s="9" cm="1">
        <f t="array" ref="D23">SUM(D21:F21*(D10:F10-D22)^2)</f>
        <v>20953038727.314636</v>
      </c>
    </row>
    <row r="24" spans="3:6" x14ac:dyDescent="0.35">
      <c r="C24" t="s">
        <v>115</v>
      </c>
      <c r="D24">
        <f>SQRT(D23)</f>
        <v>144751.64499001257</v>
      </c>
    </row>
    <row r="25" spans="3:6" x14ac:dyDescent="0.35">
      <c r="C25" t="s">
        <v>116</v>
      </c>
      <c r="D25" s="29">
        <f>_xlfn.NORM.S.DIST((0-D22)/D24,TRUE)</f>
        <v>0.26404805336866338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D48A-309F-4669-A0B8-F398C0DB4E0E}">
  <dimension ref="A1"/>
  <sheetViews>
    <sheetView workbookViewId="0">
      <selection activeCell="A7" sqref="A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Replacement project</vt:lpstr>
      <vt:lpstr>Capital </vt:lpstr>
      <vt:lpstr>Sheet3</vt:lpstr>
      <vt:lpstr>Expansion project</vt:lpstr>
      <vt:lpstr>Scenario Summary</vt:lpstr>
      <vt:lpstr>expansion project diagram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 Meng</dc:creator>
  <cp:lastModifiedBy>Siva Sankari Ravipati</cp:lastModifiedBy>
  <dcterms:created xsi:type="dcterms:W3CDTF">2015-06-05T18:17:20Z</dcterms:created>
  <dcterms:modified xsi:type="dcterms:W3CDTF">2023-09-30T04:05:36Z</dcterms:modified>
</cp:coreProperties>
</file>