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-150" windowWidth="13845" windowHeight="9225"/>
  </bookViews>
  <sheets>
    <sheet name="closed truck" sheetId="4" r:id="rId1"/>
    <sheet name="container" sheetId="3" r:id="rId2"/>
    <sheet name="Sheet1" sheetId="5" r:id="rId3"/>
  </sheets>
  <calcPr calcId="124519"/>
</workbook>
</file>

<file path=xl/calcChain.xml><?xml version="1.0" encoding="utf-8"?>
<calcChain xmlns="http://schemas.openxmlformats.org/spreadsheetml/2006/main">
  <c r="G7" i="4"/>
  <c r="G8" s="1"/>
  <c r="H7"/>
  <c r="I7"/>
  <c r="I8" s="1"/>
  <c r="J7"/>
  <c r="K7"/>
  <c r="K8" s="1"/>
  <c r="H8"/>
  <c r="J8"/>
  <c r="G10"/>
  <c r="H10"/>
  <c r="I10"/>
  <c r="J10"/>
  <c r="K10"/>
  <c r="G11"/>
  <c r="H11"/>
  <c r="H17" s="1"/>
  <c r="I11"/>
  <c r="I17" s="1"/>
  <c r="J11"/>
  <c r="K11"/>
  <c r="G12"/>
  <c r="G17" s="1"/>
  <c r="H12"/>
  <c r="I12"/>
  <c r="J12"/>
  <c r="K12"/>
  <c r="K17" s="1"/>
  <c r="J17"/>
  <c r="J18" s="1"/>
  <c r="G19"/>
  <c r="H19"/>
  <c r="I19"/>
  <c r="J19"/>
  <c r="K19"/>
  <c r="G21"/>
  <c r="G26" s="1"/>
  <c r="H21"/>
  <c r="I21"/>
  <c r="I26" s="1"/>
  <c r="J21"/>
  <c r="K21"/>
  <c r="K26" s="1"/>
  <c r="H26"/>
  <c r="H27" s="1"/>
  <c r="J26"/>
  <c r="J29" s="1"/>
  <c r="J36" s="1"/>
  <c r="H28"/>
  <c r="H30"/>
  <c r="J30"/>
  <c r="G34"/>
  <c r="H34"/>
  <c r="I34"/>
  <c r="J34"/>
  <c r="K34"/>
  <c r="G42"/>
  <c r="H42"/>
  <c r="I42"/>
  <c r="J42"/>
  <c r="K42"/>
  <c r="H44"/>
  <c r="J44"/>
  <c r="H7" i="3"/>
  <c r="G8"/>
  <c r="H8"/>
  <c r="G10"/>
  <c r="H10"/>
  <c r="G18"/>
  <c r="H18"/>
  <c r="H19" s="1"/>
  <c r="G19"/>
  <c r="G20"/>
  <c r="H20"/>
  <c r="G22"/>
  <c r="G28" s="1"/>
  <c r="G34" s="1"/>
  <c r="H22"/>
  <c r="H28"/>
  <c r="G31"/>
  <c r="G32"/>
  <c r="H32"/>
  <c r="G33"/>
  <c r="H34"/>
  <c r="G39"/>
  <c r="G40"/>
  <c r="H40"/>
  <c r="G41"/>
  <c r="H42"/>
  <c r="C3" i="5"/>
  <c r="D3"/>
  <c r="E3"/>
  <c r="F3"/>
  <c r="G3"/>
  <c r="H3"/>
  <c r="G42" i="3" l="1"/>
  <c r="G35"/>
  <c r="G36" s="1"/>
  <c r="G37"/>
  <c r="G38" s="1"/>
  <c r="H33"/>
  <c r="H35" s="1"/>
  <c r="H36" s="1"/>
  <c r="H41"/>
  <c r="H43" s="1"/>
  <c r="H44" s="1"/>
  <c r="G28" i="4"/>
  <c r="G27"/>
  <c r="G30"/>
  <c r="G44" s="1"/>
  <c r="G29"/>
  <c r="G36" s="1"/>
  <c r="K18"/>
  <c r="K33"/>
  <c r="K41"/>
  <c r="K47" s="1"/>
  <c r="K48" s="1"/>
  <c r="G18"/>
  <c r="G33"/>
  <c r="G41"/>
  <c r="I30"/>
  <c r="I44" s="1"/>
  <c r="I29"/>
  <c r="I36" s="1"/>
  <c r="I28"/>
  <c r="I27"/>
  <c r="J35"/>
  <c r="J37" s="1"/>
  <c r="J38" s="1"/>
  <c r="J43"/>
  <c r="J45" s="1"/>
  <c r="J46" s="1"/>
  <c r="I18"/>
  <c r="I33"/>
  <c r="I41"/>
  <c r="I47" s="1"/>
  <c r="I48" s="1"/>
  <c r="K28"/>
  <c r="K27"/>
  <c r="K30"/>
  <c r="K44" s="1"/>
  <c r="K29"/>
  <c r="K36" s="1"/>
  <c r="H18"/>
  <c r="H33"/>
  <c r="H41"/>
  <c r="H47" s="1"/>
  <c r="H48" s="1"/>
  <c r="J41"/>
  <c r="J47" s="1"/>
  <c r="J48" s="1"/>
  <c r="J33"/>
  <c r="J39" s="1"/>
  <c r="J40" s="1"/>
  <c r="H29"/>
  <c r="H36" s="1"/>
  <c r="J27"/>
  <c r="H39" i="3"/>
  <c r="H45" s="1"/>
  <c r="H46" s="1"/>
  <c r="H31"/>
  <c r="H37" s="1"/>
  <c r="H38" s="1"/>
  <c r="J28" i="4"/>
  <c r="H35" l="1"/>
  <c r="H37" s="1"/>
  <c r="H38" s="1"/>
  <c r="H43"/>
  <c r="H45" s="1"/>
  <c r="H46" s="1"/>
  <c r="G35"/>
  <c r="G37" s="1"/>
  <c r="G38" s="1"/>
  <c r="G43"/>
  <c r="G45" s="1"/>
  <c r="G46" s="1"/>
  <c r="G43" i="3"/>
  <c r="G44" s="1"/>
  <c r="G45"/>
  <c r="G46" s="1"/>
  <c r="I35" i="4"/>
  <c r="I37" s="1"/>
  <c r="I38" s="1"/>
  <c r="I43"/>
  <c r="I45" s="1"/>
  <c r="I46" s="1"/>
  <c r="K35"/>
  <c r="K37" s="1"/>
  <c r="K38" s="1"/>
  <c r="K43"/>
  <c r="K45" s="1"/>
  <c r="K46" s="1"/>
  <c r="H39"/>
  <c r="H40" s="1"/>
  <c r="G39"/>
  <c r="G40" s="1"/>
  <c r="I39"/>
  <c r="I40" s="1"/>
  <c r="G47"/>
  <c r="G48" s="1"/>
  <c r="K39"/>
  <c r="K40" s="1"/>
</calcChain>
</file>

<file path=xl/comments1.xml><?xml version="1.0" encoding="utf-8"?>
<comments xmlns="http://schemas.openxmlformats.org/spreadsheetml/2006/main">
  <authors>
    <author>334511</author>
  </authors>
  <commentList>
    <comment ref="D12" authorId="0">
      <text>
        <r>
          <rPr>
            <b/>
            <sz val="9"/>
            <color indexed="81"/>
            <rFont val="Tahoma"/>
            <family val="2"/>
          </rPr>
          <t>334511:</t>
        </r>
        <r>
          <rPr>
            <sz val="9"/>
            <color indexed="81"/>
            <rFont val="Tahoma"/>
            <family val="2"/>
          </rPr>
          <t xml:space="preserve">
2009</t>
        </r>
        <r>
          <rPr>
            <sz val="9"/>
            <color indexed="81"/>
            <rFont val="宋体"/>
            <charset val="134"/>
          </rPr>
          <t>年国家取消了此项收费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334511:</t>
        </r>
        <r>
          <rPr>
            <sz val="9"/>
            <color indexed="81"/>
            <rFont val="Tahoma"/>
            <family val="2"/>
          </rPr>
          <t xml:space="preserve">
2012</t>
        </r>
        <r>
          <rPr>
            <sz val="9"/>
            <color indexed="81"/>
            <rFont val="宋体"/>
            <charset val="134"/>
          </rPr>
          <t>年</t>
        </r>
        <r>
          <rPr>
            <sz val="9"/>
            <color indexed="81"/>
            <rFont val="Tahoma"/>
            <family val="2"/>
          </rPr>
          <t>0#</t>
        </r>
        <r>
          <rPr>
            <sz val="9"/>
            <color indexed="81"/>
            <rFont val="宋体"/>
            <charset val="134"/>
          </rPr>
          <t>柴油</t>
        </r>
        <r>
          <rPr>
            <sz val="9"/>
            <color indexed="81"/>
            <rFont val="Tahoma"/>
            <family val="2"/>
          </rPr>
          <t>7500</t>
        </r>
        <r>
          <rPr>
            <sz val="9"/>
            <color indexed="81"/>
            <rFont val="宋体"/>
            <charset val="134"/>
          </rPr>
          <t>元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charset val="134"/>
          </rPr>
          <t>吨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334511: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车的理论技术耗油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334511: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以深圳</t>
        </r>
        <r>
          <rPr>
            <sz val="9"/>
            <color indexed="81"/>
            <rFont val="Tahoma"/>
            <family val="2"/>
          </rPr>
          <t>--</t>
        </r>
        <r>
          <rPr>
            <sz val="9"/>
            <color indexed="81"/>
            <rFont val="宋体"/>
            <charset val="134"/>
          </rPr>
          <t>上海为例</t>
        </r>
      </text>
    </comment>
  </commentList>
</comments>
</file>

<file path=xl/sharedStrings.xml><?xml version="1.0" encoding="utf-8"?>
<sst xmlns="http://schemas.openxmlformats.org/spreadsheetml/2006/main" count="230" uniqueCount="98">
  <si>
    <t>车型</t>
    <phoneticPr fontId="1" type="noConversion"/>
  </si>
  <si>
    <t>全封闭厢车成本组成表</t>
    <phoneticPr fontId="1" type="noConversion"/>
  </si>
  <si>
    <t>车辆折旧(元)</t>
  </si>
  <si>
    <t>基本参数</t>
    <phoneticPr fontId="1" type="noConversion"/>
  </si>
  <si>
    <t>国产东风平均价格(包括购置税)</t>
    <phoneticPr fontId="1" type="noConversion"/>
  </si>
  <si>
    <t>车厢长</t>
    <phoneticPr fontId="1" type="noConversion"/>
  </si>
  <si>
    <t>理论体积</t>
    <phoneticPr fontId="1" type="noConversion"/>
  </si>
  <si>
    <t>一般最大实际装载体积</t>
    <phoneticPr fontId="1" type="noConversion"/>
  </si>
  <si>
    <t>验车费:</t>
    <phoneticPr fontId="1" type="noConversion"/>
  </si>
  <si>
    <t>元/KM</t>
  </si>
  <si>
    <t>过路过桥费</t>
  </si>
  <si>
    <t>元/月</t>
    <phoneticPr fontId="1" type="noConversion"/>
  </si>
  <si>
    <t>合计变动费用</t>
    <phoneticPr fontId="1" type="noConversion"/>
  </si>
  <si>
    <t>变动成本</t>
    <phoneticPr fontId="1" type="noConversion"/>
  </si>
  <si>
    <t>合计固定费用(不含折旧)</t>
    <phoneticPr fontId="1" type="noConversion"/>
  </si>
  <si>
    <t>除折旧外所有费用</t>
    <phoneticPr fontId="1" type="noConversion"/>
  </si>
  <si>
    <t>车辆折旧</t>
    <phoneticPr fontId="1" type="noConversion"/>
  </si>
  <si>
    <t>核定载重</t>
    <phoneticPr fontId="1" type="noConversion"/>
  </si>
  <si>
    <t>吨</t>
    <phoneticPr fontId="1" type="noConversion"/>
  </si>
  <si>
    <t>M3</t>
    <phoneticPr fontId="1" type="noConversion"/>
  </si>
  <si>
    <t>最大载重(平均超载35%)</t>
    <phoneticPr fontId="1" type="noConversion"/>
  </si>
  <si>
    <t>合计固定费用(按5年折旧)</t>
    <phoneticPr fontId="1" type="noConversion"/>
  </si>
  <si>
    <t>固定成本(1)</t>
    <phoneticPr fontId="1" type="noConversion"/>
  </si>
  <si>
    <t>固定成本(2)(按年限折旧)</t>
    <phoneticPr fontId="1" type="noConversion"/>
  </si>
  <si>
    <t xml:space="preserve">重泡货比率为: </t>
    <phoneticPr fontId="1" type="noConversion"/>
  </si>
  <si>
    <t>承运人管理费+利润约为:10--15%</t>
    <phoneticPr fontId="1" type="noConversion"/>
  </si>
  <si>
    <t>备注:</t>
    <phoneticPr fontId="1" type="noConversion"/>
  </si>
  <si>
    <t>1吨=3立方米</t>
    <phoneticPr fontId="1" type="noConversion"/>
  </si>
  <si>
    <t>人工</t>
    <phoneticPr fontId="1" type="noConversion"/>
  </si>
  <si>
    <t>配件</t>
    <phoneticPr fontId="1" type="noConversion"/>
  </si>
  <si>
    <t>维修保养费</t>
    <phoneticPr fontId="1" type="noConversion"/>
  </si>
  <si>
    <t>承运人管理费+利润约为:10%--15%</t>
    <phoneticPr fontId="1" type="noConversion"/>
  </si>
  <si>
    <t>40'</t>
    <phoneticPr fontId="1" type="noConversion"/>
  </si>
  <si>
    <t xml:space="preserve"> 高,宽</t>
    <phoneticPr fontId="1" type="noConversion"/>
  </si>
  <si>
    <t>高,宽</t>
    <phoneticPr fontId="1" type="noConversion"/>
  </si>
  <si>
    <t>最大载重</t>
    <phoneticPr fontId="1" type="noConversion"/>
  </si>
  <si>
    <t>20'X2</t>
    <phoneticPr fontId="1" type="noConversion"/>
  </si>
  <si>
    <t>元/车/KM</t>
    <phoneticPr fontId="1" type="noConversion"/>
  </si>
  <si>
    <t>元/KM</t>
    <phoneticPr fontId="1" type="noConversion"/>
  </si>
  <si>
    <t>理论立方成本</t>
    <phoneticPr fontId="1" type="noConversion"/>
  </si>
  <si>
    <t>元/KM/CBM</t>
    <phoneticPr fontId="1" type="noConversion"/>
  </si>
  <si>
    <t>理论吨成本</t>
    <phoneticPr fontId="1" type="noConversion"/>
  </si>
  <si>
    <t>元/KM/T</t>
    <phoneticPr fontId="1" type="noConversion"/>
  </si>
  <si>
    <t>集装箱卡车成本组成表</t>
    <phoneticPr fontId="1" type="noConversion"/>
  </si>
  <si>
    <t>单位</t>
    <phoneticPr fontId="1" type="noConversion"/>
  </si>
  <si>
    <t>3T</t>
    <phoneticPr fontId="1" type="noConversion"/>
  </si>
  <si>
    <t>5T</t>
    <phoneticPr fontId="1" type="noConversion"/>
  </si>
  <si>
    <t>8T</t>
    <phoneticPr fontId="1" type="noConversion"/>
  </si>
  <si>
    <t>10T</t>
    <phoneticPr fontId="1" type="noConversion"/>
  </si>
  <si>
    <t>15T</t>
    <phoneticPr fontId="1" type="noConversion"/>
  </si>
  <si>
    <t>元</t>
    <phoneticPr fontId="1" type="noConversion"/>
  </si>
  <si>
    <t>M</t>
    <phoneticPr fontId="1" type="noConversion"/>
  </si>
  <si>
    <t>T</t>
    <phoneticPr fontId="1" type="noConversion"/>
  </si>
  <si>
    <t>成本</t>
    <phoneticPr fontId="1" type="noConversion"/>
  </si>
  <si>
    <t>固定成本</t>
    <phoneticPr fontId="1" type="noConversion"/>
  </si>
  <si>
    <t>车辆折旧(元)</t>
    <phoneticPr fontId="1" type="noConversion"/>
  </si>
  <si>
    <t>车辆保险</t>
    <phoneticPr fontId="1" type="noConversion"/>
  </si>
  <si>
    <t>养路费</t>
    <phoneticPr fontId="1" type="noConversion"/>
  </si>
  <si>
    <t>管杂费</t>
    <phoneticPr fontId="1" type="noConversion"/>
  </si>
  <si>
    <t>1元/天</t>
    <phoneticPr fontId="1" type="noConversion"/>
  </si>
  <si>
    <t>人员费用(工资等)</t>
    <phoneticPr fontId="1" type="noConversion"/>
  </si>
  <si>
    <t>司机通讯费</t>
    <phoneticPr fontId="1" type="noConversion"/>
  </si>
  <si>
    <t>燃油量</t>
    <phoneticPr fontId="1" type="noConversion"/>
  </si>
  <si>
    <t>L/KM</t>
    <phoneticPr fontId="1" type="noConversion"/>
  </si>
  <si>
    <t>燃油费</t>
    <phoneticPr fontId="1" type="noConversion"/>
  </si>
  <si>
    <t>轮胎磨损(国产)</t>
    <phoneticPr fontId="1" type="noConversion"/>
  </si>
  <si>
    <t>实际立方成本</t>
    <phoneticPr fontId="1" type="noConversion"/>
  </si>
  <si>
    <t>最低吨成本</t>
    <phoneticPr fontId="1" type="noConversion"/>
  </si>
  <si>
    <t>成本估算</t>
    <phoneticPr fontId="1" type="noConversion"/>
  </si>
  <si>
    <t>长途:以上海--广州计算(1800公里)(按单程24小时,每月7.5个来回)(合计27000公里/月)</t>
    <phoneticPr fontId="1" type="noConversion"/>
  </si>
  <si>
    <t>rmb/KM / T</t>
    <phoneticPr fontId="1" type="noConversion"/>
  </si>
  <si>
    <t>合计</t>
    <phoneticPr fontId="1" type="noConversion"/>
  </si>
  <si>
    <t>按年折旧</t>
    <phoneticPr fontId="1" type="noConversion"/>
  </si>
  <si>
    <t>rmb/ T</t>
    <phoneticPr fontId="1" type="noConversion"/>
  </si>
  <si>
    <t>按公里折旧</t>
    <phoneticPr fontId="1" type="noConversion"/>
  </si>
  <si>
    <r>
      <t>短途</t>
    </r>
    <r>
      <rPr>
        <sz val="10"/>
        <rFont val="宋体"/>
        <charset val="134"/>
      </rPr>
      <t xml:space="preserve">      :以上海--苏州计算(100公里)(按单程4小时计算,每月15个来回)(合计3000公里/月)</t>
    </r>
    <phoneticPr fontId="1" type="noConversion"/>
  </si>
  <si>
    <t>线路举例计算</t>
    <phoneticPr fontId="1" type="noConversion"/>
  </si>
  <si>
    <t>人员费用(工资/福利等)</t>
    <phoneticPr fontId="1" type="noConversion"/>
  </si>
  <si>
    <t>以上成本基于往返双程配货计算,若为单程,成本将翻倍.</t>
    <phoneticPr fontId="1" type="noConversion"/>
  </si>
  <si>
    <t>陆管所管杂费</t>
    <phoneticPr fontId="1" type="noConversion"/>
  </si>
  <si>
    <t>停车费</t>
    <phoneticPr fontId="1" type="noConversion"/>
  </si>
  <si>
    <t>1吨=2.5立方米</t>
    <phoneticPr fontId="1" type="noConversion"/>
  </si>
  <si>
    <r>
      <t xml:space="preserve">长途 </t>
    </r>
    <r>
      <rPr>
        <sz val="10"/>
        <rFont val="宋体"/>
        <charset val="134"/>
      </rPr>
      <t xml:space="preserve">      :以上海--深圳计算(1800公里)(按单程24小时,每月7.5个来回)(合计27000公里/月)</t>
    </r>
    <phoneticPr fontId="1" type="noConversion"/>
  </si>
  <si>
    <t>油耗</t>
    <phoneticPr fontId="1" type="noConversion"/>
  </si>
  <si>
    <t>（以深圳-上海为例）</t>
    <phoneticPr fontId="1" type="noConversion"/>
  </si>
  <si>
    <t>短途:以广州--深圳计算(100公里)(按单程4小时计算,每月15个来回)(合计3000公里/月)</t>
    <phoneticPr fontId="1" type="noConversion"/>
  </si>
  <si>
    <t>过路桥费</t>
    <phoneticPr fontId="1" type="noConversion"/>
  </si>
  <si>
    <r>
      <t>顺丰</t>
    </r>
    <r>
      <rPr>
        <sz val="10"/>
        <rFont val="宋体"/>
        <charset val="134"/>
      </rPr>
      <t>10T</t>
    </r>
    <r>
      <rPr>
        <sz val="10"/>
        <rFont val="宋体"/>
        <charset val="134"/>
      </rPr>
      <t>为5</t>
    </r>
    <r>
      <rPr>
        <sz val="10"/>
        <rFont val="宋体"/>
        <charset val="134"/>
      </rPr>
      <t>5元</t>
    </r>
    <phoneticPr fontId="1" type="noConversion"/>
  </si>
  <si>
    <t>顺丰10T为2.22元/公里</t>
    <phoneticPr fontId="1" type="noConversion"/>
  </si>
  <si>
    <t>车型</t>
    <phoneticPr fontId="13" type="noConversion"/>
  </si>
  <si>
    <t>40T</t>
    <phoneticPr fontId="13" type="noConversion"/>
  </si>
  <si>
    <t>吨</t>
    <phoneticPr fontId="13" type="noConversion"/>
  </si>
  <si>
    <t>吨位成本</t>
    <phoneticPr fontId="13" type="noConversion"/>
  </si>
  <si>
    <t>元/吨</t>
    <phoneticPr fontId="13" type="noConversion"/>
  </si>
  <si>
    <t>货物成本</t>
    <phoneticPr fontId="13" type="noConversion"/>
  </si>
  <si>
    <t>元/公斤</t>
    <phoneticPr fontId="13" type="noConversion"/>
  </si>
  <si>
    <t>两名司机轮换.工资5000元/人</t>
    <phoneticPr fontId="1" type="noConversion"/>
  </si>
  <si>
    <t>两名司机</t>
    <phoneticPr fontId="1" type="noConversion"/>
  </si>
</sst>
</file>

<file path=xl/styles.xml><?xml version="1.0" encoding="utf-8"?>
<styleSheet xmlns="http://schemas.openxmlformats.org/spreadsheetml/2006/main">
  <numFmts count="4">
    <numFmt numFmtId="192" formatCode="0.000_ "/>
    <numFmt numFmtId="194" formatCode="0.00_ "/>
    <numFmt numFmtId="198" formatCode="0_ "/>
    <numFmt numFmtId="206" formatCode="0.0;_搀"/>
  </numFmts>
  <fonts count="18"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color indexed="12"/>
      <name val="宋体"/>
      <charset val="134"/>
    </font>
    <font>
      <b/>
      <sz val="14"/>
      <name val="宋体"/>
      <charset val="134"/>
    </font>
    <font>
      <b/>
      <sz val="10"/>
      <color indexed="18"/>
      <name val="宋体"/>
      <charset val="134"/>
    </font>
    <font>
      <b/>
      <sz val="10"/>
      <color indexed="17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4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98" fontId="3" fillId="0" borderId="8" xfId="0" applyNumberFormat="1" applyFont="1" applyBorder="1" applyAlignment="1">
      <alignment horizontal="center" vertical="center" wrapText="1"/>
    </xf>
    <xf numFmtId="198" fontId="3" fillId="0" borderId="9" xfId="0" applyNumberFormat="1" applyFont="1" applyBorder="1" applyAlignment="1">
      <alignment horizontal="center" vertical="center" wrapText="1"/>
    </xf>
    <xf numFmtId="206" fontId="3" fillId="0" borderId="10" xfId="0" applyNumberFormat="1" applyFont="1" applyBorder="1" applyAlignment="1">
      <alignment horizontal="center" vertical="center" wrapText="1"/>
    </xf>
    <xf numFmtId="206" fontId="3" fillId="0" borderId="11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98" fontId="3" fillId="0" borderId="12" xfId="0" applyNumberFormat="1" applyFont="1" applyBorder="1" applyAlignment="1">
      <alignment horizontal="center" vertical="center" wrapText="1"/>
    </xf>
    <xf numFmtId="198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98" fontId="2" fillId="0" borderId="8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94" fontId="3" fillId="0" borderId="9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94" fontId="2" fillId="0" borderId="18" xfId="0" applyNumberFormat="1" applyFont="1" applyBorder="1" applyAlignment="1">
      <alignment horizontal="center" vertical="center" wrapText="1"/>
    </xf>
    <xf numFmtId="194" fontId="2" fillId="0" borderId="12" xfId="0" applyNumberFormat="1" applyFont="1" applyBorder="1" applyAlignment="1">
      <alignment horizontal="center" vertical="center" wrapText="1"/>
    </xf>
    <xf numFmtId="194" fontId="2" fillId="0" borderId="13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94" fontId="2" fillId="0" borderId="20" xfId="0" applyNumberFormat="1" applyFont="1" applyBorder="1" applyAlignment="1">
      <alignment horizontal="center" vertical="center" wrapText="1"/>
    </xf>
    <xf numFmtId="194" fontId="2" fillId="0" borderId="8" xfId="0" applyNumberFormat="1" applyFont="1" applyBorder="1" applyAlignment="1">
      <alignment horizontal="center" vertical="center" wrapText="1"/>
    </xf>
    <xf numFmtId="194" fontId="2" fillId="0" borderId="9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194" fontId="2" fillId="0" borderId="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192" fontId="3" fillId="0" borderId="12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192" fontId="3" fillId="0" borderId="8" xfId="0" applyNumberFormat="1" applyFont="1" applyBorder="1" applyAlignment="1">
      <alignment horizontal="center" vertical="center" wrapText="1"/>
    </xf>
    <xf numFmtId="192" fontId="3" fillId="0" borderId="10" xfId="0" applyNumberFormat="1" applyFont="1" applyBorder="1" applyAlignment="1">
      <alignment horizontal="center" vertical="center" wrapText="1"/>
    </xf>
    <xf numFmtId="192" fontId="3" fillId="0" borderId="11" xfId="0" applyNumberFormat="1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92" fontId="4" fillId="2" borderId="12" xfId="0" applyNumberFormat="1" applyFont="1" applyFill="1" applyBorder="1" applyAlignment="1">
      <alignment horizontal="center" vertical="center" wrapText="1"/>
    </xf>
    <xf numFmtId="192" fontId="4" fillId="2" borderId="13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98" fontId="4" fillId="2" borderId="8" xfId="0" applyNumberFormat="1" applyFont="1" applyFill="1" applyBorder="1" applyAlignment="1">
      <alignment horizontal="center" vertical="center" wrapText="1"/>
    </xf>
    <xf numFmtId="198" fontId="4" fillId="2" borderId="9" xfId="0" applyNumberFormat="1" applyFont="1" applyFill="1" applyBorder="1" applyAlignment="1">
      <alignment horizontal="center" vertical="center" wrapText="1"/>
    </xf>
    <xf numFmtId="192" fontId="4" fillId="2" borderId="8" xfId="0" applyNumberFormat="1" applyFont="1" applyFill="1" applyBorder="1" applyAlignment="1">
      <alignment horizontal="center" vertical="center" wrapText="1"/>
    </xf>
    <xf numFmtId="192" fontId="4" fillId="2" borderId="9" xfId="0" applyNumberFormat="1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198" fontId="4" fillId="2" borderId="21" xfId="0" applyNumberFormat="1" applyFont="1" applyFill="1" applyBorder="1" applyAlignment="1">
      <alignment horizontal="center" vertical="center" wrapText="1"/>
    </xf>
    <xf numFmtId="198" fontId="4" fillId="2" borderId="22" xfId="0" applyNumberFormat="1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92" fontId="3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198" fontId="4" fillId="3" borderId="8" xfId="0" applyNumberFormat="1" applyFont="1" applyFill="1" applyBorder="1" applyAlignment="1">
      <alignment horizontal="center" vertical="center" wrapText="1"/>
    </xf>
    <xf numFmtId="198" fontId="4" fillId="3" borderId="9" xfId="0" applyNumberFormat="1" applyFont="1" applyFill="1" applyBorder="1" applyAlignment="1">
      <alignment horizontal="center" vertical="center" wrapText="1"/>
    </xf>
    <xf numFmtId="198" fontId="4" fillId="4" borderId="21" xfId="0" applyNumberFormat="1" applyFont="1" applyFill="1" applyBorder="1" applyAlignment="1">
      <alignment horizontal="center" vertical="center" wrapText="1"/>
    </xf>
    <xf numFmtId="198" fontId="4" fillId="4" borderId="22" xfId="0" applyNumberFormat="1" applyFont="1" applyFill="1" applyBorder="1" applyAlignment="1">
      <alignment horizontal="center" vertical="center" wrapText="1"/>
    </xf>
    <xf numFmtId="192" fontId="4" fillId="0" borderId="12" xfId="0" applyNumberFormat="1" applyFont="1" applyFill="1" applyBorder="1" applyAlignment="1">
      <alignment horizontal="center" vertical="center" wrapText="1"/>
    </xf>
    <xf numFmtId="192" fontId="4" fillId="0" borderId="13" xfId="0" applyNumberFormat="1" applyFont="1" applyFill="1" applyBorder="1" applyAlignment="1">
      <alignment horizontal="center" vertical="center" wrapText="1"/>
    </xf>
    <xf numFmtId="192" fontId="4" fillId="0" borderId="8" xfId="0" applyNumberFormat="1" applyFont="1" applyFill="1" applyBorder="1" applyAlignment="1">
      <alignment horizontal="center" vertical="center" wrapText="1"/>
    </xf>
    <xf numFmtId="192" fontId="4" fillId="0" borderId="9" xfId="0" applyNumberFormat="1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9" fontId="3" fillId="0" borderId="15" xfId="0" applyNumberFormat="1" applyFont="1" applyBorder="1" applyAlignment="1">
      <alignment horizontal="center" vertical="center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198" fontId="3" fillId="0" borderId="20" xfId="0" applyNumberFormat="1" applyFont="1" applyBorder="1" applyAlignment="1">
      <alignment horizontal="center" vertical="center" wrapText="1"/>
    </xf>
    <xf numFmtId="206" fontId="3" fillId="0" borderId="29" xfId="0" applyNumberFormat="1" applyFont="1" applyBorder="1" applyAlignment="1">
      <alignment horizontal="center" vertical="center" wrapText="1"/>
    </xf>
    <xf numFmtId="198" fontId="3" fillId="0" borderId="18" xfId="0" applyNumberFormat="1" applyFont="1" applyBorder="1" applyAlignment="1">
      <alignment horizontal="center" vertical="center" wrapText="1"/>
    </xf>
    <xf numFmtId="198" fontId="2" fillId="0" borderId="20" xfId="0" applyNumberFormat="1" applyFont="1" applyBorder="1" applyAlignment="1">
      <alignment horizontal="center" vertical="center" wrapText="1"/>
    </xf>
    <xf numFmtId="198" fontId="2" fillId="0" borderId="9" xfId="0" applyNumberFormat="1" applyFont="1" applyBorder="1" applyAlignment="1">
      <alignment horizontal="center" vertical="center" wrapText="1"/>
    </xf>
    <xf numFmtId="194" fontId="2" fillId="5" borderId="20" xfId="0" applyNumberFormat="1" applyFont="1" applyFill="1" applyBorder="1" applyAlignment="1">
      <alignment horizontal="center" vertical="center" wrapText="1"/>
    </xf>
    <xf numFmtId="194" fontId="2" fillId="5" borderId="9" xfId="0" applyNumberFormat="1" applyFont="1" applyFill="1" applyBorder="1" applyAlignment="1">
      <alignment horizontal="center" vertical="center" wrapText="1"/>
    </xf>
    <xf numFmtId="194" fontId="3" fillId="0" borderId="20" xfId="0" applyNumberFormat="1" applyFont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192" fontId="3" fillId="0" borderId="18" xfId="0" applyNumberFormat="1" applyFont="1" applyBorder="1" applyAlignment="1">
      <alignment horizontal="center" vertical="center" wrapText="1"/>
    </xf>
    <xf numFmtId="192" fontId="3" fillId="0" borderId="13" xfId="0" applyNumberFormat="1" applyFont="1" applyBorder="1" applyAlignment="1">
      <alignment horizontal="center" vertical="center" wrapText="1"/>
    </xf>
    <xf numFmtId="192" fontId="3" fillId="0" borderId="20" xfId="0" applyNumberFormat="1" applyFont="1" applyBorder="1" applyAlignment="1">
      <alignment horizontal="center" vertical="center" wrapText="1"/>
    </xf>
    <xf numFmtId="192" fontId="3" fillId="0" borderId="9" xfId="0" applyNumberFormat="1" applyFont="1" applyBorder="1" applyAlignment="1">
      <alignment horizontal="center" vertical="center" wrapText="1"/>
    </xf>
    <xf numFmtId="192" fontId="3" fillId="0" borderId="29" xfId="0" applyNumberFormat="1" applyFont="1" applyBorder="1" applyAlignment="1">
      <alignment horizontal="center" vertical="center" wrapText="1"/>
    </xf>
    <xf numFmtId="192" fontId="4" fillId="0" borderId="18" xfId="0" applyNumberFormat="1" applyFont="1" applyFill="1" applyBorder="1" applyAlignment="1">
      <alignment horizontal="center" vertical="center" wrapText="1"/>
    </xf>
    <xf numFmtId="198" fontId="4" fillId="3" borderId="20" xfId="0" applyNumberFormat="1" applyFont="1" applyFill="1" applyBorder="1" applyAlignment="1">
      <alignment horizontal="center" vertical="center" wrapText="1"/>
    </xf>
    <xf numFmtId="192" fontId="4" fillId="0" borderId="20" xfId="0" applyNumberFormat="1" applyFont="1" applyFill="1" applyBorder="1" applyAlignment="1">
      <alignment horizontal="center" vertical="center" wrapText="1"/>
    </xf>
    <xf numFmtId="198" fontId="4" fillId="4" borderId="31" xfId="0" applyNumberFormat="1" applyFont="1" applyFill="1" applyBorder="1" applyAlignment="1">
      <alignment horizontal="center" vertical="center" wrapText="1"/>
    </xf>
    <xf numFmtId="192" fontId="3" fillId="0" borderId="28" xfId="0" applyNumberFormat="1" applyFont="1" applyBorder="1" applyAlignment="1">
      <alignment horizontal="center" vertical="center" wrapText="1"/>
    </xf>
    <xf numFmtId="192" fontId="3" fillId="0" borderId="7" xfId="0" applyNumberFormat="1" applyFont="1" applyBorder="1" applyAlignment="1">
      <alignment horizontal="center" vertical="center" wrapText="1"/>
    </xf>
    <xf numFmtId="192" fontId="4" fillId="2" borderId="18" xfId="0" applyNumberFormat="1" applyFont="1" applyFill="1" applyBorder="1" applyAlignment="1">
      <alignment horizontal="center" vertical="center" wrapText="1"/>
    </xf>
    <xf numFmtId="192" fontId="4" fillId="2" borderId="2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198" fontId="4" fillId="4" borderId="20" xfId="0" applyNumberFormat="1" applyFont="1" applyFill="1" applyBorder="1" applyAlignment="1">
      <alignment horizontal="center" vertical="center" wrapText="1"/>
    </xf>
    <xf numFmtId="198" fontId="4" fillId="4" borderId="9" xfId="0" applyNumberFormat="1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3" fontId="2" fillId="5" borderId="14" xfId="0" applyNumberFormat="1" applyFont="1" applyFill="1" applyBorder="1" applyAlignment="1">
      <alignment horizontal="center" vertical="center" wrapText="1"/>
    </xf>
    <xf numFmtId="194" fontId="3" fillId="0" borderId="32" xfId="0" applyNumberFormat="1" applyFont="1" applyBorder="1" applyAlignment="1">
      <alignment horizontal="center" vertical="center" wrapText="1"/>
    </xf>
    <xf numFmtId="194" fontId="3" fillId="0" borderId="33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4" fillId="2" borderId="34" xfId="0" applyFont="1" applyFill="1" applyBorder="1" applyAlignment="1">
      <alignment vertical="center" wrapText="1"/>
    </xf>
    <xf numFmtId="0" fontId="4" fillId="2" borderId="30" xfId="0" applyFont="1" applyFill="1" applyBorder="1" applyAlignment="1">
      <alignment horizontal="center" vertical="center" wrapText="1"/>
    </xf>
    <xf numFmtId="192" fontId="4" fillId="2" borderId="35" xfId="0" applyNumberFormat="1" applyFont="1" applyFill="1" applyBorder="1" applyAlignment="1">
      <alignment horizontal="center" vertical="center" wrapText="1"/>
    </xf>
    <xf numFmtId="192" fontId="4" fillId="2" borderId="36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192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6" borderId="1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horizontal="center" vertical="center" wrapText="1"/>
    </xf>
    <xf numFmtId="194" fontId="2" fillId="6" borderId="20" xfId="0" applyNumberFormat="1" applyFont="1" applyFill="1" applyBorder="1" applyAlignment="1">
      <alignment horizontal="center" vertical="center" wrapText="1"/>
    </xf>
    <xf numFmtId="194" fontId="2" fillId="6" borderId="8" xfId="0" applyNumberFormat="1" applyFont="1" applyFill="1" applyBorder="1" applyAlignment="1">
      <alignment horizontal="center" vertical="center" wrapText="1"/>
    </xf>
    <xf numFmtId="194" fontId="2" fillId="6" borderId="9" xfId="0" applyNumberFormat="1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vertical="center" wrapText="1"/>
    </xf>
    <xf numFmtId="0" fontId="3" fillId="6" borderId="37" xfId="0" applyFont="1" applyFill="1" applyBorder="1" applyAlignment="1">
      <alignment horizontal="center" vertical="center" wrapText="1"/>
    </xf>
    <xf numFmtId="194" fontId="2" fillId="6" borderId="31" xfId="0" applyNumberFormat="1" applyFont="1" applyFill="1" applyBorder="1" applyAlignment="1">
      <alignment horizontal="center" vertical="center" wrapText="1"/>
    </xf>
    <xf numFmtId="194" fontId="2" fillId="6" borderId="21" xfId="0" applyNumberFormat="1" applyFont="1" applyFill="1" applyBorder="1" applyAlignment="1">
      <alignment horizontal="center" vertical="center" wrapText="1"/>
    </xf>
    <xf numFmtId="194" fontId="2" fillId="6" borderId="2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198" fontId="3" fillId="6" borderId="8" xfId="0" applyNumberFormat="1" applyFont="1" applyFill="1" applyBorder="1" applyAlignment="1">
      <alignment horizontal="center" vertical="center" wrapText="1"/>
    </xf>
    <xf numFmtId="206" fontId="3" fillId="6" borderId="10" xfId="0" applyNumberFormat="1" applyFont="1" applyFill="1" applyBorder="1" applyAlignment="1">
      <alignment horizontal="center" vertical="center" wrapText="1"/>
    </xf>
    <xf numFmtId="198" fontId="3" fillId="6" borderId="12" xfId="0" applyNumberFormat="1" applyFont="1" applyFill="1" applyBorder="1" applyAlignment="1">
      <alignment horizontal="center" vertical="center" wrapText="1"/>
    </xf>
    <xf numFmtId="198" fontId="2" fillId="6" borderId="8" xfId="0" applyNumberFormat="1" applyFont="1" applyFill="1" applyBorder="1" applyAlignment="1">
      <alignment horizontal="center" vertical="center" wrapText="1"/>
    </xf>
    <xf numFmtId="3" fontId="2" fillId="7" borderId="8" xfId="0" applyNumberFormat="1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194" fontId="2" fillId="7" borderId="20" xfId="0" applyNumberFormat="1" applyFont="1" applyFill="1" applyBorder="1" applyAlignment="1">
      <alignment horizontal="center" vertical="center" wrapText="1"/>
    </xf>
    <xf numFmtId="194" fontId="2" fillId="7" borderId="8" xfId="0" applyNumberFormat="1" applyFont="1" applyFill="1" applyBorder="1" applyAlignment="1">
      <alignment horizontal="center" vertical="center" wrapText="1"/>
    </xf>
    <xf numFmtId="194" fontId="2" fillId="7" borderId="9" xfId="0" applyNumberFormat="1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1" fillId="0" borderId="0" xfId="0" applyFont="1"/>
    <xf numFmtId="0" fontId="3" fillId="6" borderId="10" xfId="0" applyFont="1" applyFill="1" applyBorder="1" applyAlignment="1">
      <alignment horizontal="center" vertical="center" wrapText="1"/>
    </xf>
    <xf numFmtId="194" fontId="3" fillId="8" borderId="20" xfId="0" applyNumberFormat="1" applyFont="1" applyFill="1" applyBorder="1" applyAlignment="1">
      <alignment horizontal="center" vertical="center" wrapText="1"/>
    </xf>
    <xf numFmtId="194" fontId="3" fillId="8" borderId="8" xfId="0" applyNumberFormat="1" applyFont="1" applyFill="1" applyBorder="1" applyAlignment="1">
      <alignment horizontal="center" vertical="center" wrapText="1"/>
    </xf>
    <xf numFmtId="194" fontId="3" fillId="8" borderId="9" xfId="0" applyNumberFormat="1" applyFont="1" applyFill="1" applyBorder="1" applyAlignment="1">
      <alignment horizontal="center" vertical="center" wrapText="1"/>
    </xf>
    <xf numFmtId="194" fontId="3" fillId="9" borderId="20" xfId="0" applyNumberFormat="1" applyFont="1" applyFill="1" applyBorder="1" applyAlignment="1">
      <alignment horizontal="center" vertical="center" wrapText="1"/>
    </xf>
    <xf numFmtId="194" fontId="3" fillId="9" borderId="9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6" fillId="8" borderId="8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center"/>
    </xf>
    <xf numFmtId="0" fontId="17" fillId="8" borderId="8" xfId="0" applyFont="1" applyFill="1" applyBorder="1" applyAlignment="1">
      <alignment horizontal="center" vertical="center" wrapText="1"/>
    </xf>
    <xf numFmtId="198" fontId="17" fillId="8" borderId="8" xfId="0" applyNumberFormat="1" applyFont="1" applyFill="1" applyBorder="1" applyAlignment="1">
      <alignment horizontal="center" vertical="center" wrapText="1"/>
    </xf>
    <xf numFmtId="194" fontId="17" fillId="8" borderId="8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3" fillId="6" borderId="16" xfId="0" applyFont="1" applyFill="1" applyBorder="1" applyAlignment="1">
      <alignment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15" fillId="0" borderId="0" xfId="0" applyFont="1"/>
    <xf numFmtId="0" fontId="3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5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45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4" fillId="6" borderId="47" xfId="0" applyFont="1" applyFill="1" applyBorder="1" applyAlignment="1">
      <alignment horizontal="center" vertical="center" wrapText="1"/>
    </xf>
    <xf numFmtId="0" fontId="4" fillId="6" borderId="32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7" borderId="38" xfId="0" applyFont="1" applyFill="1" applyBorder="1" applyAlignment="1">
      <alignment horizontal="center" vertical="center" wrapText="1"/>
    </xf>
    <xf numFmtId="0" fontId="2" fillId="7" borderId="3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4" fillId="2" borderId="20" xfId="0" applyFont="1" applyFill="1" applyBorder="1" applyAlignment="1">
      <alignment horizontal="left" vertical="center" wrapText="1"/>
    </xf>
    <xf numFmtId="0" fontId="4" fillId="2" borderId="31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         深圳</a:t>
            </a:r>
            <a:r>
              <a:rPr lang="en-US" altLang="zh-CN" sz="1100"/>
              <a:t>-</a:t>
            </a:r>
            <a:r>
              <a:rPr lang="zh-CN" altLang="en-US" sz="1100"/>
              <a:t>上海陆运专线成本（单位：元</a:t>
            </a:r>
            <a:r>
              <a:rPr lang="en-US" altLang="zh-CN" sz="1100"/>
              <a:t>/</a:t>
            </a:r>
            <a:r>
              <a:rPr lang="zh-CN" altLang="en-US" sz="1100"/>
              <a:t>吨）</a:t>
            </a:r>
            <a:endParaRPr lang="en-US" altLang="zh-CN" sz="1100"/>
          </a:p>
        </c:rich>
      </c:tx>
      <c:layout>
        <c:manualLayout>
          <c:xMode val="edge"/>
          <c:yMode val="edge"/>
          <c:x val="0.10698744451138857"/>
          <c:y val="1.3888945699969322E-2"/>
        </c:manualLayout>
      </c:layout>
    </c:title>
    <c:plotArea>
      <c:layout>
        <c:manualLayout>
          <c:layoutTarget val="inner"/>
          <c:xMode val="edge"/>
          <c:yMode val="edge"/>
          <c:x val="0.11359995567836342"/>
          <c:y val="0.15043864388361322"/>
          <c:w val="0.81509844250998964"/>
          <c:h val="0.724645419033907"/>
        </c:manualLayout>
      </c:layout>
      <c:barChart>
        <c:barDir val="bar"/>
        <c:grouping val="clustered"/>
        <c:ser>
          <c:idx val="0"/>
          <c:order val="0"/>
          <c:tx>
            <c:strRef>
              <c:f>Sheet1!$C$1:$H$1</c:f>
              <c:strCache>
                <c:ptCount val="1"/>
                <c:pt idx="0">
                  <c:v>3T 5T 8T 10T 15T 40T</c:v>
                </c:pt>
              </c:strCache>
            </c:strRef>
          </c:tx>
          <c:dLbls>
            <c:dLbl>
              <c:idx val="0"/>
              <c:layout>
                <c:manualLayout>
                  <c:x val="-0.15640273704789825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0.12903225806451613"/>
                  <c:y val="0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-0.10557184750733138"/>
                  <c:y val="0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0.10948191593352884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0.13685239491691104"/>
                  <c:y val="0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9.775171065493643E-2"/>
                  <c:y val="0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showVal val="1"/>
          </c:dLbls>
          <c:cat>
            <c:strRef>
              <c:f>Sheet1!$C$1:$H$1</c:f>
              <c:strCache>
                <c:ptCount val="6"/>
                <c:pt idx="0">
                  <c:v>3T</c:v>
                </c:pt>
                <c:pt idx="1">
                  <c:v>5T</c:v>
                </c:pt>
                <c:pt idx="2">
                  <c:v>8T</c:v>
                </c:pt>
                <c:pt idx="3">
                  <c:v>10T</c:v>
                </c:pt>
                <c:pt idx="4">
                  <c:v>15T</c:v>
                </c:pt>
                <c:pt idx="5">
                  <c:v>40T</c:v>
                </c:pt>
              </c:strCache>
            </c:strRef>
          </c:cat>
          <c:val>
            <c:numRef>
              <c:f>Sheet1!$C$2:$H$2</c:f>
              <c:numCache>
                <c:formatCode>0_ </c:formatCode>
                <c:ptCount val="6"/>
                <c:pt idx="0">
                  <c:v>1747.7037037037039</c:v>
                </c:pt>
                <c:pt idx="1">
                  <c:v>1294.5333333333333</c:v>
                </c:pt>
                <c:pt idx="2">
                  <c:v>909.125</c:v>
                </c:pt>
                <c:pt idx="3">
                  <c:v>791.75555555555547</c:v>
                </c:pt>
                <c:pt idx="4">
                  <c:v>635.00740740740753</c:v>
                </c:pt>
                <c:pt idx="5">
                  <c:v>408</c:v>
                </c:pt>
              </c:numCache>
            </c:numRef>
          </c:val>
        </c:ser>
        <c:axId val="85747584"/>
        <c:axId val="85749120"/>
      </c:barChart>
      <c:catAx>
        <c:axId val="85747584"/>
        <c:scaling>
          <c:orientation val="minMax"/>
        </c:scaling>
        <c:axPos val="l"/>
        <c:numFmt formatCode="General" sourceLinked="1"/>
        <c:tickLblPos val="nextTo"/>
        <c:crossAx val="85749120"/>
        <c:crosses val="autoZero"/>
        <c:auto val="1"/>
        <c:lblAlgn val="ctr"/>
        <c:lblOffset val="100"/>
      </c:catAx>
      <c:valAx>
        <c:axId val="85749120"/>
        <c:scaling>
          <c:orientation val="minMax"/>
        </c:scaling>
        <c:axPos val="b"/>
        <c:numFmt formatCode="0_ " sourceLinked="1"/>
        <c:tickLblPos val="nextTo"/>
        <c:crossAx val="85747584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7974628171478562E-2"/>
          <c:y val="6.9919072615923006E-2"/>
          <c:w val="0.85758092738407699"/>
          <c:h val="0.79822506561679785"/>
        </c:manualLayout>
      </c:layout>
      <c:barChart>
        <c:barDir val="col"/>
        <c:grouping val="clustered"/>
        <c:ser>
          <c:idx val="0"/>
          <c:order val="0"/>
          <c:dLbls>
            <c:dLbl>
              <c:idx val="3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zh-CN"/>
                </a:p>
              </c:txPr>
              <c:showVal val="1"/>
            </c:dLbl>
            <c:delete val="1"/>
          </c:dLbls>
          <c:cat>
            <c:strRef>
              <c:f>Sheet1!$C$1:$H$1</c:f>
              <c:strCache>
                <c:ptCount val="6"/>
                <c:pt idx="0">
                  <c:v>3T</c:v>
                </c:pt>
                <c:pt idx="1">
                  <c:v>5T</c:v>
                </c:pt>
                <c:pt idx="2">
                  <c:v>8T</c:v>
                </c:pt>
                <c:pt idx="3">
                  <c:v>10T</c:v>
                </c:pt>
                <c:pt idx="4">
                  <c:v>15T</c:v>
                </c:pt>
                <c:pt idx="5">
                  <c:v>40T</c:v>
                </c:pt>
              </c:strCache>
            </c:strRef>
          </c:cat>
          <c:val>
            <c:numRef>
              <c:f>Sheet1!$C$3:$H$3</c:f>
              <c:numCache>
                <c:formatCode>0.00_ </c:formatCode>
                <c:ptCount val="6"/>
                <c:pt idx="0">
                  <c:v>1.747703703703704</c:v>
                </c:pt>
                <c:pt idx="1">
                  <c:v>1.2945333333333333</c:v>
                </c:pt>
                <c:pt idx="2">
                  <c:v>0.90912499999999996</c:v>
                </c:pt>
                <c:pt idx="3">
                  <c:v>0.79175555555555543</c:v>
                </c:pt>
                <c:pt idx="4">
                  <c:v>0.63500740740740758</c:v>
                </c:pt>
                <c:pt idx="5">
                  <c:v>0.40799999999999997</c:v>
                </c:pt>
              </c:numCache>
            </c:numRef>
          </c:val>
        </c:ser>
        <c:axId val="53716480"/>
        <c:axId val="53718016"/>
      </c:barChart>
      <c:catAx>
        <c:axId val="53716480"/>
        <c:scaling>
          <c:orientation val="minMax"/>
        </c:scaling>
        <c:axPos val="b"/>
        <c:numFmt formatCode="General" sourceLinked="1"/>
        <c:tickLblPos val="nextTo"/>
        <c:crossAx val="53718016"/>
        <c:crosses val="autoZero"/>
        <c:auto val="1"/>
        <c:lblAlgn val="ctr"/>
        <c:lblOffset val="100"/>
      </c:catAx>
      <c:valAx>
        <c:axId val="53718016"/>
        <c:scaling>
          <c:orientation val="minMax"/>
        </c:scaling>
        <c:axPos val="l"/>
        <c:numFmt formatCode="0.00_ " sourceLinked="1"/>
        <c:tickLblPos val="nextTo"/>
        <c:crossAx val="53716480"/>
        <c:crosses val="autoZero"/>
        <c:crossBetween val="between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4</xdr:row>
      <xdr:rowOff>95250</xdr:rowOff>
    </xdr:from>
    <xdr:to>
      <xdr:col>5</xdr:col>
      <xdr:colOff>476250</xdr:colOff>
      <xdr:row>20</xdr:row>
      <xdr:rowOff>133350</xdr:rowOff>
    </xdr:to>
    <xdr:grpSp>
      <xdr:nvGrpSpPr>
        <xdr:cNvPr id="2111" name="组合 5"/>
        <xdr:cNvGrpSpPr>
          <a:grpSpLocks/>
        </xdr:cNvGrpSpPr>
      </xdr:nvGrpSpPr>
      <xdr:grpSpPr bwMode="auto">
        <a:xfrm>
          <a:off x="333375" y="819150"/>
          <a:ext cx="3609975" cy="2933700"/>
          <a:chOff x="333375" y="819149"/>
          <a:chExt cx="3609975" cy="2933701"/>
        </a:xfrm>
      </xdr:grpSpPr>
      <xdr:graphicFrame macro="">
        <xdr:nvGraphicFramePr>
          <xdr:cNvPr id="2115" name="图表 1"/>
          <xdr:cNvGraphicFramePr>
            <a:graphicFrameLocks/>
          </xdr:cNvGraphicFramePr>
        </xdr:nvGraphicFramePr>
        <xdr:xfrm>
          <a:off x="333375" y="819149"/>
          <a:ext cx="3609975" cy="29337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线形标注 1(带边框和强调线) 3"/>
          <xdr:cNvSpPr/>
        </xdr:nvSpPr>
        <xdr:spPr>
          <a:xfrm>
            <a:off x="2409825" y="1295399"/>
            <a:ext cx="1190625" cy="619125"/>
          </a:xfrm>
          <a:prstGeom prst="accentBorderCallout1">
            <a:avLst>
              <a:gd name="adj1" fmla="val 18750"/>
              <a:gd name="adj2" fmla="val -8333"/>
              <a:gd name="adj3" fmla="val 28758"/>
              <a:gd name="adj4" fmla="val -624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zh-CN" altLang="en-US" sz="1050"/>
              <a:t>车型吨位越大，成本越低！</a:t>
            </a:r>
          </a:p>
        </xdr:txBody>
      </xdr:sp>
    </xdr:grpSp>
    <xdr:clientData/>
  </xdr:twoCellAnchor>
  <xdr:twoCellAnchor>
    <xdr:from>
      <xdr:col>5</xdr:col>
      <xdr:colOff>457200</xdr:colOff>
      <xdr:row>4</xdr:row>
      <xdr:rowOff>114300</xdr:rowOff>
    </xdr:from>
    <xdr:to>
      <xdr:col>12</xdr:col>
      <xdr:colOff>228600</xdr:colOff>
      <xdr:row>20</xdr:row>
      <xdr:rowOff>114300</xdr:rowOff>
    </xdr:to>
    <xdr:grpSp>
      <xdr:nvGrpSpPr>
        <xdr:cNvPr id="2112" name="组合 7"/>
        <xdr:cNvGrpSpPr>
          <a:grpSpLocks/>
        </xdr:cNvGrpSpPr>
      </xdr:nvGrpSpPr>
      <xdr:grpSpPr bwMode="auto">
        <a:xfrm>
          <a:off x="3924300" y="838200"/>
          <a:ext cx="4572000" cy="2895600"/>
          <a:chOff x="3924300" y="838200"/>
          <a:chExt cx="4572000" cy="2895600"/>
        </a:xfrm>
      </xdr:grpSpPr>
      <xdr:graphicFrame macro="">
        <xdr:nvGraphicFramePr>
          <xdr:cNvPr id="2113" name="图表 4"/>
          <xdr:cNvGraphicFramePr>
            <a:graphicFrameLocks/>
          </xdr:cNvGraphicFramePr>
        </xdr:nvGraphicFramePr>
        <xdr:xfrm>
          <a:off x="3924300" y="838200"/>
          <a:ext cx="4572000" cy="2895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线形标注 1(带边框和强调线) 6"/>
          <xdr:cNvSpPr/>
        </xdr:nvSpPr>
        <xdr:spPr bwMode="auto">
          <a:xfrm>
            <a:off x="6553200" y="1304925"/>
            <a:ext cx="1352550" cy="809625"/>
          </a:xfrm>
          <a:prstGeom prst="accentBorderCallout1">
            <a:avLst>
              <a:gd name="adj1" fmla="val 18750"/>
              <a:gd name="adj2" fmla="val -8333"/>
              <a:gd name="adj3" fmla="val 28758"/>
              <a:gd name="adj4" fmla="val -624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zh-CN" altLang="en-US" sz="1050"/>
              <a:t>报价时，绝对要高于此货物成本价，一般为此成本价的</a:t>
            </a:r>
            <a:r>
              <a:rPr lang="en-US" altLang="zh-CN" sz="1050"/>
              <a:t>3</a:t>
            </a:r>
            <a:r>
              <a:rPr lang="zh-CN" altLang="en-US" sz="1050"/>
              <a:t>倍左右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52"/>
  <sheetViews>
    <sheetView tabSelected="1" workbookViewId="0">
      <selection activeCell="N23" sqref="N23"/>
    </sheetView>
  </sheetViews>
  <sheetFormatPr defaultRowHeight="12"/>
  <cols>
    <col min="1" max="1" width="1.625" style="2" customWidth="1"/>
    <col min="2" max="2" width="9" style="2"/>
    <col min="3" max="3" width="14" style="2" customWidth="1"/>
    <col min="4" max="4" width="11.25" style="2" customWidth="1"/>
    <col min="5" max="11" width="9" style="2"/>
    <col min="12" max="12" width="27.125" style="2" customWidth="1"/>
    <col min="13" max="16384" width="9" style="2"/>
  </cols>
  <sheetData>
    <row r="1" spans="2:15" ht="37.5" customHeight="1" thickBot="1">
      <c r="B1" s="229" t="s">
        <v>1</v>
      </c>
      <c r="C1" s="229"/>
      <c r="D1" s="229"/>
      <c r="E1" s="229"/>
      <c r="F1" s="229"/>
      <c r="G1" s="229"/>
      <c r="H1" s="229"/>
      <c r="I1" s="229"/>
      <c r="J1" s="229"/>
      <c r="K1" s="229"/>
    </row>
    <row r="2" spans="2:15" ht="12.75" thickBot="1">
      <c r="B2" s="3"/>
      <c r="C2" s="230" t="s">
        <v>0</v>
      </c>
      <c r="D2" s="230"/>
      <c r="E2" s="230"/>
      <c r="F2" s="68" t="s">
        <v>44</v>
      </c>
      <c r="G2" s="76" t="s">
        <v>45</v>
      </c>
      <c r="H2" s="4" t="s">
        <v>46</v>
      </c>
      <c r="I2" s="4" t="s">
        <v>47</v>
      </c>
      <c r="J2" s="134" t="s">
        <v>48</v>
      </c>
      <c r="K2" s="5" t="s">
        <v>49</v>
      </c>
    </row>
    <row r="3" spans="2:15" ht="12.75" thickTop="1">
      <c r="B3" s="231" t="s">
        <v>3</v>
      </c>
      <c r="C3" s="234" t="s">
        <v>17</v>
      </c>
      <c r="D3" s="235"/>
      <c r="E3" s="236"/>
      <c r="F3" s="69" t="s">
        <v>18</v>
      </c>
      <c r="G3" s="77">
        <v>3</v>
      </c>
      <c r="H3" s="6">
        <v>5</v>
      </c>
      <c r="I3" s="6">
        <v>8</v>
      </c>
      <c r="J3" s="135">
        <v>10</v>
      </c>
      <c r="K3" s="7">
        <v>15</v>
      </c>
    </row>
    <row r="4" spans="2:15">
      <c r="B4" s="232"/>
      <c r="C4" s="237" t="s">
        <v>4</v>
      </c>
      <c r="D4" s="237"/>
      <c r="E4" s="237"/>
      <c r="F4" s="70" t="s">
        <v>50</v>
      </c>
      <c r="G4" s="78">
        <v>130000</v>
      </c>
      <c r="H4" s="8">
        <v>150000</v>
      </c>
      <c r="I4" s="8">
        <v>190000</v>
      </c>
      <c r="J4" s="136">
        <v>220000</v>
      </c>
      <c r="K4" s="9">
        <v>260000</v>
      </c>
    </row>
    <row r="5" spans="2:15">
      <c r="B5" s="232"/>
      <c r="C5" s="205" t="s">
        <v>5</v>
      </c>
      <c r="D5" s="205"/>
      <c r="E5" s="205"/>
      <c r="F5" s="71" t="s">
        <v>51</v>
      </c>
      <c r="G5" s="55">
        <v>3.6</v>
      </c>
      <c r="H5" s="10">
        <v>4.5999999999999996</v>
      </c>
      <c r="I5" s="10">
        <v>8.5</v>
      </c>
      <c r="J5" s="137">
        <v>9.6</v>
      </c>
      <c r="K5" s="11">
        <v>12.5</v>
      </c>
    </row>
    <row r="6" spans="2:15">
      <c r="B6" s="232"/>
      <c r="C6" s="205" t="s">
        <v>33</v>
      </c>
      <c r="D6" s="205"/>
      <c r="E6" s="205"/>
      <c r="F6" s="71" t="s">
        <v>51</v>
      </c>
      <c r="G6" s="55">
        <v>2.33</v>
      </c>
      <c r="H6" s="10">
        <v>2.33</v>
      </c>
      <c r="I6" s="10">
        <v>2.33</v>
      </c>
      <c r="J6" s="137">
        <v>2.33</v>
      </c>
      <c r="K6" s="11">
        <v>2.33</v>
      </c>
    </row>
    <row r="7" spans="2:15">
      <c r="B7" s="232"/>
      <c r="C7" s="205" t="s">
        <v>6</v>
      </c>
      <c r="D7" s="205"/>
      <c r="E7" s="205"/>
      <c r="F7" s="71" t="s">
        <v>19</v>
      </c>
      <c r="G7" s="79">
        <f>G5*G6*G6</f>
        <v>19.544039999999999</v>
      </c>
      <c r="H7" s="12">
        <f>H5*H6*H6</f>
        <v>24.972940000000001</v>
      </c>
      <c r="I7" s="12">
        <f>I5*I6*I6</f>
        <v>46.145650000000003</v>
      </c>
      <c r="J7" s="138">
        <f>J5*J6*J6</f>
        <v>52.117439999999995</v>
      </c>
      <c r="K7" s="13">
        <f>K5*K6*K6</f>
        <v>67.861249999999998</v>
      </c>
    </row>
    <row r="8" spans="2:15">
      <c r="B8" s="232"/>
      <c r="C8" s="205" t="s">
        <v>7</v>
      </c>
      <c r="D8" s="205"/>
      <c r="E8" s="205"/>
      <c r="F8" s="72">
        <v>0.85</v>
      </c>
      <c r="G8" s="79">
        <f>G7*$F$8</f>
        <v>16.612434</v>
      </c>
      <c r="H8" s="12">
        <f>H7*$F$8</f>
        <v>21.226998999999999</v>
      </c>
      <c r="I8" s="12">
        <f>I7*$F$8</f>
        <v>39.223802500000005</v>
      </c>
      <c r="J8" s="138">
        <f>J7*$F$8</f>
        <v>44.299823999999994</v>
      </c>
      <c r="K8" s="13">
        <f>K7*$F$8</f>
        <v>57.682062499999994</v>
      </c>
    </row>
    <row r="9" spans="2:15" ht="12.75" thickBot="1">
      <c r="B9" s="233"/>
      <c r="C9" s="226" t="s">
        <v>20</v>
      </c>
      <c r="D9" s="226"/>
      <c r="E9" s="226"/>
      <c r="F9" s="73" t="s">
        <v>52</v>
      </c>
      <c r="G9" s="80">
        <v>4.5</v>
      </c>
      <c r="H9" s="14">
        <v>7</v>
      </c>
      <c r="I9" s="14">
        <v>11</v>
      </c>
      <c r="J9" s="139">
        <v>13.5</v>
      </c>
      <c r="K9" s="15">
        <v>20</v>
      </c>
      <c r="O9" s="152"/>
    </row>
    <row r="10" spans="2:15">
      <c r="B10" s="188" t="s">
        <v>53</v>
      </c>
      <c r="C10" s="191" t="s">
        <v>54</v>
      </c>
      <c r="D10" s="16" t="s">
        <v>55</v>
      </c>
      <c r="E10" s="16">
        <v>60</v>
      </c>
      <c r="F10" s="74" t="s">
        <v>11</v>
      </c>
      <c r="G10" s="81">
        <f>G4/$E$10</f>
        <v>2166.6666666666665</v>
      </c>
      <c r="H10" s="17">
        <f>H4/$E$10</f>
        <v>2500</v>
      </c>
      <c r="I10" s="17">
        <f>I4/$E$10</f>
        <v>3166.6666666666665</v>
      </c>
      <c r="J10" s="140">
        <f>J4/$E$10</f>
        <v>3666.6666666666665</v>
      </c>
      <c r="K10" s="18">
        <f>K4/$E$10</f>
        <v>4333.333333333333</v>
      </c>
      <c r="O10" s="152"/>
    </row>
    <row r="11" spans="2:15">
      <c r="B11" s="189"/>
      <c r="C11" s="192"/>
      <c r="D11" s="10" t="s">
        <v>56</v>
      </c>
      <c r="E11" s="10"/>
      <c r="F11" s="71" t="s">
        <v>11</v>
      </c>
      <c r="G11" s="79">
        <f>5000/12</f>
        <v>416.66666666666669</v>
      </c>
      <c r="H11" s="12">
        <f>6000/12</f>
        <v>500</v>
      </c>
      <c r="I11" s="12">
        <f>7500/12</f>
        <v>625</v>
      </c>
      <c r="J11" s="138">
        <f>8500/12</f>
        <v>708.33333333333337</v>
      </c>
      <c r="K11" s="13">
        <f>9500/12</f>
        <v>791.66666666666663</v>
      </c>
    </row>
    <row r="12" spans="2:15">
      <c r="B12" s="189"/>
      <c r="C12" s="192"/>
      <c r="D12" s="147" t="s">
        <v>57</v>
      </c>
      <c r="E12" s="147">
        <v>0</v>
      </c>
      <c r="F12" s="148" t="s">
        <v>11</v>
      </c>
      <c r="G12" s="149">
        <f>E12*3</f>
        <v>0</v>
      </c>
      <c r="H12" s="147">
        <f>E12*5</f>
        <v>0</v>
      </c>
      <c r="I12" s="147">
        <f>E12*8</f>
        <v>0</v>
      </c>
      <c r="J12" s="147">
        <f>E12*10</f>
        <v>0</v>
      </c>
      <c r="K12" s="150">
        <f>E12*15</f>
        <v>0</v>
      </c>
    </row>
    <row r="13" spans="2:15">
      <c r="B13" s="189"/>
      <c r="C13" s="192"/>
      <c r="D13" s="10" t="s">
        <v>58</v>
      </c>
      <c r="E13" s="10" t="s">
        <v>59</v>
      </c>
      <c r="F13" s="71" t="s">
        <v>11</v>
      </c>
      <c r="G13" s="55">
        <v>30</v>
      </c>
      <c r="H13" s="10">
        <v>30</v>
      </c>
      <c r="I13" s="10">
        <v>30</v>
      </c>
      <c r="J13" s="137">
        <v>30</v>
      </c>
      <c r="K13" s="11">
        <v>30</v>
      </c>
    </row>
    <row r="14" spans="2:15">
      <c r="B14" s="189"/>
      <c r="C14" s="192"/>
      <c r="D14" s="10" t="s">
        <v>8</v>
      </c>
      <c r="E14" s="10"/>
      <c r="F14" s="71" t="s">
        <v>11</v>
      </c>
      <c r="G14" s="79">
        <v>60</v>
      </c>
      <c r="H14" s="12">
        <v>60</v>
      </c>
      <c r="I14" s="79">
        <v>60</v>
      </c>
      <c r="J14" s="12">
        <v>60</v>
      </c>
      <c r="K14" s="79">
        <v>60</v>
      </c>
      <c r="L14" s="152" t="s">
        <v>87</v>
      </c>
    </row>
    <row r="15" spans="2:15" ht="24">
      <c r="B15" s="189"/>
      <c r="C15" s="192"/>
      <c r="D15" s="10" t="s">
        <v>77</v>
      </c>
      <c r="E15" s="10">
        <v>10000</v>
      </c>
      <c r="F15" s="71" t="s">
        <v>11</v>
      </c>
      <c r="G15" s="55">
        <v>10000</v>
      </c>
      <c r="H15" s="10">
        <v>10000</v>
      </c>
      <c r="I15" s="10">
        <v>10000</v>
      </c>
      <c r="J15" s="137">
        <v>10000</v>
      </c>
      <c r="K15" s="11">
        <v>10000</v>
      </c>
      <c r="L15" s="152" t="s">
        <v>96</v>
      </c>
    </row>
    <row r="16" spans="2:15">
      <c r="B16" s="189"/>
      <c r="C16" s="192"/>
      <c r="D16" s="10" t="s">
        <v>61</v>
      </c>
      <c r="E16" s="10">
        <v>100</v>
      </c>
      <c r="F16" s="71" t="s">
        <v>11</v>
      </c>
      <c r="G16" s="55">
        <v>100</v>
      </c>
      <c r="H16" s="10">
        <v>100</v>
      </c>
      <c r="I16" s="10">
        <v>100</v>
      </c>
      <c r="J16" s="137">
        <v>100</v>
      </c>
      <c r="K16" s="11">
        <v>100</v>
      </c>
    </row>
    <row r="17" spans="2:12">
      <c r="B17" s="189"/>
      <c r="C17" s="192"/>
      <c r="D17" s="193" t="s">
        <v>14</v>
      </c>
      <c r="E17" s="194"/>
      <c r="F17" s="20" t="s">
        <v>11</v>
      </c>
      <c r="G17" s="82">
        <f>G11+G12+G13+G14+G15+G16</f>
        <v>10606.666666666666</v>
      </c>
      <c r="H17" s="21">
        <f>H11+H12+H13+H14+H15+H16</f>
        <v>10690</v>
      </c>
      <c r="I17" s="21">
        <f>I11+I12+I13+I14+I15+I16</f>
        <v>10815</v>
      </c>
      <c r="J17" s="141">
        <f>J11+J12+J13+J14+J15+J16</f>
        <v>10898.333333333334</v>
      </c>
      <c r="K17" s="83">
        <f>K11+K12+K13+K14+K15+K16</f>
        <v>10981.666666666666</v>
      </c>
    </row>
    <row r="18" spans="2:12">
      <c r="B18" s="189"/>
      <c r="C18" s="22"/>
      <c r="D18" s="193" t="s">
        <v>21</v>
      </c>
      <c r="E18" s="194"/>
      <c r="F18" s="20" t="s">
        <v>11</v>
      </c>
      <c r="G18" s="82">
        <f>G17+G10</f>
        <v>12773.333333333332</v>
      </c>
      <c r="H18" s="21">
        <f>H17+H10</f>
        <v>13190</v>
      </c>
      <c r="I18" s="21">
        <f>I17+I10</f>
        <v>13981.666666666666</v>
      </c>
      <c r="J18" s="141">
        <f>J17+J10</f>
        <v>14565</v>
      </c>
      <c r="K18" s="83">
        <f>K17+K10</f>
        <v>15315</v>
      </c>
    </row>
    <row r="19" spans="2:12">
      <c r="B19" s="189"/>
      <c r="C19" s="227" t="s">
        <v>2</v>
      </c>
      <c r="D19" s="228"/>
      <c r="E19" s="142">
        <v>500000</v>
      </c>
      <c r="F19" s="143" t="s">
        <v>38</v>
      </c>
      <c r="G19" s="144">
        <f>G4/$E$19</f>
        <v>0.26</v>
      </c>
      <c r="H19" s="145">
        <f>H4/$E$19</f>
        <v>0.3</v>
      </c>
      <c r="I19" s="145">
        <f>I4/$E$19</f>
        <v>0.38</v>
      </c>
      <c r="J19" s="145">
        <f>J4/$E$19</f>
        <v>0.44</v>
      </c>
      <c r="K19" s="146">
        <f>K4/$E$19</f>
        <v>0.52</v>
      </c>
    </row>
    <row r="20" spans="2:12" ht="14.25" customHeight="1">
      <c r="B20" s="189"/>
      <c r="C20" s="195" t="s">
        <v>13</v>
      </c>
      <c r="D20" s="203" t="s">
        <v>83</v>
      </c>
      <c r="E20" s="203">
        <v>7.5</v>
      </c>
      <c r="F20" s="148" t="s">
        <v>63</v>
      </c>
      <c r="G20" s="149">
        <v>0.2</v>
      </c>
      <c r="H20" s="147">
        <v>0.24</v>
      </c>
      <c r="I20" s="147">
        <v>0.28000000000000003</v>
      </c>
      <c r="J20" s="147">
        <v>0.28999999999999998</v>
      </c>
      <c r="K20" s="150">
        <v>0.35</v>
      </c>
    </row>
    <row r="21" spans="2:12">
      <c r="B21" s="189"/>
      <c r="C21" s="196"/>
      <c r="D21" s="204"/>
      <c r="E21" s="204"/>
      <c r="F21" s="148" t="s">
        <v>38</v>
      </c>
      <c r="G21" s="154">
        <f>G20*$E$20</f>
        <v>1.5</v>
      </c>
      <c r="H21" s="155">
        <f>H20*$E$20</f>
        <v>1.7999999999999998</v>
      </c>
      <c r="I21" s="155">
        <f>I20*$E$20</f>
        <v>2.1</v>
      </c>
      <c r="J21" s="155">
        <f>J20*$E$20</f>
        <v>2.1749999999999998</v>
      </c>
      <c r="K21" s="156">
        <f>K20*$E$20</f>
        <v>2.625</v>
      </c>
      <c r="L21" s="152" t="s">
        <v>88</v>
      </c>
    </row>
    <row r="22" spans="2:12">
      <c r="B22" s="189"/>
      <c r="C22" s="196"/>
      <c r="D22" s="198" t="s">
        <v>30</v>
      </c>
      <c r="E22" s="10" t="s">
        <v>28</v>
      </c>
      <c r="F22" s="71" t="s">
        <v>38</v>
      </c>
      <c r="G22" s="55">
        <v>0.12</v>
      </c>
      <c r="H22" s="10">
        <v>0.13</v>
      </c>
      <c r="I22" s="10">
        <v>0.14000000000000001</v>
      </c>
      <c r="J22" s="10">
        <v>0.15</v>
      </c>
      <c r="K22" s="11">
        <v>0.16</v>
      </c>
    </row>
    <row r="23" spans="2:12">
      <c r="B23" s="189"/>
      <c r="C23" s="196"/>
      <c r="D23" s="199"/>
      <c r="E23" s="10" t="s">
        <v>29</v>
      </c>
      <c r="F23" s="71" t="s">
        <v>38</v>
      </c>
      <c r="G23" s="55">
        <v>0.1</v>
      </c>
      <c r="H23" s="10">
        <v>0.12</v>
      </c>
      <c r="I23" s="10">
        <v>0.16</v>
      </c>
      <c r="J23" s="10">
        <v>0.21</v>
      </c>
      <c r="K23" s="11">
        <v>0.24</v>
      </c>
    </row>
    <row r="24" spans="2:12" ht="24">
      <c r="B24" s="189"/>
      <c r="C24" s="196"/>
      <c r="D24" s="200"/>
      <c r="E24" s="10" t="s">
        <v>65</v>
      </c>
      <c r="F24" s="71" t="s">
        <v>38</v>
      </c>
      <c r="G24" s="55">
        <v>0.09</v>
      </c>
      <c r="H24" s="10">
        <v>0.1</v>
      </c>
      <c r="I24" s="10">
        <v>0.11</v>
      </c>
      <c r="J24" s="10">
        <v>0.12</v>
      </c>
      <c r="K24" s="11">
        <v>0.14000000000000001</v>
      </c>
    </row>
    <row r="25" spans="2:12" ht="24.75" thickBot="1">
      <c r="B25" s="189"/>
      <c r="C25" s="196"/>
      <c r="D25" s="168" t="s">
        <v>86</v>
      </c>
      <c r="E25" s="168" t="s">
        <v>84</v>
      </c>
      <c r="F25" s="169" t="s">
        <v>9</v>
      </c>
      <c r="G25" s="170">
        <v>0.45</v>
      </c>
      <c r="H25" s="153">
        <v>0.75</v>
      </c>
      <c r="I25" s="153">
        <v>0.75</v>
      </c>
      <c r="J25" s="153">
        <v>0.9</v>
      </c>
      <c r="K25" s="171">
        <v>1.2</v>
      </c>
    </row>
    <row r="26" spans="2:12">
      <c r="B26" s="189"/>
      <c r="C26" s="196"/>
      <c r="D26" s="201" t="s">
        <v>12</v>
      </c>
      <c r="E26" s="167" t="s">
        <v>37</v>
      </c>
      <c r="F26" s="25" t="s">
        <v>38</v>
      </c>
      <c r="G26" s="26">
        <f>SUM(G21:G25)</f>
        <v>2.2600000000000002</v>
      </c>
      <c r="H26" s="27">
        <f>SUM(H21:H25)</f>
        <v>2.9</v>
      </c>
      <c r="I26" s="27">
        <f>SUM(I21:I25)</f>
        <v>3.2600000000000002</v>
      </c>
      <c r="J26" s="27">
        <f>SUM(J21:J25)</f>
        <v>3.5549999999999997</v>
      </c>
      <c r="K26" s="28">
        <f>SUM(K21:K25)</f>
        <v>4.3650000000000002</v>
      </c>
    </row>
    <row r="27" spans="2:12" ht="24">
      <c r="B27" s="189"/>
      <c r="C27" s="196"/>
      <c r="D27" s="201"/>
      <c r="E27" s="124" t="s">
        <v>39</v>
      </c>
      <c r="F27" s="29" t="s">
        <v>40</v>
      </c>
      <c r="G27" s="30">
        <f>G26/G7</f>
        <v>0.11563627581605443</v>
      </c>
      <c r="H27" s="31">
        <f>H26/H7</f>
        <v>0.11612569445167448</v>
      </c>
      <c r="I27" s="31">
        <f>I26/I7</f>
        <v>7.0645878863988265E-2</v>
      </c>
      <c r="J27" s="31">
        <f>J26/J7</f>
        <v>6.821133194569802E-2</v>
      </c>
      <c r="K27" s="32">
        <f>K26/K7</f>
        <v>6.4322422590211648E-2</v>
      </c>
    </row>
    <row r="28" spans="2:12" ht="24">
      <c r="B28" s="189"/>
      <c r="C28" s="196"/>
      <c r="D28" s="201"/>
      <c r="E28" s="124" t="s">
        <v>66</v>
      </c>
      <c r="F28" s="125" t="s">
        <v>40</v>
      </c>
      <c r="G28" s="126">
        <f>G26/G8</f>
        <v>0.13604267743065226</v>
      </c>
      <c r="H28" s="127">
        <f>H26/H8</f>
        <v>0.13661846406079353</v>
      </c>
      <c r="I28" s="127">
        <f>I26/I8</f>
        <v>8.3112798663515605E-2</v>
      </c>
      <c r="J28" s="127">
        <f>J26/J8</f>
        <v>8.0248625818468269E-2</v>
      </c>
      <c r="K28" s="128">
        <f>K26/K8</f>
        <v>7.5673438341425481E-2</v>
      </c>
    </row>
    <row r="29" spans="2:12">
      <c r="B29" s="189"/>
      <c r="C29" s="196"/>
      <c r="D29" s="201"/>
      <c r="E29" s="124" t="s">
        <v>41</v>
      </c>
      <c r="F29" s="125" t="s">
        <v>42</v>
      </c>
      <c r="G29" s="126">
        <f>G26/3</f>
        <v>0.75333333333333341</v>
      </c>
      <c r="H29" s="127">
        <f>H26/5</f>
        <v>0.57999999999999996</v>
      </c>
      <c r="I29" s="127">
        <f>I26/8</f>
        <v>0.40750000000000003</v>
      </c>
      <c r="J29" s="127">
        <f>J26/10</f>
        <v>0.35549999999999998</v>
      </c>
      <c r="K29" s="128">
        <f>K26/15</f>
        <v>0.29100000000000004</v>
      </c>
    </row>
    <row r="30" spans="2:12" ht="12.75" thickBot="1">
      <c r="B30" s="190"/>
      <c r="C30" s="197"/>
      <c r="D30" s="202"/>
      <c r="E30" s="129" t="s">
        <v>67</v>
      </c>
      <c r="F30" s="130" t="s">
        <v>42</v>
      </c>
      <c r="G30" s="131">
        <f>G26/4.5</f>
        <v>0.50222222222222224</v>
      </c>
      <c r="H30" s="132">
        <f>H26/7</f>
        <v>0.41428571428571426</v>
      </c>
      <c r="I30" s="132">
        <f>I26/11</f>
        <v>0.29636363636363638</v>
      </c>
      <c r="J30" s="132">
        <f>J26/13</f>
        <v>0.27346153846153842</v>
      </c>
      <c r="K30" s="133">
        <f>K26/20</f>
        <v>0.21825</v>
      </c>
    </row>
    <row r="31" spans="2:12">
      <c r="B31" s="33"/>
      <c r="C31" s="33"/>
      <c r="D31" s="34"/>
      <c r="E31" s="35"/>
      <c r="F31" s="29"/>
      <c r="G31" s="36"/>
      <c r="H31" s="36"/>
      <c r="I31" s="36"/>
      <c r="J31" s="36"/>
      <c r="K31" s="36"/>
    </row>
    <row r="32" spans="2:12" ht="24.75" customHeight="1" thickBot="1">
      <c r="B32" s="217" t="s">
        <v>76</v>
      </c>
      <c r="C32" s="217"/>
      <c r="D32" s="217"/>
      <c r="E32" s="217"/>
      <c r="F32" s="217"/>
      <c r="G32" s="217"/>
      <c r="H32" s="217"/>
      <c r="I32" s="217"/>
      <c r="J32" s="217"/>
      <c r="K32" s="217"/>
    </row>
    <row r="33" spans="2:11" ht="24">
      <c r="B33" s="218" t="s">
        <v>68</v>
      </c>
      <c r="C33" s="221" t="s">
        <v>82</v>
      </c>
      <c r="D33" s="225" t="s">
        <v>22</v>
      </c>
      <c r="E33" s="37" t="s">
        <v>15</v>
      </c>
      <c r="F33" s="74" t="s">
        <v>70</v>
      </c>
      <c r="G33" s="93">
        <f>G17/27000/G3</f>
        <v>0.13094650205761316</v>
      </c>
      <c r="H33" s="38">
        <f>H17/27000/H3</f>
        <v>7.9185185185185178E-2</v>
      </c>
      <c r="I33" s="38">
        <f>I17/27000/I3</f>
        <v>5.0069444444444444E-2</v>
      </c>
      <c r="J33" s="38">
        <f>J17/27000/J3</f>
        <v>4.0364197530864197E-2</v>
      </c>
      <c r="K33" s="94">
        <f>K17/27000/K3</f>
        <v>2.7115226337448558E-2</v>
      </c>
    </row>
    <row r="34" spans="2:11" ht="24">
      <c r="B34" s="219"/>
      <c r="C34" s="222"/>
      <c r="D34" s="176"/>
      <c r="E34" s="40" t="s">
        <v>16</v>
      </c>
      <c r="F34" s="71" t="s">
        <v>70</v>
      </c>
      <c r="G34" s="95">
        <f>G19/G3</f>
        <v>8.666666666666667E-2</v>
      </c>
      <c r="H34" s="41">
        <f>H19/H3</f>
        <v>0.06</v>
      </c>
      <c r="I34" s="41">
        <f>I19/I3</f>
        <v>4.7500000000000001E-2</v>
      </c>
      <c r="J34" s="41">
        <f>J19/J3</f>
        <v>4.3999999999999997E-2</v>
      </c>
      <c r="K34" s="96">
        <f>K19/K3</f>
        <v>3.4666666666666665E-2</v>
      </c>
    </row>
    <row r="35" spans="2:11" ht="24">
      <c r="B35" s="219"/>
      <c r="C35" s="222"/>
      <c r="D35" s="177" t="s">
        <v>23</v>
      </c>
      <c r="E35" s="178"/>
      <c r="F35" s="71" t="s">
        <v>70</v>
      </c>
      <c r="G35" s="95">
        <f>G18/27000/G3</f>
        <v>0.15769547325102878</v>
      </c>
      <c r="H35" s="41">
        <f>H18/27000/H3</f>
        <v>9.7703703703703709E-2</v>
      </c>
      <c r="I35" s="41">
        <f>I18/27000/I3</f>
        <v>6.4729938271604934E-2</v>
      </c>
      <c r="J35" s="41">
        <f>J18/27000/J3</f>
        <v>5.3944444444444441E-2</v>
      </c>
      <c r="K35" s="96">
        <f>K18/27000/K3</f>
        <v>3.7814814814814815E-2</v>
      </c>
    </row>
    <row r="36" spans="2:11" ht="24.75" thickBot="1">
      <c r="B36" s="219"/>
      <c r="C36" s="222"/>
      <c r="D36" s="173" t="s">
        <v>13</v>
      </c>
      <c r="E36" s="173"/>
      <c r="F36" s="25" t="s">
        <v>70</v>
      </c>
      <c r="G36" s="97">
        <f>G29</f>
        <v>0.75333333333333341</v>
      </c>
      <c r="H36" s="42">
        <f>H29</f>
        <v>0.57999999999999996</v>
      </c>
      <c r="I36" s="42">
        <f>I29</f>
        <v>0.40750000000000003</v>
      </c>
      <c r="J36" s="42">
        <f>J29</f>
        <v>0.35549999999999998</v>
      </c>
      <c r="K36" s="43">
        <f>K29</f>
        <v>0.29100000000000004</v>
      </c>
    </row>
    <row r="37" spans="2:11" ht="24">
      <c r="B37" s="219"/>
      <c r="C37" s="223"/>
      <c r="D37" s="214" t="s">
        <v>71</v>
      </c>
      <c r="E37" s="206" t="s">
        <v>72</v>
      </c>
      <c r="F37" s="87" t="s">
        <v>70</v>
      </c>
      <c r="G37" s="98">
        <f>G35+G36</f>
        <v>0.91102880658436214</v>
      </c>
      <c r="H37" s="64">
        <f>H35+H36</f>
        <v>0.6777037037037037</v>
      </c>
      <c r="I37" s="64">
        <f>I35+I36</f>
        <v>0.47222993827160498</v>
      </c>
      <c r="J37" s="64">
        <f>J35+J36</f>
        <v>0.40944444444444444</v>
      </c>
      <c r="K37" s="65">
        <f>K35+K36</f>
        <v>0.32881481481481484</v>
      </c>
    </row>
    <row r="38" spans="2:11" ht="21.75" customHeight="1">
      <c r="B38" s="219"/>
      <c r="C38" s="223"/>
      <c r="D38" s="215"/>
      <c r="E38" s="207"/>
      <c r="F38" s="88" t="s">
        <v>73</v>
      </c>
      <c r="G38" s="99">
        <f>G37*1800</f>
        <v>1639.851851851852</v>
      </c>
      <c r="H38" s="60">
        <f>H37*1800</f>
        <v>1219.8666666666666</v>
      </c>
      <c r="I38" s="60">
        <f>I37*1800</f>
        <v>850.01388888888891</v>
      </c>
      <c r="J38" s="60">
        <f>J37*1800</f>
        <v>737</v>
      </c>
      <c r="K38" s="61">
        <f>K37*1800</f>
        <v>591.86666666666667</v>
      </c>
    </row>
    <row r="39" spans="2:11" ht="24">
      <c r="B39" s="219"/>
      <c r="C39" s="223"/>
      <c r="D39" s="215"/>
      <c r="E39" s="208" t="s">
        <v>74</v>
      </c>
      <c r="F39" s="89" t="s">
        <v>70</v>
      </c>
      <c r="G39" s="100">
        <f>G33+G34+G36</f>
        <v>0.97094650205761324</v>
      </c>
      <c r="H39" s="66">
        <f>H33+H34+H36</f>
        <v>0.71918518518518515</v>
      </c>
      <c r="I39" s="66">
        <f>I33+I34+I36</f>
        <v>0.50506944444444446</v>
      </c>
      <c r="J39" s="66">
        <f>J33+J34+J36</f>
        <v>0.43986419753086414</v>
      </c>
      <c r="K39" s="67">
        <f>K33+K34+K36</f>
        <v>0.35278189300411528</v>
      </c>
    </row>
    <row r="40" spans="2:11" ht="24" customHeight="1" thickBot="1">
      <c r="B40" s="219"/>
      <c r="C40" s="224"/>
      <c r="D40" s="216"/>
      <c r="E40" s="209"/>
      <c r="F40" s="90" t="s">
        <v>73</v>
      </c>
      <c r="G40" s="101">
        <f>G39*1800</f>
        <v>1747.7037037037039</v>
      </c>
      <c r="H40" s="62">
        <f>H39*1800</f>
        <v>1294.5333333333333</v>
      </c>
      <c r="I40" s="62">
        <f>I39*1800</f>
        <v>909.125</v>
      </c>
      <c r="J40" s="62">
        <f>J39*1800</f>
        <v>791.75555555555547</v>
      </c>
      <c r="K40" s="63">
        <f>K39*1800</f>
        <v>635.00740740740753</v>
      </c>
    </row>
    <row r="41" spans="2:11" ht="24">
      <c r="B41" s="219"/>
      <c r="C41" s="210" t="s">
        <v>75</v>
      </c>
      <c r="D41" s="175" t="s">
        <v>22</v>
      </c>
      <c r="E41" s="39" t="s">
        <v>15</v>
      </c>
      <c r="F41" s="70" t="s">
        <v>70</v>
      </c>
      <c r="G41" s="102">
        <f>G17/3000/G3</f>
        <v>1.1785185185185185</v>
      </c>
      <c r="H41" s="56">
        <f>H17/3000/H3</f>
        <v>0.71266666666666667</v>
      </c>
      <c r="I41" s="56">
        <f>I17/3000/I3</f>
        <v>0.450625</v>
      </c>
      <c r="J41" s="56">
        <f>J17/3000/J3</f>
        <v>0.36327777777777781</v>
      </c>
      <c r="K41" s="103">
        <f>K17/3000/K3</f>
        <v>0.24403703703703702</v>
      </c>
    </row>
    <row r="42" spans="2:11" ht="24">
      <c r="B42" s="219"/>
      <c r="C42" s="211"/>
      <c r="D42" s="176"/>
      <c r="E42" s="40" t="s">
        <v>16</v>
      </c>
      <c r="F42" s="71" t="s">
        <v>70</v>
      </c>
      <c r="G42" s="95">
        <f>G19/G3</f>
        <v>8.666666666666667E-2</v>
      </c>
      <c r="H42" s="41">
        <f>H19/H3</f>
        <v>0.06</v>
      </c>
      <c r="I42" s="41">
        <f>I19/I3</f>
        <v>4.7500000000000001E-2</v>
      </c>
      <c r="J42" s="41">
        <f>J19/J3</f>
        <v>4.3999999999999997E-2</v>
      </c>
      <c r="K42" s="96">
        <f>K19/K3</f>
        <v>3.4666666666666665E-2</v>
      </c>
    </row>
    <row r="43" spans="2:11" ht="24">
      <c r="B43" s="219"/>
      <c r="C43" s="211"/>
      <c r="D43" s="177" t="s">
        <v>23</v>
      </c>
      <c r="E43" s="178"/>
      <c r="F43" s="71" t="s">
        <v>70</v>
      </c>
      <c r="G43" s="95">
        <f>G18/G3/3000</f>
        <v>1.4192592592592592</v>
      </c>
      <c r="H43" s="41">
        <f>H18/H3/3000</f>
        <v>0.8793333333333333</v>
      </c>
      <c r="I43" s="41">
        <f>I18/I3/3000</f>
        <v>0.58256944444444447</v>
      </c>
      <c r="J43" s="41">
        <f>J18/J3/3000</f>
        <v>0.48549999999999999</v>
      </c>
      <c r="K43" s="96">
        <f>K18/K3/3000</f>
        <v>0.34033333333333332</v>
      </c>
    </row>
    <row r="44" spans="2:11" ht="24.75" thickBot="1">
      <c r="B44" s="219"/>
      <c r="C44" s="211"/>
      <c r="D44" s="173" t="s">
        <v>13</v>
      </c>
      <c r="E44" s="173"/>
      <c r="F44" s="25" t="s">
        <v>70</v>
      </c>
      <c r="G44" s="97">
        <f>G30</f>
        <v>0.50222222222222224</v>
      </c>
      <c r="H44" s="42">
        <f>H30</f>
        <v>0.41428571428571426</v>
      </c>
      <c r="I44" s="42">
        <f>I30</f>
        <v>0.29636363636363638</v>
      </c>
      <c r="J44" s="42">
        <f>J30</f>
        <v>0.27346153846153842</v>
      </c>
      <c r="K44" s="43">
        <f>K30</f>
        <v>0.21825</v>
      </c>
    </row>
    <row r="45" spans="2:11" ht="24">
      <c r="B45" s="219"/>
      <c r="C45" s="212"/>
      <c r="D45" s="181" t="s">
        <v>71</v>
      </c>
      <c r="E45" s="179" t="s">
        <v>72</v>
      </c>
      <c r="F45" s="91" t="s">
        <v>70</v>
      </c>
      <c r="G45" s="104">
        <f>G43+G44</f>
        <v>1.9214814814814813</v>
      </c>
      <c r="H45" s="45">
        <f>H43+H44</f>
        <v>1.2936190476190474</v>
      </c>
      <c r="I45" s="45">
        <f>I43+I44</f>
        <v>0.87893308080808086</v>
      </c>
      <c r="J45" s="45">
        <f>J43+J44</f>
        <v>0.75896153846153847</v>
      </c>
      <c r="K45" s="46">
        <f>K43+K44</f>
        <v>0.55858333333333332</v>
      </c>
    </row>
    <row r="46" spans="2:11" ht="23.25" customHeight="1">
      <c r="B46" s="219"/>
      <c r="C46" s="212"/>
      <c r="D46" s="182"/>
      <c r="E46" s="180"/>
      <c r="F46" s="88" t="s">
        <v>73</v>
      </c>
      <c r="G46" s="99">
        <f>G45*100</f>
        <v>192.14814814814812</v>
      </c>
      <c r="H46" s="60">
        <f>H45*100</f>
        <v>129.36190476190475</v>
      </c>
      <c r="I46" s="60">
        <f>I45*100</f>
        <v>87.893308080808083</v>
      </c>
      <c r="J46" s="60">
        <f>J45*100</f>
        <v>75.896153846153851</v>
      </c>
      <c r="K46" s="61">
        <f>K45*100</f>
        <v>55.858333333333334</v>
      </c>
    </row>
    <row r="47" spans="2:11" ht="24">
      <c r="B47" s="219"/>
      <c r="C47" s="212"/>
      <c r="D47" s="182"/>
      <c r="E47" s="186" t="s">
        <v>74</v>
      </c>
      <c r="F47" s="92" t="s">
        <v>70</v>
      </c>
      <c r="G47" s="105">
        <f>G41+G42+G44</f>
        <v>1.7674074074074073</v>
      </c>
      <c r="H47" s="50">
        <f>H41+H42+H44</f>
        <v>1.186952380952381</v>
      </c>
      <c r="I47" s="50">
        <f>I41+I42+I44</f>
        <v>0.79448863636363631</v>
      </c>
      <c r="J47" s="50">
        <f>J41+J42+J44</f>
        <v>0.68073931623931627</v>
      </c>
      <c r="K47" s="51">
        <f>K41+K42+K44</f>
        <v>0.49695370370370368</v>
      </c>
    </row>
    <row r="48" spans="2:11" ht="24" customHeight="1" thickBot="1">
      <c r="B48" s="220"/>
      <c r="C48" s="213"/>
      <c r="D48" s="183"/>
      <c r="E48" s="187"/>
      <c r="F48" s="90" t="s">
        <v>73</v>
      </c>
      <c r="G48" s="101">
        <f>G47*100</f>
        <v>176.74074074074073</v>
      </c>
      <c r="H48" s="62">
        <f>H47*100</f>
        <v>118.6952380952381</v>
      </c>
      <c r="I48" s="62">
        <f>I47*100</f>
        <v>79.448863636363626</v>
      </c>
      <c r="J48" s="62">
        <f>J47*100</f>
        <v>68.073931623931628</v>
      </c>
      <c r="K48" s="63">
        <f>K47*100</f>
        <v>49.69537037037037</v>
      </c>
    </row>
    <row r="49" spans="2:11">
      <c r="B49" s="57"/>
      <c r="C49" s="57"/>
      <c r="D49" s="57"/>
      <c r="E49" s="57"/>
      <c r="F49" s="57"/>
      <c r="G49" s="57"/>
      <c r="H49" s="57"/>
      <c r="I49" s="57"/>
      <c r="J49" s="57"/>
      <c r="K49" s="57"/>
    </row>
    <row r="50" spans="2:11" ht="24" customHeight="1">
      <c r="B50" s="107" t="s">
        <v>26</v>
      </c>
      <c r="C50" s="57" t="s">
        <v>24</v>
      </c>
      <c r="D50" s="184" t="s">
        <v>27</v>
      </c>
      <c r="E50" s="185"/>
      <c r="F50" s="57"/>
      <c r="G50" s="57"/>
      <c r="H50" s="57"/>
      <c r="I50" s="57"/>
      <c r="J50" s="57"/>
      <c r="K50" s="57"/>
    </row>
    <row r="51" spans="2:11">
      <c r="B51" s="57"/>
      <c r="C51" s="174" t="s">
        <v>31</v>
      </c>
      <c r="D51" s="174"/>
      <c r="E51" s="174"/>
      <c r="F51" s="57"/>
      <c r="G51" s="57"/>
      <c r="H51" s="57"/>
      <c r="I51" s="57"/>
      <c r="J51" s="57"/>
      <c r="K51" s="57"/>
    </row>
    <row r="52" spans="2:11">
      <c r="C52" s="152" t="s">
        <v>78</v>
      </c>
    </row>
  </sheetData>
  <mergeCells count="38">
    <mergeCell ref="C9:E9"/>
    <mergeCell ref="C19:D19"/>
    <mergeCell ref="B1:K1"/>
    <mergeCell ref="C2:E2"/>
    <mergeCell ref="B3:B9"/>
    <mergeCell ref="C3:E3"/>
    <mergeCell ref="C4:E4"/>
    <mergeCell ref="C5:E5"/>
    <mergeCell ref="C6:E6"/>
    <mergeCell ref="C7:E7"/>
    <mergeCell ref="C8:E8"/>
    <mergeCell ref="E37:E38"/>
    <mergeCell ref="E39:E40"/>
    <mergeCell ref="C41:C48"/>
    <mergeCell ref="D37:D40"/>
    <mergeCell ref="B32:K32"/>
    <mergeCell ref="B33:B48"/>
    <mergeCell ref="C33:C40"/>
    <mergeCell ref="D33:D34"/>
    <mergeCell ref="D35:E35"/>
    <mergeCell ref="B10:B30"/>
    <mergeCell ref="C10:C17"/>
    <mergeCell ref="D17:E17"/>
    <mergeCell ref="D18:E18"/>
    <mergeCell ref="C20:C30"/>
    <mergeCell ref="D22:D24"/>
    <mergeCell ref="D26:D30"/>
    <mergeCell ref="D20:D21"/>
    <mergeCell ref="E20:E21"/>
    <mergeCell ref="D36:E36"/>
    <mergeCell ref="C51:E51"/>
    <mergeCell ref="D41:D42"/>
    <mergeCell ref="D43:E43"/>
    <mergeCell ref="D44:E44"/>
    <mergeCell ref="E45:E46"/>
    <mergeCell ref="D45:D48"/>
    <mergeCell ref="D50:E50"/>
    <mergeCell ref="E47:E48"/>
  </mergeCells>
  <phoneticPr fontId="1" type="noConversion"/>
  <pageMargins left="0.21" right="0.17" top="0.34" bottom="0.36" header="0.2" footer="0.19"/>
  <pageSetup paperSize="9" scale="9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selection activeCell="H38" sqref="H38"/>
    </sheetView>
  </sheetViews>
  <sheetFormatPr defaultRowHeight="14.25"/>
  <cols>
    <col min="1" max="1" width="1.375" style="1" customWidth="1"/>
    <col min="2" max="2" width="5.25" style="1" customWidth="1"/>
    <col min="3" max="3" width="14" style="1" customWidth="1"/>
    <col min="4" max="4" width="18.375" style="1" customWidth="1"/>
    <col min="5" max="5" width="17.5" style="1" customWidth="1"/>
    <col min="6" max="6" width="15" style="1" customWidth="1"/>
    <col min="7" max="7" width="12.875" style="1" bestFit="1" customWidth="1"/>
    <col min="8" max="8" width="11.25" style="1" customWidth="1"/>
    <col min="9" max="16384" width="9" style="1"/>
  </cols>
  <sheetData>
    <row r="1" spans="1:9" ht="34.5" customHeight="1" thickBot="1">
      <c r="A1" s="57"/>
      <c r="B1" s="229" t="s">
        <v>43</v>
      </c>
      <c r="C1" s="229"/>
      <c r="D1" s="229"/>
      <c r="E1" s="229"/>
      <c r="F1" s="229"/>
      <c r="G1" s="229"/>
      <c r="H1" s="229"/>
      <c r="I1" s="57"/>
    </row>
    <row r="2" spans="1:9" ht="28.5" customHeight="1" thickBot="1">
      <c r="A2" s="57"/>
      <c r="B2" s="3"/>
      <c r="C2" s="230" t="s">
        <v>0</v>
      </c>
      <c r="D2" s="230"/>
      <c r="E2" s="230"/>
      <c r="F2" s="68" t="s">
        <v>44</v>
      </c>
      <c r="G2" s="76" t="s">
        <v>36</v>
      </c>
      <c r="H2" s="5" t="s">
        <v>32</v>
      </c>
      <c r="I2" s="57"/>
    </row>
    <row r="3" spans="1:9" ht="15" thickTop="1">
      <c r="A3" s="57"/>
      <c r="B3" s="246" t="s">
        <v>3</v>
      </c>
      <c r="C3" s="234" t="s">
        <v>17</v>
      </c>
      <c r="D3" s="235"/>
      <c r="E3" s="236"/>
      <c r="F3" s="69" t="s">
        <v>18</v>
      </c>
      <c r="G3" s="77">
        <v>34</v>
      </c>
      <c r="H3" s="7">
        <v>26.7</v>
      </c>
      <c r="I3" s="57"/>
    </row>
    <row r="4" spans="1:9">
      <c r="A4" s="57"/>
      <c r="B4" s="247"/>
      <c r="C4" s="237" t="s">
        <v>4</v>
      </c>
      <c r="D4" s="237"/>
      <c r="E4" s="237"/>
      <c r="F4" s="70" t="s">
        <v>50</v>
      </c>
      <c r="G4" s="78">
        <v>320000</v>
      </c>
      <c r="H4" s="9">
        <v>300000</v>
      </c>
      <c r="I4" s="57"/>
    </row>
    <row r="5" spans="1:9">
      <c r="A5" s="57"/>
      <c r="B5" s="247"/>
      <c r="C5" s="205" t="s">
        <v>5</v>
      </c>
      <c r="D5" s="205"/>
      <c r="E5" s="205"/>
      <c r="F5" s="71" t="s">
        <v>51</v>
      </c>
      <c r="G5" s="55">
        <v>5.89</v>
      </c>
      <c r="H5" s="11">
        <v>12.02</v>
      </c>
      <c r="I5" s="57"/>
    </row>
    <row r="6" spans="1:9">
      <c r="A6" s="57"/>
      <c r="B6" s="247"/>
      <c r="C6" s="205" t="s">
        <v>34</v>
      </c>
      <c r="D6" s="205"/>
      <c r="E6" s="205"/>
      <c r="F6" s="71" t="s">
        <v>51</v>
      </c>
      <c r="G6" s="55">
        <v>2.35</v>
      </c>
      <c r="H6" s="11">
        <v>2.38</v>
      </c>
      <c r="I6" s="57"/>
    </row>
    <row r="7" spans="1:9">
      <c r="A7" s="57"/>
      <c r="B7" s="247"/>
      <c r="C7" s="205" t="s">
        <v>6</v>
      </c>
      <c r="D7" s="205"/>
      <c r="E7" s="205"/>
      <c r="F7" s="71" t="s">
        <v>19</v>
      </c>
      <c r="G7" s="79">
        <v>66</v>
      </c>
      <c r="H7" s="13">
        <f>H5*H6*H6</f>
        <v>68.08608799999999</v>
      </c>
      <c r="I7" s="57"/>
    </row>
    <row r="8" spans="1:9">
      <c r="A8" s="57"/>
      <c r="B8" s="247"/>
      <c r="C8" s="205" t="s">
        <v>7</v>
      </c>
      <c r="D8" s="205"/>
      <c r="E8" s="205"/>
      <c r="F8" s="72">
        <v>0.85</v>
      </c>
      <c r="G8" s="79">
        <f>G7*$F$8</f>
        <v>56.1</v>
      </c>
      <c r="H8" s="13">
        <f>H7*$F$8</f>
        <v>57.873174799999987</v>
      </c>
      <c r="I8" s="57"/>
    </row>
    <row r="9" spans="1:9">
      <c r="A9" s="57"/>
      <c r="B9" s="247"/>
      <c r="C9" s="226" t="s">
        <v>35</v>
      </c>
      <c r="D9" s="226"/>
      <c r="E9" s="226"/>
      <c r="F9" s="73" t="s">
        <v>52</v>
      </c>
      <c r="G9" s="80">
        <v>34</v>
      </c>
      <c r="H9" s="15">
        <v>26.7</v>
      </c>
      <c r="I9" s="57"/>
    </row>
    <row r="10" spans="1:9" ht="28.5" customHeight="1">
      <c r="A10" s="57"/>
      <c r="B10" s="248" t="s">
        <v>53</v>
      </c>
      <c r="C10" s="251" t="s">
        <v>54</v>
      </c>
      <c r="D10" s="10" t="s">
        <v>55</v>
      </c>
      <c r="E10" s="10">
        <v>60</v>
      </c>
      <c r="F10" s="71" t="s">
        <v>11</v>
      </c>
      <c r="G10" s="79">
        <f>G4/$E$10</f>
        <v>5333.333333333333</v>
      </c>
      <c r="H10" s="13">
        <f>H4/$E$10</f>
        <v>5000</v>
      </c>
      <c r="I10" s="57"/>
    </row>
    <row r="11" spans="1:9">
      <c r="A11" s="57"/>
      <c r="B11" s="249"/>
      <c r="C11" s="222"/>
      <c r="D11" s="10" t="s">
        <v>56</v>
      </c>
      <c r="E11" s="10"/>
      <c r="F11" s="71" t="s">
        <v>11</v>
      </c>
      <c r="G11" s="79">
        <v>400</v>
      </c>
      <c r="H11" s="13">
        <v>400</v>
      </c>
      <c r="I11" s="57"/>
    </row>
    <row r="12" spans="1:9">
      <c r="A12" s="57"/>
      <c r="B12" s="249"/>
      <c r="C12" s="222"/>
      <c r="D12" s="10" t="s">
        <v>57</v>
      </c>
      <c r="E12" s="10">
        <v>0</v>
      </c>
      <c r="F12" s="71" t="s">
        <v>11</v>
      </c>
      <c r="G12" s="55">
        <v>0</v>
      </c>
      <c r="H12" s="11">
        <v>0</v>
      </c>
      <c r="I12" s="57"/>
    </row>
    <row r="13" spans="1:9">
      <c r="A13" s="57"/>
      <c r="B13" s="249"/>
      <c r="C13" s="222"/>
      <c r="D13" s="10" t="s">
        <v>79</v>
      </c>
      <c r="E13" s="10"/>
      <c r="F13" s="71" t="s">
        <v>11</v>
      </c>
      <c r="G13" s="55">
        <v>200</v>
      </c>
      <c r="H13" s="11">
        <v>200</v>
      </c>
      <c r="I13" s="57"/>
    </row>
    <row r="14" spans="1:9">
      <c r="A14" s="57"/>
      <c r="B14" s="249"/>
      <c r="C14" s="222"/>
      <c r="D14" s="10" t="s">
        <v>8</v>
      </c>
      <c r="E14" s="10"/>
      <c r="F14" s="71" t="s">
        <v>11</v>
      </c>
      <c r="G14" s="79">
        <v>113</v>
      </c>
      <c r="H14" s="13">
        <v>113</v>
      </c>
      <c r="I14" s="57"/>
    </row>
    <row r="15" spans="1:9">
      <c r="A15" s="57"/>
      <c r="B15" s="249"/>
      <c r="C15" s="222"/>
      <c r="D15" s="10" t="s">
        <v>60</v>
      </c>
      <c r="E15" s="10">
        <v>11000</v>
      </c>
      <c r="F15" s="71" t="s">
        <v>11</v>
      </c>
      <c r="G15" s="55">
        <v>11000</v>
      </c>
      <c r="H15" s="11">
        <v>11000</v>
      </c>
      <c r="I15" s="166" t="s">
        <v>97</v>
      </c>
    </row>
    <row r="16" spans="1:9">
      <c r="A16" s="57"/>
      <c r="B16" s="249"/>
      <c r="C16" s="222"/>
      <c r="D16" s="10" t="s">
        <v>61</v>
      </c>
      <c r="E16" s="10">
        <v>100</v>
      </c>
      <c r="F16" s="71" t="s">
        <v>11</v>
      </c>
      <c r="G16" s="55">
        <v>100</v>
      </c>
      <c r="H16" s="11">
        <v>100</v>
      </c>
      <c r="I16" s="57"/>
    </row>
    <row r="17" spans="1:11">
      <c r="A17" s="57"/>
      <c r="B17" s="249"/>
      <c r="C17" s="222"/>
      <c r="D17" s="71" t="s">
        <v>80</v>
      </c>
      <c r="E17" s="19"/>
      <c r="F17" s="71" t="s">
        <v>11</v>
      </c>
      <c r="G17" s="55">
        <v>0</v>
      </c>
      <c r="H17" s="11">
        <v>0</v>
      </c>
      <c r="I17" s="57"/>
    </row>
    <row r="18" spans="1:11">
      <c r="A18" s="57"/>
      <c r="B18" s="249"/>
      <c r="C18" s="222"/>
      <c r="D18" s="244" t="s">
        <v>14</v>
      </c>
      <c r="E18" s="245"/>
      <c r="F18" s="108" t="s">
        <v>11</v>
      </c>
      <c r="G18" s="109">
        <f>G11+G12+G13+G14+G15+G16+G17</f>
        <v>11813</v>
      </c>
      <c r="H18" s="110">
        <f>H11+H12+H13+H14+H15+H16+H17</f>
        <v>11813</v>
      </c>
      <c r="I18" s="57"/>
    </row>
    <row r="19" spans="1:11">
      <c r="A19" s="57"/>
      <c r="B19" s="249"/>
      <c r="C19" s="222"/>
      <c r="D19" s="244" t="s">
        <v>21</v>
      </c>
      <c r="E19" s="245"/>
      <c r="F19" s="108" t="s">
        <v>11</v>
      </c>
      <c r="G19" s="109">
        <f>G18+G10</f>
        <v>17146.333333333332</v>
      </c>
      <c r="H19" s="110">
        <f>H18+H10</f>
        <v>16813</v>
      </c>
      <c r="I19" s="57"/>
    </row>
    <row r="20" spans="1:11">
      <c r="A20" s="57"/>
      <c r="B20" s="249"/>
      <c r="C20" s="252"/>
      <c r="D20" s="111" t="s">
        <v>2</v>
      </c>
      <c r="E20" s="112">
        <v>500000</v>
      </c>
      <c r="F20" s="75" t="s">
        <v>38</v>
      </c>
      <c r="G20" s="84">
        <f>G4/$E$20</f>
        <v>0.64</v>
      </c>
      <c r="H20" s="85">
        <f>H4/$E$20</f>
        <v>0.6</v>
      </c>
      <c r="I20" s="57"/>
    </row>
    <row r="21" spans="1:11">
      <c r="A21" s="57"/>
      <c r="B21" s="249"/>
      <c r="C21" s="195" t="s">
        <v>13</v>
      </c>
      <c r="D21" s="10" t="s">
        <v>62</v>
      </c>
      <c r="E21" s="10"/>
      <c r="F21" s="71" t="s">
        <v>63</v>
      </c>
      <c r="G21" s="55">
        <v>0.36</v>
      </c>
      <c r="H21" s="11">
        <v>0.36</v>
      </c>
      <c r="I21" s="57"/>
    </row>
    <row r="22" spans="1:11">
      <c r="A22" s="57"/>
      <c r="B22" s="249"/>
      <c r="C22" s="196"/>
      <c r="D22" s="10" t="s">
        <v>64</v>
      </c>
      <c r="E22" s="10">
        <v>7.5</v>
      </c>
      <c r="F22" s="71" t="s">
        <v>38</v>
      </c>
      <c r="G22" s="86">
        <f>G21*$E$22</f>
        <v>2.6999999999999997</v>
      </c>
      <c r="H22" s="23">
        <f>H21*$E$22</f>
        <v>2.6999999999999997</v>
      </c>
      <c r="I22" s="57"/>
    </row>
    <row r="23" spans="1:11">
      <c r="A23" s="57"/>
      <c r="B23" s="249"/>
      <c r="C23" s="196"/>
      <c r="D23" s="198" t="s">
        <v>30</v>
      </c>
      <c r="E23" s="10" t="s">
        <v>28</v>
      </c>
      <c r="F23" s="71" t="s">
        <v>38</v>
      </c>
      <c r="G23" s="55">
        <v>0.12</v>
      </c>
      <c r="H23" s="11">
        <v>0.12</v>
      </c>
      <c r="I23" s="57"/>
    </row>
    <row r="24" spans="1:11">
      <c r="A24" s="57"/>
      <c r="B24" s="249"/>
      <c r="C24" s="196"/>
      <c r="D24" s="199"/>
      <c r="E24" s="10" t="s">
        <v>29</v>
      </c>
      <c r="F24" s="71" t="s">
        <v>38</v>
      </c>
      <c r="G24" s="55">
        <v>0.12</v>
      </c>
      <c r="H24" s="11">
        <v>0.12</v>
      </c>
      <c r="I24" s="57"/>
    </row>
    <row r="25" spans="1:11">
      <c r="A25" s="57"/>
      <c r="B25" s="249"/>
      <c r="C25" s="196"/>
      <c r="D25" s="200"/>
      <c r="E25" s="10" t="s">
        <v>65</v>
      </c>
      <c r="F25" s="71" t="s">
        <v>38</v>
      </c>
      <c r="G25" s="86">
        <v>0.27</v>
      </c>
      <c r="H25" s="23">
        <v>0.27</v>
      </c>
      <c r="I25" s="57"/>
    </row>
    <row r="26" spans="1:11">
      <c r="A26" s="57"/>
      <c r="B26" s="249"/>
      <c r="C26" s="196"/>
      <c r="D26" s="24" t="s">
        <v>10</v>
      </c>
      <c r="E26" s="24"/>
      <c r="F26" s="25" t="s">
        <v>9</v>
      </c>
      <c r="G26" s="157">
        <v>1.8</v>
      </c>
      <c r="H26" s="158">
        <v>1.8</v>
      </c>
      <c r="I26" s="57"/>
    </row>
    <row r="27" spans="1:11" ht="15" thickBot="1">
      <c r="A27" s="57"/>
      <c r="B27" s="249"/>
      <c r="C27" s="196"/>
      <c r="D27" s="24"/>
      <c r="E27" s="22"/>
      <c r="F27" s="25"/>
      <c r="G27" s="113"/>
      <c r="H27" s="114"/>
      <c r="I27" s="57"/>
    </row>
    <row r="28" spans="1:11" ht="21" customHeight="1" thickBot="1">
      <c r="A28" s="57"/>
      <c r="B28" s="250"/>
      <c r="C28" s="197"/>
      <c r="D28" s="115" t="s">
        <v>12</v>
      </c>
      <c r="E28" s="116" t="s">
        <v>37</v>
      </c>
      <c r="F28" s="117" t="s">
        <v>38</v>
      </c>
      <c r="G28" s="118">
        <f>SUM(G22:G27)</f>
        <v>5.01</v>
      </c>
      <c r="H28" s="119">
        <f>SUM(H22:H27)</f>
        <v>5.01</v>
      </c>
      <c r="I28" s="57"/>
    </row>
    <row r="29" spans="1:11">
      <c r="A29" s="57"/>
      <c r="B29" s="33"/>
      <c r="C29" s="33"/>
      <c r="D29" s="34"/>
      <c r="E29" s="120"/>
      <c r="F29" s="121"/>
      <c r="G29" s="122"/>
      <c r="H29" s="122"/>
      <c r="I29" s="57"/>
    </row>
    <row r="30" spans="1:11" ht="15" customHeight="1" thickBot="1">
      <c r="A30" s="57"/>
      <c r="B30" s="217" t="s">
        <v>76</v>
      </c>
      <c r="C30" s="217"/>
      <c r="D30" s="217"/>
      <c r="E30" s="217"/>
      <c r="F30" s="217"/>
      <c r="G30" s="217"/>
      <c r="H30" s="217"/>
      <c r="I30" s="106"/>
      <c r="J30" s="106"/>
      <c r="K30" s="106"/>
    </row>
    <row r="31" spans="1:11" ht="14.25" customHeight="1">
      <c r="A31" s="57"/>
      <c r="B31" s="218" t="s">
        <v>68</v>
      </c>
      <c r="C31" s="253" t="s">
        <v>69</v>
      </c>
      <c r="D31" s="225" t="s">
        <v>22</v>
      </c>
      <c r="E31" s="37" t="s">
        <v>15</v>
      </c>
      <c r="F31" s="16" t="s">
        <v>70</v>
      </c>
      <c r="G31" s="38">
        <f>G18/27000/G3</f>
        <v>1.2868191721132897E-2</v>
      </c>
      <c r="H31" s="94">
        <f>H18/27000/H3</f>
        <v>1.6386461367734778E-2</v>
      </c>
      <c r="I31" s="57"/>
    </row>
    <row r="32" spans="1:11">
      <c r="A32" s="57"/>
      <c r="B32" s="219"/>
      <c r="C32" s="223"/>
      <c r="D32" s="176"/>
      <c r="E32" s="40" t="s">
        <v>16</v>
      </c>
      <c r="F32" s="10" t="s">
        <v>70</v>
      </c>
      <c r="G32" s="41">
        <f>G20/G3</f>
        <v>1.8823529411764708E-2</v>
      </c>
      <c r="H32" s="96">
        <f>H20/H3</f>
        <v>2.247191011235955E-2</v>
      </c>
      <c r="I32" s="57"/>
    </row>
    <row r="33" spans="1:9">
      <c r="A33" s="57"/>
      <c r="B33" s="219"/>
      <c r="C33" s="223"/>
      <c r="D33" s="177" t="s">
        <v>23</v>
      </c>
      <c r="E33" s="178"/>
      <c r="F33" s="10" t="s">
        <v>70</v>
      </c>
      <c r="G33" s="41">
        <f>G19/27000/G9</f>
        <v>1.8677923021060278E-2</v>
      </c>
      <c r="H33" s="96">
        <f>H19/27000/H3</f>
        <v>2.3322236093771678E-2</v>
      </c>
      <c r="I33" s="57"/>
    </row>
    <row r="34" spans="1:9" ht="15" thickBot="1">
      <c r="A34" s="57"/>
      <c r="B34" s="219"/>
      <c r="C34" s="223"/>
      <c r="D34" s="173" t="s">
        <v>13</v>
      </c>
      <c r="E34" s="173"/>
      <c r="F34" s="24" t="s">
        <v>70</v>
      </c>
      <c r="G34" s="42">
        <f>G28/G9</f>
        <v>0.14735294117647058</v>
      </c>
      <c r="H34" s="42">
        <f>H28/H9</f>
        <v>0.18764044943820224</v>
      </c>
      <c r="I34" s="57"/>
    </row>
    <row r="35" spans="1:9">
      <c r="A35" s="57"/>
      <c r="B35" s="219"/>
      <c r="C35" s="223"/>
      <c r="D35" s="240" t="s">
        <v>71</v>
      </c>
      <c r="E35" s="179" t="s">
        <v>72</v>
      </c>
      <c r="F35" s="44" t="s">
        <v>70</v>
      </c>
      <c r="G35" s="45">
        <f>G33+G34</f>
        <v>0.16603086419753085</v>
      </c>
      <c r="H35" s="46">
        <f>H33+H34</f>
        <v>0.21096268553197392</v>
      </c>
      <c r="I35" s="57"/>
    </row>
    <row r="36" spans="1:9">
      <c r="A36" s="57"/>
      <c r="B36" s="219"/>
      <c r="C36" s="223"/>
      <c r="D36" s="241"/>
      <c r="E36" s="180"/>
      <c r="F36" s="47" t="s">
        <v>73</v>
      </c>
      <c r="G36" s="48">
        <f>G35*1800</f>
        <v>298.85555555555555</v>
      </c>
      <c r="H36" s="49">
        <f>H35*1800</f>
        <v>379.73283395755305</v>
      </c>
      <c r="I36" s="57"/>
    </row>
    <row r="37" spans="1:9">
      <c r="A37" s="57"/>
      <c r="B37" s="219"/>
      <c r="C37" s="223"/>
      <c r="D37" s="241" t="s">
        <v>71</v>
      </c>
      <c r="E37" s="186" t="s">
        <v>74</v>
      </c>
      <c r="F37" s="47" t="s">
        <v>70</v>
      </c>
      <c r="G37" s="50">
        <f>G31+G32+G34</f>
        <v>0.17904466230936816</v>
      </c>
      <c r="H37" s="51">
        <f>H31+H32+H34</f>
        <v>0.22649882091829657</v>
      </c>
      <c r="I37" s="57"/>
    </row>
    <row r="38" spans="1:9" ht="15" thickBot="1">
      <c r="A38" s="57"/>
      <c r="B38" s="219"/>
      <c r="C38" s="224"/>
      <c r="D38" s="242"/>
      <c r="E38" s="187"/>
      <c r="F38" s="52" t="s">
        <v>73</v>
      </c>
      <c r="G38" s="53">
        <f>G37*1800</f>
        <v>322.28039215686272</v>
      </c>
      <c r="H38" s="54">
        <f>H37*1800</f>
        <v>407.69787765293381</v>
      </c>
      <c r="I38" s="57"/>
    </row>
    <row r="39" spans="1:9" ht="14.25" customHeight="1">
      <c r="A39" s="57"/>
      <c r="B39" s="219"/>
      <c r="C39" s="238" t="s">
        <v>85</v>
      </c>
      <c r="D39" s="175" t="s">
        <v>22</v>
      </c>
      <c r="E39" s="39" t="s">
        <v>15</v>
      </c>
      <c r="F39" s="8" t="s">
        <v>70</v>
      </c>
      <c r="G39" s="56">
        <f>G18/3000/G3</f>
        <v>0.11581372549019608</v>
      </c>
      <c r="H39" s="103">
        <f>H18/3000/H3</f>
        <v>0.147478152309613</v>
      </c>
      <c r="I39" s="57"/>
    </row>
    <row r="40" spans="1:9">
      <c r="A40" s="57"/>
      <c r="B40" s="219"/>
      <c r="C40" s="223"/>
      <c r="D40" s="176"/>
      <c r="E40" s="40" t="s">
        <v>16</v>
      </c>
      <c r="F40" s="10" t="s">
        <v>70</v>
      </c>
      <c r="G40" s="41">
        <f>G20/G3</f>
        <v>1.8823529411764708E-2</v>
      </c>
      <c r="H40" s="96">
        <f>H20/H3</f>
        <v>2.247191011235955E-2</v>
      </c>
      <c r="I40" s="57"/>
    </row>
    <row r="41" spans="1:9" ht="14.25" customHeight="1">
      <c r="A41" s="57"/>
      <c r="B41" s="219"/>
      <c r="C41" s="223"/>
      <c r="D41" s="177" t="s">
        <v>23</v>
      </c>
      <c r="E41" s="178"/>
      <c r="F41" s="10" t="s">
        <v>70</v>
      </c>
      <c r="G41" s="41">
        <f>G19/G3/3000</f>
        <v>0.16810130718954247</v>
      </c>
      <c r="H41" s="96">
        <f>H19/H3/3000</f>
        <v>0.20990012484394507</v>
      </c>
      <c r="I41" s="57"/>
    </row>
    <row r="42" spans="1:9" ht="15" thickBot="1">
      <c r="A42" s="57"/>
      <c r="B42" s="219"/>
      <c r="C42" s="223"/>
      <c r="D42" s="173" t="s">
        <v>13</v>
      </c>
      <c r="E42" s="173"/>
      <c r="F42" s="24" t="s">
        <v>70</v>
      </c>
      <c r="G42" s="42">
        <f>G34</f>
        <v>0.14735294117647058</v>
      </c>
      <c r="H42" s="42">
        <f>H34</f>
        <v>0.18764044943820224</v>
      </c>
      <c r="I42" s="57"/>
    </row>
    <row r="43" spans="1:9">
      <c r="A43" s="57"/>
      <c r="B43" s="219"/>
      <c r="C43" s="223"/>
      <c r="D43" s="240" t="s">
        <v>71</v>
      </c>
      <c r="E43" s="179" t="s">
        <v>72</v>
      </c>
      <c r="F43" s="44" t="s">
        <v>70</v>
      </c>
      <c r="G43" s="45">
        <f>G41+G42</f>
        <v>0.31545424836601305</v>
      </c>
      <c r="H43" s="46">
        <f>H41+H42</f>
        <v>0.39754057428214729</v>
      </c>
      <c r="I43" s="57"/>
    </row>
    <row r="44" spans="1:9">
      <c r="A44" s="57"/>
      <c r="B44" s="219"/>
      <c r="C44" s="223"/>
      <c r="D44" s="241"/>
      <c r="E44" s="180"/>
      <c r="F44" s="47" t="s">
        <v>73</v>
      </c>
      <c r="G44" s="48">
        <f>G43*100</f>
        <v>31.545424836601306</v>
      </c>
      <c r="H44" s="49">
        <f>H43*100</f>
        <v>39.754057428214729</v>
      </c>
      <c r="I44" s="57"/>
    </row>
    <row r="45" spans="1:9">
      <c r="A45" s="57"/>
      <c r="B45" s="219"/>
      <c r="C45" s="223"/>
      <c r="D45" s="241" t="s">
        <v>71</v>
      </c>
      <c r="E45" s="186" t="s">
        <v>74</v>
      </c>
      <c r="F45" s="47" t="s">
        <v>70</v>
      </c>
      <c r="G45" s="50">
        <f>G39+G40+G42</f>
        <v>0.28199019607843134</v>
      </c>
      <c r="H45" s="51">
        <f>H39+H40+H42</f>
        <v>0.35759051186017476</v>
      </c>
      <c r="I45" s="57"/>
    </row>
    <row r="46" spans="1:9" ht="15" thickBot="1">
      <c r="A46" s="57"/>
      <c r="B46" s="220"/>
      <c r="C46" s="239"/>
      <c r="D46" s="242"/>
      <c r="E46" s="187"/>
      <c r="F46" s="52" t="s">
        <v>73</v>
      </c>
      <c r="G46" s="53">
        <f>G45*100</f>
        <v>28.199019607843134</v>
      </c>
      <c r="H46" s="54">
        <f>H45*100</f>
        <v>35.759051186017473</v>
      </c>
      <c r="I46" s="57"/>
    </row>
    <row r="47" spans="1:9">
      <c r="A47" s="57"/>
      <c r="B47" s="57"/>
      <c r="C47" s="57"/>
      <c r="D47" s="57"/>
      <c r="E47" s="57"/>
      <c r="F47" s="57"/>
      <c r="G47" s="57"/>
      <c r="H47" s="57"/>
      <c r="I47" s="57"/>
    </row>
    <row r="48" spans="1:9">
      <c r="A48" s="57"/>
      <c r="B48" s="107" t="s">
        <v>26</v>
      </c>
      <c r="C48" s="57" t="s">
        <v>24</v>
      </c>
      <c r="D48" s="58" t="s">
        <v>81</v>
      </c>
      <c r="E48" s="59"/>
      <c r="F48" s="57"/>
      <c r="G48" s="57"/>
      <c r="H48" s="57"/>
      <c r="I48" s="57"/>
    </row>
    <row r="49" spans="1:9">
      <c r="A49" s="57"/>
      <c r="B49" s="57"/>
      <c r="C49" s="243" t="s">
        <v>25</v>
      </c>
      <c r="D49" s="174"/>
      <c r="E49" s="174"/>
      <c r="F49" s="57"/>
      <c r="G49" s="57"/>
      <c r="H49" s="57"/>
      <c r="I49" s="57"/>
    </row>
    <row r="50" spans="1:9">
      <c r="A50" s="57"/>
      <c r="B50" s="57"/>
      <c r="C50" s="151" t="s">
        <v>78</v>
      </c>
      <c r="D50" s="123"/>
      <c r="E50" s="123"/>
      <c r="F50" s="57"/>
      <c r="G50" s="57"/>
      <c r="H50" s="57"/>
      <c r="I50" s="57"/>
    </row>
  </sheetData>
  <mergeCells count="35">
    <mergeCell ref="C6:E6"/>
    <mergeCell ref="C7:E7"/>
    <mergeCell ref="D33:E33"/>
    <mergeCell ref="D19:E19"/>
    <mergeCell ref="C10:C20"/>
    <mergeCell ref="B30:H30"/>
    <mergeCell ref="C31:C38"/>
    <mergeCell ref="B1:H1"/>
    <mergeCell ref="D18:E18"/>
    <mergeCell ref="C3:E3"/>
    <mergeCell ref="B3:B9"/>
    <mergeCell ref="C8:E8"/>
    <mergeCell ref="C9:E9"/>
    <mergeCell ref="C4:E4"/>
    <mergeCell ref="C5:E5"/>
    <mergeCell ref="B10:B28"/>
    <mergeCell ref="C2:E2"/>
    <mergeCell ref="C49:E49"/>
    <mergeCell ref="D23:D25"/>
    <mergeCell ref="D45:D46"/>
    <mergeCell ref="E35:E36"/>
    <mergeCell ref="E37:E38"/>
    <mergeCell ref="E43:E44"/>
    <mergeCell ref="D34:E34"/>
    <mergeCell ref="D43:D44"/>
    <mergeCell ref="C21:C28"/>
    <mergeCell ref="E45:E46"/>
    <mergeCell ref="C39:C46"/>
    <mergeCell ref="B31:B46"/>
    <mergeCell ref="D31:D32"/>
    <mergeCell ref="D39:D40"/>
    <mergeCell ref="D42:E42"/>
    <mergeCell ref="D41:E41"/>
    <mergeCell ref="D35:D36"/>
    <mergeCell ref="D37:D38"/>
  </mergeCells>
  <phoneticPr fontId="1" type="noConversion"/>
  <pageMargins left="0.18" right="0.17" top="0.3" bottom="0.32" header="0.17" footer="0.18"/>
  <pageSetup paperSize="9"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P13" sqref="P13"/>
    </sheetView>
  </sheetViews>
  <sheetFormatPr defaultRowHeight="14.25"/>
  <cols>
    <col min="1" max="1" width="9.5" customWidth="1"/>
  </cols>
  <sheetData>
    <row r="1" spans="1:14">
      <c r="A1" s="160" t="s">
        <v>89</v>
      </c>
      <c r="B1" s="160" t="s">
        <v>91</v>
      </c>
      <c r="C1" s="161" t="s">
        <v>45</v>
      </c>
      <c r="D1" s="161" t="s">
        <v>46</v>
      </c>
      <c r="E1" s="161" t="s">
        <v>47</v>
      </c>
      <c r="F1" s="161" t="s">
        <v>48</v>
      </c>
      <c r="G1" s="161" t="s">
        <v>49</v>
      </c>
      <c r="H1" s="161" t="s">
        <v>90</v>
      </c>
    </row>
    <row r="2" spans="1:14">
      <c r="A2" s="162" t="s">
        <v>92</v>
      </c>
      <c r="B2" s="163" t="s">
        <v>93</v>
      </c>
      <c r="C2" s="164">
        <v>1747.7037037037039</v>
      </c>
      <c r="D2" s="164">
        <v>1294.5333333333333</v>
      </c>
      <c r="E2" s="164">
        <v>909.125</v>
      </c>
      <c r="F2" s="164">
        <v>791.75555555555547</v>
      </c>
      <c r="G2" s="164">
        <v>635.00740740740753</v>
      </c>
      <c r="H2" s="164">
        <v>408</v>
      </c>
    </row>
    <row r="3" spans="1:14">
      <c r="A3" s="162" t="s">
        <v>94</v>
      </c>
      <c r="B3" s="162" t="s">
        <v>95</v>
      </c>
      <c r="C3" s="165">
        <f t="shared" ref="C3:H3" si="0">C2/1000</f>
        <v>1.747703703703704</v>
      </c>
      <c r="D3" s="165">
        <f t="shared" si="0"/>
        <v>1.2945333333333333</v>
      </c>
      <c r="E3" s="165">
        <f t="shared" si="0"/>
        <v>0.90912499999999996</v>
      </c>
      <c r="F3" s="165">
        <f t="shared" si="0"/>
        <v>0.79175555555555543</v>
      </c>
      <c r="G3" s="165">
        <f t="shared" si="0"/>
        <v>0.63500740740740758</v>
      </c>
      <c r="H3" s="165">
        <f t="shared" si="0"/>
        <v>0.40799999999999997</v>
      </c>
    </row>
    <row r="4" spans="1:14">
      <c r="M4" s="159"/>
      <c r="N4" s="159"/>
    </row>
    <row r="23" spans="13:13">
      <c r="M23" s="172"/>
    </row>
    <row r="24" spans="13:13">
      <c r="M24" s="172"/>
    </row>
  </sheetData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closed truck</vt:lpstr>
      <vt:lpstr>container</vt:lpstr>
      <vt:lpstr>Sheet1</vt:lpstr>
    </vt:vector>
  </TitlesOfParts>
  <Company>Orient Overseas Container Line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YANGLY</dc:creator>
  <cp:lastModifiedBy>系统管理员</cp:lastModifiedBy>
  <cp:lastPrinted>2007-10-09T06:20:34Z</cp:lastPrinted>
  <dcterms:created xsi:type="dcterms:W3CDTF">2003-12-03T06:32:24Z</dcterms:created>
  <dcterms:modified xsi:type="dcterms:W3CDTF">2015-03-25T03:40:09Z</dcterms:modified>
</cp:coreProperties>
</file>