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rshjain/Downloads/"/>
    </mc:Choice>
  </mc:AlternateContent>
  <xr:revisionPtr revIDLastSave="0" documentId="13_ncr:1_{2EA65FA9-E59F-284B-96AB-2D43B571AA2D}" xr6:coauthVersionLast="47" xr6:coauthVersionMax="47" xr10:uidLastSave="{00000000-0000-0000-0000-000000000000}"/>
  <bookViews>
    <workbookView xWindow="0" yWindow="500" windowWidth="28800" windowHeight="16340" xr2:uid="{2D6D3F16-3012-7649-B7EE-BC9B80634EAE}"/>
  </bookViews>
  <sheets>
    <sheet name="GROUP AND COMPANY ANALYSIS" sheetId="9" r:id="rId1"/>
    <sheet name="COMPANY'S SD AND RETURNS" sheetId="10" r:id="rId2"/>
    <sheet name="R and COV CALCULATIONS" sheetId="7" r:id="rId3"/>
    <sheet name="MATRIX" sheetId="6" r:id="rId4"/>
    <sheet name="PORTFOLIO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E28" i="10"/>
  <c r="D28" i="10"/>
  <c r="C28" i="10"/>
  <c r="B28" i="10"/>
  <c r="F27" i="10"/>
  <c r="G9" i="6" s="1"/>
  <c r="G10" i="8" s="1"/>
  <c r="E27" i="10"/>
  <c r="F8" i="6" s="1"/>
  <c r="F9" i="8" s="1"/>
  <c r="D27" i="10"/>
  <c r="E7" i="6" s="1"/>
  <c r="E8" i="8" s="1"/>
  <c r="C27" i="10"/>
  <c r="D6" i="6" s="1"/>
  <c r="D7" i="8" s="1"/>
  <c r="B27" i="10"/>
  <c r="C5" i="6" s="1"/>
  <c r="C6" i="8" s="1"/>
  <c r="D14" i="8" l="1"/>
  <c r="B67" i="8" s="1"/>
  <c r="D51" i="7" l="1"/>
  <c r="D35" i="7"/>
  <c r="D17" i="7"/>
  <c r="D18" i="7" s="1"/>
  <c r="D169" i="7"/>
  <c r="D152" i="7"/>
  <c r="D135" i="7"/>
  <c r="D118" i="7"/>
  <c r="D101" i="7"/>
  <c r="D67" i="7"/>
  <c r="D50" i="7"/>
  <c r="D34" i="7"/>
  <c r="D32" i="8"/>
  <c r="B68" i="8" s="1"/>
  <c r="G6" i="8" l="1"/>
  <c r="F6" i="8"/>
  <c r="E6" i="8"/>
  <c r="A10" i="8"/>
  <c r="A9" i="8"/>
  <c r="A8" i="8"/>
  <c r="A7" i="8"/>
  <c r="A6" i="8"/>
  <c r="G8" i="8"/>
  <c r="E10" i="8" s="1"/>
  <c r="F7" i="8"/>
  <c r="D9" i="8" s="1"/>
  <c r="D68" i="7"/>
  <c r="G9" i="8"/>
  <c r="F10" i="8" s="1"/>
  <c r="F8" i="8"/>
  <c r="E9" i="8" s="1"/>
  <c r="F7" i="6"/>
  <c r="E8" i="6" s="1"/>
  <c r="G8" i="6"/>
  <c r="F9" i="6" s="1"/>
  <c r="G6" i="6"/>
  <c r="D9" i="6" s="1"/>
  <c r="G5" i="6"/>
  <c r="C9" i="6" s="1"/>
  <c r="F5" i="6"/>
  <c r="C8" i="6" s="1"/>
  <c r="D5" i="6"/>
  <c r="A30" i="8"/>
  <c r="H23" i="8"/>
  <c r="D170" i="7"/>
  <c r="D136" i="7"/>
  <c r="G7" i="8" s="1"/>
  <c r="D10" i="8" s="1"/>
  <c r="D119" i="7"/>
  <c r="D56" i="8"/>
  <c r="B69" i="8" s="1"/>
  <c r="H47" i="8"/>
  <c r="A54" i="8"/>
  <c r="D59" i="8"/>
  <c r="D60" i="8" s="1"/>
  <c r="C69" i="8" s="1"/>
  <c r="D102" i="7"/>
  <c r="D166" i="7"/>
  <c r="C165" i="7"/>
  <c r="C164" i="7"/>
  <c r="C163" i="7"/>
  <c r="C162" i="7"/>
  <c r="C161" i="7"/>
  <c r="C160" i="7"/>
  <c r="C159" i="7"/>
  <c r="D149" i="7"/>
  <c r="C148" i="7"/>
  <c r="C147" i="7"/>
  <c r="C146" i="7"/>
  <c r="C145" i="7"/>
  <c r="C144" i="7"/>
  <c r="C143" i="7"/>
  <c r="C142" i="7"/>
  <c r="E131" i="7"/>
  <c r="F131" i="7" s="1"/>
  <c r="E130" i="7"/>
  <c r="E129" i="7"/>
  <c r="E128" i="7"/>
  <c r="E127" i="7"/>
  <c r="E126" i="7"/>
  <c r="E125" i="7"/>
  <c r="C131" i="7"/>
  <c r="C130" i="7"/>
  <c r="C129" i="7"/>
  <c r="C128" i="7"/>
  <c r="C127" i="7"/>
  <c r="F127" i="7" s="1"/>
  <c r="C126" i="7"/>
  <c r="C125" i="7"/>
  <c r="F125" i="7" s="1"/>
  <c r="D115" i="7"/>
  <c r="B115" i="7"/>
  <c r="C114" i="7"/>
  <c r="D98" i="7"/>
  <c r="C97" i="7"/>
  <c r="C96" i="7"/>
  <c r="C95" i="7"/>
  <c r="C94" i="7"/>
  <c r="C93" i="7"/>
  <c r="C92" i="7"/>
  <c r="C91" i="7"/>
  <c r="D81" i="7"/>
  <c r="C80" i="7"/>
  <c r="C79" i="7"/>
  <c r="C78" i="7"/>
  <c r="C77" i="7"/>
  <c r="C76" i="7"/>
  <c r="C75" i="7"/>
  <c r="C74" i="7"/>
  <c r="E58" i="7"/>
  <c r="E59" i="7"/>
  <c r="E60" i="7"/>
  <c r="E61" i="7"/>
  <c r="E62" i="7"/>
  <c r="E63" i="7"/>
  <c r="E57" i="7"/>
  <c r="B64" i="7"/>
  <c r="D47" i="7"/>
  <c r="E42" i="7" s="1"/>
  <c r="B47" i="7"/>
  <c r="D31" i="7"/>
  <c r="E25" i="7" s="1"/>
  <c r="B31" i="7"/>
  <c r="E8" i="7"/>
  <c r="E9" i="7"/>
  <c r="E10" i="7"/>
  <c r="E11" i="7"/>
  <c r="E12" i="7"/>
  <c r="E13" i="7"/>
  <c r="E7" i="7"/>
  <c r="B14" i="7"/>
  <c r="C24" i="7" s="1"/>
  <c r="D62" i="8" l="1"/>
  <c r="F126" i="7"/>
  <c r="E108" i="7"/>
  <c r="C60" i="7"/>
  <c r="F60" i="7" s="1"/>
  <c r="E112" i="7"/>
  <c r="F130" i="7"/>
  <c r="E109" i="7"/>
  <c r="C61" i="7"/>
  <c r="F61" i="7" s="1"/>
  <c r="E75" i="7"/>
  <c r="F75" i="7" s="1"/>
  <c r="E114" i="7"/>
  <c r="F114" i="7" s="1"/>
  <c r="E143" i="7"/>
  <c r="F143" i="7" s="1"/>
  <c r="F128" i="7"/>
  <c r="F129" i="7"/>
  <c r="E77" i="7"/>
  <c r="F77" i="7" s="1"/>
  <c r="E144" i="7"/>
  <c r="F144" i="7" s="1"/>
  <c r="C6" i="6"/>
  <c r="D6" i="8"/>
  <c r="C7" i="8" s="1"/>
  <c r="C8" i="8"/>
  <c r="G7" i="6"/>
  <c r="E9" i="6" s="1"/>
  <c r="D153" i="7"/>
  <c r="F6" i="6"/>
  <c r="D8" i="6" s="1"/>
  <c r="C10" i="8"/>
  <c r="C9" i="8"/>
  <c r="E5" i="6"/>
  <c r="C7" i="6" s="1"/>
  <c r="D35" i="8"/>
  <c r="D36" i="8" s="1"/>
  <c r="F95" i="7"/>
  <c r="F132" i="7"/>
  <c r="E95" i="7"/>
  <c r="C111" i="7"/>
  <c r="E111" i="7"/>
  <c r="E146" i="7"/>
  <c r="F146" i="7" s="1"/>
  <c r="E163" i="7"/>
  <c r="F163" i="7" s="1"/>
  <c r="C57" i="7"/>
  <c r="F57" i="7" s="1"/>
  <c r="E96" i="7"/>
  <c r="F96" i="7" s="1"/>
  <c r="C112" i="7"/>
  <c r="E147" i="7"/>
  <c r="F147" i="7" s="1"/>
  <c r="E164" i="7"/>
  <c r="F164" i="7" s="1"/>
  <c r="E76" i="7"/>
  <c r="E97" i="7"/>
  <c r="F97" i="7" s="1"/>
  <c r="C113" i="7"/>
  <c r="E113" i="7"/>
  <c r="E148" i="7"/>
  <c r="F148" i="7" s="1"/>
  <c r="E165" i="7"/>
  <c r="F165" i="7" s="1"/>
  <c r="E142" i="7"/>
  <c r="F142" i="7" s="1"/>
  <c r="E159" i="7"/>
  <c r="F159" i="7" s="1"/>
  <c r="F166" i="7" s="1"/>
  <c r="F76" i="7"/>
  <c r="E91" i="7"/>
  <c r="F91" i="7" s="1"/>
  <c r="E92" i="7"/>
  <c r="F92" i="7" s="1"/>
  <c r="C108" i="7"/>
  <c r="E160" i="7"/>
  <c r="F160" i="7" s="1"/>
  <c r="E93" i="7"/>
  <c r="F93" i="7" s="1"/>
  <c r="C109" i="7"/>
  <c r="F109" i="7" s="1"/>
  <c r="E161" i="7"/>
  <c r="F161" i="7" s="1"/>
  <c r="C62" i="7"/>
  <c r="F62" i="7" s="1"/>
  <c r="E94" i="7"/>
  <c r="F94" i="7" s="1"/>
  <c r="C110" i="7"/>
  <c r="E110" i="7"/>
  <c r="E145" i="7"/>
  <c r="F145" i="7" s="1"/>
  <c r="E162" i="7"/>
  <c r="F162" i="7" s="1"/>
  <c r="C41" i="7"/>
  <c r="E41" i="7"/>
  <c r="E74" i="7"/>
  <c r="E45" i="7"/>
  <c r="E40" i="7"/>
  <c r="E78" i="7"/>
  <c r="F78" i="7" s="1"/>
  <c r="C27" i="7"/>
  <c r="E44" i="7"/>
  <c r="C63" i="7"/>
  <c r="F63" i="7" s="1"/>
  <c r="C59" i="7"/>
  <c r="F59" i="7" s="1"/>
  <c r="E79" i="7"/>
  <c r="F79" i="7" s="1"/>
  <c r="E43" i="7"/>
  <c r="C58" i="7"/>
  <c r="F58" i="7" s="1"/>
  <c r="E80" i="7"/>
  <c r="F80" i="7" s="1"/>
  <c r="E46" i="7"/>
  <c r="C26" i="7"/>
  <c r="C40" i="7"/>
  <c r="C42" i="7"/>
  <c r="F42" i="7" s="1"/>
  <c r="E24" i="7"/>
  <c r="F24" i="7" s="1"/>
  <c r="C13" i="7"/>
  <c r="F13" i="7" s="1"/>
  <c r="E30" i="7"/>
  <c r="C45" i="7"/>
  <c r="C43" i="7"/>
  <c r="C7" i="7"/>
  <c r="F7" i="7" s="1"/>
  <c r="C44" i="7"/>
  <c r="F44" i="7" s="1"/>
  <c r="C12" i="7"/>
  <c r="F12" i="7" s="1"/>
  <c r="E29" i="7"/>
  <c r="C46" i="7"/>
  <c r="C25" i="7"/>
  <c r="F25" i="7" s="1"/>
  <c r="E28" i="7"/>
  <c r="C11" i="7"/>
  <c r="F11" i="7" s="1"/>
  <c r="C28" i="7"/>
  <c r="C10" i="7"/>
  <c r="F10" i="7" s="1"/>
  <c r="C29" i="7"/>
  <c r="E27" i="7"/>
  <c r="C9" i="7"/>
  <c r="F9" i="7" s="1"/>
  <c r="C30" i="7"/>
  <c r="F30" i="7" s="1"/>
  <c r="E26" i="7"/>
  <c r="C8" i="7"/>
  <c r="F8" i="7" s="1"/>
  <c r="D38" i="8" l="1"/>
  <c r="C68" i="8"/>
  <c r="F74" i="7"/>
  <c r="D84" i="7"/>
  <c r="F149" i="7"/>
  <c r="F111" i="7"/>
  <c r="F112" i="7"/>
  <c r="F45" i="7"/>
  <c r="F108" i="7"/>
  <c r="F64" i="7"/>
  <c r="F110" i="7"/>
  <c r="F113" i="7"/>
  <c r="F81" i="7"/>
  <c r="F98" i="7"/>
  <c r="F46" i="7"/>
  <c r="F40" i="7"/>
  <c r="F27" i="7"/>
  <c r="F29" i="7"/>
  <c r="F41" i="7"/>
  <c r="F43" i="7"/>
  <c r="F26" i="7"/>
  <c r="F28" i="7"/>
  <c r="F14" i="7"/>
  <c r="F115" i="7" l="1"/>
  <c r="D85" i="7"/>
  <c r="E7" i="8"/>
  <c r="E6" i="6"/>
  <c r="D7" i="6" s="1"/>
  <c r="F31" i="7"/>
  <c r="F47" i="7"/>
  <c r="D8" i="8" l="1"/>
  <c r="D17" i="8" s="1"/>
  <c r="D18" i="8" s="1"/>
  <c r="D19" i="8" l="1"/>
  <c r="C67" i="8"/>
</calcChain>
</file>

<file path=xl/sharedStrings.xml><?xml version="1.0" encoding="utf-8"?>
<sst xmlns="http://schemas.openxmlformats.org/spreadsheetml/2006/main" count="268" uniqueCount="96">
  <si>
    <t>GRASIM</t>
  </si>
  <si>
    <t>Year</t>
  </si>
  <si>
    <t>-</t>
  </si>
  <si>
    <t>ONGC</t>
  </si>
  <si>
    <t>MRF</t>
  </si>
  <si>
    <t>HCL</t>
  </si>
  <si>
    <t>COVARIANCE</t>
  </si>
  <si>
    <t>SBI</t>
  </si>
  <si>
    <t>Deviation</t>
  </si>
  <si>
    <t>ONGC Ri %</t>
  </si>
  <si>
    <t>MRF Ri %</t>
  </si>
  <si>
    <t>Product of Deviation</t>
  </si>
  <si>
    <t>ONGC AND MRF</t>
  </si>
  <si>
    <t>Securities</t>
  </si>
  <si>
    <t>ONGC AND GRASIM</t>
  </si>
  <si>
    <t>GRASIM Ri %</t>
  </si>
  <si>
    <t>ONGC AND HCL</t>
  </si>
  <si>
    <t>HCL Ri %</t>
  </si>
  <si>
    <t>SBI Ri %</t>
  </si>
  <si>
    <t>ONGC AND SBI</t>
  </si>
  <si>
    <t>MRF AND GRASIM</t>
  </si>
  <si>
    <t>MRF AND HCL</t>
  </si>
  <si>
    <t>HCL AND GRASIM</t>
  </si>
  <si>
    <t>SBI AND MRF</t>
  </si>
  <si>
    <t>SBI AND GRASIM</t>
  </si>
  <si>
    <t>SBI AND HCL</t>
  </si>
  <si>
    <r>
      <t xml:space="preserve">                 </t>
    </r>
    <r>
      <rPr>
        <b/>
        <u/>
        <sz val="14"/>
        <color theme="0"/>
        <rFont val="Calibri (Body)"/>
      </rPr>
      <t>PORTFOLIO - 1 (WITH EQUAL WEIGHT DISTRIBUTION)</t>
    </r>
  </si>
  <si>
    <t>Weights</t>
  </si>
  <si>
    <t>Portfolio Return</t>
  </si>
  <si>
    <t>=</t>
  </si>
  <si>
    <t>Portfolio Risk</t>
  </si>
  <si>
    <r>
      <t xml:space="preserve">                 </t>
    </r>
    <r>
      <rPr>
        <b/>
        <u/>
        <sz val="14"/>
        <color theme="0"/>
        <rFont val="Calibri (Body)"/>
      </rPr>
      <t>PORTFOLIO - 2 (WITH DIFF. WEIGHT DISTRIBUTION)</t>
    </r>
  </si>
  <si>
    <t>PORTFOLIO MANAGED BY:</t>
  </si>
  <si>
    <t>Correlation</t>
  </si>
  <si>
    <t>correlation</t>
  </si>
  <si>
    <t>CORRELATION</t>
  </si>
  <si>
    <t>Correlation (R)</t>
  </si>
  <si>
    <t>COMPANIES SELECTED ON THE BASIS OF FUNDAMENTAL ANALYSIS</t>
  </si>
  <si>
    <t>1.ONGC (OIL AND GAS)</t>
  </si>
  <si>
    <t>2.MRF (AUTO COMPONENTS)</t>
  </si>
  <si>
    <t>3.GRASIM (TEXTILE)</t>
  </si>
  <si>
    <t>4.HCL TECHNOLOGY (IT)</t>
  </si>
  <si>
    <t>5.SBI (PUBLIC BANK)</t>
  </si>
  <si>
    <t>[(0.2*11.9%)+(0.2*19.95%)+(0.2*29.1%)+(0.2*20.99%)+(0.2*23.38%)]</t>
  </si>
  <si>
    <t>SHARP RATIO</t>
  </si>
  <si>
    <t>Portfolio Selection Rationale Requirements:</t>
  </si>
  <si>
    <t>a. Policy statement of investor defined in terms of target return and acceptable risk.</t>
  </si>
  <si>
    <t>b. Reason for selecting the weights for portfolio creation?</t>
  </si>
  <si>
    <r>
      <t xml:space="preserve">                 </t>
    </r>
    <r>
      <rPr>
        <b/>
        <u/>
        <sz val="14"/>
        <color theme="0"/>
        <rFont val="Calibri (Body)"/>
      </rPr>
      <t>PORTFOLIO - 3 (FOR YOUNG INVESTORS LOOKING FOR HIGHER RETURNS THAT COMES WITH SIGNIFICANT RISK TAKING ABILITY )</t>
    </r>
  </si>
  <si>
    <t>ANNUAL RETURNS (ONE- YEAR HOLDING PERIOD)</t>
  </si>
  <si>
    <t>STANDARD DEVIATION</t>
  </si>
  <si>
    <t>MEAN RETURNS (%)</t>
  </si>
  <si>
    <t>VARIANCE- COVARIANCE MATRIX</t>
  </si>
  <si>
    <t>CORRELATION - MATRIX</t>
  </si>
  <si>
    <t>YEAR</t>
  </si>
  <si>
    <t>AVERAGE CLOSING PRICE FOR 8 YEARS</t>
  </si>
  <si>
    <t xml:space="preserve">          CALCULATION OF COVARIANCE AND COVARIANCE</t>
  </si>
  <si>
    <t>Official Site of BSE</t>
  </si>
  <si>
    <t>(https://www.bseindia.com)</t>
  </si>
  <si>
    <t>Data Source :</t>
  </si>
  <si>
    <r>
      <t>The ratio/financial analysis of ONGC reveals: </t>
    </r>
    <r>
      <rPr>
        <sz val="12"/>
        <color rgb="FF040C28"/>
        <rFont val="Arial"/>
        <family val="2"/>
      </rPr>
      <t>Operating profit margins witnessed a fall and stood at 14.4% in FY22 as against 15.5% in FY21</t>
    </r>
  </si>
  <si>
    <t xml:space="preserve">It is one of the largest companies in the country and has a significant presence in the upstream and downstream segments of the oil and gas industry. </t>
  </si>
  <si>
    <t>The company has a good track record of profitability.</t>
  </si>
  <si>
    <t xml:space="preserve">2. MRF Limited </t>
  </si>
  <si>
    <t>Current Valuations for MRF</t>
  </si>
  <si>
    <r>
      <t>The price to book value (P/BV) ratio at current price levels stands at 2.3 times, while the price to sales ratio stands at 1.7 times</t>
    </r>
    <r>
      <rPr>
        <sz val="12"/>
        <color rgb="FF202124"/>
        <rFont val="Arial"/>
        <family val="2"/>
      </rPr>
      <t>.</t>
    </r>
  </si>
  <si>
    <t xml:space="preserve">The company has a strong brand reputation and is known for producing high-quality tires. </t>
  </si>
  <si>
    <t>P/E Ratio is less than industry P/E ratio standards</t>
  </si>
  <si>
    <t>Operating income during the year rose 25.3% on a year-on-year (YoY) basis</t>
  </si>
  <si>
    <r>
      <t>§</t>
    </r>
    <r>
      <rPr>
        <sz val="7"/>
        <color rgb="FF333333"/>
        <rFont val="Times New Roman"/>
        <family val="1"/>
      </rPr>
      <t xml:space="preserve">  </t>
    </r>
    <r>
      <rPr>
        <sz val="12"/>
        <color rgb="FF333333"/>
        <rFont val="Roboto"/>
      </rPr>
      <t>Overall, the total assets and liabilities for FY22 stood at Rs 2,891 billion as against Rs 2,673 billion during FY21, thereby witnessing a growth of 8%.</t>
    </r>
  </si>
  <si>
    <t xml:space="preserve">  </t>
  </si>
  <si>
    <t xml:space="preserve">Dividend yield of 4.42% s also highest in tech industry </t>
  </si>
  <si>
    <t>The company has a good track record of profitability and growth.</t>
  </si>
  <si>
    <t>People trust it as an investment as P/B Ratio is very good of 1.55 and even P/E ratio is close to the industry P/E of 9.03</t>
  </si>
  <si>
    <t>The stock is not overvalued like other banks such as HDFC.</t>
  </si>
  <si>
    <r>
      <rPr>
        <b/>
        <sz val="12"/>
        <color rgb="FF374151"/>
        <rFont val="Arial"/>
        <family val="2"/>
      </rPr>
      <t>1. ONGC (Oil and Gas Corporation)</t>
    </r>
    <r>
      <rPr>
        <sz val="12"/>
        <color rgb="FF374151"/>
        <rFont val="Arial"/>
        <family val="2"/>
      </rPr>
      <t xml:space="preserve"> is a state-owned oil and gas company in India. </t>
    </r>
  </si>
  <si>
    <r>
      <rPr>
        <b/>
        <sz val="12"/>
        <color rgb="FF374151"/>
        <rFont val="Arial"/>
        <family val="2"/>
      </rPr>
      <t>3.</t>
    </r>
    <r>
      <rPr>
        <b/>
        <sz val="7"/>
        <color rgb="FF374151"/>
        <rFont val="Times New Roman"/>
        <family val="1"/>
      </rPr>
      <t xml:space="preserve">     </t>
    </r>
    <r>
      <rPr>
        <b/>
        <sz val="12"/>
        <color rgb="FF374151"/>
        <rFont val="Arial"/>
        <family val="2"/>
      </rPr>
      <t xml:space="preserve">Grasim Industries Limited </t>
    </r>
    <r>
      <rPr>
        <sz val="12"/>
        <color rgb="FF374151"/>
        <rFont val="Arial"/>
        <family val="2"/>
      </rPr>
      <t>is a diversified company with interests in textiles, chemicals, and cement.</t>
    </r>
  </si>
  <si>
    <r>
      <rPr>
        <b/>
        <sz val="12"/>
        <color rgb="FF374151"/>
        <rFont val="Arial"/>
        <family val="2"/>
      </rPr>
      <t>4. HCL Technologies :</t>
    </r>
    <r>
      <rPr>
        <sz val="12"/>
        <color rgb="FF374151"/>
        <rFont val="Arial"/>
        <family val="2"/>
      </rPr>
      <t xml:space="preserve"> Money invested in share of hcl can be reaped back in 20 years which is much less than industry PROFIT TO EARNINGS RATIO of 27.35</t>
    </r>
  </si>
  <si>
    <r>
      <rPr>
        <b/>
        <sz val="12"/>
        <color rgb="FF374151"/>
        <rFont val="Arial"/>
        <family val="2"/>
      </rPr>
      <t>5.</t>
    </r>
    <r>
      <rPr>
        <sz val="7"/>
        <color rgb="FF374151"/>
        <rFont val="Times New Roman"/>
        <family val="1"/>
      </rPr>
      <t>  </t>
    </r>
    <r>
      <rPr>
        <b/>
        <sz val="7"/>
        <color rgb="FF374151"/>
        <rFont val="Times New Roman"/>
        <family val="1"/>
      </rPr>
      <t xml:space="preserve">   </t>
    </r>
    <r>
      <rPr>
        <b/>
        <sz val="12"/>
        <color rgb="FF374151"/>
        <rFont val="Arial"/>
        <family val="2"/>
      </rPr>
      <t>State Bank of India (SBI)</t>
    </r>
    <r>
      <rPr>
        <sz val="12"/>
        <color rgb="FF374151"/>
        <rFont val="Arial"/>
        <family val="2"/>
      </rPr>
      <t xml:space="preserve"> is the largest commercial bank in the country. </t>
    </r>
  </si>
  <si>
    <t>REASON FOR SELECTING THESE DIVERSIFIED COMPANIES ON FINANCIAL AND FUNDAMENTAL BASIS:</t>
  </si>
  <si>
    <t>PORTFOLIO RETURNS</t>
  </si>
  <si>
    <t>PORTFOLIO SD</t>
  </si>
  <si>
    <t>PORTFOLIO</t>
  </si>
  <si>
    <t>BLUE AREA REPRESENTS NORTH WEST REGION WHERE OUR PORTFOLIO LIES THAT’S WHY WE SELECTED THESE WEIGHTS OUT OF ALL OUTCOMES</t>
  </si>
  <si>
    <t>SCATTER PLOT REPRESENTATION</t>
  </si>
  <si>
    <t>The portfolio weights should be based on the investor's risk and return preferences, as well as the expected returns and risks of the individual assets.</t>
  </si>
  <si>
    <t>We are offering POTFOLIO 3 TO OUR YOUNG INVESTORS FOR HIGH RETURNS with significant risk factor</t>
  </si>
  <si>
    <t>(7.49% IS RISK FREE RETURN TAKEN)</t>
  </si>
  <si>
    <t>Interpretation</t>
  </si>
  <si>
    <t>a) Changing the weights of stocks in a portfolio will have an impact on the portfolio's return and risk. Increasing the weight of an asset with a higher expected return will increase the portfolio's expected return, but also increase the portfolio's risk. Conversely, decreasing the weight of an asset with a lower expected return will decrease the portfolio's expected return but also decrease the portfolio's risk.</t>
  </si>
  <si>
    <t>b) The degree of impact of changing the weights of stocks in a portfolio on portfolio return and risk depends on the individual assets' expected returns and risks, as well as the correlation between the assets. A portfolio with high-risk assets and high expected returns will be more affected by changes in asset weights than a portfolio with lower risk assets and lower expected returns.</t>
  </si>
  <si>
    <t>c) The degree of diversification present in three different portfolios can vary depending on the assets' correlation with each other. A portfolio with low correlation between assets will have a higher degree of diversification than a portfolio with high correlation between assets. The degree of diversification can also be measured by the number of assets in the portfolio, with a higher number of assets indicating a higher degree of diversification. A well-diversified portfolio will have lower risk levels than a portfolio with concentrated holdings in a few assets.</t>
  </si>
  <si>
    <t xml:space="preserve">The weights for portfolio creation are selected based on the investor's risk and return objectives. </t>
  </si>
  <si>
    <t>PORTFOLIO CONSTRUCTION PROJECT</t>
  </si>
  <si>
    <t>SPARSH JAIN</t>
  </si>
  <si>
    <t>(BBA FINTECH: CHRIST UNIVERSITY)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</si>
</sst>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%"/>
    <numFmt numFmtId="166" formatCode="0.0000"/>
    <numFmt numFmtId="167" formatCode="0.000"/>
    <numFmt numFmtId="168" formatCode="0.00000000000000000%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14"/>
      <color theme="0"/>
      <name val="Calibri (Body)"/>
    </font>
    <font>
      <b/>
      <u/>
      <sz val="14"/>
      <color theme="0"/>
      <name val="Calibri (Body)"/>
    </font>
    <font>
      <b/>
      <i/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i/>
      <u/>
      <sz val="12"/>
      <color theme="0"/>
      <name val="Calibri"/>
      <family val="2"/>
      <scheme val="minor"/>
    </font>
    <font>
      <sz val="12"/>
      <color rgb="FF374151"/>
      <name val="Arial"/>
      <family val="2"/>
    </font>
    <font>
      <sz val="12"/>
      <color rgb="FF202124"/>
      <name val="Arial"/>
      <family val="2"/>
    </font>
    <font>
      <sz val="12"/>
      <color rgb="FF040C28"/>
      <name val="Arial"/>
      <family val="2"/>
    </font>
    <font>
      <sz val="7"/>
      <color rgb="FF374151"/>
      <name val="Times New Roman"/>
      <family val="1"/>
    </font>
    <font>
      <sz val="12"/>
      <color rgb="FF333333"/>
      <name val="Roboto"/>
    </font>
    <font>
      <sz val="10"/>
      <color rgb="FF333333"/>
      <name val="Wingdings"/>
      <charset val="2"/>
    </font>
    <font>
      <sz val="7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74151"/>
      <name val="Arial"/>
      <family val="2"/>
    </font>
    <font>
      <b/>
      <sz val="7"/>
      <color rgb="FF374151"/>
      <name val="Times New Roman"/>
      <family val="1"/>
    </font>
    <font>
      <b/>
      <i/>
      <u/>
      <sz val="14"/>
      <color theme="1"/>
      <name val="Calibri"/>
      <family val="2"/>
      <scheme val="minor"/>
    </font>
    <font>
      <sz val="11"/>
      <color rgb="FF374151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10" fontId="3" fillId="0" borderId="0" xfId="1" applyNumberFormat="1" applyFont="1"/>
    <xf numFmtId="10" fontId="8" fillId="3" borderId="2" xfId="1" applyNumberFormat="1" applyFont="1" applyFill="1" applyBorder="1"/>
    <xf numFmtId="10" fontId="4" fillId="3" borderId="3" xfId="1" applyNumberFormat="1" applyFont="1" applyFill="1" applyBorder="1"/>
    <xf numFmtId="10" fontId="4" fillId="3" borderId="5" xfId="0" applyNumberFormat="1" applyFont="1" applyFill="1" applyBorder="1"/>
    <xf numFmtId="10" fontId="4" fillId="3" borderId="4" xfId="0" applyNumberFormat="1" applyFont="1" applyFill="1" applyBorder="1"/>
    <xf numFmtId="10" fontId="4" fillId="3" borderId="5" xfId="1" applyNumberFormat="1" applyFont="1" applyFill="1" applyBorder="1"/>
    <xf numFmtId="10" fontId="8" fillId="3" borderId="0" xfId="0" applyNumberFormat="1" applyFont="1" applyFill="1"/>
    <xf numFmtId="10" fontId="4" fillId="3" borderId="0" xfId="0" applyNumberFormat="1" applyFont="1" applyFill="1"/>
    <xf numFmtId="10" fontId="4" fillId="3" borderId="6" xfId="0" applyNumberFormat="1" applyFont="1" applyFill="1" applyBorder="1"/>
    <xf numFmtId="10" fontId="4" fillId="3" borderId="7" xfId="0" applyNumberFormat="1" applyFont="1" applyFill="1" applyBorder="1"/>
    <xf numFmtId="10" fontId="4" fillId="3" borderId="8" xfId="0" applyNumberFormat="1" applyFont="1" applyFill="1" applyBorder="1"/>
    <xf numFmtId="10" fontId="8" fillId="3" borderId="9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0" fillId="5" borderId="0" xfId="0" applyFont="1" applyFill="1"/>
    <xf numFmtId="0" fontId="5" fillId="5" borderId="0" xfId="0" applyFont="1" applyFill="1"/>
    <xf numFmtId="0" fontId="1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6" fontId="13" fillId="0" borderId="0" xfId="0" applyNumberFormat="1" applyFont="1"/>
    <xf numFmtId="0" fontId="13" fillId="0" borderId="0" xfId="0" applyFont="1"/>
    <xf numFmtId="0" fontId="5" fillId="6" borderId="0" xfId="0" applyFont="1" applyFill="1"/>
    <xf numFmtId="9" fontId="0" fillId="0" borderId="0" xfId="1" applyFont="1"/>
    <xf numFmtId="168" fontId="0" fillId="0" borderId="0" xfId="0" applyNumberFormat="1"/>
    <xf numFmtId="0" fontId="5" fillId="6" borderId="0" xfId="0" applyFont="1" applyFill="1" applyAlignment="1">
      <alignment horizontal="left"/>
    </xf>
    <xf numFmtId="167" fontId="0" fillId="0" borderId="0" xfId="1" applyNumberFormat="1" applyFont="1"/>
    <xf numFmtId="0" fontId="0" fillId="0" borderId="8" xfId="0" applyBorder="1"/>
    <xf numFmtId="0" fontId="15" fillId="0" borderId="16" xfId="0" applyFont="1" applyBorder="1" applyAlignment="1">
      <alignment horizontal="center"/>
    </xf>
    <xf numFmtId="0" fontId="18" fillId="0" borderId="0" xfId="0" applyFont="1"/>
    <xf numFmtId="0" fontId="2" fillId="6" borderId="0" xfId="0" applyFont="1" applyFill="1"/>
    <xf numFmtId="0" fontId="0" fillId="0" borderId="0" xfId="0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0" xfId="1" applyNumberFormat="1" applyFont="1" applyBorder="1"/>
    <xf numFmtId="10" fontId="0" fillId="0" borderId="22" xfId="1" applyNumberFormat="1" applyFont="1" applyBorder="1"/>
    <xf numFmtId="0" fontId="0" fillId="0" borderId="21" xfId="0" applyBorder="1"/>
    <xf numFmtId="0" fontId="0" fillId="0" borderId="22" xfId="0" applyBorder="1"/>
    <xf numFmtId="0" fontId="2" fillId="10" borderId="0" xfId="0" applyFont="1" applyFill="1"/>
    <xf numFmtId="0" fontId="16" fillId="6" borderId="0" xfId="0" applyFont="1" applyFill="1" applyAlignment="1">
      <alignment horizontal="left"/>
    </xf>
    <xf numFmtId="0" fontId="0" fillId="11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10" fontId="0" fillId="0" borderId="0" xfId="1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 vertical="center"/>
    </xf>
    <xf numFmtId="10" fontId="0" fillId="0" borderId="6" xfId="0" applyNumberFormat="1" applyBorder="1"/>
    <xf numFmtId="0" fontId="0" fillId="0" borderId="7" xfId="0" applyBorder="1"/>
    <xf numFmtId="10" fontId="0" fillId="0" borderId="8" xfId="1" applyNumberFormat="1" applyFont="1" applyBorder="1"/>
    <xf numFmtId="10" fontId="7" fillId="0" borderId="8" xfId="0" applyNumberFormat="1" applyFont="1" applyBorder="1" applyAlignment="1">
      <alignment horizontal="center" vertical="center"/>
    </xf>
    <xf numFmtId="10" fontId="0" fillId="0" borderId="9" xfId="0" applyNumberFormat="1" applyBorder="1"/>
    <xf numFmtId="0" fontId="7" fillId="0" borderId="0" xfId="0" applyFont="1" applyAlignment="1">
      <alignment horizontal="center" vertical="center"/>
    </xf>
    <xf numFmtId="164" fontId="0" fillId="0" borderId="6" xfId="0" applyNumberFormat="1" applyBorder="1"/>
    <xf numFmtId="164" fontId="0" fillId="0" borderId="9" xfId="0" applyNumberFormat="1" applyBorder="1"/>
    <xf numFmtId="0" fontId="7" fillId="0" borderId="3" xfId="0" applyFont="1" applyBorder="1" applyAlignment="1">
      <alignment horizontal="center" vertical="center"/>
    </xf>
    <xf numFmtId="10" fontId="0" fillId="0" borderId="6" xfId="1" applyNumberFormat="1" applyFont="1" applyBorder="1"/>
    <xf numFmtId="10" fontId="0" fillId="0" borderId="9" xfId="1" applyNumberFormat="1" applyFont="1" applyBorder="1"/>
    <xf numFmtId="0" fontId="0" fillId="0" borderId="2" xfId="0" applyBorder="1"/>
    <xf numFmtId="0" fontId="0" fillId="11" borderId="3" xfId="0" applyFill="1" applyBorder="1" applyAlignment="1">
      <alignment horizontal="center"/>
    </xf>
    <xf numFmtId="0" fontId="0" fillId="0" borderId="5" xfId="0" applyBorder="1"/>
    <xf numFmtId="0" fontId="5" fillId="7" borderId="0" xfId="0" applyFont="1" applyFill="1" applyAlignment="1">
      <alignment horizontal="center"/>
    </xf>
    <xf numFmtId="0" fontId="14" fillId="2" borderId="0" xfId="0" applyFont="1" applyFill="1"/>
    <xf numFmtId="0" fontId="14" fillId="2" borderId="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10" fontId="0" fillId="0" borderId="3" xfId="1" applyNumberFormat="1" applyFont="1" applyBorder="1"/>
    <xf numFmtId="10" fontId="0" fillId="0" borderId="4" xfId="1" applyNumberFormat="1" applyFont="1" applyBorder="1"/>
    <xf numFmtId="0" fontId="2" fillId="10" borderId="7" xfId="0" applyFont="1" applyFill="1" applyBorder="1" applyAlignment="1">
      <alignment horizontal="center"/>
    </xf>
    <xf numFmtId="10" fontId="0" fillId="0" borderId="8" xfId="0" applyNumberFormat="1" applyBorder="1"/>
    <xf numFmtId="0" fontId="14" fillId="2" borderId="1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9" fillId="14" borderId="0" xfId="0" applyFont="1" applyFill="1"/>
    <xf numFmtId="0" fontId="20" fillId="14" borderId="0" xfId="0" applyFont="1" applyFill="1"/>
    <xf numFmtId="0" fontId="21" fillId="0" borderId="0" xfId="0" applyFont="1" applyAlignment="1">
      <alignment horizontal="left" vertical="center" indent="3"/>
    </xf>
    <xf numFmtId="0" fontId="21" fillId="0" borderId="0" xfId="0" applyFont="1" applyAlignment="1">
      <alignment horizontal="left" vertical="center" indent="4"/>
    </xf>
    <xf numFmtId="0" fontId="22" fillId="0" borderId="0" xfId="0" applyFont="1" applyAlignment="1">
      <alignment horizontal="left" vertical="center" indent="4"/>
    </xf>
    <xf numFmtId="0" fontId="23" fillId="0" borderId="0" xfId="0" applyFont="1" applyAlignment="1">
      <alignment horizontal="left" vertical="center" indent="4"/>
    </xf>
    <xf numFmtId="0" fontId="21" fillId="0" borderId="0" xfId="0" applyFont="1" applyAlignment="1">
      <alignment horizontal="left" vertical="center" indent="2"/>
    </xf>
    <xf numFmtId="0" fontId="25" fillId="0" borderId="0" xfId="0" applyFont="1" applyAlignment="1">
      <alignment horizontal="left" vertical="center" indent="4"/>
    </xf>
    <xf numFmtId="0" fontId="26" fillId="0" borderId="0" xfId="0" applyFont="1" applyAlignment="1">
      <alignment horizontal="left" vertical="center" indent="6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 indent="3"/>
    </xf>
    <xf numFmtId="0" fontId="4" fillId="0" borderId="0" xfId="0" applyFont="1"/>
    <xf numFmtId="0" fontId="4" fillId="12" borderId="0" xfId="0" applyFont="1" applyFill="1"/>
    <xf numFmtId="0" fontId="31" fillId="9" borderId="0" xfId="0" applyFont="1" applyFill="1"/>
    <xf numFmtId="0" fontId="31" fillId="0" borderId="0" xfId="0" applyFont="1"/>
    <xf numFmtId="0" fontId="0" fillId="13" borderId="0" xfId="0" applyFill="1"/>
    <xf numFmtId="167" fontId="4" fillId="0" borderId="0" xfId="1" applyNumberFormat="1" applyFont="1"/>
    <xf numFmtId="10" fontId="4" fillId="2" borderId="0" xfId="1" applyNumberFormat="1" applyFont="1" applyFill="1"/>
    <xf numFmtId="9" fontId="4" fillId="2" borderId="0" xfId="1" applyFont="1" applyFill="1"/>
    <xf numFmtId="0" fontId="0" fillId="0" borderId="17" xfId="0" applyBorder="1"/>
    <xf numFmtId="10" fontId="0" fillId="0" borderId="17" xfId="0" applyNumberFormat="1" applyBorder="1"/>
    <xf numFmtId="9" fontId="0" fillId="0" borderId="17" xfId="0" applyNumberFormat="1" applyBorder="1"/>
    <xf numFmtId="0" fontId="32" fillId="0" borderId="0" xfId="0" applyFont="1"/>
    <xf numFmtId="0" fontId="33" fillId="0" borderId="0" xfId="0" applyFont="1"/>
    <xf numFmtId="0" fontId="2" fillId="10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973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 N-W REGION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PORTFOLIO!$C$67:$C$69</c:f>
              <c:numCache>
                <c:formatCode>0.00%</c:formatCode>
                <c:ptCount val="3"/>
                <c:pt idx="0" formatCode="0%">
                  <c:v>0.34028082961721856</c:v>
                </c:pt>
                <c:pt idx="1">
                  <c:v>0.29617672813867629</c:v>
                </c:pt>
                <c:pt idx="2">
                  <c:v>0.31682797900402865</c:v>
                </c:pt>
              </c:numCache>
            </c:numRef>
          </c:xVal>
          <c:yVal>
            <c:numRef>
              <c:f>PORTFOLIO!$B$67:$B$69</c:f>
              <c:numCache>
                <c:formatCode>0.00%</c:formatCode>
                <c:ptCount val="3"/>
                <c:pt idx="0">
                  <c:v>0.21063818261643413</c:v>
                </c:pt>
                <c:pt idx="1">
                  <c:v>0.20260499999999998</c:v>
                </c:pt>
                <c:pt idx="2">
                  <c:v>0.21233799999999997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B-C241-9DBC-9E7B8E511EA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PORTFOLIO!$B$66:$C$66</c:f>
              <c:strCache>
                <c:ptCount val="2"/>
                <c:pt idx="0">
                  <c:v>PORTFOLIO RETURNS</c:v>
                </c:pt>
                <c:pt idx="1">
                  <c:v>PORTFOLIO SD</c:v>
                </c:pt>
              </c:strCache>
            </c:strRef>
          </c:xVal>
          <c:yVal>
            <c:numRef>
              <c:f>PORTFOLIO!$B$68:$C$68</c:f>
              <c:numCache>
                <c:formatCode>0.00%</c:formatCode>
                <c:ptCount val="2"/>
                <c:pt idx="0">
                  <c:v>0.20260499999999998</c:v>
                </c:pt>
                <c:pt idx="1">
                  <c:v>0.29617672813867629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4B-C241-9DBC-9E7B8E511EA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PORTFOLIO!$B$66:$C$66</c:f>
              <c:strCache>
                <c:ptCount val="2"/>
                <c:pt idx="0">
                  <c:v>PORTFOLIO RETURNS</c:v>
                </c:pt>
                <c:pt idx="1">
                  <c:v>PORTFOLIO SD</c:v>
                </c:pt>
              </c:strCache>
            </c:strRef>
          </c:xVal>
          <c:yVal>
            <c:numRef>
              <c:f>PORTFOLIO!$B$69:$C$69</c:f>
              <c:numCache>
                <c:formatCode>0.00%</c:formatCode>
                <c:ptCount val="2"/>
                <c:pt idx="0">
                  <c:v>0.21233799999999997</c:v>
                </c:pt>
                <c:pt idx="1">
                  <c:v>0.31682797900402865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4B-C241-9DBC-9E7B8E51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9999"/>
        <c:axId val="109502687"/>
      </c:scatterChart>
      <c:valAx>
        <c:axId val="1098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SD</a:t>
                </a:r>
              </a:p>
            </c:rich>
          </c:tx>
          <c:layout>
            <c:manualLayout>
              <c:xMode val="edge"/>
              <c:yMode val="edge"/>
              <c:x val="0.479439851268591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2687"/>
        <c:crosses val="autoZero"/>
        <c:crossBetween val="midCat"/>
      </c:valAx>
      <c:valAx>
        <c:axId val="1095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59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820677</xdr:colOff>
      <xdr:row>71</xdr:row>
      <xdr:rowOff>155616</xdr:rowOff>
    </xdr:from>
    <xdr:to>
      <xdr:col>4</xdr:col>
      <xdr:colOff>385019</xdr:colOff>
      <xdr:row>85</xdr:row>
      <xdr:rowOff>85525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7D68A-BE42-827C-798F-6BC26C51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1718-117B-AB4B-BCB1-729028A59EC5}">
  <dimension ref="A1:H43"/>
  <sheetViews>
    <sheetView tabSelected="1" zoomScale="200" workbookViewId="0">
      <selection activeCell="C6" sqref="C6"/>
    </sheetView>
  </sheetViews>
  <sheetFormatPr baseColWidth="10" defaultRowHeight="16" x14ac:dyDescent="0.2"/>
  <cols>
    <col min="1" max="1" width="11.33203125" customWidth="1"/>
    <col min="2" max="2" width="12.1640625" customWidth="1"/>
    <col min="8" max="8" width="11.5" customWidth="1"/>
  </cols>
  <sheetData>
    <row r="1" spans="1:8" ht="21" x14ac:dyDescent="0.25">
      <c r="C1" s="95" t="s">
        <v>93</v>
      </c>
      <c r="D1" s="96"/>
      <c r="E1" s="96"/>
      <c r="F1" s="96"/>
    </row>
    <row r="3" spans="1:8" x14ac:dyDescent="0.2">
      <c r="A3" s="38" t="s">
        <v>32</v>
      </c>
      <c r="B3" s="38"/>
      <c r="D3" s="35" t="s">
        <v>37</v>
      </c>
      <c r="E3" s="35"/>
      <c r="F3" s="35"/>
      <c r="G3" s="35"/>
      <c r="H3" s="35"/>
    </row>
    <row r="4" spans="1:8" x14ac:dyDescent="0.2">
      <c r="A4" t="s">
        <v>94</v>
      </c>
      <c r="D4" t="s">
        <v>38</v>
      </c>
    </row>
    <row r="5" spans="1:8" x14ac:dyDescent="0.2">
      <c r="A5" t="s">
        <v>95</v>
      </c>
      <c r="D5" t="s">
        <v>39</v>
      </c>
    </row>
    <row r="6" spans="1:8" x14ac:dyDescent="0.2">
      <c r="D6" t="s">
        <v>40</v>
      </c>
    </row>
    <row r="7" spans="1:8" x14ac:dyDescent="0.2">
      <c r="D7" t="s">
        <v>41</v>
      </c>
    </row>
    <row r="8" spans="1:8" x14ac:dyDescent="0.2">
      <c r="D8" t="s">
        <v>42</v>
      </c>
    </row>
    <row r="10" spans="1:8" s="108" customFormat="1" x14ac:dyDescent="0.2">
      <c r="A10" s="109" t="s">
        <v>79</v>
      </c>
      <c r="B10" s="109"/>
      <c r="C10" s="109"/>
      <c r="D10" s="109"/>
      <c r="E10" s="109"/>
      <c r="F10" s="109"/>
      <c r="G10" s="109"/>
      <c r="H10" s="109"/>
    </row>
    <row r="12" spans="1:8" x14ac:dyDescent="0.2">
      <c r="A12" s="97" t="s">
        <v>75</v>
      </c>
    </row>
    <row r="13" spans="1:8" x14ac:dyDescent="0.2">
      <c r="A13" s="98"/>
    </row>
    <row r="14" spans="1:8" x14ac:dyDescent="0.2">
      <c r="A14" s="99" t="s">
        <v>60</v>
      </c>
    </row>
    <row r="15" spans="1:8" x14ac:dyDescent="0.2">
      <c r="A15" s="98"/>
    </row>
    <row r="16" spans="1:8" x14ac:dyDescent="0.2">
      <c r="A16" s="98" t="s">
        <v>61</v>
      </c>
    </row>
    <row r="17" spans="1:1" x14ac:dyDescent="0.2">
      <c r="A17" s="98"/>
    </row>
    <row r="18" spans="1:1" x14ac:dyDescent="0.2">
      <c r="A18" s="98" t="s">
        <v>62</v>
      </c>
    </row>
    <row r="19" spans="1:1" x14ac:dyDescent="0.2">
      <c r="A19" s="98"/>
    </row>
    <row r="20" spans="1:1" x14ac:dyDescent="0.2">
      <c r="A20" s="107" t="s">
        <v>63</v>
      </c>
    </row>
    <row r="21" spans="1:1" x14ac:dyDescent="0.2">
      <c r="A21" s="99" t="s">
        <v>64</v>
      </c>
    </row>
    <row r="22" spans="1:1" x14ac:dyDescent="0.2">
      <c r="A22" s="100" t="s">
        <v>65</v>
      </c>
    </row>
    <row r="23" spans="1:1" x14ac:dyDescent="0.2">
      <c r="A23" s="98"/>
    </row>
    <row r="24" spans="1:1" x14ac:dyDescent="0.2">
      <c r="A24" s="98" t="s">
        <v>66</v>
      </c>
    </row>
    <row r="25" spans="1:1" x14ac:dyDescent="0.2">
      <c r="A25" s="98"/>
    </row>
    <row r="26" spans="1:1" x14ac:dyDescent="0.2">
      <c r="A26" s="101" t="s">
        <v>76</v>
      </c>
    </row>
    <row r="27" spans="1:1" x14ac:dyDescent="0.2">
      <c r="A27" s="98"/>
    </row>
    <row r="28" spans="1:1" x14ac:dyDescent="0.2">
      <c r="A28" s="98" t="s">
        <v>67</v>
      </c>
    </row>
    <row r="29" spans="1:1" x14ac:dyDescent="0.2">
      <c r="A29" s="102" t="s">
        <v>68</v>
      </c>
    </row>
    <row r="30" spans="1:1" x14ac:dyDescent="0.2">
      <c r="A30" s="103" t="s">
        <v>69</v>
      </c>
    </row>
    <row r="31" spans="1:1" x14ac:dyDescent="0.2">
      <c r="A31" s="102"/>
    </row>
    <row r="32" spans="1:1" x14ac:dyDescent="0.2">
      <c r="A32" s="98"/>
    </row>
    <row r="33" spans="1:1" x14ac:dyDescent="0.2">
      <c r="A33" s="98" t="s">
        <v>70</v>
      </c>
    </row>
    <row r="34" spans="1:1" x14ac:dyDescent="0.2">
      <c r="A34" s="97" t="s">
        <v>77</v>
      </c>
    </row>
    <row r="35" spans="1:1" x14ac:dyDescent="0.2">
      <c r="A35" s="98" t="s">
        <v>71</v>
      </c>
    </row>
    <row r="36" spans="1:1" x14ac:dyDescent="0.2">
      <c r="A36" s="98"/>
    </row>
    <row r="37" spans="1:1" x14ac:dyDescent="0.2">
      <c r="A37" s="98" t="s">
        <v>72</v>
      </c>
    </row>
    <row r="38" spans="1:1" x14ac:dyDescent="0.2">
      <c r="A38" s="98"/>
    </row>
    <row r="39" spans="1:1" x14ac:dyDescent="0.2">
      <c r="A39" s="101" t="s">
        <v>78</v>
      </c>
    </row>
    <row r="40" spans="1:1" x14ac:dyDescent="0.2">
      <c r="A40" s="105"/>
    </row>
    <row r="41" spans="1:1" x14ac:dyDescent="0.2">
      <c r="A41" s="105" t="s">
        <v>73</v>
      </c>
    </row>
    <row r="42" spans="1:1" x14ac:dyDescent="0.2">
      <c r="A42" s="106"/>
    </row>
    <row r="43" spans="1:1" x14ac:dyDescent="0.2">
      <c r="A43" s="10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54C6-6BF8-694F-93C8-5976CA3806FC}">
  <dimension ref="A1:F28"/>
  <sheetViews>
    <sheetView zoomScale="184" workbookViewId="0">
      <selection activeCell="F14" sqref="F14"/>
    </sheetView>
  </sheetViews>
  <sheetFormatPr baseColWidth="10" defaultRowHeight="16" x14ac:dyDescent="0.2"/>
  <cols>
    <col min="1" max="1" width="20.33203125" customWidth="1"/>
    <col min="2" max="2" width="16.5" customWidth="1"/>
    <col min="4" max="4" width="10.83203125" customWidth="1"/>
  </cols>
  <sheetData>
    <row r="1" spans="1:6" ht="17" thickBot="1" x14ac:dyDescent="0.25"/>
    <row r="2" spans="1:6" ht="17" thickBot="1" x14ac:dyDescent="0.25">
      <c r="A2" s="80" t="s">
        <v>59</v>
      </c>
      <c r="B2" s="92" t="s">
        <v>57</v>
      </c>
      <c r="C2" s="93" t="s">
        <v>58</v>
      </c>
      <c r="D2" s="94"/>
    </row>
    <row r="4" spans="1:6" x14ac:dyDescent="0.2">
      <c r="B4" s="43" t="s">
        <v>55</v>
      </c>
      <c r="C4" s="43"/>
      <c r="D4" s="43"/>
    </row>
    <row r="6" spans="1:6" x14ac:dyDescent="0.2">
      <c r="A6" s="81" t="s">
        <v>1</v>
      </c>
      <c r="B6" s="82" t="s">
        <v>3</v>
      </c>
      <c r="C6" s="83" t="s">
        <v>4</v>
      </c>
      <c r="D6" s="83" t="s">
        <v>0</v>
      </c>
      <c r="E6" s="83" t="s">
        <v>5</v>
      </c>
      <c r="F6" s="84" t="s">
        <v>7</v>
      </c>
    </row>
    <row r="7" spans="1:6" x14ac:dyDescent="0.2">
      <c r="A7" s="85">
        <v>2016</v>
      </c>
      <c r="B7" s="44">
        <v>99.01</v>
      </c>
      <c r="C7" s="44">
        <v>33433.620000000003</v>
      </c>
      <c r="D7" s="44">
        <v>609.62</v>
      </c>
      <c r="E7" s="44">
        <v>321.05</v>
      </c>
      <c r="F7" s="45">
        <v>180.34</v>
      </c>
    </row>
    <row r="8" spans="1:6" x14ac:dyDescent="0.2">
      <c r="A8" s="85">
        <v>2017</v>
      </c>
      <c r="B8" s="44">
        <v>132.9</v>
      </c>
      <c r="C8" s="44">
        <v>67392.12</v>
      </c>
      <c r="D8" s="44">
        <v>866.85</v>
      </c>
      <c r="E8" s="44">
        <v>359.17</v>
      </c>
      <c r="F8" s="46">
        <v>280.14999999999998</v>
      </c>
    </row>
    <row r="9" spans="1:6" x14ac:dyDescent="0.2">
      <c r="A9" s="85">
        <v>2018</v>
      </c>
      <c r="B9" s="44">
        <v>132.96</v>
      </c>
      <c r="C9" s="44">
        <v>79392.929999999993</v>
      </c>
      <c r="D9" s="44">
        <v>1064.51</v>
      </c>
      <c r="E9" s="44">
        <v>470.8</v>
      </c>
      <c r="F9" s="46">
        <v>240.39</v>
      </c>
    </row>
    <row r="10" spans="1:6" x14ac:dyDescent="0.2">
      <c r="A10" s="85">
        <v>2019</v>
      </c>
      <c r="B10" s="44">
        <v>131.03</v>
      </c>
      <c r="C10" s="44">
        <v>52623.88</v>
      </c>
      <c r="D10" s="44">
        <v>882.24</v>
      </c>
      <c r="E10" s="44">
        <v>533.54</v>
      </c>
      <c r="F10" s="46">
        <v>302.39999999999998</v>
      </c>
    </row>
    <row r="11" spans="1:6" x14ac:dyDescent="0.2">
      <c r="A11" s="85">
        <v>2020</v>
      </c>
      <c r="B11" s="44">
        <v>66.88</v>
      </c>
      <c r="C11" s="44">
        <v>60255.27</v>
      </c>
      <c r="D11" s="44">
        <v>499.01</v>
      </c>
      <c r="E11" s="44">
        <v>494.49</v>
      </c>
      <c r="F11" s="46">
        <v>185.86</v>
      </c>
    </row>
    <row r="12" spans="1:6" x14ac:dyDescent="0.2">
      <c r="A12" s="85">
        <v>2021</v>
      </c>
      <c r="B12" s="44">
        <v>92.08</v>
      </c>
      <c r="C12" s="44">
        <v>80513.59</v>
      </c>
      <c r="D12" s="44">
        <v>1393.68</v>
      </c>
      <c r="E12" s="44">
        <v>829.74</v>
      </c>
      <c r="F12" s="46">
        <v>344.8</v>
      </c>
    </row>
    <row r="13" spans="1:6" x14ac:dyDescent="0.2">
      <c r="A13" s="85">
        <v>2022</v>
      </c>
      <c r="B13" s="44">
        <v>145.38999999999999</v>
      </c>
      <c r="C13" s="44">
        <v>72593.41</v>
      </c>
      <c r="D13" s="44">
        <v>1687.05</v>
      </c>
      <c r="E13" s="44">
        <v>1030.01</v>
      </c>
      <c r="F13" s="46">
        <v>488.67</v>
      </c>
    </row>
    <row r="14" spans="1:6" x14ac:dyDescent="0.2">
      <c r="A14" s="86">
        <v>2023</v>
      </c>
      <c r="B14" s="47">
        <v>151.05000000000001</v>
      </c>
      <c r="C14" s="47">
        <v>84005.55</v>
      </c>
      <c r="D14" s="47">
        <v>1669.05</v>
      </c>
      <c r="E14" s="47">
        <v>1091.8499999999999</v>
      </c>
      <c r="F14" s="48">
        <v>527.65</v>
      </c>
    </row>
    <row r="16" spans="1:6" x14ac:dyDescent="0.2">
      <c r="B16" s="43" t="s">
        <v>49</v>
      </c>
      <c r="C16" s="43"/>
      <c r="D16" s="43"/>
      <c r="E16" s="43"/>
    </row>
    <row r="18" spans="1:6" x14ac:dyDescent="0.2">
      <c r="A18" s="81" t="s">
        <v>54</v>
      </c>
      <c r="B18" s="83" t="s">
        <v>3</v>
      </c>
      <c r="C18" s="83" t="s">
        <v>4</v>
      </c>
      <c r="D18" s="83" t="s">
        <v>0</v>
      </c>
      <c r="E18" s="83" t="s">
        <v>5</v>
      </c>
      <c r="F18" s="84" t="s">
        <v>7</v>
      </c>
    </row>
    <row r="19" spans="1:6" x14ac:dyDescent="0.2">
      <c r="A19" s="85">
        <v>2017</v>
      </c>
      <c r="B19" s="49">
        <v>0.3422886577113422</v>
      </c>
      <c r="C19" s="49">
        <v>1.0156991674847053</v>
      </c>
      <c r="D19" s="49">
        <v>0.42195137954791506</v>
      </c>
      <c r="E19" s="49">
        <v>0.11873539947048739</v>
      </c>
      <c r="F19" s="50">
        <v>0.55345458578241091</v>
      </c>
    </row>
    <row r="20" spans="1:6" x14ac:dyDescent="0.2">
      <c r="A20" s="85">
        <v>2018</v>
      </c>
      <c r="B20" s="49">
        <v>4.5146726862310693E-4</v>
      </c>
      <c r="C20" s="49">
        <v>0.17807438020943689</v>
      </c>
      <c r="D20" s="49">
        <v>0.22802099555863187</v>
      </c>
      <c r="E20" s="49">
        <v>0.31079989976891165</v>
      </c>
      <c r="F20" s="50">
        <v>-0.14192396930215956</v>
      </c>
    </row>
    <row r="21" spans="1:6" x14ac:dyDescent="0.2">
      <c r="A21" s="85">
        <v>2019</v>
      </c>
      <c r="B21" s="49">
        <v>-1.4515643802647471E-2</v>
      </c>
      <c r="C21" s="49">
        <v>-0.33717171037773763</v>
      </c>
      <c r="D21" s="49">
        <v>-0.17122431917032244</v>
      </c>
      <c r="E21" s="49">
        <v>0.13326253186066261</v>
      </c>
      <c r="F21" s="50">
        <v>0.25795582178959187</v>
      </c>
    </row>
    <row r="22" spans="1:6" x14ac:dyDescent="0.2">
      <c r="A22" s="85">
        <v>2020</v>
      </c>
      <c r="B22" s="49">
        <v>-0.48958253834999621</v>
      </c>
      <c r="C22" s="49">
        <v>0.14501762317791855</v>
      </c>
      <c r="D22" s="49">
        <v>-0.43438293434893005</v>
      </c>
      <c r="E22" s="49">
        <v>-7.3190388724369226E-2</v>
      </c>
      <c r="F22" s="50">
        <v>-0.38538359788359777</v>
      </c>
    </row>
    <row r="23" spans="1:6" x14ac:dyDescent="0.2">
      <c r="A23" s="85">
        <v>2021</v>
      </c>
      <c r="B23" s="49">
        <v>0.37679425837320579</v>
      </c>
      <c r="C23" s="49">
        <v>0.33620826858795927</v>
      </c>
      <c r="D23" s="49">
        <v>1.7928899220456507</v>
      </c>
      <c r="E23" s="49">
        <v>0.6779712430989504</v>
      </c>
      <c r="F23" s="50">
        <v>0.85515979769719142</v>
      </c>
    </row>
    <row r="24" spans="1:6" x14ac:dyDescent="0.2">
      <c r="A24" s="85">
        <v>2022</v>
      </c>
      <c r="B24" s="49">
        <v>0.57895308427454384</v>
      </c>
      <c r="C24" s="49">
        <v>-9.8370722259434662E-2</v>
      </c>
      <c r="D24" s="49">
        <v>0.21050025830893748</v>
      </c>
      <c r="E24" s="49">
        <v>0.24136476486610259</v>
      </c>
      <c r="F24" s="50">
        <v>0.41725638051044078</v>
      </c>
    </row>
    <row r="25" spans="1:6" x14ac:dyDescent="0.2">
      <c r="A25" s="85">
        <v>2023</v>
      </c>
      <c r="B25" s="49">
        <v>3.8929775087695351E-2</v>
      </c>
      <c r="C25" s="49">
        <v>0.15720628084560295</v>
      </c>
      <c r="D25" s="49">
        <v>-1.0669511869832005E-2</v>
      </c>
      <c r="E25" s="49">
        <v>6.0038252055805152E-2</v>
      </c>
      <c r="F25" s="50">
        <v>7.9767532281498577E-2</v>
      </c>
    </row>
    <row r="26" spans="1:6" ht="17" thickBot="1" x14ac:dyDescent="0.25">
      <c r="A26" s="51"/>
      <c r="F26" s="52"/>
    </row>
    <row r="27" spans="1:6" x14ac:dyDescent="0.2">
      <c r="A27" s="87" t="s">
        <v>50</v>
      </c>
      <c r="B27" s="88">
        <f>_xlfn.STDEV.S(B19:B25)</f>
        <v>0.35036567995890933</v>
      </c>
      <c r="C27" s="88">
        <f>_xlfn.STDEV.S(C19:C25)</f>
        <v>0.42166927503291218</v>
      </c>
      <c r="D27" s="88">
        <f>_xlfn.STDEV.S(D19:D25)</f>
        <v>0.72042862024145526</v>
      </c>
      <c r="E27" s="88">
        <f>_xlfn.STDEV.S(E19:E25)</f>
        <v>0.24050103705314585</v>
      </c>
      <c r="F27" s="89">
        <f>_xlfn.STDEV.S(F19:F25)</f>
        <v>0.42245110481456405</v>
      </c>
    </row>
    <row r="28" spans="1:6" ht="17" thickBot="1" x14ac:dyDescent="0.25">
      <c r="A28" s="90" t="s">
        <v>51</v>
      </c>
      <c r="B28" s="91">
        <f>AVERAGE(B19:B25)</f>
        <v>0.11904558008039523</v>
      </c>
      <c r="C28" s="91">
        <f>AVERAGE(C19:C25)</f>
        <v>0.19952332680977869</v>
      </c>
      <c r="D28" s="91">
        <f>AVERAGE(D19:D25)</f>
        <v>0.29101225572457867</v>
      </c>
      <c r="E28" s="91">
        <f>AVERAGE(E19:E25)</f>
        <v>0.20985452891379294</v>
      </c>
      <c r="F28" s="68">
        <f>AVERAGE(F19:F25)</f>
        <v>0.23375522155362516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D638-2434-1746-8ACF-F771F91F659E}">
  <dimension ref="A1:F174"/>
  <sheetViews>
    <sheetView zoomScale="176" zoomScaleNormal="143" workbookViewId="0">
      <selection activeCell="D4" sqref="D4"/>
    </sheetView>
  </sheetViews>
  <sheetFormatPr baseColWidth="10" defaultRowHeight="16" x14ac:dyDescent="0.2"/>
  <cols>
    <col min="1" max="1" width="16.6640625" customWidth="1"/>
    <col min="2" max="2" width="18.33203125" customWidth="1"/>
    <col min="3" max="3" width="13" bestFit="1" customWidth="1"/>
    <col min="4" max="4" width="11.6640625" customWidth="1"/>
    <col min="6" max="6" width="21.1640625" customWidth="1"/>
  </cols>
  <sheetData>
    <row r="1" spans="1:6" ht="21" x14ac:dyDescent="0.25">
      <c r="A1" s="54" t="s">
        <v>56</v>
      </c>
      <c r="B1" s="54"/>
      <c r="C1" s="54"/>
      <c r="D1" s="54"/>
      <c r="E1" s="54"/>
    </row>
    <row r="3" spans="1:6" x14ac:dyDescent="0.2">
      <c r="B3" s="55" t="s">
        <v>12</v>
      </c>
    </row>
    <row r="4" spans="1:6" ht="17" thickBot="1" x14ac:dyDescent="0.25"/>
    <row r="5" spans="1:6" x14ac:dyDescent="0.2">
      <c r="A5" s="56" t="s">
        <v>1</v>
      </c>
      <c r="B5" s="57" t="s">
        <v>9</v>
      </c>
      <c r="C5" s="58" t="s">
        <v>8</v>
      </c>
      <c r="D5" s="58" t="s">
        <v>10</v>
      </c>
      <c r="E5" s="58" t="s">
        <v>8</v>
      </c>
      <c r="F5" s="59" t="s">
        <v>11</v>
      </c>
    </row>
    <row r="6" spans="1:6" x14ac:dyDescent="0.2">
      <c r="A6" s="60">
        <v>2016</v>
      </c>
      <c r="B6" s="44" t="s">
        <v>2</v>
      </c>
      <c r="C6" s="2" t="s">
        <v>2</v>
      </c>
      <c r="D6" s="44" t="s">
        <v>2</v>
      </c>
      <c r="F6" s="61"/>
    </row>
    <row r="7" spans="1:6" x14ac:dyDescent="0.2">
      <c r="A7" s="60">
        <v>2017</v>
      </c>
      <c r="B7" s="62">
        <v>0.3422886577113422</v>
      </c>
      <c r="C7" s="2">
        <f>B7-$B$14</f>
        <v>0.22324307763094697</v>
      </c>
      <c r="D7" s="63">
        <v>1.0157</v>
      </c>
      <c r="E7" s="2">
        <f>D7-$D$14</f>
        <v>0.81620000000000004</v>
      </c>
      <c r="F7" s="64">
        <f>C7*E7</f>
        <v>0.18221099996237894</v>
      </c>
    </row>
    <row r="8" spans="1:6" x14ac:dyDescent="0.2">
      <c r="A8" s="60">
        <v>2018</v>
      </c>
      <c r="B8" s="62">
        <v>4.5146726862310693E-4</v>
      </c>
      <c r="C8" s="2">
        <f t="shared" ref="C8:C13" si="0">B8-$B$14</f>
        <v>-0.11859411281177212</v>
      </c>
      <c r="D8" s="63">
        <v>0.17810000000000001</v>
      </c>
      <c r="E8" s="2">
        <f t="shared" ref="E8:E13" si="1">D8-$D$14</f>
        <v>-2.1399999999999975E-2</v>
      </c>
      <c r="F8" s="64">
        <f t="shared" ref="F8:F13" si="2">C8*E8</f>
        <v>2.5379140141719206E-3</v>
      </c>
    </row>
    <row r="9" spans="1:6" x14ac:dyDescent="0.2">
      <c r="A9" s="60">
        <v>2019</v>
      </c>
      <c r="B9" s="62">
        <v>-1.4515643802647471E-2</v>
      </c>
      <c r="C9" s="2">
        <f t="shared" si="0"/>
        <v>-0.1335612238830427</v>
      </c>
      <c r="D9" s="63">
        <v>-0.3372</v>
      </c>
      <c r="E9" s="2">
        <f t="shared" si="1"/>
        <v>-0.53669999999999995</v>
      </c>
      <c r="F9" s="64">
        <f t="shared" si="2"/>
        <v>7.1682308858029009E-2</v>
      </c>
    </row>
    <row r="10" spans="1:6" x14ac:dyDescent="0.2">
      <c r="A10" s="60">
        <v>2020</v>
      </c>
      <c r="B10" s="62">
        <v>-0.48958253834999621</v>
      </c>
      <c r="C10" s="2">
        <f t="shared" si="0"/>
        <v>-0.60862811843039144</v>
      </c>
      <c r="D10" s="63">
        <v>0.14499999999999999</v>
      </c>
      <c r="E10" s="2">
        <f t="shared" si="1"/>
        <v>-5.4499999999999993E-2</v>
      </c>
      <c r="F10" s="64">
        <f t="shared" si="2"/>
        <v>3.3170232454456328E-2</v>
      </c>
    </row>
    <row r="11" spans="1:6" x14ac:dyDescent="0.2">
      <c r="A11" s="60">
        <v>2021</v>
      </c>
      <c r="B11" s="62">
        <v>0.37679425837320579</v>
      </c>
      <c r="C11" s="2">
        <f t="shared" si="0"/>
        <v>0.25774867829281056</v>
      </c>
      <c r="D11" s="63">
        <v>0.3362</v>
      </c>
      <c r="E11" s="2">
        <f t="shared" si="1"/>
        <v>0.13670000000000002</v>
      </c>
      <c r="F11" s="64">
        <f t="shared" si="2"/>
        <v>3.5234244322627208E-2</v>
      </c>
    </row>
    <row r="12" spans="1:6" x14ac:dyDescent="0.2">
      <c r="A12" s="60">
        <v>2022</v>
      </c>
      <c r="B12" s="62">
        <v>0.57895308427454384</v>
      </c>
      <c r="C12" s="2">
        <f t="shared" si="0"/>
        <v>0.45990750419414861</v>
      </c>
      <c r="D12" s="63">
        <v>-9.8400000000000001E-2</v>
      </c>
      <c r="E12" s="2">
        <f t="shared" si="1"/>
        <v>-0.2979</v>
      </c>
      <c r="F12" s="64">
        <f t="shared" si="2"/>
        <v>-0.13700644549943686</v>
      </c>
    </row>
    <row r="13" spans="1:6" x14ac:dyDescent="0.2">
      <c r="A13" s="60">
        <v>2023</v>
      </c>
      <c r="B13" s="62">
        <v>3.8929775087695351E-2</v>
      </c>
      <c r="C13" s="2">
        <f t="shared" si="0"/>
        <v>-8.0115804992699879E-2</v>
      </c>
      <c r="D13" s="63">
        <v>0.15720000000000001</v>
      </c>
      <c r="E13" s="2">
        <f t="shared" si="1"/>
        <v>-4.2299999999999977E-2</v>
      </c>
      <c r="F13" s="64">
        <f t="shared" si="2"/>
        <v>3.3888985511912029E-3</v>
      </c>
    </row>
    <row r="14" spans="1:6" ht="17" thickBot="1" x14ac:dyDescent="0.25">
      <c r="A14" s="65"/>
      <c r="B14" s="66">
        <f>AVERAGE(B6:B13)</f>
        <v>0.11904558008039523</v>
      </c>
      <c r="C14" s="40"/>
      <c r="D14" s="67">
        <v>0.19949999999999998</v>
      </c>
      <c r="E14" s="40"/>
      <c r="F14" s="68">
        <f>SUM(F7:F13)</f>
        <v>0.19121815266341777</v>
      </c>
    </row>
    <row r="17" spans="1:6" x14ac:dyDescent="0.2">
      <c r="C17" s="3" t="s">
        <v>6</v>
      </c>
      <c r="D17" s="4">
        <f>_xlfn.COVARIANCE.S(B7:B13,D7:D13)</f>
        <v>3.1869692110569621E-2</v>
      </c>
      <c r="F17" s="1"/>
    </row>
    <row r="18" spans="1:6" x14ac:dyDescent="0.2">
      <c r="C18" s="34" t="s">
        <v>36</v>
      </c>
      <c r="D18" s="33">
        <f>(D17)/(35.04%*42.17%)</f>
        <v>0.21568014623464724</v>
      </c>
    </row>
    <row r="20" spans="1:6" x14ac:dyDescent="0.2">
      <c r="B20" s="55" t="s">
        <v>14</v>
      </c>
    </row>
    <row r="21" spans="1:6" ht="17" thickBot="1" x14ac:dyDescent="0.25"/>
    <row r="22" spans="1:6" x14ac:dyDescent="0.2">
      <c r="A22" s="56" t="s">
        <v>1</v>
      </c>
      <c r="B22" s="57" t="s">
        <v>9</v>
      </c>
      <c r="C22" s="58" t="s">
        <v>8</v>
      </c>
      <c r="D22" s="58" t="s">
        <v>15</v>
      </c>
      <c r="E22" s="58" t="s">
        <v>8</v>
      </c>
      <c r="F22" s="59" t="s">
        <v>11</v>
      </c>
    </row>
    <row r="23" spans="1:6" x14ac:dyDescent="0.2">
      <c r="A23" s="60">
        <v>2016</v>
      </c>
      <c r="B23" s="44" t="s">
        <v>2</v>
      </c>
      <c r="C23" s="2" t="s">
        <v>2</v>
      </c>
      <c r="D23" s="69" t="s">
        <v>2</v>
      </c>
      <c r="E23" t="s">
        <v>2</v>
      </c>
      <c r="F23" s="61"/>
    </row>
    <row r="24" spans="1:6" x14ac:dyDescent="0.2">
      <c r="A24" s="60">
        <v>2017</v>
      </c>
      <c r="B24" s="62">
        <v>0.3422886577113422</v>
      </c>
      <c r="C24" s="2">
        <f>B24-$B$14</f>
        <v>0.22324307763094697</v>
      </c>
      <c r="D24" s="63">
        <v>0.42199999999999999</v>
      </c>
      <c r="E24" s="2">
        <f>D24-$D$31</f>
        <v>0.13098571428571426</v>
      </c>
      <c r="F24" s="70">
        <f>C24*E24</f>
        <v>2.924165398283075E-2</v>
      </c>
    </row>
    <row r="25" spans="1:6" x14ac:dyDescent="0.2">
      <c r="A25" s="60">
        <v>2018</v>
      </c>
      <c r="B25" s="62">
        <v>4.5146726862310693E-4</v>
      </c>
      <c r="C25" s="2">
        <f t="shared" ref="C25:C30" si="3">B25-$B$14</f>
        <v>-0.11859411281177212</v>
      </c>
      <c r="D25" s="63">
        <v>0.22800000000000001</v>
      </c>
      <c r="E25" s="2">
        <f t="shared" ref="E25:E30" si="4">D25-$D$31</f>
        <v>-6.3014285714285717E-2</v>
      </c>
      <c r="F25" s="70">
        <f t="shared" ref="F25:F30" si="5">C25*E25</f>
        <v>7.4731233087532408E-3</v>
      </c>
    </row>
    <row r="26" spans="1:6" x14ac:dyDescent="0.2">
      <c r="A26" s="60">
        <v>2019</v>
      </c>
      <c r="B26" s="62">
        <v>-1.4515643802647471E-2</v>
      </c>
      <c r="C26" s="2">
        <f t="shared" si="3"/>
        <v>-0.1335612238830427</v>
      </c>
      <c r="D26" s="63">
        <v>-0.17119999999999999</v>
      </c>
      <c r="E26" s="2">
        <f t="shared" si="4"/>
        <v>-0.46221428571428569</v>
      </c>
      <c r="F26" s="70">
        <f t="shared" si="5"/>
        <v>6.1733905696226374E-2</v>
      </c>
    </row>
    <row r="27" spans="1:6" x14ac:dyDescent="0.2">
      <c r="A27" s="60">
        <v>2020</v>
      </c>
      <c r="B27" s="62">
        <v>-0.48958253834999621</v>
      </c>
      <c r="C27" s="2">
        <f t="shared" si="3"/>
        <v>-0.60862811843039144</v>
      </c>
      <c r="D27" s="63">
        <v>-0.43440000000000001</v>
      </c>
      <c r="E27" s="2">
        <f t="shared" si="4"/>
        <v>-0.72541428571428579</v>
      </c>
      <c r="F27" s="70">
        <f t="shared" si="5"/>
        <v>0.44150753179681212</v>
      </c>
    </row>
    <row r="28" spans="1:6" x14ac:dyDescent="0.2">
      <c r="A28" s="60">
        <v>2021</v>
      </c>
      <c r="B28" s="62">
        <v>0.37679425837320579</v>
      </c>
      <c r="C28" s="2">
        <f t="shared" si="3"/>
        <v>0.25774867829281056</v>
      </c>
      <c r="D28" s="63">
        <v>1.7928999999999999</v>
      </c>
      <c r="E28" s="2">
        <f t="shared" si="4"/>
        <v>1.5018857142857143</v>
      </c>
      <c r="F28" s="70">
        <f t="shared" si="5"/>
        <v>0.38710905780399657</v>
      </c>
    </row>
    <row r="29" spans="1:6" x14ac:dyDescent="0.2">
      <c r="A29" s="60">
        <v>2022</v>
      </c>
      <c r="B29" s="62">
        <v>0.57895308427454384</v>
      </c>
      <c r="C29" s="2">
        <f t="shared" si="3"/>
        <v>0.45990750419414861</v>
      </c>
      <c r="D29" s="63">
        <v>0.21049999999999999</v>
      </c>
      <c r="E29" s="2">
        <f t="shared" si="4"/>
        <v>-8.0514285714285733E-2</v>
      </c>
      <c r="F29" s="70">
        <f t="shared" si="5"/>
        <v>-3.7029124194831745E-2</v>
      </c>
    </row>
    <row r="30" spans="1:6" x14ac:dyDescent="0.2">
      <c r="A30" s="60">
        <v>2023</v>
      </c>
      <c r="B30" s="62">
        <v>3.8929775087695351E-2</v>
      </c>
      <c r="C30" s="2">
        <f t="shared" si="3"/>
        <v>-8.0115804992699879E-2</v>
      </c>
      <c r="D30" s="63">
        <v>-1.0699999999999999E-2</v>
      </c>
      <c r="E30" s="2">
        <f t="shared" si="4"/>
        <v>-0.30171428571428571</v>
      </c>
      <c r="F30" s="70">
        <f t="shared" si="5"/>
        <v>2.417208287779745E-2</v>
      </c>
    </row>
    <row r="31" spans="1:6" ht="17" thickBot="1" x14ac:dyDescent="0.25">
      <c r="A31" s="65"/>
      <c r="B31" s="66">
        <f>AVERAGE(B23:B30)</f>
        <v>0.11904558008039523</v>
      </c>
      <c r="C31" s="40"/>
      <c r="D31" s="66">
        <f>AVERAGE(D23:D30)</f>
        <v>0.29101428571428573</v>
      </c>
      <c r="E31" s="40"/>
      <c r="F31" s="71">
        <f>SUM(F24:F30)</f>
        <v>0.91420823127158479</v>
      </c>
    </row>
    <row r="34" spans="1:6" x14ac:dyDescent="0.2">
      <c r="C34" s="3" t="s">
        <v>6</v>
      </c>
      <c r="D34" s="4">
        <f>_xlfn.COVARIANCE.P(B24:B30,D24:D30)</f>
        <v>0.1306011758959407</v>
      </c>
    </row>
    <row r="35" spans="1:6" x14ac:dyDescent="0.2">
      <c r="C35" s="34" t="s">
        <v>33</v>
      </c>
      <c r="D35">
        <f>CORREL(B24:B30,D24:D30)</f>
        <v>0.6036382247569726</v>
      </c>
    </row>
    <row r="36" spans="1:6" x14ac:dyDescent="0.2">
      <c r="B36" s="55" t="s">
        <v>16</v>
      </c>
    </row>
    <row r="37" spans="1:6" ht="17" thickBot="1" x14ac:dyDescent="0.25"/>
    <row r="38" spans="1:6" x14ac:dyDescent="0.2">
      <c r="A38" s="56" t="s">
        <v>1</v>
      </c>
      <c r="B38" s="57" t="s">
        <v>9</v>
      </c>
      <c r="C38" s="58" t="s">
        <v>8</v>
      </c>
      <c r="D38" s="72" t="s">
        <v>17</v>
      </c>
      <c r="E38" s="58" t="s">
        <v>8</v>
      </c>
      <c r="F38" s="59" t="s">
        <v>11</v>
      </c>
    </row>
    <row r="39" spans="1:6" x14ac:dyDescent="0.2">
      <c r="A39" s="60">
        <v>2016</v>
      </c>
      <c r="B39" s="44" t="s">
        <v>2</v>
      </c>
      <c r="C39" s="2" t="s">
        <v>2</v>
      </c>
      <c r="D39" s="69" t="s">
        <v>2</v>
      </c>
      <c r="F39" s="61"/>
    </row>
    <row r="40" spans="1:6" x14ac:dyDescent="0.2">
      <c r="A40" s="60">
        <v>2017</v>
      </c>
      <c r="B40" s="62">
        <v>0.3422886577113422</v>
      </c>
      <c r="C40" s="2">
        <f>B40-$B$14</f>
        <v>0.22324307763094697</v>
      </c>
      <c r="D40" s="63">
        <v>0.1187</v>
      </c>
      <c r="E40" s="2">
        <f>D40-$D$47</f>
        <v>-9.1157142857142881E-2</v>
      </c>
      <c r="F40" s="70">
        <f>C40*E40</f>
        <v>-2.0350201119472472E-2</v>
      </c>
    </row>
    <row r="41" spans="1:6" x14ac:dyDescent="0.2">
      <c r="A41" s="60">
        <v>2018</v>
      </c>
      <c r="B41" s="62">
        <v>4.5146726862310693E-4</v>
      </c>
      <c r="C41" s="2">
        <f t="shared" ref="C41:C46" si="6">B41-$B$14</f>
        <v>-0.11859411281177212</v>
      </c>
      <c r="D41" s="63">
        <v>0.31080000000000002</v>
      </c>
      <c r="E41" s="2">
        <f t="shared" ref="E41:E46" si="7">D41-$D$47</f>
        <v>0.10094285714285714</v>
      </c>
      <c r="F41" s="70">
        <f t="shared" ref="F41:F46" si="8">C41*E41</f>
        <v>-1.1971228587542597E-2</v>
      </c>
    </row>
    <row r="42" spans="1:6" x14ac:dyDescent="0.2">
      <c r="A42" s="60">
        <v>2019</v>
      </c>
      <c r="B42" s="62">
        <v>-1.4515643802647471E-2</v>
      </c>
      <c r="C42" s="2">
        <f t="shared" si="6"/>
        <v>-0.1335612238830427</v>
      </c>
      <c r="D42" s="63">
        <v>0.1333</v>
      </c>
      <c r="E42" s="2">
        <f t="shared" si="7"/>
        <v>-7.6557142857142879E-2</v>
      </c>
      <c r="F42" s="70">
        <f t="shared" si="8"/>
        <v>1.0225065696988944E-2</v>
      </c>
    </row>
    <row r="43" spans="1:6" x14ac:dyDescent="0.2">
      <c r="A43" s="60">
        <v>2020</v>
      </c>
      <c r="B43" s="62">
        <v>-0.48958253834999621</v>
      </c>
      <c r="C43" s="2">
        <f t="shared" si="6"/>
        <v>-0.60862811843039144</v>
      </c>
      <c r="D43" s="63">
        <v>-7.3200000000000001E-2</v>
      </c>
      <c r="E43" s="2">
        <f t="shared" si="7"/>
        <v>-0.2830571428571429</v>
      </c>
      <c r="F43" s="70">
        <f t="shared" si="8"/>
        <v>0.17227653626542538</v>
      </c>
    </row>
    <row r="44" spans="1:6" x14ac:dyDescent="0.2">
      <c r="A44" s="60">
        <v>2021</v>
      </c>
      <c r="B44" s="62">
        <v>0.37679425837320579</v>
      </c>
      <c r="C44" s="2">
        <f t="shared" si="6"/>
        <v>0.25774867829281056</v>
      </c>
      <c r="D44" s="63">
        <v>0.67800000000000005</v>
      </c>
      <c r="E44" s="2">
        <f t="shared" si="7"/>
        <v>0.46814285714285719</v>
      </c>
      <c r="F44" s="70">
        <f t="shared" si="8"/>
        <v>0.12066320268079148</v>
      </c>
    </row>
    <row r="45" spans="1:6" x14ac:dyDescent="0.2">
      <c r="A45" s="60">
        <v>2022</v>
      </c>
      <c r="B45" s="62">
        <v>0.57895308427454384</v>
      </c>
      <c r="C45" s="2">
        <f t="shared" si="6"/>
        <v>0.45990750419414861</v>
      </c>
      <c r="D45" s="63">
        <v>0.2414</v>
      </c>
      <c r="E45" s="2">
        <f t="shared" si="7"/>
        <v>3.1542857142857122E-2</v>
      </c>
      <c r="F45" s="70">
        <f t="shared" si="8"/>
        <v>1.4506796703723993E-2</v>
      </c>
    </row>
    <row r="46" spans="1:6" x14ac:dyDescent="0.2">
      <c r="A46" s="60">
        <v>2023</v>
      </c>
      <c r="B46" s="62">
        <v>3.8929775087695351E-2</v>
      </c>
      <c r="C46" s="2">
        <f t="shared" si="6"/>
        <v>-8.0115804992699879E-2</v>
      </c>
      <c r="D46" s="63">
        <v>0.06</v>
      </c>
      <c r="E46" s="2">
        <f t="shared" si="7"/>
        <v>-0.14985714285714288</v>
      </c>
      <c r="F46" s="70">
        <f t="shared" si="8"/>
        <v>1.2005925633906027E-2</v>
      </c>
    </row>
    <row r="47" spans="1:6" ht="17" thickBot="1" x14ac:dyDescent="0.25">
      <c r="A47" s="65"/>
      <c r="B47" s="66">
        <f>AVERAGE(B39:B46)</f>
        <v>0.11904558008039523</v>
      </c>
      <c r="C47" s="40"/>
      <c r="D47" s="66">
        <f>AVERAGE(D39:D46)</f>
        <v>0.20985714285714288</v>
      </c>
      <c r="E47" s="40"/>
      <c r="F47" s="71">
        <f>SUM(F40:F46)</f>
        <v>0.29735609727382073</v>
      </c>
    </row>
    <row r="50" spans="1:6" x14ac:dyDescent="0.2">
      <c r="C50" s="3" t="s">
        <v>6</v>
      </c>
      <c r="D50" s="1">
        <f>_xlfn.COVARIANCE.S(B40:B46,D40:D46)</f>
        <v>4.9559349545636788E-2</v>
      </c>
    </row>
    <row r="51" spans="1:6" x14ac:dyDescent="0.2">
      <c r="C51" s="34" t="s">
        <v>33</v>
      </c>
      <c r="D51" s="33">
        <f>CORREL(B40:B46,D40:D46)</f>
        <v>0.58810898554933666</v>
      </c>
    </row>
    <row r="53" spans="1:6" x14ac:dyDescent="0.2">
      <c r="B53" s="55" t="s">
        <v>19</v>
      </c>
    </row>
    <row r="54" spans="1:6" ht="17" thickBot="1" x14ac:dyDescent="0.25"/>
    <row r="55" spans="1:6" x14ac:dyDescent="0.2">
      <c r="A55" s="56" t="s">
        <v>1</v>
      </c>
      <c r="B55" s="57" t="s">
        <v>9</v>
      </c>
      <c r="C55" s="58" t="s">
        <v>8</v>
      </c>
      <c r="D55" s="72" t="s">
        <v>18</v>
      </c>
      <c r="E55" s="58" t="s">
        <v>8</v>
      </c>
      <c r="F55" s="59" t="s">
        <v>11</v>
      </c>
    </row>
    <row r="56" spans="1:6" x14ac:dyDescent="0.2">
      <c r="A56" s="60">
        <v>2016</v>
      </c>
      <c r="B56" s="44" t="s">
        <v>2</v>
      </c>
      <c r="C56" s="2" t="s">
        <v>2</v>
      </c>
      <c r="D56" s="69" t="s">
        <v>2</v>
      </c>
      <c r="F56" s="61"/>
    </row>
    <row r="57" spans="1:6" x14ac:dyDescent="0.2">
      <c r="A57" s="60">
        <v>2017</v>
      </c>
      <c r="B57" s="62">
        <v>0.3422886577113422</v>
      </c>
      <c r="C57" s="2">
        <f>B57-$B$14</f>
        <v>0.22324307763094697</v>
      </c>
      <c r="D57" s="63">
        <v>0.55349999999999999</v>
      </c>
      <c r="E57" s="2">
        <f>D57-$D$64</f>
        <v>0.31969999999999998</v>
      </c>
      <c r="F57" s="70">
        <f>C57*E57</f>
        <v>7.1370811918613747E-2</v>
      </c>
    </row>
    <row r="58" spans="1:6" x14ac:dyDescent="0.2">
      <c r="A58" s="60">
        <v>2018</v>
      </c>
      <c r="B58" s="62">
        <v>4.5146726862310693E-4</v>
      </c>
      <c r="C58" s="2">
        <f t="shared" ref="C58:C63" si="9">B58-$B$14</f>
        <v>-0.11859411281177212</v>
      </c>
      <c r="D58" s="63">
        <v>-0.1419</v>
      </c>
      <c r="E58" s="2">
        <f t="shared" ref="E58:E63" si="10">D58-$D$64</f>
        <v>-0.37570000000000003</v>
      </c>
      <c r="F58" s="70">
        <f t="shared" ref="F58:F63" si="11">C58*E58</f>
        <v>4.455580818338279E-2</v>
      </c>
    </row>
    <row r="59" spans="1:6" x14ac:dyDescent="0.2">
      <c r="A59" s="60">
        <v>2019</v>
      </c>
      <c r="B59" s="62">
        <v>-1.4515643802647471E-2</v>
      </c>
      <c r="C59" s="2">
        <f t="shared" si="9"/>
        <v>-0.1335612238830427</v>
      </c>
      <c r="D59" s="63">
        <v>0.25800000000000001</v>
      </c>
      <c r="E59" s="2">
        <f t="shared" si="10"/>
        <v>2.4199999999999999E-2</v>
      </c>
      <c r="F59" s="70">
        <f t="shared" si="11"/>
        <v>-3.2321816179696331E-3</v>
      </c>
    </row>
    <row r="60" spans="1:6" x14ac:dyDescent="0.2">
      <c r="A60" s="60">
        <v>2020</v>
      </c>
      <c r="B60" s="62">
        <v>-0.48958253834999621</v>
      </c>
      <c r="C60" s="2">
        <f t="shared" si="9"/>
        <v>-0.60862811843039144</v>
      </c>
      <c r="D60" s="63">
        <v>-0.38540000000000002</v>
      </c>
      <c r="E60" s="2">
        <f t="shared" si="10"/>
        <v>-0.61919999999999997</v>
      </c>
      <c r="F60" s="70">
        <f t="shared" si="11"/>
        <v>0.37686253093209837</v>
      </c>
    </row>
    <row r="61" spans="1:6" x14ac:dyDescent="0.2">
      <c r="A61" s="60">
        <v>2021</v>
      </c>
      <c r="B61" s="62">
        <v>0.37679425837320579</v>
      </c>
      <c r="C61" s="2">
        <f t="shared" si="9"/>
        <v>0.25774867829281056</v>
      </c>
      <c r="D61" s="63">
        <v>0.85519999999999996</v>
      </c>
      <c r="E61" s="2">
        <f t="shared" si="10"/>
        <v>0.62139999999999995</v>
      </c>
      <c r="F61" s="70">
        <f t="shared" si="11"/>
        <v>0.16016502869115248</v>
      </c>
    </row>
    <row r="62" spans="1:6" x14ac:dyDescent="0.2">
      <c r="A62" s="60">
        <v>2022</v>
      </c>
      <c r="B62" s="62">
        <v>0.57895308427454384</v>
      </c>
      <c r="C62" s="2">
        <f t="shared" si="9"/>
        <v>0.45990750419414861</v>
      </c>
      <c r="D62" s="63">
        <v>0.4173</v>
      </c>
      <c r="E62" s="2">
        <f t="shared" si="10"/>
        <v>0.1835</v>
      </c>
      <c r="F62" s="70">
        <f t="shared" si="11"/>
        <v>8.4393027019626268E-2</v>
      </c>
    </row>
    <row r="63" spans="1:6" x14ac:dyDescent="0.2">
      <c r="A63" s="60">
        <v>2023</v>
      </c>
      <c r="B63" s="62">
        <v>3.8929775087695351E-2</v>
      </c>
      <c r="C63" s="2">
        <f t="shared" si="9"/>
        <v>-8.0115804992699879E-2</v>
      </c>
      <c r="D63" s="63">
        <v>7.9799999999999996E-2</v>
      </c>
      <c r="E63" s="2">
        <f t="shared" si="10"/>
        <v>-0.15400000000000003</v>
      </c>
      <c r="F63" s="70">
        <f t="shared" si="11"/>
        <v>1.2337833968875783E-2</v>
      </c>
    </row>
    <row r="64" spans="1:6" ht="17" thickBot="1" x14ac:dyDescent="0.25">
      <c r="A64" s="65"/>
      <c r="B64" s="66">
        <f>AVERAGE(B56:B63)</f>
        <v>0.11904558008039523</v>
      </c>
      <c r="C64" s="40"/>
      <c r="D64" s="67">
        <v>0.23380000000000001</v>
      </c>
      <c r="E64" s="40"/>
      <c r="F64" s="71">
        <f>SUM(F57:F63)</f>
        <v>0.74645285909577974</v>
      </c>
    </row>
    <row r="67" spans="1:6" x14ac:dyDescent="0.2">
      <c r="C67" s="3" t="s">
        <v>6</v>
      </c>
      <c r="D67" s="1">
        <f>_xlfn.COVARIANCE.S(B57:B63,D57:D63)</f>
        <v>0.12440880984929664</v>
      </c>
    </row>
    <row r="68" spans="1:6" x14ac:dyDescent="0.2">
      <c r="C68" s="34" t="s">
        <v>33</v>
      </c>
      <c r="D68" s="33">
        <f>D67/35.04%*42.25%</f>
        <v>0.15000776872525065</v>
      </c>
      <c r="E68" s="34"/>
    </row>
    <row r="70" spans="1:6" x14ac:dyDescent="0.2">
      <c r="B70" s="55" t="s">
        <v>20</v>
      </c>
    </row>
    <row r="71" spans="1:6" ht="17" thickBot="1" x14ac:dyDescent="0.25"/>
    <row r="72" spans="1:6" x14ac:dyDescent="0.2">
      <c r="A72" s="56" t="s">
        <v>1</v>
      </c>
      <c r="B72" s="58" t="s">
        <v>10</v>
      </c>
      <c r="C72" s="58" t="s">
        <v>8</v>
      </c>
      <c r="D72" s="58" t="s">
        <v>15</v>
      </c>
      <c r="E72" s="58" t="s">
        <v>8</v>
      </c>
      <c r="F72" s="59" t="s">
        <v>11</v>
      </c>
    </row>
    <row r="73" spans="1:6" x14ac:dyDescent="0.2">
      <c r="A73" s="60">
        <v>2016</v>
      </c>
      <c r="B73" s="44" t="s">
        <v>2</v>
      </c>
      <c r="D73" s="69" t="s">
        <v>2</v>
      </c>
      <c r="E73" t="s">
        <v>2</v>
      </c>
      <c r="F73" s="61"/>
    </row>
    <row r="74" spans="1:6" x14ac:dyDescent="0.2">
      <c r="A74" s="60">
        <v>2017</v>
      </c>
      <c r="B74" s="63">
        <v>1.0157</v>
      </c>
      <c r="C74" s="2">
        <f>B74-$D$14</f>
        <v>0.81620000000000004</v>
      </c>
      <c r="D74" s="63">
        <v>0.42199999999999999</v>
      </c>
      <c r="E74" s="2">
        <f>D74-$D$31</f>
        <v>0.13098571428571426</v>
      </c>
      <c r="F74" s="70">
        <f>C74*E74</f>
        <v>0.10691053999999998</v>
      </c>
    </row>
    <row r="75" spans="1:6" x14ac:dyDescent="0.2">
      <c r="A75" s="60">
        <v>2018</v>
      </c>
      <c r="B75" s="63">
        <v>0.17810000000000001</v>
      </c>
      <c r="C75" s="2">
        <f t="shared" ref="C75:C80" si="12">B75-$D$14</f>
        <v>-2.1399999999999975E-2</v>
      </c>
      <c r="D75" s="63">
        <v>0.22800000000000001</v>
      </c>
      <c r="E75" s="2">
        <f t="shared" ref="E75:E80" si="13">D75-$D$31</f>
        <v>-6.3014285714285717E-2</v>
      </c>
      <c r="F75" s="70">
        <f t="shared" ref="F75:F80" si="14">C75*E75</f>
        <v>1.3485057142857127E-3</v>
      </c>
    </row>
    <row r="76" spans="1:6" x14ac:dyDescent="0.2">
      <c r="A76" s="60">
        <v>2019</v>
      </c>
      <c r="B76" s="63">
        <v>-0.3372</v>
      </c>
      <c r="C76" s="2">
        <f t="shared" si="12"/>
        <v>-0.53669999999999995</v>
      </c>
      <c r="D76" s="63">
        <v>-0.17119999999999999</v>
      </c>
      <c r="E76" s="2">
        <f t="shared" si="13"/>
        <v>-0.46221428571428569</v>
      </c>
      <c r="F76" s="70">
        <f t="shared" si="14"/>
        <v>0.24807040714285711</v>
      </c>
    </row>
    <row r="77" spans="1:6" x14ac:dyDescent="0.2">
      <c r="A77" s="60">
        <v>2020</v>
      </c>
      <c r="B77" s="63">
        <v>0.14499999999999999</v>
      </c>
      <c r="C77" s="2">
        <f t="shared" si="12"/>
        <v>-5.4499999999999993E-2</v>
      </c>
      <c r="D77" s="63">
        <v>-0.43440000000000001</v>
      </c>
      <c r="E77" s="2">
        <f t="shared" si="13"/>
        <v>-0.72541428571428579</v>
      </c>
      <c r="F77" s="70">
        <f t="shared" si="14"/>
        <v>3.9535078571428572E-2</v>
      </c>
    </row>
    <row r="78" spans="1:6" x14ac:dyDescent="0.2">
      <c r="A78" s="60">
        <v>2021</v>
      </c>
      <c r="B78" s="63">
        <v>0.3362</v>
      </c>
      <c r="C78" s="2">
        <f t="shared" si="12"/>
        <v>0.13670000000000002</v>
      </c>
      <c r="D78" s="63">
        <v>1.7928999999999999</v>
      </c>
      <c r="E78" s="2">
        <f t="shared" si="13"/>
        <v>1.5018857142857143</v>
      </c>
      <c r="F78" s="70">
        <f t="shared" si="14"/>
        <v>0.20530777714285717</v>
      </c>
    </row>
    <row r="79" spans="1:6" x14ac:dyDescent="0.2">
      <c r="A79" s="60">
        <v>2022</v>
      </c>
      <c r="B79" s="63">
        <v>-9.8400000000000001E-2</v>
      </c>
      <c r="C79" s="2">
        <f t="shared" si="12"/>
        <v>-0.2979</v>
      </c>
      <c r="D79" s="63">
        <v>0.21049999999999999</v>
      </c>
      <c r="E79" s="2">
        <f t="shared" si="13"/>
        <v>-8.0514285714285733E-2</v>
      </c>
      <c r="F79" s="70">
        <f t="shared" si="14"/>
        <v>2.398520571428572E-2</v>
      </c>
    </row>
    <row r="80" spans="1:6" x14ac:dyDescent="0.2">
      <c r="A80" s="60">
        <v>2023</v>
      </c>
      <c r="B80" s="63">
        <v>0.15720000000000001</v>
      </c>
      <c r="C80" s="2">
        <f t="shared" si="12"/>
        <v>-4.2299999999999977E-2</v>
      </c>
      <c r="D80" s="63">
        <v>-1.0699999999999999E-2</v>
      </c>
      <c r="E80" s="2">
        <f t="shared" si="13"/>
        <v>-0.30171428571428571</v>
      </c>
      <c r="F80" s="70">
        <f t="shared" si="14"/>
        <v>1.2762514285714278E-2</v>
      </c>
    </row>
    <row r="81" spans="1:6" ht="17" thickBot="1" x14ac:dyDescent="0.25">
      <c r="A81" s="65"/>
      <c r="B81" s="67">
        <v>0.19949999999999998</v>
      </c>
      <c r="C81" s="40"/>
      <c r="D81" s="66">
        <f>AVERAGE(D73:D80)</f>
        <v>0.29101428571428573</v>
      </c>
      <c r="E81" s="40"/>
      <c r="F81" s="71">
        <f>SUM(F74:F80)</f>
        <v>0.6379200285714286</v>
      </c>
    </row>
    <row r="84" spans="1:6" x14ac:dyDescent="0.2">
      <c r="C84" s="3" t="s">
        <v>6</v>
      </c>
      <c r="D84" s="1">
        <f>_xlfn.COVARIANCE.S(B74:B80,E74:E80)</f>
        <v>0.10632000476190477</v>
      </c>
    </row>
    <row r="85" spans="1:6" x14ac:dyDescent="0.2">
      <c r="C85" t="s">
        <v>35</v>
      </c>
      <c r="D85" s="32">
        <f>D84/42.17%*72.04%</f>
        <v>0.18162895762503248</v>
      </c>
    </row>
    <row r="87" spans="1:6" x14ac:dyDescent="0.2">
      <c r="B87" s="55" t="s">
        <v>21</v>
      </c>
    </row>
    <row r="88" spans="1:6" ht="17" thickBot="1" x14ac:dyDescent="0.25"/>
    <row r="89" spans="1:6" x14ac:dyDescent="0.2">
      <c r="A89" s="56" t="s">
        <v>1</v>
      </c>
      <c r="B89" s="58" t="s">
        <v>10</v>
      </c>
      <c r="C89" s="58" t="s">
        <v>8</v>
      </c>
      <c r="D89" s="72" t="s">
        <v>17</v>
      </c>
      <c r="E89" s="58" t="s">
        <v>8</v>
      </c>
      <c r="F89" s="59" t="s">
        <v>11</v>
      </c>
    </row>
    <row r="90" spans="1:6" x14ac:dyDescent="0.2">
      <c r="A90" s="60">
        <v>2016</v>
      </c>
      <c r="B90" s="44" t="s">
        <v>2</v>
      </c>
      <c r="D90" s="69" t="s">
        <v>2</v>
      </c>
      <c r="F90" s="61"/>
    </row>
    <row r="91" spans="1:6" x14ac:dyDescent="0.2">
      <c r="A91" s="60">
        <v>2017</v>
      </c>
      <c r="B91" s="63">
        <v>1.0157</v>
      </c>
      <c r="C91" s="2">
        <f>B91-$D$14</f>
        <v>0.81620000000000004</v>
      </c>
      <c r="D91" s="63">
        <v>0.1187</v>
      </c>
      <c r="E91" s="2">
        <f>D91-$D$47</f>
        <v>-9.1157142857142881E-2</v>
      </c>
      <c r="F91" s="73">
        <f>C91*E91</f>
        <v>-7.4402460000000017E-2</v>
      </c>
    </row>
    <row r="92" spans="1:6" x14ac:dyDescent="0.2">
      <c r="A92" s="60">
        <v>2018</v>
      </c>
      <c r="B92" s="63">
        <v>0.17810000000000001</v>
      </c>
      <c r="C92" s="2">
        <f t="shared" ref="C92:C97" si="15">B92-$D$14</f>
        <v>-2.1399999999999975E-2</v>
      </c>
      <c r="D92" s="63">
        <v>0.31080000000000002</v>
      </c>
      <c r="E92" s="2">
        <f t="shared" ref="E92:E97" si="16">D92-$D$47</f>
        <v>0.10094285714285714</v>
      </c>
      <c r="F92" s="73">
        <f t="shared" ref="F92:F97" si="17">C92*E92</f>
        <v>-2.1601771428571403E-3</v>
      </c>
    </row>
    <row r="93" spans="1:6" x14ac:dyDescent="0.2">
      <c r="A93" s="60">
        <v>2019</v>
      </c>
      <c r="B93" s="63">
        <v>-0.3372</v>
      </c>
      <c r="C93" s="2">
        <f t="shared" si="15"/>
        <v>-0.53669999999999995</v>
      </c>
      <c r="D93" s="63">
        <v>0.1333</v>
      </c>
      <c r="E93" s="2">
        <f t="shared" si="16"/>
        <v>-7.6557142857142879E-2</v>
      </c>
      <c r="F93" s="73">
        <f t="shared" si="17"/>
        <v>4.1088218571428581E-2</v>
      </c>
    </row>
    <row r="94" spans="1:6" x14ac:dyDescent="0.2">
      <c r="A94" s="60">
        <v>2020</v>
      </c>
      <c r="B94" s="63">
        <v>0.14499999999999999</v>
      </c>
      <c r="C94" s="2">
        <f t="shared" si="15"/>
        <v>-5.4499999999999993E-2</v>
      </c>
      <c r="D94" s="63">
        <v>-7.3200000000000001E-2</v>
      </c>
      <c r="E94" s="2">
        <f t="shared" si="16"/>
        <v>-0.2830571428571429</v>
      </c>
      <c r="F94" s="73">
        <f t="shared" si="17"/>
        <v>1.5426614285714286E-2</v>
      </c>
    </row>
    <row r="95" spans="1:6" x14ac:dyDescent="0.2">
      <c r="A95" s="60">
        <v>2021</v>
      </c>
      <c r="B95" s="63">
        <v>0.3362</v>
      </c>
      <c r="C95" s="2">
        <f t="shared" si="15"/>
        <v>0.13670000000000002</v>
      </c>
      <c r="D95" s="63">
        <v>0.67800000000000005</v>
      </c>
      <c r="E95" s="2">
        <f t="shared" si="16"/>
        <v>0.46814285714285719</v>
      </c>
      <c r="F95" s="73">
        <f t="shared" si="17"/>
        <v>6.3995128571428583E-2</v>
      </c>
    </row>
    <row r="96" spans="1:6" x14ac:dyDescent="0.2">
      <c r="A96" s="60">
        <v>2022</v>
      </c>
      <c r="B96" s="63">
        <v>-9.8400000000000001E-2</v>
      </c>
      <c r="C96" s="2">
        <f t="shared" si="15"/>
        <v>-0.2979</v>
      </c>
      <c r="D96" s="63">
        <v>0.2414</v>
      </c>
      <c r="E96" s="2">
        <f t="shared" si="16"/>
        <v>3.1542857142857122E-2</v>
      </c>
      <c r="F96" s="73">
        <f t="shared" si="17"/>
        <v>-9.396617142857137E-3</v>
      </c>
    </row>
    <row r="97" spans="1:6" x14ac:dyDescent="0.2">
      <c r="A97" s="60">
        <v>2023</v>
      </c>
      <c r="B97" s="63">
        <v>0.15720000000000001</v>
      </c>
      <c r="C97" s="2">
        <f t="shared" si="15"/>
        <v>-4.2299999999999977E-2</v>
      </c>
      <c r="D97" s="63">
        <v>0.06</v>
      </c>
      <c r="E97" s="2">
        <f t="shared" si="16"/>
        <v>-0.14985714285714288</v>
      </c>
      <c r="F97" s="73">
        <f t="shared" si="17"/>
        <v>6.3389571428571403E-3</v>
      </c>
    </row>
    <row r="98" spans="1:6" ht="17" thickBot="1" x14ac:dyDescent="0.25">
      <c r="A98" s="65"/>
      <c r="B98" s="67">
        <v>0.19949999999999998</v>
      </c>
      <c r="C98" s="40"/>
      <c r="D98" s="66">
        <f>AVERAGE(D90:D97)</f>
        <v>0.20985714285714288</v>
      </c>
      <c r="E98" s="40"/>
      <c r="F98" s="74">
        <f>SUM(F91:F97)</f>
        <v>4.0889664285714292E-2</v>
      </c>
    </row>
    <row r="101" spans="1:6" x14ac:dyDescent="0.2">
      <c r="C101" s="3" t="s">
        <v>6</v>
      </c>
      <c r="D101" s="1">
        <f>_xlfn.COVARIANCE.S(B91:B97,D91:D97)</f>
        <v>6.8149440476190501E-3</v>
      </c>
    </row>
    <row r="102" spans="1:6" x14ac:dyDescent="0.2">
      <c r="C102" t="s">
        <v>35</v>
      </c>
      <c r="D102" s="32">
        <f>D101/42.17%*24.05%</f>
        <v>3.8866351516537384E-3</v>
      </c>
    </row>
    <row r="103" spans="1:6" ht="17" thickBot="1" x14ac:dyDescent="0.25"/>
    <row r="104" spans="1:6" x14ac:dyDescent="0.2">
      <c r="A104" s="75"/>
      <c r="B104" s="76" t="s">
        <v>22</v>
      </c>
      <c r="C104" s="58"/>
      <c r="D104" s="58"/>
      <c r="E104" s="58"/>
      <c r="F104" s="59"/>
    </row>
    <row r="105" spans="1:6" x14ac:dyDescent="0.2">
      <c r="A105" s="77"/>
      <c r="F105" s="61"/>
    </row>
    <row r="106" spans="1:6" x14ac:dyDescent="0.2">
      <c r="A106" s="60" t="s">
        <v>1</v>
      </c>
      <c r="B106" s="69" t="s">
        <v>17</v>
      </c>
      <c r="C106" t="s">
        <v>8</v>
      </c>
      <c r="D106" t="s">
        <v>15</v>
      </c>
      <c r="E106" t="s">
        <v>8</v>
      </c>
      <c r="F106" s="61" t="s">
        <v>11</v>
      </c>
    </row>
    <row r="107" spans="1:6" x14ac:dyDescent="0.2">
      <c r="A107" s="60">
        <v>2016</v>
      </c>
      <c r="B107" s="69" t="s">
        <v>2</v>
      </c>
      <c r="D107" s="69" t="s">
        <v>2</v>
      </c>
      <c r="E107" t="s">
        <v>2</v>
      </c>
      <c r="F107" s="61"/>
    </row>
    <row r="108" spans="1:6" x14ac:dyDescent="0.2">
      <c r="A108" s="60">
        <v>2017</v>
      </c>
      <c r="B108" s="63">
        <v>0.1187</v>
      </c>
      <c r="C108" s="2">
        <f>B108-$D$47</f>
        <v>-9.1157142857142881E-2</v>
      </c>
      <c r="D108" s="63">
        <v>0.42199999999999999</v>
      </c>
      <c r="E108" s="2">
        <f>D108-$D$31</f>
        <v>0.13098571428571426</v>
      </c>
      <c r="F108" s="70">
        <f>C108*E108</f>
        <v>-1.1940283469387756E-2</v>
      </c>
    </row>
    <row r="109" spans="1:6" x14ac:dyDescent="0.2">
      <c r="A109" s="60">
        <v>2018</v>
      </c>
      <c r="B109" s="63">
        <v>0.31080000000000002</v>
      </c>
      <c r="C109" s="2">
        <f t="shared" ref="C109:C114" si="18">B109-$D$47</f>
        <v>0.10094285714285714</v>
      </c>
      <c r="D109" s="63">
        <v>0.22800000000000001</v>
      </c>
      <c r="E109" s="2">
        <f t="shared" ref="E109:E114" si="19">D109-$D$31</f>
        <v>-6.3014285714285717E-2</v>
      </c>
      <c r="F109" s="70">
        <f t="shared" ref="F109:F114" si="20">C109*E109</f>
        <v>-6.3608420408163262E-3</v>
      </c>
    </row>
    <row r="110" spans="1:6" x14ac:dyDescent="0.2">
      <c r="A110" s="60">
        <v>2019</v>
      </c>
      <c r="B110" s="63">
        <v>0.1333</v>
      </c>
      <c r="C110" s="2">
        <f t="shared" si="18"/>
        <v>-7.6557142857142879E-2</v>
      </c>
      <c r="D110" s="63">
        <v>-0.17119999999999999</v>
      </c>
      <c r="E110" s="2">
        <f t="shared" si="19"/>
        <v>-0.46221428571428569</v>
      </c>
      <c r="F110" s="70">
        <f t="shared" si="20"/>
        <v>3.5385805102040827E-2</v>
      </c>
    </row>
    <row r="111" spans="1:6" x14ac:dyDescent="0.2">
      <c r="A111" s="60">
        <v>2020</v>
      </c>
      <c r="B111" s="63">
        <v>-7.3200000000000001E-2</v>
      </c>
      <c r="C111" s="2">
        <f t="shared" si="18"/>
        <v>-0.2830571428571429</v>
      </c>
      <c r="D111" s="63">
        <v>-0.43440000000000001</v>
      </c>
      <c r="E111" s="2">
        <f t="shared" si="19"/>
        <v>-0.72541428571428579</v>
      </c>
      <c r="F111" s="70">
        <f t="shared" si="20"/>
        <v>0.20533369510204086</v>
      </c>
    </row>
    <row r="112" spans="1:6" x14ac:dyDescent="0.2">
      <c r="A112" s="60">
        <v>2021</v>
      </c>
      <c r="B112" s="63">
        <v>0.67800000000000005</v>
      </c>
      <c r="C112" s="2">
        <f t="shared" si="18"/>
        <v>0.46814285714285719</v>
      </c>
      <c r="D112" s="63">
        <v>1.7928999999999999</v>
      </c>
      <c r="E112" s="2">
        <f t="shared" si="19"/>
        <v>1.5018857142857143</v>
      </c>
      <c r="F112" s="70">
        <f t="shared" si="20"/>
        <v>0.70309706938775518</v>
      </c>
    </row>
    <row r="113" spans="1:6" x14ac:dyDescent="0.2">
      <c r="A113" s="60">
        <v>2022</v>
      </c>
      <c r="B113" s="63">
        <v>0.2414</v>
      </c>
      <c r="C113" s="2">
        <f t="shared" si="18"/>
        <v>3.1542857142857122E-2</v>
      </c>
      <c r="D113" s="63">
        <v>0.21049999999999999</v>
      </c>
      <c r="E113" s="2">
        <f t="shared" si="19"/>
        <v>-8.0514285714285733E-2</v>
      </c>
      <c r="F113" s="70">
        <f t="shared" si="20"/>
        <v>-2.5396506122448968E-3</v>
      </c>
    </row>
    <row r="114" spans="1:6" x14ac:dyDescent="0.2">
      <c r="A114" s="60">
        <v>2023</v>
      </c>
      <c r="B114" s="63">
        <v>0.06</v>
      </c>
      <c r="C114" s="2">
        <f t="shared" si="18"/>
        <v>-0.14985714285714288</v>
      </c>
      <c r="D114" s="63">
        <v>-1.0699999999999999E-2</v>
      </c>
      <c r="E114" s="2">
        <f t="shared" si="19"/>
        <v>-0.30171428571428571</v>
      </c>
      <c r="F114" s="70">
        <f t="shared" si="20"/>
        <v>4.5214040816326538E-2</v>
      </c>
    </row>
    <row r="115" spans="1:6" ht="17" thickBot="1" x14ac:dyDescent="0.25">
      <c r="A115" s="65"/>
      <c r="B115" s="66">
        <f>AVERAGE(B107:B114)</f>
        <v>0.20985714285714288</v>
      </c>
      <c r="C115" s="40"/>
      <c r="D115" s="66">
        <f>AVERAGE(D107:D114)</f>
        <v>0.29101428571428573</v>
      </c>
      <c r="E115" s="40"/>
      <c r="F115" s="71">
        <f>SUM(F108:F114)</f>
        <v>0.96818983428571437</v>
      </c>
    </row>
    <row r="118" spans="1:6" x14ac:dyDescent="0.2">
      <c r="C118" s="3" t="s">
        <v>6</v>
      </c>
      <c r="D118" s="1">
        <f>_xlfn.COVARIANCE.S(B108:B114,D108:D114)</f>
        <v>0.1613649723809524</v>
      </c>
    </row>
    <row r="119" spans="1:6" x14ac:dyDescent="0.2">
      <c r="C119" t="s">
        <v>35</v>
      </c>
      <c r="D119" s="32">
        <f>D118/24.05%*72.04%</f>
        <v>0.48335686529412936</v>
      </c>
    </row>
    <row r="121" spans="1:6" x14ac:dyDescent="0.2">
      <c r="B121" s="55" t="s">
        <v>23</v>
      </c>
    </row>
    <row r="122" spans="1:6" ht="17" thickBot="1" x14ac:dyDescent="0.25"/>
    <row r="123" spans="1:6" x14ac:dyDescent="0.2">
      <c r="A123" s="56" t="s">
        <v>1</v>
      </c>
      <c r="B123" s="72" t="s">
        <v>18</v>
      </c>
      <c r="C123" s="58" t="s">
        <v>8</v>
      </c>
      <c r="D123" s="58" t="s">
        <v>10</v>
      </c>
      <c r="E123" s="58" t="s">
        <v>8</v>
      </c>
      <c r="F123" s="59" t="s">
        <v>11</v>
      </c>
    </row>
    <row r="124" spans="1:6" x14ac:dyDescent="0.2">
      <c r="A124" s="60">
        <v>2016</v>
      </c>
      <c r="B124" s="69" t="s">
        <v>2</v>
      </c>
      <c r="D124" s="44" t="s">
        <v>2</v>
      </c>
      <c r="F124" s="61"/>
    </row>
    <row r="125" spans="1:6" x14ac:dyDescent="0.2">
      <c r="A125" s="60">
        <v>2017</v>
      </c>
      <c r="B125" s="63">
        <v>0.55349999999999999</v>
      </c>
      <c r="C125" s="2">
        <f>B125-$D$64</f>
        <v>0.31969999999999998</v>
      </c>
      <c r="D125" s="63">
        <v>1.0157</v>
      </c>
      <c r="E125" s="2">
        <f>D125-$D$14</f>
        <v>0.81620000000000004</v>
      </c>
      <c r="F125" s="70">
        <f>C125*E125</f>
        <v>0.26093914000000001</v>
      </c>
    </row>
    <row r="126" spans="1:6" x14ac:dyDescent="0.2">
      <c r="A126" s="60">
        <v>2018</v>
      </c>
      <c r="B126" s="63">
        <v>-0.1419</v>
      </c>
      <c r="C126" s="2">
        <f t="shared" ref="C126:C131" si="21">B126-$D$64</f>
        <v>-0.37570000000000003</v>
      </c>
      <c r="D126" s="63">
        <v>0.17810000000000001</v>
      </c>
      <c r="E126" s="2">
        <f t="shared" ref="E126:E131" si="22">D126-$D$14</f>
        <v>-2.1399999999999975E-2</v>
      </c>
      <c r="F126" s="70">
        <f t="shared" ref="F126:F131" si="23">C126*E126</f>
        <v>8.0399799999999917E-3</v>
      </c>
    </row>
    <row r="127" spans="1:6" x14ac:dyDescent="0.2">
      <c r="A127" s="60">
        <v>2019</v>
      </c>
      <c r="B127" s="63">
        <v>0.25800000000000001</v>
      </c>
      <c r="C127" s="2">
        <f t="shared" si="21"/>
        <v>2.4199999999999999E-2</v>
      </c>
      <c r="D127" s="63">
        <v>-0.3372</v>
      </c>
      <c r="E127" s="2">
        <f t="shared" si="22"/>
        <v>-0.53669999999999995</v>
      </c>
      <c r="F127" s="70">
        <f t="shared" si="23"/>
        <v>-1.2988139999999999E-2</v>
      </c>
    </row>
    <row r="128" spans="1:6" x14ac:dyDescent="0.2">
      <c r="A128" s="60">
        <v>2020</v>
      </c>
      <c r="B128" s="63">
        <v>-0.38540000000000002</v>
      </c>
      <c r="C128" s="2">
        <f t="shared" si="21"/>
        <v>-0.61919999999999997</v>
      </c>
      <c r="D128" s="63">
        <v>0.14499999999999999</v>
      </c>
      <c r="E128" s="2">
        <f t="shared" si="22"/>
        <v>-5.4499999999999993E-2</v>
      </c>
      <c r="F128" s="70">
        <f t="shared" si="23"/>
        <v>3.3746399999999996E-2</v>
      </c>
    </row>
    <row r="129" spans="1:6" x14ac:dyDescent="0.2">
      <c r="A129" s="60">
        <v>2021</v>
      </c>
      <c r="B129" s="63">
        <v>0.85519999999999996</v>
      </c>
      <c r="C129" s="2">
        <f t="shared" si="21"/>
        <v>0.62139999999999995</v>
      </c>
      <c r="D129" s="63">
        <v>0.3362</v>
      </c>
      <c r="E129" s="2">
        <f t="shared" si="22"/>
        <v>0.13670000000000002</v>
      </c>
      <c r="F129" s="70">
        <f t="shared" si="23"/>
        <v>8.4945380000000001E-2</v>
      </c>
    </row>
    <row r="130" spans="1:6" x14ac:dyDescent="0.2">
      <c r="A130" s="60">
        <v>2022</v>
      </c>
      <c r="B130" s="63">
        <v>0.4173</v>
      </c>
      <c r="C130" s="2">
        <f t="shared" si="21"/>
        <v>0.1835</v>
      </c>
      <c r="D130" s="63">
        <v>-9.8400000000000001E-2</v>
      </c>
      <c r="E130" s="2">
        <f t="shared" si="22"/>
        <v>-0.2979</v>
      </c>
      <c r="F130" s="70">
        <f t="shared" si="23"/>
        <v>-5.4664649999999995E-2</v>
      </c>
    </row>
    <row r="131" spans="1:6" x14ac:dyDescent="0.2">
      <c r="A131" s="60">
        <v>2023</v>
      </c>
      <c r="B131" s="63">
        <v>7.9799999999999996E-2</v>
      </c>
      <c r="C131" s="2">
        <f t="shared" si="21"/>
        <v>-0.15400000000000003</v>
      </c>
      <c r="D131" s="63">
        <v>0.15720000000000001</v>
      </c>
      <c r="E131" s="2">
        <f t="shared" si="22"/>
        <v>-4.2299999999999977E-2</v>
      </c>
      <c r="F131" s="70">
        <f t="shared" si="23"/>
        <v>6.5141999999999978E-3</v>
      </c>
    </row>
    <row r="132" spans="1:6" ht="17" thickBot="1" x14ac:dyDescent="0.25">
      <c r="A132" s="65"/>
      <c r="B132" s="67">
        <v>0.23380000000000001</v>
      </c>
      <c r="C132" s="40"/>
      <c r="D132" s="67">
        <v>0.19949999999999998</v>
      </c>
      <c r="E132" s="40"/>
      <c r="F132" s="71">
        <f>SUM(F125:F131)</f>
        <v>0.32653231000000005</v>
      </c>
    </row>
    <row r="135" spans="1:6" x14ac:dyDescent="0.2">
      <c r="C135" s="3" t="s">
        <v>6</v>
      </c>
      <c r="D135" s="1">
        <f>_xlfn.COVARIANCE.S(B125:B131,D125:D131)</f>
        <v>5.4422051904761903E-2</v>
      </c>
    </row>
    <row r="136" spans="1:6" x14ac:dyDescent="0.2">
      <c r="C136" t="s">
        <v>33</v>
      </c>
      <c r="D136" s="32">
        <f>D135/42.25%*42.17%</f>
        <v>5.4319004232516205E-2</v>
      </c>
    </row>
    <row r="138" spans="1:6" x14ac:dyDescent="0.2">
      <c r="B138" s="55" t="s">
        <v>24</v>
      </c>
    </row>
    <row r="139" spans="1:6" ht="17" thickBot="1" x14ac:dyDescent="0.25"/>
    <row r="140" spans="1:6" x14ac:dyDescent="0.2">
      <c r="A140" s="56" t="s">
        <v>1</v>
      </c>
      <c r="B140" s="72" t="s">
        <v>18</v>
      </c>
      <c r="C140" s="58" t="s">
        <v>8</v>
      </c>
      <c r="D140" s="58" t="s">
        <v>15</v>
      </c>
      <c r="E140" s="58" t="s">
        <v>8</v>
      </c>
      <c r="F140" s="59" t="s">
        <v>11</v>
      </c>
    </row>
    <row r="141" spans="1:6" x14ac:dyDescent="0.2">
      <c r="A141" s="60">
        <v>2016</v>
      </c>
      <c r="B141" s="69" t="s">
        <v>2</v>
      </c>
      <c r="D141" s="69" t="s">
        <v>2</v>
      </c>
      <c r="E141" t="s">
        <v>2</v>
      </c>
      <c r="F141" s="61"/>
    </row>
    <row r="142" spans="1:6" x14ac:dyDescent="0.2">
      <c r="A142" s="60">
        <v>2017</v>
      </c>
      <c r="B142" s="63">
        <v>0.55349999999999999</v>
      </c>
      <c r="C142" s="2">
        <f>B142-$D$64</f>
        <v>0.31969999999999998</v>
      </c>
      <c r="D142" s="63">
        <v>0.42199999999999999</v>
      </c>
      <c r="E142" s="2">
        <f>D142-$D$31</f>
        <v>0.13098571428571426</v>
      </c>
      <c r="F142" s="70">
        <f>C142*E142</f>
        <v>4.1876132857142846E-2</v>
      </c>
    </row>
    <row r="143" spans="1:6" x14ac:dyDescent="0.2">
      <c r="A143" s="60">
        <v>2018</v>
      </c>
      <c r="B143" s="63">
        <v>-0.1419</v>
      </c>
      <c r="C143" s="2">
        <f t="shared" ref="C143:C148" si="24">B143-$D$64</f>
        <v>-0.37570000000000003</v>
      </c>
      <c r="D143" s="63">
        <v>0.22800000000000001</v>
      </c>
      <c r="E143" s="2">
        <f t="shared" ref="E143:E148" si="25">D143-$D$31</f>
        <v>-6.3014285714285717E-2</v>
      </c>
      <c r="F143" s="70">
        <f t="shared" ref="F143:F148" si="26">C143*E143</f>
        <v>2.3674467142857147E-2</v>
      </c>
    </row>
    <row r="144" spans="1:6" x14ac:dyDescent="0.2">
      <c r="A144" s="60">
        <v>2019</v>
      </c>
      <c r="B144" s="63">
        <v>0.25800000000000001</v>
      </c>
      <c r="C144" s="2">
        <f t="shared" si="24"/>
        <v>2.4199999999999999E-2</v>
      </c>
      <c r="D144" s="63">
        <v>-0.17119999999999999</v>
      </c>
      <c r="E144" s="2">
        <f t="shared" si="25"/>
        <v>-0.46221428571428569</v>
      </c>
      <c r="F144" s="70">
        <f t="shared" si="26"/>
        <v>-1.1185585714285714E-2</v>
      </c>
    </row>
    <row r="145" spans="1:6" x14ac:dyDescent="0.2">
      <c r="A145" s="60">
        <v>2020</v>
      </c>
      <c r="B145" s="63">
        <v>-0.38540000000000002</v>
      </c>
      <c r="C145" s="2">
        <f t="shared" si="24"/>
        <v>-0.61919999999999997</v>
      </c>
      <c r="D145" s="63">
        <v>-0.43440000000000001</v>
      </c>
      <c r="E145" s="2">
        <f t="shared" si="25"/>
        <v>-0.72541428571428579</v>
      </c>
      <c r="F145" s="70">
        <f t="shared" si="26"/>
        <v>0.44917652571428573</v>
      </c>
    </row>
    <row r="146" spans="1:6" x14ac:dyDescent="0.2">
      <c r="A146" s="60">
        <v>2021</v>
      </c>
      <c r="B146" s="63">
        <v>0.85519999999999996</v>
      </c>
      <c r="C146" s="2">
        <f t="shared" si="24"/>
        <v>0.62139999999999995</v>
      </c>
      <c r="D146" s="63">
        <v>1.7928999999999999</v>
      </c>
      <c r="E146" s="2">
        <f t="shared" si="25"/>
        <v>1.5018857142857143</v>
      </c>
      <c r="F146" s="70">
        <f t="shared" si="26"/>
        <v>0.93327178285714274</v>
      </c>
    </row>
    <row r="147" spans="1:6" x14ac:dyDescent="0.2">
      <c r="A147" s="60">
        <v>2022</v>
      </c>
      <c r="B147" s="63">
        <v>0.4173</v>
      </c>
      <c r="C147" s="2">
        <f t="shared" si="24"/>
        <v>0.1835</v>
      </c>
      <c r="D147" s="63">
        <v>0.21049999999999999</v>
      </c>
      <c r="E147" s="2">
        <f t="shared" si="25"/>
        <v>-8.0514285714285733E-2</v>
      </c>
      <c r="F147" s="70">
        <f t="shared" si="26"/>
        <v>-1.4774371428571431E-2</v>
      </c>
    </row>
    <row r="148" spans="1:6" x14ac:dyDescent="0.2">
      <c r="A148" s="60">
        <v>2023</v>
      </c>
      <c r="B148" s="63">
        <v>7.9799999999999996E-2</v>
      </c>
      <c r="C148" s="2">
        <f t="shared" si="24"/>
        <v>-0.15400000000000003</v>
      </c>
      <c r="D148" s="63">
        <v>-1.0699999999999999E-2</v>
      </c>
      <c r="E148" s="2">
        <f t="shared" si="25"/>
        <v>-0.30171428571428571</v>
      </c>
      <c r="F148" s="70">
        <f t="shared" si="26"/>
        <v>4.6464000000000005E-2</v>
      </c>
    </row>
    <row r="149" spans="1:6" ht="17" thickBot="1" x14ac:dyDescent="0.25">
      <c r="A149" s="65"/>
      <c r="B149" s="67">
        <v>0.23380000000000001</v>
      </c>
      <c r="C149" s="40"/>
      <c r="D149" s="66">
        <f>AVERAGE(D141:D148)</f>
        <v>0.29101428571428573</v>
      </c>
      <c r="E149" s="40"/>
      <c r="F149" s="71">
        <f>SUM(F142:F148)</f>
        <v>1.4685029514285712</v>
      </c>
    </row>
    <row r="152" spans="1:6" x14ac:dyDescent="0.2">
      <c r="C152" s="3" t="s">
        <v>6</v>
      </c>
      <c r="D152" s="1">
        <f>_xlfn.COVARIANCE.S(B142:B148,D142:D148)</f>
        <v>0.24475049190476192</v>
      </c>
      <c r="F152" s="30"/>
    </row>
    <row r="153" spans="1:6" x14ac:dyDescent="0.2">
      <c r="C153" t="s">
        <v>34</v>
      </c>
      <c r="D153" s="32">
        <f>D152/42.25%*72.04%</f>
        <v>0.41732131211406037</v>
      </c>
    </row>
    <row r="155" spans="1:6" x14ac:dyDescent="0.2">
      <c r="B155" s="55" t="s">
        <v>25</v>
      </c>
    </row>
    <row r="156" spans="1:6" ht="17" thickBot="1" x14ac:dyDescent="0.25"/>
    <row r="157" spans="1:6" x14ac:dyDescent="0.2">
      <c r="A157" s="56" t="s">
        <v>1</v>
      </c>
      <c r="B157" s="72" t="s">
        <v>18</v>
      </c>
      <c r="C157" s="58" t="s">
        <v>8</v>
      </c>
      <c r="D157" s="72" t="s">
        <v>17</v>
      </c>
      <c r="E157" s="58" t="s">
        <v>8</v>
      </c>
      <c r="F157" s="59" t="s">
        <v>11</v>
      </c>
    </row>
    <row r="158" spans="1:6" x14ac:dyDescent="0.2">
      <c r="A158" s="60">
        <v>2016</v>
      </c>
      <c r="B158" s="69" t="s">
        <v>2</v>
      </c>
      <c r="D158" s="69" t="s">
        <v>2</v>
      </c>
      <c r="F158" s="61"/>
    </row>
    <row r="159" spans="1:6" x14ac:dyDescent="0.2">
      <c r="A159" s="60">
        <v>2017</v>
      </c>
      <c r="B159" s="63">
        <v>0.55349999999999999</v>
      </c>
      <c r="C159" s="2">
        <f>B159-$D$64</f>
        <v>0.31969999999999998</v>
      </c>
      <c r="D159" s="63">
        <v>0.1187</v>
      </c>
      <c r="E159" s="2">
        <f>D159-$D$47</f>
        <v>-9.1157142857142881E-2</v>
      </c>
      <c r="F159" s="70">
        <f>C159*E159</f>
        <v>-2.9142938571428578E-2</v>
      </c>
    </row>
    <row r="160" spans="1:6" x14ac:dyDescent="0.2">
      <c r="A160" s="60">
        <v>2018</v>
      </c>
      <c r="B160" s="63">
        <v>-0.1419</v>
      </c>
      <c r="C160" s="2">
        <f t="shared" ref="C160:C165" si="27">B160-$D$64</f>
        <v>-0.37570000000000003</v>
      </c>
      <c r="D160" s="63">
        <v>0.31080000000000002</v>
      </c>
      <c r="E160" s="2">
        <f t="shared" ref="E160:E165" si="28">D160-$D$47</f>
        <v>0.10094285714285714</v>
      </c>
      <c r="F160" s="70">
        <f t="shared" ref="F160:F165" si="29">C160*E160</f>
        <v>-3.7924231428571431E-2</v>
      </c>
    </row>
    <row r="161" spans="1:6" x14ac:dyDescent="0.2">
      <c r="A161" s="60">
        <v>2019</v>
      </c>
      <c r="B161" s="63">
        <v>0.25800000000000001</v>
      </c>
      <c r="C161" s="2">
        <f t="shared" si="27"/>
        <v>2.4199999999999999E-2</v>
      </c>
      <c r="D161" s="63">
        <v>0.1333</v>
      </c>
      <c r="E161" s="2">
        <f t="shared" si="28"/>
        <v>-7.6557142857142879E-2</v>
      </c>
      <c r="F161" s="70">
        <f t="shared" si="29"/>
        <v>-1.8526828571428576E-3</v>
      </c>
    </row>
    <row r="162" spans="1:6" x14ac:dyDescent="0.2">
      <c r="A162" s="60">
        <v>2020</v>
      </c>
      <c r="B162" s="63">
        <v>-0.38540000000000002</v>
      </c>
      <c r="C162" s="2">
        <f t="shared" si="27"/>
        <v>-0.61919999999999997</v>
      </c>
      <c r="D162" s="63">
        <v>-7.3200000000000001E-2</v>
      </c>
      <c r="E162" s="2">
        <f t="shared" si="28"/>
        <v>-0.2830571428571429</v>
      </c>
      <c r="F162" s="70">
        <f t="shared" si="29"/>
        <v>0.17526898285714287</v>
      </c>
    </row>
    <row r="163" spans="1:6" x14ac:dyDescent="0.2">
      <c r="A163" s="60">
        <v>2021</v>
      </c>
      <c r="B163" s="63">
        <v>0.85519999999999996</v>
      </c>
      <c r="C163" s="2">
        <f t="shared" si="27"/>
        <v>0.62139999999999995</v>
      </c>
      <c r="D163" s="63">
        <v>0.67800000000000005</v>
      </c>
      <c r="E163" s="2">
        <f t="shared" si="28"/>
        <v>0.46814285714285719</v>
      </c>
      <c r="F163" s="70">
        <f t="shared" si="29"/>
        <v>0.29090397142857144</v>
      </c>
    </row>
    <row r="164" spans="1:6" x14ac:dyDescent="0.2">
      <c r="A164" s="60">
        <v>2022</v>
      </c>
      <c r="B164" s="63">
        <v>0.4173</v>
      </c>
      <c r="C164" s="2">
        <f t="shared" si="27"/>
        <v>0.1835</v>
      </c>
      <c r="D164" s="63">
        <v>0.2414</v>
      </c>
      <c r="E164" s="2">
        <f t="shared" si="28"/>
        <v>3.1542857142857122E-2</v>
      </c>
      <c r="F164" s="70">
        <f t="shared" si="29"/>
        <v>5.7881142857142817E-3</v>
      </c>
    </row>
    <row r="165" spans="1:6" x14ac:dyDescent="0.2">
      <c r="A165" s="60">
        <v>2023</v>
      </c>
      <c r="B165" s="63">
        <v>7.9799999999999996E-2</v>
      </c>
      <c r="C165" s="2">
        <f t="shared" si="27"/>
        <v>-0.15400000000000003</v>
      </c>
      <c r="D165" s="63">
        <v>0.06</v>
      </c>
      <c r="E165" s="2">
        <f t="shared" si="28"/>
        <v>-0.14985714285714288</v>
      </c>
      <c r="F165" s="70">
        <f t="shared" si="29"/>
        <v>2.3078000000000008E-2</v>
      </c>
    </row>
    <row r="166" spans="1:6" ht="17" thickBot="1" x14ac:dyDescent="0.25">
      <c r="A166" s="65"/>
      <c r="B166" s="67">
        <v>0.23380000000000001</v>
      </c>
      <c r="C166" s="40"/>
      <c r="D166" s="66">
        <f>AVERAGE(D158:D165)</f>
        <v>0.20985714285714288</v>
      </c>
      <c r="E166" s="40"/>
      <c r="F166" s="71">
        <f>SUM(F159:F165)</f>
        <v>0.42611921571428574</v>
      </c>
    </row>
    <row r="169" spans="1:6" x14ac:dyDescent="0.2">
      <c r="C169" s="3" t="s">
        <v>6</v>
      </c>
      <c r="D169" s="1">
        <f>_xlfn.COVARIANCE.S(B159:B165,D159:D165)</f>
        <v>7.1019869285714299E-2</v>
      </c>
    </row>
    <row r="170" spans="1:6" x14ac:dyDescent="0.2">
      <c r="C170" t="s">
        <v>34</v>
      </c>
      <c r="D170" s="32">
        <f>D169/42.25%*24.05%</f>
        <v>4.0426694824175838E-2</v>
      </c>
    </row>
    <row r="174" spans="1:6" x14ac:dyDescent="0.2">
      <c r="E17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B1C5-B222-1C49-A1E4-F20316BBC8AD}">
  <dimension ref="B2:G19"/>
  <sheetViews>
    <sheetView zoomScale="213" zoomScaleNormal="177" workbookViewId="0">
      <selection activeCell="G13" sqref="G13"/>
    </sheetView>
  </sheetViews>
  <sheetFormatPr baseColWidth="10" defaultRowHeight="16" x14ac:dyDescent="0.2"/>
  <sheetData>
    <row r="2" spans="2:7" x14ac:dyDescent="0.2">
      <c r="B2" s="53" t="s">
        <v>52</v>
      </c>
      <c r="C2" s="53"/>
      <c r="D2" s="53"/>
    </row>
    <row r="3" spans="2:7" ht="17" thickBot="1" x14ac:dyDescent="0.25"/>
    <row r="4" spans="2:7" ht="17" thickBot="1" x14ac:dyDescent="0.25">
      <c r="B4" s="16" t="s">
        <v>13</v>
      </c>
      <c r="C4" s="17" t="s">
        <v>3</v>
      </c>
      <c r="D4" s="18" t="s">
        <v>4</v>
      </c>
      <c r="E4" s="23" t="s">
        <v>0</v>
      </c>
      <c r="F4" s="18" t="s">
        <v>5</v>
      </c>
      <c r="G4" s="19" t="s">
        <v>7</v>
      </c>
    </row>
    <row r="5" spans="2:7" x14ac:dyDescent="0.2">
      <c r="B5" s="20" t="s">
        <v>3</v>
      </c>
      <c r="C5" s="5">
        <f>('COMPANY''S SD AND RETURNS'!B27)^2</f>
        <v>0.12275610969306888</v>
      </c>
      <c r="D5" s="6">
        <f>'R and COV CALCULATIONS'!D17</f>
        <v>3.1869692110569621E-2</v>
      </c>
      <c r="E5" s="11">
        <f>'R and COV CALCULATIONS'!D34</f>
        <v>0.1306011758959407</v>
      </c>
      <c r="F5" s="11">
        <f>'R and COV CALCULATIONS'!D50</f>
        <v>4.9559349545636788E-2</v>
      </c>
      <c r="G5" s="8">
        <f>'R and COV CALCULATIONS'!D67</f>
        <v>0.12440880984929664</v>
      </c>
    </row>
    <row r="6" spans="2:7" x14ac:dyDescent="0.2">
      <c r="B6" s="21" t="s">
        <v>4</v>
      </c>
      <c r="C6" s="9">
        <f>D5</f>
        <v>3.1869692110569621E-2</v>
      </c>
      <c r="D6" s="10">
        <f>('COMPANY''S SD AND RETURNS'!C27)^2</f>
        <v>0.17780497750678173</v>
      </c>
      <c r="E6" s="11">
        <f>'R and COV CALCULATIONS'!D84</f>
        <v>0.10632000476190477</v>
      </c>
      <c r="F6" s="11">
        <f>'R and COV CALCULATIONS'!D101</f>
        <v>6.8149440476190501E-3</v>
      </c>
      <c r="G6" s="12">
        <f>'R and COV CALCULATIONS'!D135</f>
        <v>5.4422051904761903E-2</v>
      </c>
    </row>
    <row r="7" spans="2:7" x14ac:dyDescent="0.2">
      <c r="B7" s="21" t="s">
        <v>0</v>
      </c>
      <c r="C7" s="7">
        <f>E5</f>
        <v>0.1306011758959407</v>
      </c>
      <c r="D7" s="11">
        <f>E6</f>
        <v>0.10632000476190477</v>
      </c>
      <c r="E7" s="10">
        <f>('COMPANY''S SD AND RETURNS'!D27)^2</f>
        <v>0.51901739686300696</v>
      </c>
      <c r="F7" s="11">
        <f>'R and COV CALCULATIONS'!D118</f>
        <v>0.1613649723809524</v>
      </c>
      <c r="G7" s="12">
        <f>'R and COV CALCULATIONS'!D152</f>
        <v>0.24475049190476192</v>
      </c>
    </row>
    <row r="8" spans="2:7" x14ac:dyDescent="0.2">
      <c r="B8" s="21" t="s">
        <v>5</v>
      </c>
      <c r="C8" s="7">
        <f>F5</f>
        <v>4.9559349545636788E-2</v>
      </c>
      <c r="D8" s="11">
        <f>F6</f>
        <v>6.8149440476190501E-3</v>
      </c>
      <c r="E8" s="11">
        <f>F7</f>
        <v>0.1613649723809524</v>
      </c>
      <c r="F8" s="10">
        <f>('COMPANY''S SD AND RETURNS'!E27)^2</f>
        <v>5.7840748823638634E-2</v>
      </c>
      <c r="G8" s="12">
        <f>'R and COV CALCULATIONS'!D169</f>
        <v>7.1019869285714299E-2</v>
      </c>
    </row>
    <row r="9" spans="2:7" ht="17" thickBot="1" x14ac:dyDescent="0.25">
      <c r="B9" s="22" t="s">
        <v>7</v>
      </c>
      <c r="C9" s="13">
        <f>G5</f>
        <v>0.12440880984929664</v>
      </c>
      <c r="D9" s="14">
        <f>G6</f>
        <v>5.4422051904761903E-2</v>
      </c>
      <c r="E9" s="14">
        <f>G7</f>
        <v>0.24475049190476192</v>
      </c>
      <c r="F9" s="14">
        <f>G8</f>
        <v>7.1019869285714299E-2</v>
      </c>
      <c r="G9" s="15">
        <f>('COMPANY''S SD AND RETURNS'!F27)^2</f>
        <v>0.17846493595904578</v>
      </c>
    </row>
    <row r="12" spans="2:7" x14ac:dyDescent="0.2">
      <c r="C12" s="121" t="s">
        <v>53</v>
      </c>
      <c r="D12" s="121"/>
    </row>
    <row r="13" spans="2:7" ht="17" thickBot="1" x14ac:dyDescent="0.25"/>
    <row r="14" spans="2:7" x14ac:dyDescent="0.2">
      <c r="B14" s="41"/>
      <c r="C14" s="41" t="s">
        <v>3</v>
      </c>
      <c r="D14" s="41" t="s">
        <v>4</v>
      </c>
      <c r="E14" s="41" t="s">
        <v>0</v>
      </c>
      <c r="F14" s="41" t="s">
        <v>5</v>
      </c>
      <c r="G14" s="41" t="s">
        <v>7</v>
      </c>
    </row>
    <row r="15" spans="2:7" x14ac:dyDescent="0.2">
      <c r="B15" t="s">
        <v>3</v>
      </c>
      <c r="C15">
        <v>1</v>
      </c>
    </row>
    <row r="16" spans="2:7" x14ac:dyDescent="0.2">
      <c r="B16" t="s">
        <v>4</v>
      </c>
      <c r="C16">
        <v>0.21572087236543472</v>
      </c>
      <c r="D16">
        <v>1</v>
      </c>
    </row>
    <row r="17" spans="2:7" x14ac:dyDescent="0.2">
      <c r="B17" t="s">
        <v>0</v>
      </c>
      <c r="C17">
        <v>0.60362788296866077</v>
      </c>
      <c r="D17">
        <v>0.34996137299814378</v>
      </c>
      <c r="E17">
        <v>1</v>
      </c>
    </row>
    <row r="18" spans="2:7" x14ac:dyDescent="0.2">
      <c r="B18" t="s">
        <v>5</v>
      </c>
      <c r="C18">
        <v>0.58810983311391463</v>
      </c>
      <c r="D18">
        <v>6.7278889875257777E-2</v>
      </c>
      <c r="E18">
        <v>0.93128422797311872</v>
      </c>
      <c r="F18">
        <v>1</v>
      </c>
    </row>
    <row r="19" spans="2:7" ht="17" thickBot="1" x14ac:dyDescent="0.25">
      <c r="B19" s="40" t="s">
        <v>7</v>
      </c>
      <c r="C19" s="40">
        <v>0.840485681803815</v>
      </c>
      <c r="D19" s="40">
        <v>0.30551432337210116</v>
      </c>
      <c r="E19" s="40">
        <v>0.80413690956116524</v>
      </c>
      <c r="F19" s="40">
        <v>0.69894835115705867</v>
      </c>
      <c r="G19" s="40">
        <v>1</v>
      </c>
    </row>
  </sheetData>
  <mergeCells count="1">
    <mergeCell ref="C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482-01E4-9B4A-AC96-5F9DECA472F6}">
  <dimension ref="A2:I106"/>
  <sheetViews>
    <sheetView zoomScale="158" zoomScaleNormal="125" workbookViewId="0">
      <selection activeCell="E90" sqref="E90"/>
    </sheetView>
  </sheetViews>
  <sheetFormatPr baseColWidth="10" defaultRowHeight="16" x14ac:dyDescent="0.2"/>
  <cols>
    <col min="2" max="2" width="18.6640625" customWidth="1"/>
    <col min="3" max="3" width="21.83203125" customWidth="1"/>
    <col min="4" max="4" width="14.33203125" customWidth="1"/>
    <col min="5" max="5" width="23.33203125" customWidth="1"/>
    <col min="6" max="6" width="11.33203125" customWidth="1"/>
    <col min="7" max="7" width="17.6640625" customWidth="1"/>
    <col min="9" max="9" width="35.5" customWidth="1"/>
  </cols>
  <sheetData>
    <row r="2" spans="1:8" ht="19" x14ac:dyDescent="0.25">
      <c r="A2" s="24" t="s">
        <v>26</v>
      </c>
      <c r="B2" s="25"/>
      <c r="C2" s="25"/>
      <c r="D2" s="25"/>
      <c r="E2" s="25"/>
      <c r="F2" s="25"/>
    </row>
    <row r="4" spans="1:8" ht="17" thickBot="1" x14ac:dyDescent="0.25">
      <c r="A4" s="26" t="s">
        <v>27</v>
      </c>
      <c r="B4" s="25"/>
      <c r="C4" s="27">
        <v>0.2</v>
      </c>
      <c r="D4" s="27">
        <v>0.2</v>
      </c>
      <c r="E4" s="27">
        <v>0.2</v>
      </c>
      <c r="F4" s="27">
        <v>0.2</v>
      </c>
      <c r="G4" s="27">
        <v>0.2</v>
      </c>
    </row>
    <row r="5" spans="1:8" ht="17" thickBot="1" x14ac:dyDescent="0.25">
      <c r="A5" s="26"/>
      <c r="B5" s="16" t="s">
        <v>13</v>
      </c>
      <c r="C5" s="17" t="s">
        <v>3</v>
      </c>
      <c r="D5" s="18" t="s">
        <v>4</v>
      </c>
      <c r="E5" s="23" t="s">
        <v>0</v>
      </c>
      <c r="F5" s="18" t="s">
        <v>5</v>
      </c>
      <c r="G5" s="19" t="s">
        <v>7</v>
      </c>
      <c r="H5" s="1"/>
    </row>
    <row r="6" spans="1:8" x14ac:dyDescent="0.2">
      <c r="A6" s="27">
        <f>C4</f>
        <v>0.2</v>
      </c>
      <c r="B6" s="20" t="s">
        <v>3</v>
      </c>
      <c r="C6" s="5">
        <f>MATRIX!C5</f>
        <v>0.12275610969306888</v>
      </c>
      <c r="D6" s="6">
        <f>MATRIX!D5</f>
        <v>3.1869692110569621E-2</v>
      </c>
      <c r="E6" s="11">
        <f>'R and COV CALCULATIONS'!D34</f>
        <v>0.1306011758959407</v>
      </c>
      <c r="F6" s="11">
        <f>'R and COV CALCULATIONS'!D50</f>
        <v>4.9559349545636788E-2</v>
      </c>
      <c r="G6" s="8">
        <f>'R and COV CALCULATIONS'!D67</f>
        <v>0.12440880984929664</v>
      </c>
    </row>
    <row r="7" spans="1:8" x14ac:dyDescent="0.2">
      <c r="A7" s="27">
        <f>D4</f>
        <v>0.2</v>
      </c>
      <c r="B7" s="21" t="s">
        <v>4</v>
      </c>
      <c r="C7" s="9">
        <f>D6</f>
        <v>3.1869692110569621E-2</v>
      </c>
      <c r="D7" s="10">
        <f>MATRIX!D6</f>
        <v>0.17780497750678173</v>
      </c>
      <c r="E7" s="11">
        <f>'R and COV CALCULATIONS'!D84</f>
        <v>0.10632000476190477</v>
      </c>
      <c r="F7" s="11">
        <f>'R and COV CALCULATIONS'!D101</f>
        <v>6.8149440476190501E-3</v>
      </c>
      <c r="G7" s="12">
        <f>'R and COV CALCULATIONS'!D136</f>
        <v>5.4319004232516205E-2</v>
      </c>
    </row>
    <row r="8" spans="1:8" x14ac:dyDescent="0.2">
      <c r="A8" s="27">
        <f>E4</f>
        <v>0.2</v>
      </c>
      <c r="B8" s="21" t="s">
        <v>0</v>
      </c>
      <c r="C8" s="7">
        <f>E6</f>
        <v>0.1306011758959407</v>
      </c>
      <c r="D8" s="11">
        <f>E7</f>
        <v>0.10632000476190477</v>
      </c>
      <c r="E8" s="10">
        <f>MATRIX!E7</f>
        <v>0.51901739686300696</v>
      </c>
      <c r="F8" s="11">
        <f>'R and COV CALCULATIONS'!D118</f>
        <v>0.1613649723809524</v>
      </c>
      <c r="G8" s="12">
        <f>'R and COV CALCULATIONS'!D152</f>
        <v>0.24475049190476192</v>
      </c>
    </row>
    <row r="9" spans="1:8" x14ac:dyDescent="0.2">
      <c r="A9" s="27">
        <f>F4</f>
        <v>0.2</v>
      </c>
      <c r="B9" s="21" t="s">
        <v>5</v>
      </c>
      <c r="C9" s="7">
        <f>F6</f>
        <v>4.9559349545636788E-2</v>
      </c>
      <c r="D9" s="11">
        <f>F7</f>
        <v>6.8149440476190501E-3</v>
      </c>
      <c r="E9" s="11">
        <f>F8</f>
        <v>0.1613649723809524</v>
      </c>
      <c r="F9" s="10">
        <f>MATRIX!F8</f>
        <v>5.7840748823638634E-2</v>
      </c>
      <c r="G9" s="12">
        <f>'R and COV CALCULATIONS'!D169</f>
        <v>7.1019869285714299E-2</v>
      </c>
    </row>
    <row r="10" spans="1:8" ht="17" thickBot="1" x14ac:dyDescent="0.25">
      <c r="A10" s="27">
        <f>G4</f>
        <v>0.2</v>
      </c>
      <c r="B10" s="22" t="s">
        <v>7</v>
      </c>
      <c r="C10" s="13">
        <f>G6</f>
        <v>0.12440880984929664</v>
      </c>
      <c r="D10" s="14">
        <f>G7</f>
        <v>5.4319004232516205E-2</v>
      </c>
      <c r="E10" s="14">
        <f>G8</f>
        <v>0.24475049190476192</v>
      </c>
      <c r="F10" s="14">
        <f>G9</f>
        <v>7.1019869285714299E-2</v>
      </c>
      <c r="G10" s="15">
        <f>MATRIX!G9</f>
        <v>0.17846493595904578</v>
      </c>
    </row>
    <row r="13" spans="1:8" x14ac:dyDescent="0.2">
      <c r="B13" s="29" t="s">
        <v>28</v>
      </c>
      <c r="C13" s="28" t="s">
        <v>29</v>
      </c>
      <c r="D13" t="s">
        <v>43</v>
      </c>
    </row>
    <row r="14" spans="1:8" x14ac:dyDescent="0.2">
      <c r="C14" s="28" t="s">
        <v>29</v>
      </c>
      <c r="D14" s="114">
        <f>(C4*'COMPANY''S SD AND RETURNS'!B28)+(D4*'COMPANY''S SD AND RETURNS'!C28)+(E4*'COMPANY''S SD AND RETURNS'!D28)+(F4*'COMPANY''S SD AND RETURNS'!E28)+(G4*'COMPANY''S SD AND RETURNS'!F28)</f>
        <v>0.21063818261643413</v>
      </c>
    </row>
    <row r="17" spans="1:8" x14ac:dyDescent="0.2">
      <c r="B17" s="29" t="s">
        <v>30</v>
      </c>
      <c r="C17" s="28" t="s">
        <v>29</v>
      </c>
      <c r="D17" s="36">
        <f>(A6*C4*C6)+(A6*D4*D6)+(A6*E4*E6)+(A6*F4*F6)+(A6*G4*G6%)+(A7*C4*C7)+(A7*D4*D7)+(A7*E4*E7)+(A7*F4*F7)+(A7*G4*G7)+(A8*C4*C8)+(A8*D4*D8)+(A8*E4*E8)+(A8*F4*F8)+(A8*G4*G8)+(A9*C4*C9)+(A9*D4*D9)+(A9*E4*E9)+(A9*F4*F9)+(A9*G4*G9)+(A10*C4*C10)+(A10*D4*D10)+(A10*E4*E10)+(A10*F4*F10)+(A10*G4*G10)</f>
        <v>0.11579104300498254</v>
      </c>
      <c r="G17" s="30"/>
    </row>
    <row r="18" spans="1:8" x14ac:dyDescent="0.2">
      <c r="C18" s="28" t="s">
        <v>29</v>
      </c>
      <c r="D18" s="115">
        <f>SQRT(D17)</f>
        <v>0.34028082961721856</v>
      </c>
    </row>
    <row r="19" spans="1:8" x14ac:dyDescent="0.2">
      <c r="B19" s="78" t="s">
        <v>44</v>
      </c>
      <c r="C19" s="28"/>
      <c r="D19" s="113">
        <f>(D14-7.49%)/D18</f>
        <v>0.39890046926571154</v>
      </c>
      <c r="E19" t="s">
        <v>87</v>
      </c>
    </row>
    <row r="21" spans="1:8" ht="19" x14ac:dyDescent="0.25">
      <c r="A21" s="24" t="s">
        <v>31</v>
      </c>
      <c r="B21" s="25"/>
      <c r="C21" s="25"/>
      <c r="D21" s="25"/>
      <c r="E21" s="25"/>
      <c r="F21" s="25"/>
    </row>
    <row r="23" spans="1:8" ht="17" thickBot="1" x14ac:dyDescent="0.25">
      <c r="A23" s="26" t="s">
        <v>27</v>
      </c>
      <c r="B23" s="25"/>
      <c r="C23" s="27">
        <v>0.15</v>
      </c>
      <c r="D23" s="27">
        <v>0.4</v>
      </c>
      <c r="E23" s="27">
        <v>0.1</v>
      </c>
      <c r="F23" s="27">
        <v>0.25</v>
      </c>
      <c r="G23" s="27">
        <v>0.1</v>
      </c>
      <c r="H23" s="35">
        <f>SUM(C23:G23)</f>
        <v>1</v>
      </c>
    </row>
    <row r="24" spans="1:8" ht="17" thickBot="1" x14ac:dyDescent="0.25">
      <c r="A24" s="26"/>
      <c r="B24" s="16" t="s">
        <v>13</v>
      </c>
      <c r="C24" s="17" t="s">
        <v>3</v>
      </c>
      <c r="D24" s="18" t="s">
        <v>4</v>
      </c>
      <c r="E24" s="23" t="s">
        <v>0</v>
      </c>
      <c r="F24" s="18" t="s">
        <v>5</v>
      </c>
      <c r="G24" s="19" t="s">
        <v>7</v>
      </c>
    </row>
    <row r="25" spans="1:8" x14ac:dyDescent="0.2">
      <c r="A25" s="27">
        <v>0.15</v>
      </c>
      <c r="B25" s="20" t="s">
        <v>3</v>
      </c>
      <c r="C25" s="5">
        <v>0.12275610969306888</v>
      </c>
      <c r="D25" s="6">
        <v>3.1869692110569621E-2</v>
      </c>
      <c r="E25" s="11">
        <v>0.1306011758959407</v>
      </c>
      <c r="F25" s="11">
        <v>4.9559349545636788E-2</v>
      </c>
      <c r="G25" s="8">
        <v>0.12440880984929664</v>
      </c>
    </row>
    <row r="26" spans="1:8" x14ac:dyDescent="0.2">
      <c r="A26" s="27">
        <v>0.4</v>
      </c>
      <c r="B26" s="21" t="s">
        <v>4</v>
      </c>
      <c r="C26" s="9">
        <v>3.1869692110569621E-2</v>
      </c>
      <c r="D26" s="10">
        <v>0.17780497750678173</v>
      </c>
      <c r="E26" s="11">
        <v>0.10632000476190477</v>
      </c>
      <c r="F26" s="11">
        <v>6.8149440476190501E-3</v>
      </c>
      <c r="G26" s="12">
        <v>5.4319004232516205E-2</v>
      </c>
    </row>
    <row r="27" spans="1:8" x14ac:dyDescent="0.2">
      <c r="A27" s="27">
        <v>0.1</v>
      </c>
      <c r="B27" s="21" t="s">
        <v>0</v>
      </c>
      <c r="C27" s="7">
        <v>0.1306011758959407</v>
      </c>
      <c r="D27" s="11">
        <v>0.10632000476190477</v>
      </c>
      <c r="E27" s="10">
        <v>0.51901739686300696</v>
      </c>
      <c r="F27" s="11">
        <v>0.1613649723809524</v>
      </c>
      <c r="G27" s="12">
        <v>0.24475049190476192</v>
      </c>
    </row>
    <row r="28" spans="1:8" x14ac:dyDescent="0.2">
      <c r="A28" s="27">
        <v>0.25</v>
      </c>
      <c r="B28" s="21" t="s">
        <v>5</v>
      </c>
      <c r="C28" s="7">
        <v>4.9559349545636788E-2</v>
      </c>
      <c r="D28" s="11">
        <v>6.8149440476190501E-3</v>
      </c>
      <c r="E28" s="11">
        <v>0.1613649723809524</v>
      </c>
      <c r="F28" s="10">
        <v>5.7840748823638634E-2</v>
      </c>
      <c r="G28" s="12">
        <v>7.1019869285714299E-2</v>
      </c>
    </row>
    <row r="29" spans="1:8" ht="17" thickBot="1" x14ac:dyDescent="0.25">
      <c r="A29" s="27">
        <v>0.1</v>
      </c>
      <c r="B29" s="22" t="s">
        <v>7</v>
      </c>
      <c r="C29" s="13">
        <v>0.12440880984929664</v>
      </c>
      <c r="D29" s="14">
        <v>5.4319004232516205E-2</v>
      </c>
      <c r="E29" s="14">
        <v>0.24475049190476192</v>
      </c>
      <c r="F29" s="14">
        <v>7.1019869285714299E-2</v>
      </c>
      <c r="G29" s="15">
        <v>0.17846493595904578</v>
      </c>
    </row>
    <row r="30" spans="1:8" x14ac:dyDescent="0.2">
      <c r="A30" s="35">
        <f>SUM(A25:A29)</f>
        <v>1</v>
      </c>
    </row>
    <row r="32" spans="1:8" x14ac:dyDescent="0.2">
      <c r="B32" s="29" t="s">
        <v>28</v>
      </c>
      <c r="C32" s="28" t="s">
        <v>29</v>
      </c>
      <c r="D32" s="114">
        <f>(C23*11.9%)+(D23*19.95%)+(E23*29.1%)+(F23*20.99%)+(G23*23.38%)</f>
        <v>0.20260499999999998</v>
      </c>
    </row>
    <row r="33" spans="1:9" x14ac:dyDescent="0.2">
      <c r="C33" s="28"/>
    </row>
    <row r="34" spans="1:9" x14ac:dyDescent="0.2">
      <c r="C34" s="28"/>
    </row>
    <row r="35" spans="1:9" x14ac:dyDescent="0.2">
      <c r="B35" s="29" t="s">
        <v>30</v>
      </c>
      <c r="C35" s="28" t="s">
        <v>29</v>
      </c>
      <c r="D35" s="1">
        <f>A25*C23*C25+A25*D23*D25+A25*E23*E25+A25*F23*F25+A25*G23*G25+A26*C26*C23+A26*D23*D26+A26*E23*E26+A26*F23*F26+A26*G23*G26+A27*C23*C27+A27*D23*D27+A27*E23*E27+A27*F23*F27+A27*G23*G27+A28*C23*C28+A28*D23*D28+A28*E23*E28+A28*F23*F28+A28*G23*G28+A29*C23*C29+A29*D23*D29+A29*E23*E29+A29*F23*F29+A29*G23*G29</f>
        <v>8.7720654290931371E-2</v>
      </c>
      <c r="G35" s="2"/>
    </row>
    <row r="36" spans="1:9" x14ac:dyDescent="0.2">
      <c r="C36" s="28" t="s">
        <v>29</v>
      </c>
      <c r="D36" s="114">
        <f>SQRT(D35)</f>
        <v>0.29617672813867629</v>
      </c>
      <c r="G36" s="37"/>
    </row>
    <row r="37" spans="1:9" x14ac:dyDescent="0.2">
      <c r="G37" s="37"/>
    </row>
    <row r="38" spans="1:9" x14ac:dyDescent="0.2">
      <c r="B38" s="78" t="s">
        <v>44</v>
      </c>
      <c r="C38" s="28" t="s">
        <v>29</v>
      </c>
      <c r="D38" s="39">
        <f>(D32-7.49%)/D36</f>
        <v>0.43117837381269786</v>
      </c>
    </row>
    <row r="39" spans="1:9" x14ac:dyDescent="0.2">
      <c r="C39" s="28"/>
      <c r="D39" s="2"/>
    </row>
    <row r="41" spans="1:9" ht="24" x14ac:dyDescent="0.3">
      <c r="C41" s="122" t="s">
        <v>45</v>
      </c>
      <c r="D41" s="122"/>
      <c r="E41" s="122"/>
    </row>
    <row r="43" spans="1:9" s="42" customFormat="1" ht="19" x14ac:dyDescent="0.25">
      <c r="A43" s="110" t="s">
        <v>46</v>
      </c>
      <c r="B43" s="110"/>
      <c r="C43" s="110"/>
      <c r="D43" s="110"/>
      <c r="E43" s="110"/>
      <c r="F43" s="111"/>
    </row>
    <row r="45" spans="1:9" ht="19" x14ac:dyDescent="0.25">
      <c r="A45" s="24" t="s">
        <v>48</v>
      </c>
      <c r="B45" s="24"/>
      <c r="C45" s="24"/>
      <c r="D45" s="24"/>
      <c r="E45" s="24"/>
      <c r="F45" s="24"/>
      <c r="G45" s="24"/>
      <c r="H45" s="24"/>
      <c r="I45" s="24"/>
    </row>
    <row r="47" spans="1:9" ht="17" thickBot="1" x14ac:dyDescent="0.25">
      <c r="A47" s="26" t="s">
        <v>27</v>
      </c>
      <c r="B47" s="25"/>
      <c r="C47" s="27">
        <v>0.12</v>
      </c>
      <c r="D47" s="27">
        <v>0.25</v>
      </c>
      <c r="E47" s="27">
        <v>0.12</v>
      </c>
      <c r="F47" s="27">
        <v>0.25</v>
      </c>
      <c r="G47" s="27">
        <v>0.26</v>
      </c>
      <c r="H47" s="35">
        <f>SUM(C47:G47)</f>
        <v>1</v>
      </c>
    </row>
    <row r="48" spans="1:9" ht="17" thickBot="1" x14ac:dyDescent="0.25">
      <c r="A48" s="26"/>
      <c r="B48" s="16" t="s">
        <v>13</v>
      </c>
      <c r="C48" s="17" t="s">
        <v>3</v>
      </c>
      <c r="D48" s="18" t="s">
        <v>4</v>
      </c>
      <c r="E48" s="23" t="s">
        <v>0</v>
      </c>
      <c r="F48" s="18" t="s">
        <v>5</v>
      </c>
      <c r="G48" s="19" t="s">
        <v>7</v>
      </c>
    </row>
    <row r="49" spans="1:7" x14ac:dyDescent="0.2">
      <c r="A49" s="27">
        <v>0.25</v>
      </c>
      <c r="B49" s="20" t="s">
        <v>3</v>
      </c>
      <c r="C49" s="5">
        <v>0.12275610969306888</v>
      </c>
      <c r="D49" s="6">
        <v>3.1869692110569621E-2</v>
      </c>
      <c r="E49" s="11">
        <v>0.1306011758959407</v>
      </c>
      <c r="F49" s="11">
        <v>4.9559349545636788E-2</v>
      </c>
      <c r="G49" s="8">
        <v>0.12440880984929664</v>
      </c>
    </row>
    <row r="50" spans="1:7" x14ac:dyDescent="0.2">
      <c r="A50" s="27">
        <v>0.15</v>
      </c>
      <c r="B50" s="21" t="s">
        <v>4</v>
      </c>
      <c r="C50" s="9">
        <v>3.1869692110569621E-2</v>
      </c>
      <c r="D50" s="10">
        <v>0.17780497750678173</v>
      </c>
      <c r="E50" s="11">
        <v>0.10632000476190477</v>
      </c>
      <c r="F50" s="11">
        <v>6.8149440476190501E-3</v>
      </c>
      <c r="G50" s="12">
        <v>5.4319004232516205E-2</v>
      </c>
    </row>
    <row r="51" spans="1:7" x14ac:dyDescent="0.2">
      <c r="A51" s="27">
        <v>0.12</v>
      </c>
      <c r="B51" s="21" t="s">
        <v>0</v>
      </c>
      <c r="C51" s="7">
        <v>0.1306011758959407</v>
      </c>
      <c r="D51" s="11">
        <v>0.10632000476190477</v>
      </c>
      <c r="E51" s="10">
        <v>0.51901739686300696</v>
      </c>
      <c r="F51" s="11">
        <v>0.1613649723809524</v>
      </c>
      <c r="G51" s="12">
        <v>0.24475049190476192</v>
      </c>
    </row>
    <row r="52" spans="1:7" x14ac:dyDescent="0.2">
      <c r="A52" s="27">
        <v>0.25</v>
      </c>
      <c r="B52" s="21" t="s">
        <v>5</v>
      </c>
      <c r="C52" s="7">
        <v>4.9559349545636788E-2</v>
      </c>
      <c r="D52" s="11">
        <v>6.8149440476190501E-3</v>
      </c>
      <c r="E52" s="11">
        <v>0.1613649723809524</v>
      </c>
      <c r="F52" s="10">
        <v>5.7840748823638634E-2</v>
      </c>
      <c r="G52" s="12">
        <v>7.1019869285714299E-2</v>
      </c>
    </row>
    <row r="53" spans="1:7" ht="17" thickBot="1" x14ac:dyDescent="0.25">
      <c r="A53" s="27">
        <v>0.23</v>
      </c>
      <c r="B53" s="22" t="s">
        <v>7</v>
      </c>
      <c r="C53" s="13">
        <v>0.12440880984929664</v>
      </c>
      <c r="D53" s="14">
        <v>5.4319004232516205E-2</v>
      </c>
      <c r="E53" s="14">
        <v>0.24475049190476192</v>
      </c>
      <c r="F53" s="14">
        <v>7.1019869285714299E-2</v>
      </c>
      <c r="G53" s="15">
        <v>0.17846493595904578</v>
      </c>
    </row>
    <row r="54" spans="1:7" x14ac:dyDescent="0.2">
      <c r="A54" s="35">
        <f>SUM(A49:A53)</f>
        <v>1</v>
      </c>
    </row>
    <row r="56" spans="1:7" x14ac:dyDescent="0.2">
      <c r="B56" s="29" t="s">
        <v>28</v>
      </c>
      <c r="C56" s="28" t="s">
        <v>29</v>
      </c>
      <c r="D56" s="114">
        <f>(C47*11.9%)+(D47*19.95%)+(E47*29.1%)+(F47*20.99%)+(G47*23.38%)</f>
        <v>0.21233799999999997</v>
      </c>
    </row>
    <row r="57" spans="1:7" x14ac:dyDescent="0.2">
      <c r="C57" s="28"/>
    </row>
    <row r="58" spans="1:7" x14ac:dyDescent="0.2">
      <c r="C58" s="28"/>
    </row>
    <row r="59" spans="1:7" x14ac:dyDescent="0.2">
      <c r="B59" s="29" t="s">
        <v>30</v>
      </c>
      <c r="C59" s="28" t="s">
        <v>29</v>
      </c>
      <c r="D59">
        <f>A49*C47*C49+A49*D47*D49+A49*E47*E49+A49*F47*F49+A49*G47*G49+A50*C50*C47+A50*D47*D50+A50*E47*E50+A50*F47*F50+A50*G47*G50+A51*C47*C51+A51*D47*D51+A51*E47*E51+A51*F47*F51+A51*G47*G51+A52*C47*C52+A52*D47*D52+A52*E47*E52+A52*F47*F52+A52*G47*G52+A53*C47*C53+A53*D47*D53+A53*E47*E53+A53*F47*F53+A53*G47*G53</f>
        <v>0.10037996827977723</v>
      </c>
    </row>
    <row r="60" spans="1:7" x14ac:dyDescent="0.2">
      <c r="C60" s="28" t="s">
        <v>29</v>
      </c>
      <c r="D60" s="114">
        <f>SQRT(D59)</f>
        <v>0.31682797900402865</v>
      </c>
    </row>
    <row r="61" spans="1:7" x14ac:dyDescent="0.2">
      <c r="C61" s="28"/>
    </row>
    <row r="62" spans="1:7" x14ac:dyDescent="0.2">
      <c r="B62" s="78" t="s">
        <v>44</v>
      </c>
      <c r="C62" s="28" t="s">
        <v>29</v>
      </c>
      <c r="D62" s="32">
        <f>(D56-7.49%)/D60</f>
        <v>0.4337937590993261</v>
      </c>
    </row>
    <row r="64" spans="1:7" ht="19" x14ac:dyDescent="0.25">
      <c r="A64" s="110" t="s">
        <v>47</v>
      </c>
      <c r="B64" s="110"/>
      <c r="C64" s="110"/>
      <c r="D64" s="110"/>
    </row>
    <row r="66" spans="1:4" x14ac:dyDescent="0.2">
      <c r="A66" s="116" t="s">
        <v>82</v>
      </c>
      <c r="B66" s="116" t="s">
        <v>80</v>
      </c>
      <c r="C66" s="116" t="s">
        <v>81</v>
      </c>
    </row>
    <row r="67" spans="1:4" x14ac:dyDescent="0.2">
      <c r="A67" s="116">
        <v>1</v>
      </c>
      <c r="B67" s="117">
        <f>D14</f>
        <v>0.21063818261643413</v>
      </c>
      <c r="C67" s="118">
        <f>D18</f>
        <v>0.34028082961721856</v>
      </c>
    </row>
    <row r="68" spans="1:4" x14ac:dyDescent="0.2">
      <c r="A68" s="116">
        <v>2</v>
      </c>
      <c r="B68" s="117">
        <f>D32</f>
        <v>0.20260499999999998</v>
      </c>
      <c r="C68" s="117">
        <f>D36</f>
        <v>0.29617672813867629</v>
      </c>
    </row>
    <row r="69" spans="1:4" x14ac:dyDescent="0.2">
      <c r="A69" s="116">
        <v>3</v>
      </c>
      <c r="B69" s="117">
        <f>D56</f>
        <v>0.21233799999999997</v>
      </c>
      <c r="C69" s="117">
        <f>D60</f>
        <v>0.31682797900402865</v>
      </c>
    </row>
    <row r="71" spans="1:4" x14ac:dyDescent="0.2">
      <c r="C71" s="79" t="s">
        <v>84</v>
      </c>
      <c r="D71" s="79"/>
    </row>
    <row r="87" spans="1:8" x14ac:dyDescent="0.2">
      <c r="B87" s="112" t="s">
        <v>83</v>
      </c>
      <c r="C87" s="112"/>
      <c r="D87" s="112"/>
      <c r="E87" s="112"/>
      <c r="F87" s="112"/>
      <c r="G87" s="112"/>
      <c r="H87" s="112"/>
    </row>
    <row r="90" spans="1:8" x14ac:dyDescent="0.2">
      <c r="A90" s="119" t="s">
        <v>92</v>
      </c>
      <c r="B90" s="120"/>
      <c r="C90" s="120"/>
      <c r="D90" s="120"/>
      <c r="E90" s="120"/>
      <c r="F90" s="120"/>
      <c r="G90" s="120"/>
    </row>
    <row r="92" spans="1:8" x14ac:dyDescent="0.2">
      <c r="B92" t="s">
        <v>85</v>
      </c>
    </row>
    <row r="93" spans="1:8" x14ac:dyDescent="0.2">
      <c r="B93" t="s">
        <v>86</v>
      </c>
    </row>
    <row r="95" spans="1:8" ht="19" x14ac:dyDescent="0.25">
      <c r="A95" s="110" t="s">
        <v>88</v>
      </c>
      <c r="B95" s="110"/>
    </row>
    <row r="96" spans="1:8" x14ac:dyDescent="0.2">
      <c r="A96" s="105" t="s">
        <v>89</v>
      </c>
    </row>
    <row r="97" spans="1:3" x14ac:dyDescent="0.2">
      <c r="A97" s="105"/>
    </row>
    <row r="98" spans="1:3" x14ac:dyDescent="0.2">
      <c r="A98" s="105" t="s">
        <v>90</v>
      </c>
    </row>
    <row r="99" spans="1:3" x14ac:dyDescent="0.2">
      <c r="A99" s="105"/>
    </row>
    <row r="100" spans="1:3" x14ac:dyDescent="0.2">
      <c r="A100" s="105" t="s">
        <v>91</v>
      </c>
    </row>
    <row r="101" spans="1:3" x14ac:dyDescent="0.2">
      <c r="A101" s="104"/>
    </row>
    <row r="106" spans="1:3" x14ac:dyDescent="0.2">
      <c r="C106" s="28"/>
    </row>
  </sheetData>
  <mergeCells count="1">
    <mergeCell ref="C41:E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AND COMPANY ANALYSIS</vt:lpstr>
      <vt:lpstr>COMPANY'S SD AND RETURNS</vt:lpstr>
      <vt:lpstr>R and COV CALCULATIONS</vt:lpstr>
      <vt:lpstr>MATRIX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21211469 SPARSH JAIN</dc:creator>
  <cp:lastModifiedBy>21211469 SPARSH JAIN</cp:lastModifiedBy>
  <dcterms:created xsi:type="dcterms:W3CDTF">2023-04-10T05:02:04Z</dcterms:created>
  <dcterms:modified xsi:type="dcterms:W3CDTF">2023-04-30T10:21:41Z</dcterms:modified>
</cp:coreProperties>
</file>