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C1DB5B01-A397-4D0C-84CD-C9A2FB584513}" xr6:coauthVersionLast="47" xr6:coauthVersionMax="47" xr10:uidLastSave="{00000000-0000-0000-0000-000000000000}"/>
  <bookViews>
    <workbookView xWindow="34590" yWindow="6255" windowWidth="16560" windowHeight="12045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Delta15" sheetId="6" r:id="rId5"/>
    <sheet name="DeltaMR" sheetId="7" r:id="rId6"/>
    <sheet name="Statistical Proof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7" l="1"/>
  <c r="H8" i="7"/>
  <c r="J7" i="7"/>
  <c r="H7" i="7"/>
  <c r="J8" i="6"/>
  <c r="H8" i="6"/>
  <c r="J7" i="6"/>
  <c r="H7" i="6"/>
  <c r="J23" i="2"/>
  <c r="J22" i="2"/>
  <c r="J21" i="2"/>
  <c r="H23" i="2"/>
  <c r="H22" i="2"/>
  <c r="H21" i="2"/>
  <c r="F9" i="4"/>
  <c r="F8" i="4"/>
  <c r="C8" i="4"/>
  <c r="C7" i="4"/>
  <c r="J20" i="2"/>
  <c r="J24" i="3"/>
  <c r="H6" i="7"/>
  <c r="H6" i="6"/>
  <c r="H20" i="2"/>
  <c r="H19" i="2"/>
  <c r="J5" i="7"/>
  <c r="H5" i="7"/>
  <c r="J4" i="7"/>
  <c r="H4" i="7"/>
  <c r="J5" i="6"/>
  <c r="H5" i="6"/>
  <c r="J4" i="6"/>
  <c r="H4" i="6"/>
  <c r="J18" i="2"/>
  <c r="J17" i="2"/>
  <c r="J16" i="2"/>
  <c r="H18" i="2"/>
  <c r="H17" i="2"/>
  <c r="H16" i="2"/>
  <c r="C16" i="1"/>
  <c r="C15" i="5"/>
  <c r="D15" i="5"/>
  <c r="D14" i="5"/>
  <c r="C17" i="5"/>
  <c r="J23" i="3" l="1"/>
  <c r="J4" i="2"/>
  <c r="J3" i="2"/>
  <c r="J2" i="2"/>
  <c r="J9" i="2"/>
  <c r="J8" i="2"/>
  <c r="J7" i="2"/>
  <c r="J6" i="2"/>
  <c r="J15" i="2"/>
  <c r="J14" i="2"/>
  <c r="J12" i="2"/>
  <c r="J13" i="2"/>
  <c r="N2" i="6"/>
  <c r="J3" i="7"/>
  <c r="H3" i="7"/>
  <c r="H2" i="7"/>
  <c r="J2" i="7" s="1"/>
  <c r="H3" i="6"/>
  <c r="J3" i="6" s="1"/>
  <c r="H2" i="6"/>
  <c r="J2" i="6" s="1"/>
  <c r="H15" i="2"/>
  <c r="H14" i="2"/>
  <c r="H13" i="2"/>
  <c r="J22" i="3"/>
  <c r="H12" i="2"/>
  <c r="H11" i="2"/>
  <c r="H10" i="2"/>
  <c r="H9" i="2"/>
  <c r="H8" i="2"/>
  <c r="C22" i="5"/>
  <c r="E22" i="5" s="1"/>
  <c r="D17" i="5"/>
  <c r="E17" i="5" s="1"/>
  <c r="E15" i="5"/>
  <c r="C14" i="5"/>
  <c r="E14" i="5" s="1"/>
  <c r="J21" i="3"/>
  <c r="H7" i="2"/>
  <c r="H6" i="2"/>
  <c r="K5" i="4"/>
  <c r="K4" i="4"/>
  <c r="L4" i="4"/>
  <c r="L5" i="4" s="1"/>
  <c r="K3" i="4"/>
  <c r="F5" i="4"/>
  <c r="F4" i="4"/>
  <c r="L8" i="4"/>
  <c r="L9" i="4" s="1"/>
  <c r="K8" i="4"/>
  <c r="K9" i="4" s="1"/>
  <c r="L3" i="4"/>
  <c r="L19" i="3"/>
  <c r="K19" i="3"/>
  <c r="J20" i="3"/>
  <c r="H5" i="2"/>
  <c r="L4" i="2"/>
  <c r="H4" i="2"/>
  <c r="J19" i="3"/>
  <c r="F2" i="3"/>
  <c r="E2" i="3"/>
  <c r="D2" i="3"/>
  <c r="C2" i="3"/>
  <c r="B2" i="3"/>
  <c r="A2" i="3"/>
  <c r="H3" i="2"/>
  <c r="H2" i="2"/>
  <c r="C17" i="1"/>
  <c r="C21" i="1"/>
  <c r="C22" i="1" s="1"/>
  <c r="L20" i="3" l="1"/>
  <c r="L21" i="3" s="1"/>
  <c r="L22" i="3" s="1"/>
  <c r="L23" i="3" s="1"/>
  <c r="L24" i="3" s="1"/>
  <c r="K20" i="3"/>
  <c r="N2" i="7"/>
  <c r="H2" i="3"/>
  <c r="D16" i="5"/>
  <c r="E16" i="5" s="1"/>
  <c r="C21" i="5" s="1"/>
  <c r="D22" i="5"/>
  <c r="I2" i="3"/>
  <c r="C18" i="1"/>
  <c r="C23" i="1"/>
  <c r="F6" i="1" s="1"/>
  <c r="C26" i="1"/>
  <c r="H5" i="4" l="1"/>
  <c r="H4" i="4"/>
  <c r="K21" i="3"/>
  <c r="D21" i="5"/>
  <c r="E21" i="5"/>
  <c r="E23" i="5" s="1"/>
  <c r="C23" i="5"/>
  <c r="D23" i="5"/>
  <c r="C28" i="1"/>
  <c r="C27" i="1"/>
  <c r="F5" i="1"/>
  <c r="K22" i="3" l="1"/>
  <c r="K23" i="3" s="1"/>
  <c r="K24" i="3" s="1"/>
  <c r="F3" i="4"/>
  <c r="F7" i="1"/>
  <c r="F8" i="1" s="1"/>
  <c r="G2" i="3" s="1"/>
  <c r="F7" i="4" l="1"/>
  <c r="H3" i="4"/>
  <c r="C9" i="4"/>
  <c r="G5" i="4"/>
  <c r="G4" i="4"/>
</calcChain>
</file>

<file path=xl/sharedStrings.xml><?xml version="1.0" encoding="utf-8"?>
<sst xmlns="http://schemas.openxmlformats.org/spreadsheetml/2006/main" count="226" uniqueCount="134">
  <si>
    <t>SPX Open</t>
  </si>
  <si>
    <t>SPX Close</t>
  </si>
  <si>
    <t>Updated</t>
  </si>
  <si>
    <t>SPX Prior Open</t>
  </si>
  <si>
    <t>SPX Prior Close</t>
  </si>
  <si>
    <t>IV Last</t>
  </si>
  <si>
    <t>Value</t>
  </si>
  <si>
    <t>1STD SPX Upper</t>
  </si>
  <si>
    <t>1STD SPX Lower</t>
  </si>
  <si>
    <t>E. Price Move</t>
  </si>
  <si>
    <t>SPX Prior 5D MA</t>
  </si>
  <si>
    <t>SPX 5D MA</t>
  </si>
  <si>
    <t>SPX Prior 2D MA</t>
  </si>
  <si>
    <t>2 Day - DTE Price Expectations</t>
  </si>
  <si>
    <t>5 Day - DTE Price Expectations</t>
  </si>
  <si>
    <t>0Day stdPosition</t>
  </si>
  <si>
    <t>2Day stdPosition</t>
  </si>
  <si>
    <t>5Day stdPosition</t>
  </si>
  <si>
    <t>Wt. stdPosition</t>
  </si>
  <si>
    <t>Weight</t>
  </si>
  <si>
    <t>Indicator</t>
  </si>
  <si>
    <t>Position</t>
  </si>
  <si>
    <t>CCS</t>
  </si>
  <si>
    <t>PCS</t>
  </si>
  <si>
    <t>SPX Information</t>
  </si>
  <si>
    <t>SPX 2D MA</t>
  </si>
  <si>
    <t>Delta Selection</t>
  </si>
  <si>
    <t>-</t>
  </si>
  <si>
    <t>40 - 60%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</si>
  <si>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</si>
  <si>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</si>
  <si>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</si>
  <si>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</si>
  <si>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</si>
  <si>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</si>
  <si>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</si>
  <si>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</si>
  <si>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</si>
  <si>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2D MA</t>
  </si>
  <si>
    <t>5D MA</t>
  </si>
  <si>
    <t>IV</t>
  </si>
  <si>
    <t>Wt. stdPos</t>
  </si>
  <si>
    <t>P/L</t>
  </si>
  <si>
    <t>Linked Data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</si>
  <si>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</si>
  <si>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</si>
  <si>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</si>
  <si>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</si>
  <si>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</si>
  <si>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</si>
  <si>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</si>
  <si>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</si>
  <si>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</si>
  <si>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</si>
  <si>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</si>
  <si>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</si>
  <si>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</si>
  <si>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&lt; 10.0%</t>
  </si>
  <si>
    <t>&gt; 90.0%</t>
  </si>
  <si>
    <t>10 - 25%</t>
  </si>
  <si>
    <t>25 - 40%</t>
  </si>
  <si>
    <t>60 - 75%</t>
  </si>
  <si>
    <t>75 - 90%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</si>
  <si>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</si>
  <si>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</si>
  <si>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</si>
  <si>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</si>
  <si>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</si>
  <si>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</si>
  <si>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</si>
  <si>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</si>
  <si>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</si>
  <si>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</si>
  <si>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</si>
  <si>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</si>
  <si>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</si>
  <si>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</si>
  <si>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</si>
  <si>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</si>
  <si>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</si>
  <si>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</si>
  <si>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</si>
  <si>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</si>
  <si>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</si>
  <si>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</si>
  <si>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</si>
  <si>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</si>
  <si>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</si>
  <si>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</si>
  <si>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</si>
  <si>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</si>
  <si>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Assuming 1std = $50 distance from SPX</t>
  </si>
  <si>
    <t>Assuming max win = $500</t>
  </si>
  <si>
    <t>Assuming max loss = ($250)</t>
  </si>
  <si>
    <t>1-Side Max Loss</t>
  </si>
  <si>
    <t>Break Even Low</t>
  </si>
  <si>
    <t>Max Win Low</t>
  </si>
  <si>
    <t>Max Win High</t>
  </si>
  <si>
    <t>Break Even High</t>
  </si>
  <si>
    <t>Standard Deviation</t>
  </si>
  <si>
    <t>SPX Distance</t>
  </si>
  <si>
    <t>Probability</t>
  </si>
  <si>
    <t>Quick Calc Worst Case</t>
  </si>
  <si>
    <t>Return</t>
  </si>
  <si>
    <t>Max Win</t>
  </si>
  <si>
    <t>Max Loss</t>
  </si>
  <si>
    <t>Even - Win</t>
  </si>
  <si>
    <t>Loss - Even</t>
  </si>
  <si>
    <t>Expected Returns</t>
  </si>
  <si>
    <t>Day</t>
  </si>
  <si>
    <t>Month</t>
  </si>
  <si>
    <t>Year</t>
  </si>
  <si>
    <t>Profit / Loss</t>
  </si>
  <si>
    <t>Sep23 3685/3660 @ -6.50 Bull Put</t>
  </si>
  <si>
    <t>Sep23 3665/3640 @ -4.00 Bull Put</t>
  </si>
  <si>
    <t>BTC SL</t>
  </si>
  <si>
    <t>Sep23 3665/3640 @ -12.40 Bull Put</t>
  </si>
  <si>
    <t>Sep23 3655/3640 @ -2.25 Bull Put</t>
  </si>
  <si>
    <t>Discovered IBKR-Web does not live update Delta; deviated from strategy; high volitility triggered SL</t>
  </si>
  <si>
    <t>Sep26 3740/3765 Bear Call @ -3.30</t>
  </si>
  <si>
    <t>Sep26 3650/3625 Bull Put @-4.30</t>
  </si>
  <si>
    <t>Sep26 3760/3785 Bear Call @ -1.50</t>
  </si>
  <si>
    <t>Sep26 3650/3625 Bull Put @ -4.30</t>
  </si>
  <si>
    <t>1 Day - Price Expectations</t>
  </si>
  <si>
    <t>Sep27 3655/3630 Bull Put @ -3.40</t>
  </si>
  <si>
    <t>Sep27 3750/3775 Bear Call @ -3.90</t>
  </si>
  <si>
    <t>Sep27 3730/3755 Bear Call @ -3.00</t>
  </si>
  <si>
    <t>Sep27 3655/3630 Bull Put @ -14.1</t>
  </si>
  <si>
    <t>Sep27 3660/3685 Bear Call @ -4.55</t>
  </si>
  <si>
    <t>Triggered around 3650</t>
  </si>
  <si>
    <t>Developing new indicator</t>
  </si>
  <si>
    <t>Sep28 3690/3715 Bear Call @ -4.3</t>
  </si>
  <si>
    <t>Sep28 3605/3580 Bull Put @ -5.3</t>
  </si>
  <si>
    <t>Sep28 3590/3565 Bull Put @ -3.9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</si>
</sst>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2" xfId="0" applyNumberFormat="1" applyBorder="1" applyProtection="1">
      <protection locked="0"/>
    </xf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2" borderId="9" xfId="0" applyFill="1" applyBorder="1"/>
    <xf numFmtId="0" fontId="0" fillId="2" borderId="11" xfId="0" quotePrefix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applyAlignment="1">
      <alignment vertical="center" wrapText="1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0" fillId="0" borderId="0" xfId="0" applyNumberFormat="1" applyBorder="1" applyProtection="1"/>
    <xf numFmtId="164" fontId="0" fillId="0" borderId="0" xfId="0" applyNumberFormat="1" applyFill="1" applyBorder="1" applyProtection="1"/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1" fillId="0" borderId="1" xfId="0" applyNumberFormat="1" applyFont="1" applyBorder="1"/>
    <xf numFmtId="4" fontId="0" fillId="0" borderId="7" xfId="0" applyNumberFormat="1" applyBorder="1" applyProtection="1">
      <protection locked="0"/>
    </xf>
    <xf numFmtId="164" fontId="0" fillId="0" borderId="7" xfId="0" applyNumberFormat="1" applyFill="1" applyBorder="1" applyProtection="1">
      <protection locked="0"/>
    </xf>
    <xf numFmtId="2" fontId="0" fillId="0" borderId="7" xfId="0" applyNumberFormat="1" applyBorder="1"/>
    <xf numFmtId="0" fontId="0" fillId="0" borderId="2" xfId="0" applyBorder="1"/>
    <xf numFmtId="14" fontId="0" fillId="0" borderId="3" xfId="0" applyNumberFormat="1" applyBorder="1"/>
    <xf numFmtId="2" fontId="0" fillId="0" borderId="0" xfId="0" applyNumberFormat="1" applyBorder="1" applyProtection="1"/>
    <xf numFmtId="0" fontId="0" fillId="0" borderId="4" xfId="0" applyBorder="1" applyProtection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165" fontId="0" fillId="0" borderId="0" xfId="0" applyNumberFormat="1"/>
    <xf numFmtId="10" fontId="0" fillId="0" borderId="0" xfId="0" applyNumberFormat="1"/>
    <xf numFmtId="5" fontId="0" fillId="0" borderId="0" xfId="0" applyNumberFormat="1"/>
    <xf numFmtId="42" fontId="0" fillId="0" borderId="0" xfId="0" applyNumberFormat="1"/>
    <xf numFmtId="4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  <xf numFmtId="5" fontId="1" fillId="0" borderId="0" xfId="0" applyNumberFormat="1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0" xfId="0" applyNumberForma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Tracker!$K$4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Tracker!$A$19:$A$714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</c:numCache>
            </c:numRef>
          </c:cat>
          <c:val>
            <c:numRef>
              <c:f>Tracker!$K$19:$K$714</c:f>
              <c:numCache>
                <c:formatCode>#,##0_);\(#,##0\)</c:formatCode>
                <c:ptCount val="696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  <c:pt idx="3">
                  <c:v>96.999999999999545</c:v>
                </c:pt>
                <c:pt idx="4">
                  <c:v>1424.9999999999995</c:v>
                </c:pt>
                <c:pt idx="5">
                  <c:v>866.99999999999955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Tracker!$H$4</c15:sqref>
                        </c15:formulaRef>
                      </c:ext>
                    </c:extLst>
                    <c:strCache>
                      <c:ptCount val="1"/>
                      <c:pt idx="0">
                        <c:v>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Tracker!$H$19:$H$714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Tracker!$I$4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Tracker!$I$19:$I$714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Tracker!$J$19:$J$714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Tracker!$A$19:$A$714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</c:numCache>
              <c:extLst xmlns:c15="http://schemas.microsoft.com/office/drawing/2012/chart"/>
            </c:numRef>
          </c:cat>
          <c:val>
            <c:numRef>
              <c:f>Tracker!$I$19:$I$714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  <c:pt idx="3">
                  <c:v>12.66</c:v>
                </c:pt>
                <c:pt idx="4">
                  <c:v>13.28</c:v>
                </c:pt>
                <c:pt idx="5">
                  <c:v>22.619999999999997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Tracker!$J$19:$J$714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Tracker!$K$19:$K$714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Tracker!$A$19:$A$714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</c:numCache>
              <c:extLst xmlns:c15="http://schemas.microsoft.com/office/drawing/2012/chart"/>
            </c:numRef>
          </c:cat>
          <c:val>
            <c:numRef>
              <c:f>Tracker!$H$19:$H$714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  <c:pt idx="3">
                  <c:v>-19.870000000000005</c:v>
                </c:pt>
                <c:pt idx="4">
                  <c:v>13.28</c:v>
                </c:pt>
                <c:pt idx="5">
                  <c:v>-5.58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Capture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Tracker!$J$4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Tracker!$A$19:$A$714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</c:numCache>
              <c:extLst xmlns:c15="http://schemas.microsoft.com/office/drawing/2012/chart"/>
            </c:numRef>
          </c:cat>
          <c:val>
            <c:numRef>
              <c:f>Tracker!$J$19:$J$714</c:f>
              <c:numCache>
                <c:formatCode>0%</c:formatCode>
                <c:ptCount val="696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  <c:pt idx="3">
                  <c:v>-1.5695102685624016</c:v>
                </c:pt>
                <c:pt idx="4">
                  <c:v>1</c:v>
                </c:pt>
                <c:pt idx="5">
                  <c:v>-0.24668435013262602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Tracker!$I$19:$I$714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Tracker!$K$19:$K$714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Tracker!$H$19:$H$714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dimension ref="B1:K28"/>
  <sheetViews>
    <sheetView tabSelected="1" zoomScale="115" zoomScaleNormal="115" workbookViewId="0">
      <selection activeCell="I8" sqref="I8"/>
    </sheetView>
  </sheetViews>
  <sheetFormatPr defaultRowHeight="15" x14ac:dyDescent="0.25"/>
  <cols>
    <col min="2" max="2" width="16.85546875" customWidth="1"/>
    <col min="3" max="3" width="10.5703125" customWidth="1"/>
    <col min="5" max="5" width="15.5703125" customWidth="1"/>
    <col min="6" max="6" width="8.42578125" customWidth="1"/>
    <col min="7" max="8" width="7.85546875" customWidth="1"/>
  </cols>
  <sheetData>
    <row r="1" spans="2:11" x14ac:dyDescent="0.25">
      <c r="B1" s="64" t="s">
        <v>2</v>
      </c>
      <c r="C1" s="19" t="s">
        <v>65</v>
      </c>
    </row>
    <row r="2" spans="2:11" x14ac:dyDescent="0.25">
      <c r="B2" s="20">
        <v>44832</v>
      </c>
      <c r="C2" s="104">
        <v>1021</v>
      </c>
    </row>
    <row r="3" spans="2:11" ht="15.75" thickBot="1" x14ac:dyDescent="0.3">
      <c r="H3" s="17"/>
    </row>
    <row r="4" spans="2:11" ht="15.75" thickBot="1" x14ac:dyDescent="0.3">
      <c r="B4" s="10" t="s">
        <v>24</v>
      </c>
      <c r="C4" s="11" t="s">
        <v>6</v>
      </c>
      <c r="E4" s="8" t="s">
        <v>20</v>
      </c>
      <c r="F4" s="34" t="s">
        <v>21</v>
      </c>
      <c r="G4" s="35" t="s">
        <v>19</v>
      </c>
      <c r="H4" s="22"/>
    </row>
    <row r="5" spans="2:11" x14ac:dyDescent="0.25">
      <c r="B5" s="2" t="s">
        <v>3</v>
      </c>
      <c r="C5" s="12">
        <v>3686.44</v>
      </c>
      <c r="E5" s="3" t="s">
        <v>15</v>
      </c>
      <c r="F5" s="27">
        <f>(C9-C18)/(C17-C18)</f>
        <v>0.53430290619708476</v>
      </c>
      <c r="G5" s="25">
        <v>0.4</v>
      </c>
      <c r="H5" s="21"/>
    </row>
    <row r="6" spans="2:11" x14ac:dyDescent="0.25">
      <c r="B6" s="3" t="s">
        <v>4</v>
      </c>
      <c r="C6" s="13">
        <v>3647.29</v>
      </c>
      <c r="E6" s="3" t="s">
        <v>16</v>
      </c>
      <c r="F6" s="27">
        <f>(C9-C23)/(C22-C23)</f>
        <v>0.50401228645558727</v>
      </c>
      <c r="G6" s="25">
        <v>0.33</v>
      </c>
      <c r="H6" s="21"/>
    </row>
    <row r="7" spans="2:11" ht="15.75" thickBot="1" x14ac:dyDescent="0.3">
      <c r="B7" s="3" t="s">
        <v>12</v>
      </c>
      <c r="C7" s="13">
        <v>3651.17</v>
      </c>
      <c r="E7" s="5" t="s">
        <v>17</v>
      </c>
      <c r="F7" s="28">
        <f>(C9-C28)/(C27-C28)</f>
        <v>0.31616050604746726</v>
      </c>
      <c r="G7" s="26">
        <v>0.27</v>
      </c>
      <c r="H7" s="21"/>
    </row>
    <row r="8" spans="2:11" ht="15.75" thickBot="1" x14ac:dyDescent="0.3">
      <c r="B8" s="5" t="s">
        <v>10</v>
      </c>
      <c r="C8" s="13">
        <v>3708.7</v>
      </c>
      <c r="E8" s="23" t="s">
        <v>18</v>
      </c>
      <c r="F8" s="29">
        <f>F5*G5+F6*G6+F7*G7</f>
        <v>0.46540855364199385</v>
      </c>
      <c r="G8" s="24" t="s">
        <v>27</v>
      </c>
      <c r="H8" s="17"/>
    </row>
    <row r="9" spans="2:11" ht="15.75" thickBot="1" x14ac:dyDescent="0.3">
      <c r="B9" s="2" t="s">
        <v>0</v>
      </c>
      <c r="C9" s="12">
        <v>3651.94</v>
      </c>
      <c r="F9" s="1"/>
      <c r="G9" s="1"/>
    </row>
    <row r="10" spans="2:11" ht="15.75" thickBot="1" x14ac:dyDescent="0.3">
      <c r="B10" s="3" t="s">
        <v>1</v>
      </c>
      <c r="C10" s="13"/>
      <c r="E10" s="10" t="s">
        <v>26</v>
      </c>
      <c r="F10" s="36" t="s">
        <v>22</v>
      </c>
      <c r="G10" s="37" t="s">
        <v>23</v>
      </c>
      <c r="K10" s="40"/>
    </row>
    <row r="11" spans="2:11" x14ac:dyDescent="0.25">
      <c r="B11" s="3" t="s">
        <v>25</v>
      </c>
      <c r="C11" s="13"/>
      <c r="E11" s="15" t="s">
        <v>57</v>
      </c>
      <c r="F11" s="38" t="s">
        <v>27</v>
      </c>
      <c r="G11" s="30">
        <v>-0.21</v>
      </c>
    </row>
    <row r="12" spans="2:11" ht="15.75" thickBot="1" x14ac:dyDescent="0.3">
      <c r="B12" s="3" t="s">
        <v>11</v>
      </c>
      <c r="C12" s="13"/>
      <c r="E12" s="16" t="s">
        <v>59</v>
      </c>
      <c r="F12" s="31">
        <v>0.09</v>
      </c>
      <c r="G12" s="32">
        <v>-0.18</v>
      </c>
    </row>
    <row r="13" spans="2:11" ht="15.75" thickBot="1" x14ac:dyDescent="0.3">
      <c r="B13" s="7" t="s">
        <v>5</v>
      </c>
      <c r="C13" s="14">
        <v>0.29499999999999998</v>
      </c>
      <c r="E13" s="16" t="s">
        <v>60</v>
      </c>
      <c r="F13" s="31">
        <v>0.12</v>
      </c>
      <c r="G13" s="32">
        <v>-0.15</v>
      </c>
    </row>
    <row r="14" spans="2:11" ht="15.75" thickBot="1" x14ac:dyDescent="0.3">
      <c r="E14" s="16" t="s">
        <v>28</v>
      </c>
      <c r="F14" s="31">
        <v>0.15</v>
      </c>
      <c r="G14" s="32">
        <v>-0.15</v>
      </c>
    </row>
    <row r="15" spans="2:11" x14ac:dyDescent="0.25">
      <c r="B15" s="8" t="s">
        <v>123</v>
      </c>
      <c r="C15" s="9"/>
      <c r="E15" s="16" t="s">
        <v>61</v>
      </c>
      <c r="F15" s="31">
        <v>0.15</v>
      </c>
      <c r="G15" s="32">
        <v>-0.12</v>
      </c>
    </row>
    <row r="16" spans="2:11" x14ac:dyDescent="0.25">
      <c r="B16" s="3" t="s">
        <v>9</v>
      </c>
      <c r="C16" s="4">
        <f>C6*C$13*SQRT((24/24)/252)</f>
        <v>67.778513769123037</v>
      </c>
      <c r="E16" s="16" t="s">
        <v>62</v>
      </c>
      <c r="F16" s="31">
        <v>0.18</v>
      </c>
      <c r="G16" s="32">
        <v>-0.09</v>
      </c>
    </row>
    <row r="17" spans="2:7" ht="15.75" thickBot="1" x14ac:dyDescent="0.3">
      <c r="B17" s="3" t="s">
        <v>7</v>
      </c>
      <c r="C17" s="4">
        <f>C6+C16</f>
        <v>3715.068513769123</v>
      </c>
      <c r="E17" s="18" t="s">
        <v>58</v>
      </c>
      <c r="F17" s="33">
        <v>0.21</v>
      </c>
      <c r="G17" s="39" t="s">
        <v>27</v>
      </c>
    </row>
    <row r="18" spans="2:7" ht="15.75" thickBot="1" x14ac:dyDescent="0.3">
      <c r="B18" s="5" t="s">
        <v>8</v>
      </c>
      <c r="C18" s="6">
        <f>C6-C16</f>
        <v>3579.5114862308769</v>
      </c>
    </row>
    <row r="19" spans="2:7" ht="15.75" thickBot="1" x14ac:dyDescent="0.3"/>
    <row r="20" spans="2:7" x14ac:dyDescent="0.25">
      <c r="B20" s="8" t="s">
        <v>13</v>
      </c>
      <c r="C20" s="9"/>
    </row>
    <row r="21" spans="2:7" x14ac:dyDescent="0.25">
      <c r="B21" s="3" t="s">
        <v>9</v>
      </c>
      <c r="C21" s="4">
        <f>C7*C$13*(2/252)^0.5</f>
        <v>95.955262482283004</v>
      </c>
    </row>
    <row r="22" spans="2:7" x14ac:dyDescent="0.25">
      <c r="B22" s="3" t="s">
        <v>7</v>
      </c>
      <c r="C22" s="4">
        <f>C7+C21</f>
        <v>3747.1252624822832</v>
      </c>
    </row>
    <row r="23" spans="2:7" ht="15.75" thickBot="1" x14ac:dyDescent="0.3">
      <c r="B23" s="5" t="s">
        <v>8</v>
      </c>
      <c r="C23" s="6">
        <f>C7-C21</f>
        <v>3555.2147375177169</v>
      </c>
    </row>
    <row r="24" spans="2:7" ht="15.75" thickBot="1" x14ac:dyDescent="0.3"/>
    <row r="25" spans="2:7" x14ac:dyDescent="0.25">
      <c r="B25" s="8" t="s">
        <v>14</v>
      </c>
      <c r="C25" s="9"/>
    </row>
    <row r="26" spans="2:7" x14ac:dyDescent="0.25">
      <c r="B26" s="3" t="s">
        <v>9</v>
      </c>
      <c r="C26" s="4">
        <f>C17*C$13*(5/252)^0.5</f>
        <v>154.37379308347943</v>
      </c>
    </row>
    <row r="27" spans="2:7" x14ac:dyDescent="0.25">
      <c r="B27" s="3" t="s">
        <v>7</v>
      </c>
      <c r="C27" s="4">
        <f>C8+C26</f>
        <v>3863.0737930834794</v>
      </c>
    </row>
    <row r="28" spans="2:7" ht="15.75" thickBot="1" x14ac:dyDescent="0.3">
      <c r="B28" s="5" t="s">
        <v>8</v>
      </c>
      <c r="C28" s="6">
        <f>C8-C26</f>
        <v>3554.3262069165203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dimension ref="B1:N27"/>
  <sheetViews>
    <sheetView zoomScaleNormal="100" workbookViewId="0">
      <selection activeCell="N7" sqref="N7"/>
    </sheetView>
  </sheetViews>
  <sheetFormatPr defaultRowHeight="15" x14ac:dyDescent="0.25"/>
  <cols>
    <col min="1" max="1" width="9.140625" style="17"/>
    <col min="2" max="2" width="16.28515625" style="17" bestFit="1" customWidth="1"/>
    <col min="3" max="3" width="11.28515625" style="17" customWidth="1"/>
    <col min="4" max="4" width="9.140625" style="17"/>
    <col min="5" max="5" width="23" style="17" bestFit="1" customWidth="1"/>
    <col min="6" max="6" width="6.85546875" style="67" customWidth="1"/>
    <col min="7" max="7" width="7" style="67" bestFit="1" customWidth="1"/>
    <col min="8" max="8" width="9.5703125" style="17" bestFit="1" customWidth="1"/>
    <col min="9" max="9" width="9.140625" style="17"/>
    <col min="10" max="10" width="26.28515625" style="17" bestFit="1" customWidth="1"/>
    <col min="11" max="12" width="10.85546875" style="17" customWidth="1"/>
    <col min="13" max="16384" width="9.140625" style="17"/>
  </cols>
  <sheetData>
    <row r="1" spans="2:14" x14ac:dyDescent="0.25">
      <c r="C1" s="74"/>
      <c r="F1" s="17"/>
      <c r="G1" s="17"/>
    </row>
    <row r="2" spans="2:14" x14ac:dyDescent="0.25">
      <c r="B2" s="22" t="s">
        <v>66</v>
      </c>
      <c r="C2" s="17">
        <v>2022</v>
      </c>
      <c r="F2" s="83" t="s">
        <v>83</v>
      </c>
      <c r="G2" s="83" t="s">
        <v>85</v>
      </c>
      <c r="H2" s="70" t="s">
        <v>84</v>
      </c>
      <c r="I2" s="22"/>
      <c r="J2" s="22"/>
      <c r="K2" s="69" t="s">
        <v>68</v>
      </c>
      <c r="L2" s="70" t="s">
        <v>6</v>
      </c>
      <c r="M2" s="22"/>
      <c r="N2" s="22"/>
    </row>
    <row r="3" spans="2:14" x14ac:dyDescent="0.25">
      <c r="B3" s="22" t="s">
        <v>67</v>
      </c>
      <c r="C3" s="74">
        <v>44824</v>
      </c>
      <c r="E3" s="22" t="s">
        <v>80</v>
      </c>
      <c r="F3" s="77">
        <f>COUNTA(Tracker!K:K)-1</f>
        <v>6</v>
      </c>
      <c r="G3" s="79" t="s">
        <v>27</v>
      </c>
      <c r="H3" s="71">
        <f>C7/F3</f>
        <v>144.49999999999991</v>
      </c>
      <c r="J3" s="22" t="s">
        <v>86</v>
      </c>
      <c r="K3" s="67">
        <f>2*1.25%</f>
        <v>2.5000000000000001E-2</v>
      </c>
      <c r="L3" s="71">
        <f>K3*C5</f>
        <v>592.0412500000001</v>
      </c>
      <c r="M3" s="76"/>
    </row>
    <row r="4" spans="2:14" x14ac:dyDescent="0.25">
      <c r="B4" s="22" t="s">
        <v>70</v>
      </c>
      <c r="C4" s="71">
        <v>23681.65</v>
      </c>
      <c r="E4" s="22" t="s">
        <v>81</v>
      </c>
      <c r="F4" s="77">
        <f>COUNTIF(Tracker!J:J, "&gt;0")</f>
        <v>4</v>
      </c>
      <c r="G4" s="80">
        <f>F4/F3</f>
        <v>0.66666666666666663</v>
      </c>
      <c r="H4" s="71">
        <f>(SUMIF(Tracker!H:H, "&gt;0", Tracker!H:H)-SUMIF(Tracker!H2,"&gt;0", Tracker!H2))/F4*100</f>
        <v>852.99999999999989</v>
      </c>
      <c r="J4" s="22" t="s">
        <v>87</v>
      </c>
      <c r="K4" s="67">
        <f>-3.75%</f>
        <v>-3.7499999999999999E-2</v>
      </c>
      <c r="L4" s="71">
        <f>K4*C5</f>
        <v>-888.06187499999999</v>
      </c>
    </row>
    <row r="5" spans="2:14" x14ac:dyDescent="0.25">
      <c r="B5" s="22" t="s">
        <v>69</v>
      </c>
      <c r="C5" s="71">
        <v>23681.65</v>
      </c>
      <c r="E5" s="22" t="s">
        <v>82</v>
      </c>
      <c r="F5" s="77">
        <f>COUNTIF(Tracker!J:J, "&lt;0")</f>
        <v>2</v>
      </c>
      <c r="G5" s="80">
        <f>F5/F3</f>
        <v>0.33333333333333331</v>
      </c>
      <c r="H5" s="71">
        <f>IFERROR((SUMIF(Tracker!H:H, "&lt;0", Tracker!H:H)-SUMIF(Tracker!H2,"&lt;0", Tracker!H2))/F5*100, 0)</f>
        <v>-1272.5000000000002</v>
      </c>
      <c r="J5" s="22" t="s">
        <v>88</v>
      </c>
      <c r="K5" s="67">
        <f>+K3+K4</f>
        <v>-1.2499999999999997E-2</v>
      </c>
      <c r="L5" s="71">
        <f>+L3+L4</f>
        <v>-296.02062499999988</v>
      </c>
      <c r="M5" s="76"/>
    </row>
    <row r="6" spans="2:14" x14ac:dyDescent="0.25">
      <c r="B6" s="22"/>
      <c r="E6" s="22"/>
    </row>
    <row r="7" spans="2:14" x14ac:dyDescent="0.25">
      <c r="B7" s="22" t="s">
        <v>42</v>
      </c>
      <c r="C7" s="71">
        <f>INDEX(Tracker!K:K, COUNTA(Tracker!K:K)+17,1)</f>
        <v>866.99999999999955</v>
      </c>
      <c r="E7" s="22" t="s">
        <v>71</v>
      </c>
      <c r="F7" s="75">
        <f>C7/C4</f>
        <v>3.6610624681979488E-2</v>
      </c>
      <c r="G7" s="75"/>
      <c r="J7" s="22" t="s">
        <v>75</v>
      </c>
      <c r="K7" s="81">
        <v>20</v>
      </c>
      <c r="L7" s="81">
        <v>25</v>
      </c>
    </row>
    <row r="8" spans="2:14" x14ac:dyDescent="0.25">
      <c r="B8" s="22" t="s">
        <v>73</v>
      </c>
      <c r="C8" s="71">
        <f>INDEX(Tracker!L:L, COUNTA(Tracker!L:L)+17,1)</f>
        <v>7073</v>
      </c>
      <c r="E8" s="22" t="s">
        <v>76</v>
      </c>
      <c r="F8" s="75">
        <f>(1+F7)^(365/(Indicator!B2-Dashboard!C3+1))-1</f>
        <v>3.2983482258239629</v>
      </c>
      <c r="G8" s="75"/>
      <c r="J8" s="22" t="s">
        <v>79</v>
      </c>
      <c r="K8" s="81">
        <f>FLOOR(MROUND(C4/1000, 5)/20, 1)</f>
        <v>1</v>
      </c>
      <c r="L8" s="78">
        <f>FLOOR(MROUND(C4/1000, 5)/25, 1)</f>
        <v>1</v>
      </c>
    </row>
    <row r="9" spans="2:14" x14ac:dyDescent="0.25">
      <c r="B9" s="22" t="s">
        <v>72</v>
      </c>
      <c r="C9" s="75">
        <f>C7/C8</f>
        <v>0.12257882086808986</v>
      </c>
      <c r="E9" s="22" t="s">
        <v>77</v>
      </c>
      <c r="F9" s="75">
        <f>(1+F7)^((44927-C3)/(Indicator!B2-Dashboard!C3+1))-1</f>
        <v>0.50908084058328629</v>
      </c>
      <c r="G9" s="75"/>
      <c r="J9" s="22" t="s">
        <v>78</v>
      </c>
      <c r="K9" s="82">
        <f>K7*K8*100*2</f>
        <v>4000</v>
      </c>
      <c r="L9" s="82">
        <f>L7*L8*100*2</f>
        <v>5000</v>
      </c>
    </row>
    <row r="24" spans="11:12" x14ac:dyDescent="0.25">
      <c r="K24" s="68"/>
      <c r="L24" s="68"/>
    </row>
    <row r="25" spans="11:12" x14ac:dyDescent="0.25">
      <c r="K25" s="68"/>
      <c r="L25" s="68"/>
    </row>
    <row r="26" spans="11:12" x14ac:dyDescent="0.25">
      <c r="K26" s="68"/>
      <c r="L26" s="68"/>
    </row>
    <row r="27" spans="11:12" x14ac:dyDescent="0.25">
      <c r="K27" s="68"/>
      <c r="L27" s="6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dimension ref="A1:M25"/>
  <sheetViews>
    <sheetView topLeftCell="A6" workbookViewId="0">
      <selection activeCell="K26" sqref="K26"/>
    </sheetView>
  </sheetViews>
  <sheetFormatPr defaultRowHeight="15" x14ac:dyDescent="0.25"/>
  <cols>
    <col min="1" max="1" width="9.7109375" style="58" bestFit="1" customWidth="1"/>
    <col min="2" max="5" width="9.140625" style="42"/>
    <col min="6" max="6" width="9.140625" style="41"/>
    <col min="7" max="7" width="10.42578125" style="41" bestFit="1" customWidth="1"/>
    <col min="8" max="8" width="9.140625" style="17"/>
    <col min="9" max="9" width="9.140625" style="61"/>
    <col min="10" max="10" width="10" style="17" bestFit="1" customWidth="1"/>
    <col min="11" max="11" width="12.140625" style="65" bestFit="1" customWidth="1"/>
    <col min="12" max="12" width="11.85546875" bestFit="1" customWidth="1"/>
    <col min="13" max="13" width="55.140625" style="17" bestFit="1" customWidth="1"/>
    <col min="14" max="16384" width="9.140625" style="17"/>
  </cols>
  <sheetData>
    <row r="1" spans="1:13" customFormat="1" x14ac:dyDescent="0.25">
      <c r="A1" s="53" t="s">
        <v>43</v>
      </c>
      <c r="B1" s="54"/>
      <c r="C1" s="54"/>
      <c r="D1" s="54"/>
      <c r="E1" s="54"/>
      <c r="F1" s="55"/>
      <c r="G1" s="55"/>
      <c r="H1" s="56"/>
      <c r="I1" s="57"/>
      <c r="K1" s="65"/>
    </row>
    <row r="2" spans="1:13" customFormat="1" x14ac:dyDescent="0.25">
      <c r="A2" s="58">
        <f>Indicator!B2</f>
        <v>44832</v>
      </c>
      <c r="B2" s="43">
        <f>Indicator!$C$9</f>
        <v>3651.94</v>
      </c>
      <c r="C2" s="43">
        <f>Indicator!$C$10</f>
        <v>0</v>
      </c>
      <c r="D2" s="43">
        <f>Indicator!$C$11</f>
        <v>0</v>
      </c>
      <c r="E2" s="43">
        <f>Indicator!$C$12</f>
        <v>0</v>
      </c>
      <c r="F2" s="44">
        <f>Indicator!$C$13</f>
        <v>0.29499999999999998</v>
      </c>
      <c r="G2" s="44">
        <f>Indicator!$F$8</f>
        <v>0.46540855364199385</v>
      </c>
      <c r="H2" s="59">
        <f>SUMIF(Trades!A:A,Tracker!A2,Trades!H:H)</f>
        <v>17.68</v>
      </c>
      <c r="I2" s="60">
        <f>SUMIFS(Trades!H:H,  Trades!A:A,Tracker!A2,  Trades!C:C, "STO")</f>
        <v>17.68</v>
      </c>
      <c r="J2" s="21"/>
      <c r="K2" s="65"/>
    </row>
    <row r="3" spans="1:13" customFormat="1" x14ac:dyDescent="0.25">
      <c r="A3" s="58"/>
      <c r="B3" s="42"/>
      <c r="C3" s="42"/>
      <c r="D3" s="42"/>
      <c r="E3" s="42"/>
      <c r="F3" s="41"/>
      <c r="G3" s="41"/>
      <c r="H3" s="50"/>
      <c r="I3" s="61"/>
      <c r="K3" s="65"/>
    </row>
    <row r="4" spans="1:13" x14ac:dyDescent="0.25">
      <c r="A4" s="62" t="s">
        <v>30</v>
      </c>
      <c r="B4" s="45" t="s">
        <v>29</v>
      </c>
      <c r="C4" s="45" t="s">
        <v>37</v>
      </c>
      <c r="D4" s="45" t="s">
        <v>38</v>
      </c>
      <c r="E4" s="45" t="s">
        <v>39</v>
      </c>
      <c r="F4" s="46" t="s">
        <v>40</v>
      </c>
      <c r="G4" s="46" t="s">
        <v>41</v>
      </c>
      <c r="H4" s="47" t="s">
        <v>42</v>
      </c>
      <c r="I4" s="63" t="s">
        <v>63</v>
      </c>
      <c r="J4" s="47" t="s">
        <v>47</v>
      </c>
      <c r="K4" s="66" t="s">
        <v>64</v>
      </c>
      <c r="L4" s="47" t="s">
        <v>74</v>
      </c>
      <c r="M4" s="73" t="s">
        <v>48</v>
      </c>
    </row>
    <row r="5" spans="1:13" x14ac:dyDescent="0.25">
      <c r="A5" s="58">
        <v>44803</v>
      </c>
      <c r="B5" s="42">
        <v>4041.25</v>
      </c>
      <c r="C5" s="42">
        <v>3986.16</v>
      </c>
    </row>
    <row r="6" spans="1:13" x14ac:dyDescent="0.25">
      <c r="A6" s="58">
        <v>44804</v>
      </c>
      <c r="B6" s="42">
        <v>4000.67</v>
      </c>
      <c r="C6" s="42">
        <v>3955</v>
      </c>
    </row>
    <row r="7" spans="1:13" x14ac:dyDescent="0.25">
      <c r="A7" s="58">
        <v>44805</v>
      </c>
      <c r="B7" s="42">
        <v>3936.73</v>
      </c>
      <c r="C7" s="42">
        <v>3966.85</v>
      </c>
    </row>
    <row r="8" spans="1:13" x14ac:dyDescent="0.25">
      <c r="A8" s="58">
        <v>44806</v>
      </c>
      <c r="B8" s="42">
        <v>3994.66</v>
      </c>
      <c r="C8" s="42">
        <v>3924.26</v>
      </c>
    </row>
    <row r="9" spans="1:13" x14ac:dyDescent="0.25">
      <c r="A9" s="58">
        <v>44810</v>
      </c>
      <c r="B9" s="42">
        <v>3930.89</v>
      </c>
      <c r="C9" s="42">
        <v>3908.19</v>
      </c>
    </row>
    <row r="10" spans="1:13" x14ac:dyDescent="0.25">
      <c r="A10" s="58">
        <v>44811</v>
      </c>
      <c r="B10" s="42">
        <v>3909.43</v>
      </c>
      <c r="C10" s="42">
        <v>3979.87</v>
      </c>
    </row>
    <row r="11" spans="1:13" x14ac:dyDescent="0.25">
      <c r="A11" s="58">
        <v>44812</v>
      </c>
      <c r="B11" s="42">
        <v>3959.94</v>
      </c>
      <c r="C11" s="42">
        <v>4006.18</v>
      </c>
    </row>
    <row r="12" spans="1:13" x14ac:dyDescent="0.25">
      <c r="A12" s="58">
        <v>44813</v>
      </c>
      <c r="B12" s="42">
        <v>4022.94</v>
      </c>
      <c r="C12" s="42">
        <v>4067.36</v>
      </c>
    </row>
    <row r="13" spans="1:13" x14ac:dyDescent="0.25">
      <c r="A13" s="58">
        <v>44816</v>
      </c>
      <c r="B13" s="42">
        <v>4083.67</v>
      </c>
      <c r="C13" s="42">
        <v>4110.41</v>
      </c>
    </row>
    <row r="14" spans="1:13" x14ac:dyDescent="0.25">
      <c r="A14" s="58">
        <v>44817</v>
      </c>
      <c r="B14" s="42">
        <v>4037.12</v>
      </c>
      <c r="C14" s="42">
        <v>3932.69</v>
      </c>
    </row>
    <row r="15" spans="1:13" x14ac:dyDescent="0.25">
      <c r="A15" s="58">
        <v>44818</v>
      </c>
      <c r="B15" s="42">
        <v>3940.73</v>
      </c>
      <c r="C15" s="42">
        <v>3946.01</v>
      </c>
    </row>
    <row r="16" spans="1:13" x14ac:dyDescent="0.25">
      <c r="A16" s="58">
        <v>44819</v>
      </c>
      <c r="B16" s="42">
        <v>3932.41</v>
      </c>
      <c r="C16" s="42">
        <v>3901.35</v>
      </c>
    </row>
    <row r="17" spans="1:13" x14ac:dyDescent="0.25">
      <c r="A17" s="58">
        <v>44820</v>
      </c>
      <c r="B17" s="42">
        <v>3880.95</v>
      </c>
      <c r="C17" s="42">
        <v>3873.33</v>
      </c>
    </row>
    <row r="18" spans="1:13" x14ac:dyDescent="0.25">
      <c r="A18" s="58">
        <v>44823</v>
      </c>
      <c r="B18" s="42">
        <v>3849.91</v>
      </c>
      <c r="C18" s="42">
        <v>3899.89</v>
      </c>
    </row>
    <row r="19" spans="1:13" x14ac:dyDescent="0.25">
      <c r="A19" s="58">
        <v>44824</v>
      </c>
      <c r="B19" s="42">
        <v>3876.23</v>
      </c>
      <c r="C19" s="42">
        <v>3856.04</v>
      </c>
      <c r="D19" s="42">
        <v>3877.96</v>
      </c>
      <c r="E19" s="42">
        <v>3895.32</v>
      </c>
      <c r="F19" s="41">
        <v>0.24099999999999999</v>
      </c>
      <c r="G19" s="41">
        <v>0.25700000000000001</v>
      </c>
      <c r="H19" s="17">
        <v>7.2899999999999991</v>
      </c>
      <c r="I19" s="61">
        <v>7.2899999999999991</v>
      </c>
      <c r="J19" s="21">
        <f t="shared" ref="J19:J24" si="0">H19/I19</f>
        <v>1</v>
      </c>
      <c r="K19" s="65">
        <f>H19*100</f>
        <v>728.99999999999989</v>
      </c>
      <c r="L19">
        <f>I19*100</f>
        <v>728.99999999999989</v>
      </c>
    </row>
    <row r="20" spans="1:13" x14ac:dyDescent="0.25">
      <c r="A20" s="58">
        <v>44825</v>
      </c>
      <c r="B20" s="42">
        <v>3871.4</v>
      </c>
      <c r="C20" s="42">
        <v>3789.93</v>
      </c>
      <c r="D20" s="42">
        <v>3822.93</v>
      </c>
      <c r="E20" s="42">
        <v>3864.09</v>
      </c>
      <c r="F20" s="41">
        <v>0.249</v>
      </c>
      <c r="G20" s="41">
        <v>0.51517990352733356</v>
      </c>
      <c r="H20" s="17">
        <v>3.84</v>
      </c>
      <c r="I20" s="61">
        <v>5.17</v>
      </c>
      <c r="J20" s="21">
        <f t="shared" si="0"/>
        <v>0.74274661508704065</v>
      </c>
      <c r="K20" s="65">
        <f>K19+H20*100</f>
        <v>1113</v>
      </c>
      <c r="L20">
        <f>I20*100+L19</f>
        <v>1246</v>
      </c>
      <c r="M20" s="17" t="s">
        <v>49</v>
      </c>
    </row>
    <row r="21" spans="1:13" x14ac:dyDescent="0.25">
      <c r="A21" s="58">
        <v>44826</v>
      </c>
      <c r="B21" s="42">
        <v>3782.36</v>
      </c>
      <c r="C21" s="42">
        <v>3757.99</v>
      </c>
      <c r="D21" s="42">
        <v>3773.96</v>
      </c>
      <c r="E21" s="42">
        <v>3835.41</v>
      </c>
      <c r="F21" s="41">
        <v>0.25900000000000001</v>
      </c>
      <c r="G21" s="41">
        <v>0.32110807324379981</v>
      </c>
      <c r="H21" s="17">
        <v>9.7100000000000009</v>
      </c>
      <c r="I21" s="61">
        <v>9.7100000000000009</v>
      </c>
      <c r="J21" s="21">
        <f t="shared" si="0"/>
        <v>1</v>
      </c>
      <c r="K21" s="65">
        <f>K20+H21*100</f>
        <v>2084</v>
      </c>
      <c r="L21">
        <f>I21*100+L20</f>
        <v>2217</v>
      </c>
    </row>
    <row r="22" spans="1:13" x14ac:dyDescent="0.25">
      <c r="A22" s="58">
        <v>44827</v>
      </c>
      <c r="B22" s="42">
        <v>3727.14</v>
      </c>
      <c r="C22" s="42">
        <v>3693.49</v>
      </c>
      <c r="D22" s="42">
        <v>3725.74</v>
      </c>
      <c r="E22" s="42">
        <v>3799.45</v>
      </c>
      <c r="F22" s="41">
        <v>0.26400000000000001</v>
      </c>
      <c r="G22" s="41">
        <v>0.22597893531506713</v>
      </c>
      <c r="H22" s="17">
        <v>-19.870000000000005</v>
      </c>
      <c r="I22" s="61">
        <v>12.66</v>
      </c>
      <c r="J22" s="21">
        <f t="shared" si="0"/>
        <v>-1.5695102685624016</v>
      </c>
      <c r="K22" s="65">
        <f>K21+H22*100</f>
        <v>96.999999999999545</v>
      </c>
      <c r="L22">
        <f>I22*100+L21</f>
        <v>3483</v>
      </c>
      <c r="M22" s="17" t="s">
        <v>118</v>
      </c>
    </row>
    <row r="23" spans="1:13" x14ac:dyDescent="0.25">
      <c r="A23" s="58">
        <v>44830</v>
      </c>
      <c r="B23" s="42">
        <v>3682.72</v>
      </c>
      <c r="C23" s="42">
        <v>3655.52</v>
      </c>
      <c r="D23" s="42">
        <v>3674.37</v>
      </c>
      <c r="E23" s="42">
        <v>3750.52</v>
      </c>
      <c r="F23" s="41">
        <v>0.27800000000000002</v>
      </c>
      <c r="G23" s="41">
        <v>0.28269041759555957</v>
      </c>
      <c r="H23" s="17">
        <v>13.28</v>
      </c>
      <c r="I23" s="61">
        <v>13.28</v>
      </c>
      <c r="J23" s="21">
        <f t="shared" si="0"/>
        <v>1</v>
      </c>
      <c r="K23" s="65">
        <f>K22+H23*100</f>
        <v>1424.9999999999995</v>
      </c>
      <c r="L23">
        <f>I23*100+L22</f>
        <v>4811</v>
      </c>
    </row>
    <row r="24" spans="1:13" x14ac:dyDescent="0.25">
      <c r="A24" s="58">
        <v>44831</v>
      </c>
      <c r="B24" s="42">
        <v>3686.44</v>
      </c>
      <c r="C24" s="42">
        <v>3647.29</v>
      </c>
      <c r="D24" s="42">
        <v>3651.17</v>
      </c>
      <c r="E24" s="42">
        <v>3708.7</v>
      </c>
      <c r="F24" s="41">
        <v>0.27400000000000002</v>
      </c>
      <c r="G24" s="41">
        <v>0.55993917982521535</v>
      </c>
      <c r="H24" s="17">
        <v>-5.58</v>
      </c>
      <c r="I24" s="61">
        <v>22.619999999999997</v>
      </c>
      <c r="J24" s="21">
        <f t="shared" si="0"/>
        <v>-0.24668435013262602</v>
      </c>
      <c r="K24" s="65">
        <f>K23+H24*100</f>
        <v>866.99999999999955</v>
      </c>
      <c r="L24">
        <f>I24*100+L23</f>
        <v>7073</v>
      </c>
      <c r="M24" s="17" t="s">
        <v>129</v>
      </c>
    </row>
    <row r="25" spans="1:13" x14ac:dyDescent="0.25">
      <c r="M25" s="68" t="s">
        <v>130</v>
      </c>
    </row>
  </sheetData>
  <sortState xmlns:xlrd2="http://schemas.microsoft.com/office/spreadsheetml/2017/richdata2" ref="A5:C18">
    <sortCondition ref="A5:A18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dimension ref="A1:L23"/>
  <sheetViews>
    <sheetView workbookViewId="0">
      <selection activeCell="J23" sqref="J23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1.5703125" style="17" bestFit="1" customWidth="1"/>
    <col min="5" max="5" width="6.28515625" style="101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2" bestFit="1" customWidth="1"/>
    <col min="11" max="11" width="12.5703125" style="52" bestFit="1" customWidth="1"/>
    <col min="12" max="12" width="16.28515625" style="72" bestFit="1" customWidth="1"/>
  </cols>
  <sheetData>
    <row r="1" spans="1:12" s="91" customFormat="1" x14ac:dyDescent="0.25">
      <c r="A1" s="84" t="s">
        <v>30</v>
      </c>
      <c r="B1" s="85" t="s">
        <v>33</v>
      </c>
      <c r="C1" s="34" t="s">
        <v>31</v>
      </c>
      <c r="D1" s="86" t="s">
        <v>32</v>
      </c>
      <c r="E1" s="100" t="s">
        <v>34</v>
      </c>
      <c r="F1" s="34" t="s">
        <v>35</v>
      </c>
      <c r="G1" s="87" t="s">
        <v>36</v>
      </c>
      <c r="H1" s="88" t="s">
        <v>42</v>
      </c>
      <c r="I1" s="89" t="s">
        <v>52</v>
      </c>
      <c r="J1" s="90" t="s">
        <v>51</v>
      </c>
      <c r="K1" s="89" t="s">
        <v>55</v>
      </c>
      <c r="L1" s="90" t="s">
        <v>56</v>
      </c>
    </row>
    <row r="2" spans="1:12" x14ac:dyDescent="0.25">
      <c r="A2" s="48">
        <v>44824</v>
      </c>
      <c r="B2" s="49">
        <v>949</v>
      </c>
      <c r="C2" s="31" t="s">
        <v>44</v>
      </c>
      <c r="D2" s="17" t="s">
        <v>45</v>
      </c>
      <c r="E2" s="101">
        <v>-0.15</v>
      </c>
      <c r="F2" s="31">
        <v>1</v>
      </c>
      <c r="G2" s="50">
        <v>4.2699999999999996</v>
      </c>
      <c r="H2" s="51">
        <f t="shared" ref="H2:H9" si="0">G2*F2</f>
        <v>4.2699999999999996</v>
      </c>
      <c r="I2" s="52">
        <v>3</v>
      </c>
      <c r="J2" s="72">
        <f t="shared" ref="J2:J4" si="1">-I2*G2</f>
        <v>-12.809999999999999</v>
      </c>
    </row>
    <row r="3" spans="1:12" x14ac:dyDescent="0.25">
      <c r="A3" s="48">
        <v>44824</v>
      </c>
      <c r="B3" s="49">
        <v>950</v>
      </c>
      <c r="C3" s="31" t="s">
        <v>44</v>
      </c>
      <c r="D3" s="17" t="s">
        <v>46</v>
      </c>
      <c r="E3" s="101">
        <v>0.09</v>
      </c>
      <c r="F3" s="31">
        <v>1</v>
      </c>
      <c r="G3" s="50">
        <v>3.02</v>
      </c>
      <c r="H3" s="51">
        <f t="shared" si="0"/>
        <v>3.02</v>
      </c>
      <c r="I3" s="52">
        <v>3</v>
      </c>
      <c r="J3" s="72">
        <f t="shared" si="1"/>
        <v>-9.06</v>
      </c>
    </row>
    <row r="4" spans="1:12" x14ac:dyDescent="0.25">
      <c r="A4" s="48">
        <v>44825</v>
      </c>
      <c r="B4" s="49">
        <v>944</v>
      </c>
      <c r="C4" s="31" t="s">
        <v>44</v>
      </c>
      <c r="D4" s="17" t="s">
        <v>50</v>
      </c>
      <c r="E4" s="101">
        <v>-0.15</v>
      </c>
      <c r="F4" s="31">
        <v>1</v>
      </c>
      <c r="G4" s="50">
        <v>5.17</v>
      </c>
      <c r="H4" s="51">
        <f t="shared" si="0"/>
        <v>5.17</v>
      </c>
      <c r="I4" s="52">
        <v>2.5</v>
      </c>
      <c r="J4" s="72">
        <f t="shared" si="1"/>
        <v>-12.925000000000001</v>
      </c>
      <c r="K4" s="52">
        <v>0.75</v>
      </c>
      <c r="L4" s="72">
        <f>-G4+K4*G4</f>
        <v>-1.2925</v>
      </c>
    </row>
    <row r="5" spans="1:12" x14ac:dyDescent="0.25">
      <c r="A5" s="48">
        <v>44825</v>
      </c>
      <c r="B5" s="49">
        <v>243</v>
      </c>
      <c r="C5" s="31" t="s">
        <v>54</v>
      </c>
      <c r="D5" s="17" t="s">
        <v>53</v>
      </c>
      <c r="F5" s="31">
        <v>1</v>
      </c>
      <c r="G5" s="50">
        <v>-1.33</v>
      </c>
      <c r="H5" s="51">
        <f t="shared" si="0"/>
        <v>-1.33</v>
      </c>
    </row>
    <row r="6" spans="1:12" x14ac:dyDescent="0.25">
      <c r="A6" s="48">
        <v>44826</v>
      </c>
      <c r="B6" s="49">
        <v>937</v>
      </c>
      <c r="C6" s="31" t="s">
        <v>44</v>
      </c>
      <c r="D6" s="68" t="s">
        <v>90</v>
      </c>
      <c r="E6" s="101">
        <v>-0.16</v>
      </c>
      <c r="F6" s="31">
        <v>1</v>
      </c>
      <c r="G6" s="50">
        <v>4.97</v>
      </c>
      <c r="H6" s="51">
        <f t="shared" si="0"/>
        <v>4.97</v>
      </c>
      <c r="I6" s="52">
        <v>3</v>
      </c>
      <c r="J6" s="72">
        <f t="shared" ref="J6:J9" si="2">-I6*G6</f>
        <v>-14.91</v>
      </c>
    </row>
    <row r="7" spans="1:12" x14ac:dyDescent="0.25">
      <c r="A7" s="48">
        <v>44826</v>
      </c>
      <c r="B7" s="49">
        <v>946</v>
      </c>
      <c r="C7" s="31" t="s">
        <v>44</v>
      </c>
      <c r="D7" s="68" t="s">
        <v>89</v>
      </c>
      <c r="E7" s="101">
        <v>0.13</v>
      </c>
      <c r="F7" s="31">
        <v>2</v>
      </c>
      <c r="G7" s="50">
        <v>2.37</v>
      </c>
      <c r="H7" s="51">
        <f t="shared" si="0"/>
        <v>4.74</v>
      </c>
      <c r="I7" s="52">
        <v>3</v>
      </c>
      <c r="J7" s="72">
        <f t="shared" si="2"/>
        <v>-7.11</v>
      </c>
    </row>
    <row r="8" spans="1:12" x14ac:dyDescent="0.25">
      <c r="A8" s="48">
        <v>44827</v>
      </c>
      <c r="B8" s="49">
        <v>936</v>
      </c>
      <c r="C8" s="31" t="s">
        <v>44</v>
      </c>
      <c r="D8" s="68" t="s">
        <v>113</v>
      </c>
      <c r="E8" s="101">
        <v>-0.3</v>
      </c>
      <c r="F8" s="31">
        <v>1</v>
      </c>
      <c r="G8" s="50">
        <v>6.47</v>
      </c>
      <c r="H8" s="51">
        <f t="shared" si="0"/>
        <v>6.47</v>
      </c>
      <c r="I8" s="52">
        <v>3</v>
      </c>
      <c r="J8" s="72">
        <f t="shared" si="2"/>
        <v>-19.41</v>
      </c>
    </row>
    <row r="9" spans="1:12" x14ac:dyDescent="0.25">
      <c r="A9" s="48">
        <v>44827</v>
      </c>
      <c r="B9" s="49">
        <v>949</v>
      </c>
      <c r="C9" s="31" t="s">
        <v>44</v>
      </c>
      <c r="D9" s="68" t="s">
        <v>114</v>
      </c>
      <c r="E9" s="101">
        <v>-0.19</v>
      </c>
      <c r="F9" s="31">
        <v>1</v>
      </c>
      <c r="G9" s="50">
        <v>3.97</v>
      </c>
      <c r="H9" s="51">
        <f t="shared" si="0"/>
        <v>3.97</v>
      </c>
      <c r="I9" s="52">
        <v>3</v>
      </c>
      <c r="J9" s="72">
        <f t="shared" si="2"/>
        <v>-11.91</v>
      </c>
    </row>
    <row r="10" spans="1:12" x14ac:dyDescent="0.25">
      <c r="A10" s="48">
        <v>44827</v>
      </c>
      <c r="B10" s="49">
        <v>240</v>
      </c>
      <c r="C10" s="31" t="s">
        <v>115</v>
      </c>
      <c r="D10" s="68" t="s">
        <v>116</v>
      </c>
      <c r="F10" s="31">
        <v>1</v>
      </c>
      <c r="G10" s="50">
        <v>-12.43</v>
      </c>
      <c r="H10" s="51">
        <f t="shared" ref="H10:H18" si="3">G10*F10</f>
        <v>-12.43</v>
      </c>
    </row>
    <row r="11" spans="1:12" x14ac:dyDescent="0.25">
      <c r="A11" s="48">
        <v>44827</v>
      </c>
      <c r="B11" s="49">
        <v>255</v>
      </c>
      <c r="C11" s="31" t="s">
        <v>115</v>
      </c>
      <c r="D11" s="68" t="s">
        <v>113</v>
      </c>
      <c r="F11" s="31">
        <v>1</v>
      </c>
      <c r="G11" s="50">
        <v>-20.100000000000001</v>
      </c>
      <c r="H11" s="51">
        <f t="shared" si="3"/>
        <v>-20.100000000000001</v>
      </c>
    </row>
    <row r="12" spans="1:12" x14ac:dyDescent="0.25">
      <c r="A12" s="48">
        <v>44827</v>
      </c>
      <c r="B12" s="49">
        <v>311</v>
      </c>
      <c r="C12" s="31" t="s">
        <v>44</v>
      </c>
      <c r="D12" s="68" t="s">
        <v>117</v>
      </c>
      <c r="E12" s="101">
        <v>-0.19</v>
      </c>
      <c r="F12" s="31">
        <v>1</v>
      </c>
      <c r="G12" s="50">
        <v>2.2200000000000002</v>
      </c>
      <c r="H12" s="51">
        <f t="shared" si="3"/>
        <v>2.2200000000000002</v>
      </c>
      <c r="I12" s="52">
        <v>3</v>
      </c>
      <c r="J12" s="72">
        <f>-I12*G12</f>
        <v>-6.66</v>
      </c>
    </row>
    <row r="13" spans="1:12" x14ac:dyDescent="0.25">
      <c r="A13" s="48">
        <v>44830</v>
      </c>
      <c r="B13" s="49">
        <v>942</v>
      </c>
      <c r="C13" s="31" t="s">
        <v>44</v>
      </c>
      <c r="D13" s="68" t="s">
        <v>122</v>
      </c>
      <c r="E13" s="101">
        <v>-0.15</v>
      </c>
      <c r="F13" s="31">
        <v>2</v>
      </c>
      <c r="G13" s="50">
        <v>4.2699999999999996</v>
      </c>
      <c r="H13" s="51">
        <f t="shared" si="3"/>
        <v>8.5399999999999991</v>
      </c>
      <c r="I13" s="52">
        <v>3</v>
      </c>
      <c r="J13" s="72">
        <f>-I13*G13</f>
        <v>-12.809999999999999</v>
      </c>
    </row>
    <row r="14" spans="1:12" x14ac:dyDescent="0.25">
      <c r="A14" s="48">
        <v>44830</v>
      </c>
      <c r="B14" s="49">
        <v>942</v>
      </c>
      <c r="C14" s="31" t="s">
        <v>44</v>
      </c>
      <c r="D14" s="68" t="s">
        <v>119</v>
      </c>
      <c r="E14" s="101">
        <v>0.15</v>
      </c>
      <c r="F14" s="31">
        <v>1</v>
      </c>
      <c r="G14" s="50">
        <v>3.27</v>
      </c>
      <c r="H14" s="51">
        <f t="shared" si="3"/>
        <v>3.27</v>
      </c>
      <c r="I14" s="52">
        <v>3</v>
      </c>
      <c r="J14" s="72">
        <f t="shared" ref="J14:J15" si="4">-I14*G14</f>
        <v>-9.81</v>
      </c>
    </row>
    <row r="15" spans="1:12" x14ac:dyDescent="0.25">
      <c r="A15" s="48">
        <v>44830</v>
      </c>
      <c r="B15" s="49">
        <v>1015</v>
      </c>
      <c r="C15" s="31" t="s">
        <v>44</v>
      </c>
      <c r="D15" s="68" t="s">
        <v>121</v>
      </c>
      <c r="E15" s="101">
        <v>0.11</v>
      </c>
      <c r="F15" s="31">
        <v>1</v>
      </c>
      <c r="G15" s="50">
        <v>1.47</v>
      </c>
      <c r="H15" s="51">
        <f t="shared" si="3"/>
        <v>1.47</v>
      </c>
      <c r="I15" s="52">
        <v>3</v>
      </c>
      <c r="J15" s="72">
        <f t="shared" si="4"/>
        <v>-4.41</v>
      </c>
    </row>
    <row r="16" spans="1:12" x14ac:dyDescent="0.25">
      <c r="A16" s="48">
        <v>44831</v>
      </c>
      <c r="B16" s="49">
        <v>950</v>
      </c>
      <c r="C16" s="31" t="s">
        <v>44</v>
      </c>
      <c r="D16" s="102" t="s">
        <v>124</v>
      </c>
      <c r="E16" s="101">
        <v>-0.16</v>
      </c>
      <c r="F16" s="31">
        <v>2</v>
      </c>
      <c r="G16" s="50">
        <v>3.37</v>
      </c>
      <c r="H16" s="51">
        <f t="shared" si="3"/>
        <v>6.74</v>
      </c>
      <c r="I16" s="52">
        <v>3</v>
      </c>
      <c r="J16" s="72">
        <f t="shared" ref="J16:J18" si="5">-I16*G16</f>
        <v>-10.11</v>
      </c>
    </row>
    <row r="17" spans="1:10" x14ac:dyDescent="0.25">
      <c r="A17" s="48">
        <v>44831</v>
      </c>
      <c r="B17" s="49">
        <v>940</v>
      </c>
      <c r="C17" s="31" t="s">
        <v>44</v>
      </c>
      <c r="D17" s="102" t="s">
        <v>125</v>
      </c>
      <c r="E17" s="101">
        <v>0.17</v>
      </c>
      <c r="F17" s="31">
        <v>1</v>
      </c>
      <c r="G17" s="50">
        <v>3.87</v>
      </c>
      <c r="H17" s="51">
        <f t="shared" si="3"/>
        <v>3.87</v>
      </c>
      <c r="I17" s="52">
        <v>3</v>
      </c>
      <c r="J17" s="72">
        <f t="shared" si="5"/>
        <v>-11.61</v>
      </c>
    </row>
    <row r="18" spans="1:10" x14ac:dyDescent="0.25">
      <c r="A18" s="48">
        <v>44831</v>
      </c>
      <c r="B18" s="49">
        <v>1006</v>
      </c>
      <c r="C18" s="31" t="s">
        <v>44</v>
      </c>
      <c r="D18" s="102" t="s">
        <v>126</v>
      </c>
      <c r="E18" s="101">
        <v>0.14000000000000001</v>
      </c>
      <c r="F18" s="31">
        <v>1</v>
      </c>
      <c r="G18" s="50">
        <v>2.97</v>
      </c>
      <c r="H18" s="51">
        <f t="shared" si="3"/>
        <v>2.97</v>
      </c>
      <c r="I18" s="52">
        <v>3</v>
      </c>
      <c r="J18" s="72">
        <f t="shared" si="5"/>
        <v>-8.91</v>
      </c>
    </row>
    <row r="19" spans="1:10" x14ac:dyDescent="0.25">
      <c r="A19" s="48">
        <v>44831</v>
      </c>
      <c r="B19" s="49">
        <v>1218</v>
      </c>
      <c r="C19" s="31" t="s">
        <v>115</v>
      </c>
      <c r="D19" s="102" t="s">
        <v>127</v>
      </c>
      <c r="F19" s="31">
        <v>2</v>
      </c>
      <c r="G19" s="50">
        <v>-14.1</v>
      </c>
      <c r="H19" s="51">
        <f t="shared" ref="H19:H23" si="6">G19*F19</f>
        <v>-28.2</v>
      </c>
    </row>
    <row r="20" spans="1:10" x14ac:dyDescent="0.25">
      <c r="A20" s="48">
        <v>44831</v>
      </c>
      <c r="B20" s="49">
        <v>1224</v>
      </c>
      <c r="C20" s="31" t="s">
        <v>44</v>
      </c>
      <c r="D20" s="103" t="s">
        <v>128</v>
      </c>
      <c r="E20" s="101">
        <v>0.15</v>
      </c>
      <c r="F20" s="31">
        <v>2</v>
      </c>
      <c r="G20" s="50">
        <v>4.5199999999999996</v>
      </c>
      <c r="H20" s="51">
        <f t="shared" si="6"/>
        <v>9.0399999999999991</v>
      </c>
      <c r="I20" s="52">
        <v>3</v>
      </c>
      <c r="J20" s="72">
        <f t="shared" ref="J20" si="7">-I20*G20</f>
        <v>-13.559999999999999</v>
      </c>
    </row>
    <row r="21" spans="1:10" x14ac:dyDescent="0.25">
      <c r="A21" s="48">
        <v>44832</v>
      </c>
      <c r="B21" s="49">
        <v>934</v>
      </c>
      <c r="C21" s="31" t="s">
        <v>44</v>
      </c>
      <c r="D21" s="103" t="s">
        <v>131</v>
      </c>
      <c r="E21" s="101">
        <v>0.15</v>
      </c>
      <c r="F21" s="31">
        <v>2</v>
      </c>
      <c r="G21" s="50">
        <v>4.2699999999999996</v>
      </c>
      <c r="H21" s="51">
        <f t="shared" si="6"/>
        <v>8.5399999999999991</v>
      </c>
      <c r="I21" s="52">
        <v>3</v>
      </c>
      <c r="J21" s="72">
        <f t="shared" ref="J21:J23" si="8">-I21*G21</f>
        <v>-12.809999999999999</v>
      </c>
    </row>
    <row r="22" spans="1:10" x14ac:dyDescent="0.25">
      <c r="A22" s="48">
        <v>44832</v>
      </c>
      <c r="B22" s="49">
        <v>938</v>
      </c>
      <c r="C22" s="31" t="s">
        <v>44</v>
      </c>
      <c r="D22" s="103" t="s">
        <v>132</v>
      </c>
      <c r="E22" s="101">
        <v>-0.15</v>
      </c>
      <c r="F22" s="31">
        <v>1</v>
      </c>
      <c r="G22" s="50">
        <v>5.27</v>
      </c>
      <c r="H22" s="51">
        <f t="shared" si="6"/>
        <v>5.27</v>
      </c>
      <c r="I22" s="52">
        <v>3</v>
      </c>
      <c r="J22" s="72">
        <f t="shared" si="8"/>
        <v>-15.809999999999999</v>
      </c>
    </row>
    <row r="23" spans="1:10" x14ac:dyDescent="0.25">
      <c r="A23" s="48">
        <v>44832</v>
      </c>
      <c r="B23" s="49">
        <v>940</v>
      </c>
      <c r="C23" s="31" t="s">
        <v>44</v>
      </c>
      <c r="D23" s="103" t="s">
        <v>133</v>
      </c>
      <c r="E23" s="101">
        <v>-0.09</v>
      </c>
      <c r="F23" s="31">
        <v>1</v>
      </c>
      <c r="G23" s="50">
        <v>3.87</v>
      </c>
      <c r="H23" s="51">
        <f t="shared" si="6"/>
        <v>3.87</v>
      </c>
      <c r="I23" s="52">
        <v>3</v>
      </c>
      <c r="J23" s="72">
        <f t="shared" si="8"/>
        <v>-11.61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C4F-EB6D-4F7C-A4AB-32C246F0D899}">
  <dimension ref="A1:N8"/>
  <sheetViews>
    <sheetView workbookViewId="0">
      <selection activeCell="G22" sqref="G22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1.42578125" style="17" bestFit="1" customWidth="1"/>
    <col min="5" max="5" width="6.28515625" style="101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2" bestFit="1" customWidth="1"/>
    <col min="11" max="11" width="12.5703125" style="52" bestFit="1" customWidth="1"/>
    <col min="12" max="12" width="16.28515625" style="72" bestFit="1" customWidth="1"/>
  </cols>
  <sheetData>
    <row r="1" spans="1:14" s="91" customFormat="1" x14ac:dyDescent="0.25">
      <c r="A1" s="84" t="s">
        <v>30</v>
      </c>
      <c r="B1" s="85" t="s">
        <v>33</v>
      </c>
      <c r="C1" s="34" t="s">
        <v>31</v>
      </c>
      <c r="D1" s="86" t="s">
        <v>32</v>
      </c>
      <c r="E1" s="100" t="s">
        <v>34</v>
      </c>
      <c r="F1" s="34" t="s">
        <v>35</v>
      </c>
      <c r="G1" s="87" t="s">
        <v>36</v>
      </c>
      <c r="H1" s="88" t="s">
        <v>42</v>
      </c>
      <c r="I1" s="89" t="s">
        <v>52</v>
      </c>
      <c r="J1" s="90" t="s">
        <v>51</v>
      </c>
      <c r="K1" s="89" t="s">
        <v>55</v>
      </c>
      <c r="L1" s="90" t="s">
        <v>56</v>
      </c>
      <c r="N1" s="98" t="s">
        <v>42</v>
      </c>
    </row>
    <row r="2" spans="1:14" x14ac:dyDescent="0.25">
      <c r="A2" s="48">
        <v>44830</v>
      </c>
      <c r="B2" s="49">
        <v>942</v>
      </c>
      <c r="C2" s="31" t="s">
        <v>44</v>
      </c>
      <c r="D2" s="68" t="s">
        <v>120</v>
      </c>
      <c r="E2" s="101">
        <v>-0.15</v>
      </c>
      <c r="F2" s="31">
        <v>1</v>
      </c>
      <c r="G2" s="50">
        <v>4.2699999999999996</v>
      </c>
      <c r="H2" s="51">
        <f t="shared" ref="H2:H8" si="0">G2*F2</f>
        <v>4.2699999999999996</v>
      </c>
      <c r="I2" s="52">
        <v>3</v>
      </c>
      <c r="J2" s="72">
        <f t="shared" ref="J2:J3" si="1">-I2*H2</f>
        <v>-12.809999999999999</v>
      </c>
      <c r="N2" s="72">
        <f>SUM(H:H)</f>
        <v>13.44</v>
      </c>
    </row>
    <row r="3" spans="1:14" x14ac:dyDescent="0.25">
      <c r="A3" s="48">
        <v>44830</v>
      </c>
      <c r="B3" s="49">
        <v>942</v>
      </c>
      <c r="C3" s="31" t="s">
        <v>44</v>
      </c>
      <c r="D3" s="68" t="s">
        <v>119</v>
      </c>
      <c r="E3" s="101">
        <v>0.15</v>
      </c>
      <c r="F3" s="31">
        <v>1</v>
      </c>
      <c r="G3" s="50">
        <v>3.27</v>
      </c>
      <c r="H3" s="51">
        <f t="shared" si="0"/>
        <v>3.27</v>
      </c>
      <c r="I3" s="52">
        <v>3</v>
      </c>
      <c r="J3" s="72">
        <f t="shared" si="1"/>
        <v>-9.81</v>
      </c>
    </row>
    <row r="4" spans="1:14" x14ac:dyDescent="0.25">
      <c r="A4" s="48">
        <v>44831</v>
      </c>
      <c r="B4" s="49">
        <v>950</v>
      </c>
      <c r="C4" s="31" t="s">
        <v>44</v>
      </c>
      <c r="D4" s="102" t="s">
        <v>124</v>
      </c>
      <c r="E4" s="101">
        <v>-0.16</v>
      </c>
      <c r="F4" s="31">
        <v>1</v>
      </c>
      <c r="G4" s="50">
        <v>3.37</v>
      </c>
      <c r="H4" s="51">
        <f t="shared" si="0"/>
        <v>3.37</v>
      </c>
      <c r="I4" s="52">
        <v>3</v>
      </c>
      <c r="J4" s="72">
        <f t="shared" ref="J4:J5" si="2">-I4*G4</f>
        <v>-10.11</v>
      </c>
    </row>
    <row r="5" spans="1:14" x14ac:dyDescent="0.25">
      <c r="A5" s="48">
        <v>44831</v>
      </c>
      <c r="B5" s="49">
        <v>940</v>
      </c>
      <c r="C5" s="31" t="s">
        <v>44</v>
      </c>
      <c r="D5" s="102" t="s">
        <v>125</v>
      </c>
      <c r="E5" s="101">
        <v>0.17</v>
      </c>
      <c r="F5" s="31">
        <v>1</v>
      </c>
      <c r="G5" s="50">
        <v>3.42</v>
      </c>
      <c r="H5" s="51">
        <f t="shared" si="0"/>
        <v>3.42</v>
      </c>
      <c r="I5" s="52">
        <v>3</v>
      </c>
      <c r="J5" s="72">
        <f t="shared" si="2"/>
        <v>-10.26</v>
      </c>
    </row>
    <row r="6" spans="1:14" x14ac:dyDescent="0.25">
      <c r="A6" s="48">
        <v>44831</v>
      </c>
      <c r="B6" s="49">
        <v>1218</v>
      </c>
      <c r="C6" s="31" t="s">
        <v>115</v>
      </c>
      <c r="D6" s="102" t="s">
        <v>127</v>
      </c>
      <c r="F6" s="31">
        <v>1</v>
      </c>
      <c r="G6" s="50">
        <v>-10.43</v>
      </c>
      <c r="H6" s="51">
        <f t="shared" si="0"/>
        <v>-10.43</v>
      </c>
    </row>
    <row r="7" spans="1:14" x14ac:dyDescent="0.25">
      <c r="A7" s="48">
        <v>44832</v>
      </c>
      <c r="B7" s="49">
        <v>934</v>
      </c>
      <c r="C7" s="31" t="s">
        <v>44</v>
      </c>
      <c r="D7" s="103" t="s">
        <v>131</v>
      </c>
      <c r="E7" s="101">
        <v>0.15</v>
      </c>
      <c r="F7" s="31">
        <v>1</v>
      </c>
      <c r="G7" s="50">
        <v>4.2699999999999996</v>
      </c>
      <c r="H7" s="51">
        <f t="shared" si="0"/>
        <v>4.2699999999999996</v>
      </c>
      <c r="I7" s="52">
        <v>3</v>
      </c>
      <c r="J7" s="72">
        <f t="shared" ref="J7:J8" si="3">-I7*G7</f>
        <v>-12.809999999999999</v>
      </c>
    </row>
    <row r="8" spans="1:14" x14ac:dyDescent="0.25">
      <c r="A8" s="48">
        <v>44832</v>
      </c>
      <c r="B8" s="49">
        <v>938</v>
      </c>
      <c r="C8" s="31" t="s">
        <v>44</v>
      </c>
      <c r="D8" s="103" t="s">
        <v>132</v>
      </c>
      <c r="E8" s="101">
        <v>-0.15</v>
      </c>
      <c r="F8" s="31">
        <v>1</v>
      </c>
      <c r="G8" s="50">
        <v>5.27</v>
      </c>
      <c r="H8" s="51">
        <f t="shared" si="0"/>
        <v>5.27</v>
      </c>
      <c r="I8" s="52">
        <v>3</v>
      </c>
      <c r="J8" s="72">
        <f t="shared" si="3"/>
        <v>-15.809999999999999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4B5F-C3CE-4821-8081-9385439A4F7E}">
  <dimension ref="A1:N8"/>
  <sheetViews>
    <sheetView workbookViewId="0">
      <selection activeCell="D15" sqref="D15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1.42578125" style="17" bestFit="1" customWidth="1"/>
    <col min="5" max="5" width="6.28515625" style="101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2" bestFit="1" customWidth="1"/>
    <col min="11" max="11" width="12.5703125" style="52" bestFit="1" customWidth="1"/>
    <col min="12" max="12" width="16.28515625" style="72" bestFit="1" customWidth="1"/>
  </cols>
  <sheetData>
    <row r="1" spans="1:14" s="91" customFormat="1" x14ac:dyDescent="0.25">
      <c r="A1" s="84" t="s">
        <v>30</v>
      </c>
      <c r="B1" s="85" t="s">
        <v>33</v>
      </c>
      <c r="C1" s="34" t="s">
        <v>31</v>
      </c>
      <c r="D1" s="86" t="s">
        <v>32</v>
      </c>
      <c r="E1" s="100" t="s">
        <v>34</v>
      </c>
      <c r="F1" s="34" t="s">
        <v>35</v>
      </c>
      <c r="G1" s="87" t="s">
        <v>36</v>
      </c>
      <c r="H1" s="88" t="s">
        <v>42</v>
      </c>
      <c r="I1" s="89" t="s">
        <v>52</v>
      </c>
      <c r="J1" s="90" t="s">
        <v>51</v>
      </c>
      <c r="K1" s="89" t="s">
        <v>55</v>
      </c>
      <c r="L1" s="90" t="s">
        <v>56</v>
      </c>
      <c r="N1" s="98" t="s">
        <v>42</v>
      </c>
    </row>
    <row r="2" spans="1:14" x14ac:dyDescent="0.25">
      <c r="A2" s="48">
        <v>44830</v>
      </c>
      <c r="B2" s="49">
        <v>942</v>
      </c>
      <c r="C2" s="31" t="s">
        <v>44</v>
      </c>
      <c r="D2" s="68" t="s">
        <v>120</v>
      </c>
      <c r="E2" s="101">
        <v>-0.15</v>
      </c>
      <c r="F2" s="31">
        <v>1</v>
      </c>
      <c r="G2" s="50">
        <v>4.2699999999999996</v>
      </c>
      <c r="H2" s="51">
        <f t="shared" ref="H2:H8" si="0">G2*F2</f>
        <v>4.2699999999999996</v>
      </c>
      <c r="I2" s="52">
        <v>3</v>
      </c>
      <c r="J2" s="72">
        <f t="shared" ref="J2" si="1">-I2*H2</f>
        <v>-12.809999999999999</v>
      </c>
      <c r="N2" s="72">
        <f>SUM(H:H)</f>
        <v>10.239999999999998</v>
      </c>
    </row>
    <row r="3" spans="1:14" x14ac:dyDescent="0.25">
      <c r="A3" s="48">
        <v>44830</v>
      </c>
      <c r="B3" s="49">
        <v>1015</v>
      </c>
      <c r="C3" s="31" t="s">
        <v>44</v>
      </c>
      <c r="D3" s="68" t="s">
        <v>121</v>
      </c>
      <c r="E3" s="101">
        <v>0.11</v>
      </c>
      <c r="F3" s="31">
        <v>1</v>
      </c>
      <c r="G3" s="50">
        <v>1.47</v>
      </c>
      <c r="H3" s="51">
        <f t="shared" si="0"/>
        <v>1.47</v>
      </c>
      <c r="I3" s="52">
        <v>3</v>
      </c>
      <c r="J3" s="72">
        <f t="shared" ref="J3" si="2">-I3*H3</f>
        <v>-4.41</v>
      </c>
    </row>
    <row r="4" spans="1:14" x14ac:dyDescent="0.25">
      <c r="A4" s="48">
        <v>44831</v>
      </c>
      <c r="B4" s="49">
        <v>950</v>
      </c>
      <c r="C4" s="31" t="s">
        <v>44</v>
      </c>
      <c r="D4" s="102" t="s">
        <v>124</v>
      </c>
      <c r="E4" s="101">
        <v>-0.16</v>
      </c>
      <c r="F4" s="31">
        <v>1</v>
      </c>
      <c r="G4" s="50">
        <v>3.37</v>
      </c>
      <c r="H4" s="51">
        <f t="shared" si="0"/>
        <v>3.37</v>
      </c>
      <c r="I4" s="52">
        <v>3</v>
      </c>
      <c r="J4" s="72">
        <f t="shared" ref="J4:J5" si="3">-I4*G4</f>
        <v>-10.11</v>
      </c>
    </row>
    <row r="5" spans="1:14" x14ac:dyDescent="0.25">
      <c r="A5" s="48">
        <v>44831</v>
      </c>
      <c r="B5" s="49">
        <v>1006</v>
      </c>
      <c r="C5" s="31" t="s">
        <v>44</v>
      </c>
      <c r="D5" s="102" t="s">
        <v>126</v>
      </c>
      <c r="E5" s="101">
        <v>0.14000000000000001</v>
      </c>
      <c r="F5" s="31">
        <v>1</v>
      </c>
      <c r="G5" s="50">
        <v>3.42</v>
      </c>
      <c r="H5" s="51">
        <f t="shared" si="0"/>
        <v>3.42</v>
      </c>
      <c r="I5" s="52">
        <v>3</v>
      </c>
      <c r="J5" s="72">
        <f t="shared" si="3"/>
        <v>-10.26</v>
      </c>
    </row>
    <row r="6" spans="1:14" x14ac:dyDescent="0.25">
      <c r="A6" s="48">
        <v>44831</v>
      </c>
      <c r="B6" s="49">
        <v>1218</v>
      </c>
      <c r="C6" s="31" t="s">
        <v>115</v>
      </c>
      <c r="D6" s="102" t="s">
        <v>127</v>
      </c>
      <c r="F6" s="31">
        <v>1</v>
      </c>
      <c r="G6" s="50">
        <v>-10.43</v>
      </c>
      <c r="H6" s="51">
        <f t="shared" si="0"/>
        <v>-10.43</v>
      </c>
    </row>
    <row r="7" spans="1:14" x14ac:dyDescent="0.25">
      <c r="A7" s="48">
        <v>44832</v>
      </c>
      <c r="B7" s="49">
        <v>934</v>
      </c>
      <c r="C7" s="31" t="s">
        <v>44</v>
      </c>
      <c r="D7" s="103" t="s">
        <v>131</v>
      </c>
      <c r="E7" s="101">
        <v>0.15</v>
      </c>
      <c r="F7" s="31">
        <v>1</v>
      </c>
      <c r="G7" s="50">
        <v>4.2699999999999996</v>
      </c>
      <c r="H7" s="51">
        <f t="shared" si="0"/>
        <v>4.2699999999999996</v>
      </c>
      <c r="I7" s="52">
        <v>3</v>
      </c>
      <c r="J7" s="72">
        <f t="shared" ref="J7:J8" si="4">-I7*G7</f>
        <v>-12.809999999999999</v>
      </c>
    </row>
    <row r="8" spans="1:14" x14ac:dyDescent="0.25">
      <c r="A8" s="48">
        <v>44832</v>
      </c>
      <c r="B8" s="49">
        <v>940</v>
      </c>
      <c r="C8" s="31" t="s">
        <v>44</v>
      </c>
      <c r="D8" s="103" t="s">
        <v>133</v>
      </c>
      <c r="E8" s="101">
        <v>-0.09</v>
      </c>
      <c r="F8" s="31">
        <v>1</v>
      </c>
      <c r="G8" s="50">
        <v>3.87</v>
      </c>
      <c r="H8" s="51">
        <f t="shared" si="0"/>
        <v>3.87</v>
      </c>
      <c r="I8" s="52">
        <v>3</v>
      </c>
      <c r="J8" s="72">
        <f t="shared" si="4"/>
        <v>-11.61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F32E-FB9F-420E-8864-907EF6C913D5}">
  <dimension ref="B2:I23"/>
  <sheetViews>
    <sheetView workbookViewId="0">
      <selection activeCell="E8" sqref="E8"/>
    </sheetView>
  </sheetViews>
  <sheetFormatPr defaultRowHeight="15" x14ac:dyDescent="0.25"/>
  <cols>
    <col min="2" max="2" width="22" customWidth="1"/>
    <col min="3" max="8" width="15.28515625" customWidth="1"/>
  </cols>
  <sheetData>
    <row r="2" spans="2:9" x14ac:dyDescent="0.25">
      <c r="B2" t="s">
        <v>91</v>
      </c>
    </row>
    <row r="3" spans="2:9" x14ac:dyDescent="0.25">
      <c r="B3" t="s">
        <v>92</v>
      </c>
    </row>
    <row r="4" spans="2:9" x14ac:dyDescent="0.25">
      <c r="B4" t="s">
        <v>93</v>
      </c>
    </row>
    <row r="6" spans="2:9" x14ac:dyDescent="0.25">
      <c r="B6" s="91"/>
      <c r="C6" s="91" t="s">
        <v>94</v>
      </c>
      <c r="D6" s="91" t="s">
        <v>95</v>
      </c>
      <c r="E6" s="91" t="s">
        <v>96</v>
      </c>
      <c r="F6" s="91" t="s">
        <v>97</v>
      </c>
      <c r="G6" s="91" t="s">
        <v>98</v>
      </c>
      <c r="H6" s="91" t="s">
        <v>94</v>
      </c>
      <c r="I6" s="91"/>
    </row>
    <row r="7" spans="2:9" x14ac:dyDescent="0.25">
      <c r="B7" s="91" t="s">
        <v>99</v>
      </c>
      <c r="C7" s="92">
        <v>-1.5</v>
      </c>
      <c r="D7" s="92">
        <v>-1.1000000000000001</v>
      </c>
      <c r="E7" s="92">
        <v>-1</v>
      </c>
      <c r="F7" s="92">
        <v>1</v>
      </c>
      <c r="G7" s="92">
        <v>1.1000000000000001</v>
      </c>
      <c r="H7" s="92">
        <v>1.5</v>
      </c>
    </row>
    <row r="8" spans="2:9" x14ac:dyDescent="0.25">
      <c r="B8" s="91" t="s">
        <v>100</v>
      </c>
      <c r="C8">
        <v>-75</v>
      </c>
      <c r="D8">
        <v>-55</v>
      </c>
      <c r="E8">
        <v>-50</v>
      </c>
      <c r="F8">
        <v>50</v>
      </c>
      <c r="G8">
        <v>55</v>
      </c>
      <c r="H8">
        <v>75</v>
      </c>
    </row>
    <row r="9" spans="2:9" x14ac:dyDescent="0.25">
      <c r="B9" s="91" t="s">
        <v>101</v>
      </c>
      <c r="C9" s="93">
        <v>-0.43319999999999997</v>
      </c>
      <c r="D9" s="93">
        <v>-0.36430000000000001</v>
      </c>
      <c r="E9" s="93">
        <v>-0.34129999999999999</v>
      </c>
      <c r="F9" s="93">
        <v>0.34129999999999999</v>
      </c>
      <c r="G9" s="93">
        <v>0.36430000000000001</v>
      </c>
      <c r="H9" s="93">
        <v>0.43319999999999997</v>
      </c>
    </row>
    <row r="10" spans="2:9" x14ac:dyDescent="0.25">
      <c r="B10" s="91" t="s">
        <v>42</v>
      </c>
      <c r="C10" s="94">
        <v>-350</v>
      </c>
      <c r="D10" s="94">
        <v>0</v>
      </c>
      <c r="E10" s="94">
        <v>350</v>
      </c>
      <c r="F10" s="94">
        <v>350</v>
      </c>
      <c r="G10" s="94">
        <v>0</v>
      </c>
      <c r="H10" s="94">
        <v>-350</v>
      </c>
    </row>
    <row r="13" spans="2:9" x14ac:dyDescent="0.25">
      <c r="B13" s="91" t="s">
        <v>102</v>
      </c>
      <c r="C13" s="98" t="s">
        <v>42</v>
      </c>
      <c r="D13" s="98" t="s">
        <v>101</v>
      </c>
      <c r="E13" s="98" t="s">
        <v>103</v>
      </c>
      <c r="F13" s="98"/>
      <c r="G13" s="91"/>
    </row>
    <row r="14" spans="2:9" x14ac:dyDescent="0.25">
      <c r="B14" t="s">
        <v>104</v>
      </c>
      <c r="C14" s="95">
        <f>E10</f>
        <v>350</v>
      </c>
      <c r="D14" s="93">
        <f>F9-E9</f>
        <v>0.68259999999999998</v>
      </c>
      <c r="E14" s="95">
        <f>C14*D14</f>
        <v>238.91</v>
      </c>
      <c r="F14" s="93"/>
    </row>
    <row r="15" spans="2:9" x14ac:dyDescent="0.25">
      <c r="B15" t="s">
        <v>105</v>
      </c>
      <c r="C15" s="95">
        <f>C10*1.05</f>
        <v>-367.5</v>
      </c>
      <c r="D15" s="93">
        <f>100%+C9-H9</f>
        <v>0.1336</v>
      </c>
      <c r="E15" s="95">
        <f>D15*C15</f>
        <v>-49.097999999999999</v>
      </c>
      <c r="F15" s="93"/>
    </row>
    <row r="16" spans="2:9" x14ac:dyDescent="0.25">
      <c r="B16" t="s">
        <v>106</v>
      </c>
      <c r="C16" s="95">
        <v>0</v>
      </c>
      <c r="D16" s="93">
        <f>G9-D9-D14</f>
        <v>4.6000000000000041E-2</v>
      </c>
      <c r="E16" s="95">
        <f t="shared" ref="E16:E17" si="0">D16*C16</f>
        <v>0</v>
      </c>
      <c r="F16" s="93"/>
    </row>
    <row r="17" spans="2:6" x14ac:dyDescent="0.25">
      <c r="B17" t="s">
        <v>107</v>
      </c>
      <c r="C17" s="95">
        <f>C15</f>
        <v>-367.5</v>
      </c>
      <c r="D17" s="93">
        <f>(H9-G9)*2</f>
        <v>0.13779999999999992</v>
      </c>
      <c r="E17" s="95">
        <f t="shared" si="0"/>
        <v>-50.641499999999972</v>
      </c>
      <c r="F17" s="93"/>
    </row>
    <row r="18" spans="2:6" x14ac:dyDescent="0.25">
      <c r="C18" s="94"/>
      <c r="D18" s="93"/>
      <c r="E18" s="94"/>
    </row>
    <row r="20" spans="2:6" x14ac:dyDescent="0.25">
      <c r="B20" s="91" t="s">
        <v>108</v>
      </c>
      <c r="C20" s="99" t="s">
        <v>109</v>
      </c>
      <c r="D20" s="99" t="s">
        <v>110</v>
      </c>
      <c r="E20" s="99" t="s">
        <v>111</v>
      </c>
    </row>
    <row r="21" spans="2:6" x14ac:dyDescent="0.25">
      <c r="B21" s="91" t="s">
        <v>112</v>
      </c>
      <c r="C21" s="95">
        <f>SUM(E14:E17)</f>
        <v>139.17050000000003</v>
      </c>
      <c r="D21" s="96">
        <f>C21*21</f>
        <v>2922.5805000000005</v>
      </c>
      <c r="E21" s="95">
        <f>C21*252</f>
        <v>35070.966000000008</v>
      </c>
    </row>
    <row r="22" spans="2:6" x14ac:dyDescent="0.25">
      <c r="B22" s="91" t="s">
        <v>73</v>
      </c>
      <c r="C22" s="95">
        <f>E10</f>
        <v>350</v>
      </c>
      <c r="D22" s="96">
        <f>C22*21</f>
        <v>7350</v>
      </c>
      <c r="E22" s="95">
        <f>C22*252</f>
        <v>88200</v>
      </c>
    </row>
    <row r="23" spans="2:6" x14ac:dyDescent="0.25">
      <c r="B23" s="91" t="s">
        <v>72</v>
      </c>
      <c r="C23" s="97">
        <f>C21/C22</f>
        <v>0.39763000000000009</v>
      </c>
      <c r="D23" s="97">
        <f>D21/D22</f>
        <v>0.39763000000000004</v>
      </c>
      <c r="E23" s="97">
        <f>E21/E22</f>
        <v>0.39763000000000009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Indicator</vt:lpstr>
      <vt:lpstr>Dashboard</vt:lpstr>
      <vt:lpstr>Tracker</vt:lpstr>
      <vt:lpstr>Trades</vt:lpstr>
      <vt:lpstr>Delta15</vt:lpstr>
      <vt:lpstr>DeltaMR</vt:lpstr>
      <vt:lpstr>Statistical Proof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2022-09-28T15:11:29Z</dcterms:modified>
</cp:coreProperties>
</file>